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SEORC\PESQUISAS DE PREÇOS\2022\00200.014856-2022-20 - Iluminação viária SEGRAF\"/>
    </mc:Choice>
  </mc:AlternateContent>
  <bookViews>
    <workbookView xWindow="-105" yWindow="-105" windowWidth="23250" windowHeight="12450" tabRatio="750" activeTab="3"/>
  </bookViews>
  <sheets>
    <sheet name="Composições" sheetId="5" r:id="rId1"/>
    <sheet name="Comp.Aux1" sheetId="6" r:id="rId2"/>
    <sheet name="Comp.Aux2" sheetId="7" r:id="rId3"/>
    <sheet name="Orçamentária" sheetId="21" r:id="rId4"/>
    <sheet name="BDI" sheetId="9" r:id="rId5"/>
  </sheets>
  <externalReferences>
    <externalReference r:id="rId6"/>
  </externalReferences>
  <definedNames>
    <definedName name="_xlnm._FilterDatabase" localSheetId="1" hidden="1">'Comp.Aux1'!$A$5:$I$665</definedName>
    <definedName name="_xlnm._FilterDatabase" localSheetId="2" hidden="1">'Comp.Aux2'!$A$5:$I$139</definedName>
    <definedName name="_xlnm._FilterDatabase" localSheetId="0" hidden="1">Composições!$A$5:$J$7469</definedName>
    <definedName name="_xlnm._FilterDatabase" localSheetId="3" hidden="1">Orçamentária!$A$5:$I$51</definedName>
    <definedName name="_xlnm.Print_Area" localSheetId="1">'Comp.Aux1'!$A$2:$G$643</definedName>
    <definedName name="_xlnm.Print_Area" localSheetId="2">'Comp.Aux2'!$A$1:$G$139</definedName>
    <definedName name="_xlnm.Print_Area" localSheetId="0">Composições!$A$1:$H$7443</definedName>
    <definedName name="_xlnm.Print_Area" localSheetId="3">Orçamentária!$A$1:$I$55</definedName>
    <definedName name="Arial">#REF!</definedName>
    <definedName name="BDI">[1]Fatores!$B$3</definedName>
    <definedName name="codigo2" localSheetId="3">#REF!</definedName>
    <definedName name="codigo2">#REF!</definedName>
    <definedName name="FatorRedux">[1]Fatores!$D$3</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52511"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13" i="5" l="1"/>
  <c r="H3213" i="5"/>
  <c r="E15" i="21"/>
  <c r="G4003" i="5"/>
  <c r="G4004" i="5"/>
  <c r="G4005" i="5"/>
  <c r="G4006" i="5"/>
  <c r="G4007" i="5"/>
  <c r="G4008" i="5"/>
  <c r="E4009" i="5"/>
  <c r="G4009" i="5"/>
  <c r="E4010" i="5"/>
  <c r="G4010" i="5"/>
  <c r="H4003" i="5"/>
  <c r="E16" i="21"/>
  <c r="G3217" i="5"/>
  <c r="G3218" i="5"/>
  <c r="G3219" i="5"/>
  <c r="G3220" i="5"/>
  <c r="H3217" i="5"/>
  <c r="E17" i="21"/>
  <c r="G3629" i="5"/>
  <c r="G3630" i="5"/>
  <c r="G3631" i="5"/>
  <c r="H3629" i="5"/>
  <c r="E18" i="21"/>
  <c r="G3916" i="5"/>
  <c r="G3917" i="5"/>
  <c r="G3918" i="5"/>
  <c r="G3919" i="5"/>
  <c r="G3920" i="5"/>
  <c r="G3921" i="5"/>
  <c r="G3922" i="5"/>
  <c r="G3923" i="5"/>
  <c r="G3924" i="5"/>
  <c r="G3925" i="5"/>
  <c r="G3926" i="5"/>
  <c r="G3927" i="5"/>
  <c r="G3928" i="5"/>
  <c r="G3929" i="5"/>
  <c r="G3930" i="5"/>
  <c r="H3916" i="5"/>
  <c r="E19" i="21"/>
  <c r="G4311" i="5"/>
  <c r="G4312" i="5"/>
  <c r="G4313" i="5"/>
  <c r="G4314" i="5"/>
  <c r="G4315" i="5"/>
  <c r="G4316" i="5"/>
  <c r="G4317" i="5"/>
  <c r="G4318" i="5"/>
  <c r="G4319" i="5"/>
  <c r="G4320" i="5"/>
  <c r="G4321" i="5"/>
  <c r="G4322" i="5"/>
  <c r="G4323" i="5"/>
  <c r="G4324" i="5"/>
  <c r="G4325" i="5"/>
  <c r="G4326" i="5"/>
  <c r="G4327" i="5"/>
  <c r="G4328" i="5"/>
  <c r="G4329" i="5"/>
  <c r="G4330" i="5"/>
  <c r="E4331" i="5"/>
  <c r="G4331" i="5"/>
  <c r="E4332" i="5"/>
  <c r="G4332" i="5"/>
  <c r="H4311" i="5"/>
  <c r="E20" i="21"/>
  <c r="G5482" i="5"/>
  <c r="G5483" i="5"/>
  <c r="G5484" i="5"/>
  <c r="H5482" i="5"/>
  <c r="E21" i="21"/>
  <c r="G5488" i="5"/>
  <c r="G5489" i="5"/>
  <c r="G5490" i="5"/>
  <c r="H5488" i="5"/>
  <c r="E22" i="21"/>
  <c r="G3673" i="5"/>
  <c r="G3674" i="5"/>
  <c r="G3675" i="5"/>
  <c r="G3676" i="5"/>
  <c r="G3677" i="5"/>
  <c r="G3678" i="5"/>
  <c r="G3679" i="5"/>
  <c r="G3680" i="5"/>
  <c r="E3681" i="5"/>
  <c r="G3681" i="5"/>
  <c r="E3682" i="5"/>
  <c r="G3682" i="5"/>
  <c r="G3683" i="5"/>
  <c r="H3673" i="5"/>
  <c r="E23" i="21"/>
  <c r="G7355" i="5"/>
  <c r="G7356" i="5"/>
  <c r="G7357" i="5"/>
  <c r="G7358" i="5"/>
  <c r="G7359" i="5"/>
  <c r="H7355" i="5"/>
  <c r="E24" i="21"/>
  <c r="G7363" i="5"/>
  <c r="G7364" i="5"/>
  <c r="G7365" i="5"/>
  <c r="G7366" i="5"/>
  <c r="G7367" i="5"/>
  <c r="H7363" i="5"/>
  <c r="E25" i="21"/>
  <c r="G5428" i="5"/>
  <c r="G5429" i="5"/>
  <c r="G5430" i="5"/>
  <c r="G5431" i="5"/>
  <c r="G5432" i="5"/>
  <c r="G5433" i="5"/>
  <c r="E5434" i="5"/>
  <c r="G5434" i="5"/>
  <c r="E5435" i="5"/>
  <c r="G5435" i="5"/>
  <c r="H5428" i="5"/>
  <c r="E26" i="21"/>
  <c r="G7465" i="5"/>
  <c r="G7466" i="5"/>
  <c r="G7467" i="5"/>
  <c r="G7468" i="5"/>
  <c r="H7465" i="5"/>
  <c r="E27" i="21"/>
  <c r="G7459" i="5"/>
  <c r="G7460" i="5"/>
  <c r="G7461" i="5"/>
  <c r="H7459" i="5"/>
  <c r="E28" i="21"/>
  <c r="G7371" i="5"/>
  <c r="G7372" i="5"/>
  <c r="G7373" i="5"/>
  <c r="H7371" i="5"/>
  <c r="E29" i="21"/>
  <c r="G7377" i="5"/>
  <c r="G7378" i="5"/>
  <c r="H7377" i="5"/>
  <c r="E30" i="21"/>
  <c r="G7382" i="5"/>
  <c r="G7383" i="5"/>
  <c r="H7382" i="5"/>
  <c r="E31" i="21"/>
  <c r="G7415" i="5"/>
  <c r="G7416" i="5"/>
  <c r="G7417" i="5"/>
  <c r="G7418" i="5"/>
  <c r="H7415" i="5"/>
  <c r="E32" i="21"/>
  <c r="G7387" i="5"/>
  <c r="G7388" i="5"/>
  <c r="G7389" i="5"/>
  <c r="G7390" i="5"/>
  <c r="H7387" i="5"/>
  <c r="E33" i="21"/>
  <c r="G1801" i="5"/>
  <c r="G1802" i="5"/>
  <c r="G1803" i="5"/>
  <c r="G1804" i="5"/>
  <c r="H1801" i="5"/>
  <c r="E34" i="21"/>
  <c r="G1759" i="5"/>
  <c r="G1760" i="5"/>
  <c r="G1761" i="5"/>
  <c r="G1762" i="5"/>
  <c r="H1759" i="5"/>
  <c r="E35" i="21"/>
  <c r="G1766" i="5"/>
  <c r="G1767" i="5"/>
  <c r="G1768" i="5"/>
  <c r="G1769" i="5"/>
  <c r="H1766" i="5"/>
  <c r="E36" i="21"/>
  <c r="G3284" i="5"/>
  <c r="G3285" i="5"/>
  <c r="G3286" i="5"/>
  <c r="G3287" i="5"/>
  <c r="H3284" i="5"/>
  <c r="E37" i="21"/>
  <c r="G7394" i="5"/>
  <c r="G7395" i="5"/>
  <c r="G7396" i="5"/>
  <c r="G7397" i="5"/>
  <c r="H7394" i="5"/>
  <c r="E38" i="21"/>
  <c r="G7401" i="5"/>
  <c r="G7402" i="5"/>
  <c r="G7403" i="5"/>
  <c r="G7404" i="5"/>
  <c r="G7405" i="5"/>
  <c r="H7401" i="5"/>
  <c r="E39" i="21"/>
  <c r="G7451" i="5"/>
  <c r="G7452" i="5"/>
  <c r="G7453" i="5"/>
  <c r="G7454" i="5"/>
  <c r="G7455" i="5"/>
  <c r="H7451" i="5"/>
  <c r="E40" i="21"/>
  <c r="G7409" i="5"/>
  <c r="G7410" i="5"/>
  <c r="G7411" i="5"/>
  <c r="H7409" i="5"/>
  <c r="E41" i="21"/>
  <c r="G5297" i="5"/>
  <c r="G5298" i="5"/>
  <c r="G5299" i="5"/>
  <c r="H5297" i="5"/>
  <c r="E42" i="21"/>
  <c r="G3934" i="5"/>
  <c r="G3935" i="5"/>
  <c r="G3936" i="5"/>
  <c r="H3934" i="5"/>
  <c r="E43" i="21"/>
  <c r="G7349" i="5"/>
  <c r="G7350" i="5"/>
  <c r="G7351" i="5"/>
  <c r="H7349" i="5"/>
  <c r="E44" i="21"/>
  <c r="G7422" i="5"/>
  <c r="G7423" i="5"/>
  <c r="G7424" i="5"/>
  <c r="H7422" i="5"/>
  <c r="E45" i="21"/>
  <c r="G7428" i="5"/>
  <c r="G7429" i="5"/>
  <c r="G7430" i="5"/>
  <c r="H7428" i="5"/>
  <c r="E46" i="21"/>
  <c r="G7434" i="5"/>
  <c r="G7435" i="5"/>
  <c r="G7436" i="5"/>
  <c r="H7434" i="5"/>
  <c r="E47" i="21"/>
  <c r="G7440" i="5"/>
  <c r="G7441" i="5"/>
  <c r="G7442" i="5"/>
  <c r="H7440" i="5"/>
  <c r="E48" i="21"/>
  <c r="G5441" i="5"/>
  <c r="G5442" i="5"/>
  <c r="G5443" i="5"/>
  <c r="G5444" i="5"/>
  <c r="G5445" i="5"/>
  <c r="G5446" i="5"/>
  <c r="G5447" i="5"/>
  <c r="H5441" i="5"/>
  <c r="E49" i="21"/>
  <c r="G226" i="5"/>
  <c r="H226" i="5"/>
  <c r="E14" i="21"/>
  <c r="G12" i="5"/>
  <c r="H12" i="5"/>
  <c r="E12" i="21"/>
  <c r="G8" i="5"/>
  <c r="H8" i="5"/>
  <c r="E11" i="21"/>
  <c r="G20" i="5"/>
  <c r="G21" i="5"/>
  <c r="H20" i="5"/>
  <c r="E8" i="21"/>
  <c r="G7446" i="5"/>
  <c r="G7447" i="5"/>
  <c r="H7446" i="5"/>
  <c r="E9" i="21"/>
  <c r="G16" i="5"/>
  <c r="H16" i="5"/>
  <c r="E7" i="21"/>
  <c r="B7463" i="5"/>
  <c r="B7457" i="5"/>
  <c r="B7449" i="5"/>
  <c r="B7444" i="5"/>
  <c r="B7438" i="5"/>
  <c r="B7432" i="5"/>
  <c r="B7426" i="5"/>
  <c r="B7420" i="5"/>
  <c r="B7413" i="5"/>
  <c r="B7407" i="5"/>
  <c r="B7399" i="5"/>
  <c r="B7392" i="5"/>
  <c r="B7385" i="5"/>
  <c r="B7380" i="5"/>
  <c r="B7375" i="5"/>
  <c r="B7369" i="5"/>
  <c r="B7361" i="5"/>
  <c r="B7353" i="5"/>
  <c r="B7347" i="5"/>
  <c r="B7340" i="5"/>
  <c r="B7336" i="5"/>
  <c r="B7332" i="5"/>
  <c r="B7328" i="5"/>
  <c r="B7324" i="5"/>
  <c r="B7320" i="5"/>
  <c r="B7316" i="5"/>
  <c r="B7312" i="5"/>
  <c r="B7308" i="5"/>
  <c r="B7304" i="5"/>
  <c r="B7300" i="5"/>
  <c r="B7296" i="5"/>
  <c r="B7292" i="5"/>
  <c r="B7288" i="5"/>
  <c r="B7284" i="5"/>
  <c r="B7280" i="5"/>
  <c r="B7275" i="5"/>
  <c r="B7270" i="5"/>
  <c r="B7265" i="5"/>
  <c r="B7258" i="5"/>
  <c r="B7252" i="5"/>
  <c r="B7246" i="5"/>
  <c r="B7242" i="5"/>
  <c r="B7238" i="5"/>
  <c r="B7234" i="5"/>
  <c r="B7230" i="5"/>
  <c r="B7224" i="5"/>
  <c r="B7218" i="5"/>
  <c r="B7212" i="5"/>
  <c r="B7206" i="5"/>
  <c r="B7200" i="5"/>
  <c r="B7194" i="5"/>
  <c r="B7188" i="5"/>
  <c r="B7182" i="5"/>
  <c r="B7176" i="5"/>
  <c r="B7170" i="5"/>
  <c r="B7166" i="5"/>
  <c r="B7162" i="5"/>
  <c r="B7158" i="5"/>
  <c r="B7154" i="5"/>
  <c r="B7150" i="5"/>
  <c r="B7146" i="5"/>
  <c r="B7142" i="5"/>
  <c r="B7138" i="5"/>
  <c r="B7134" i="5"/>
  <c r="B7130" i="5"/>
  <c r="B7126" i="5"/>
  <c r="B7122" i="5"/>
  <c r="B7118" i="5"/>
  <c r="B7114" i="5"/>
  <c r="B7110" i="5"/>
  <c r="B7106" i="5"/>
  <c r="B7102" i="5"/>
  <c r="B7098" i="5"/>
  <c r="B7094" i="5"/>
  <c r="B7090" i="5"/>
  <c r="B7086" i="5"/>
  <c r="B7082" i="5"/>
  <c r="B7078" i="5"/>
  <c r="B7074" i="5"/>
  <c r="B7070" i="5"/>
  <c r="B7066" i="5"/>
  <c r="B7062" i="5"/>
  <c r="B7058" i="5"/>
  <c r="B7054" i="5"/>
  <c r="B7050" i="5"/>
  <c r="B7046" i="5"/>
  <c r="B7042" i="5"/>
  <c r="B7038" i="5"/>
  <c r="B7034" i="5"/>
  <c r="B7030" i="5"/>
  <c r="B7026" i="5"/>
  <c r="B7022" i="5"/>
  <c r="B7018" i="5"/>
  <c r="B7014" i="5"/>
  <c r="B7010" i="5"/>
  <c r="B7006" i="5"/>
  <c r="B7002" i="5"/>
  <c r="B6998" i="5"/>
  <c r="B6994" i="5"/>
  <c r="B6990" i="5"/>
  <c r="B6986" i="5"/>
  <c r="B6982" i="5"/>
  <c r="B6978" i="5"/>
  <c r="B6974" i="5"/>
  <c r="B6970" i="5"/>
  <c r="B6966" i="5"/>
  <c r="B6962" i="5"/>
  <c r="B6958" i="5"/>
  <c r="B6954" i="5"/>
  <c r="B6950" i="5"/>
  <c r="B6946" i="5"/>
  <c r="B6942" i="5"/>
  <c r="B6938" i="5"/>
  <c r="B6934" i="5"/>
  <c r="B6930" i="5"/>
  <c r="B6926" i="5"/>
  <c r="B6922" i="5"/>
  <c r="B6918" i="5"/>
  <c r="B6914" i="5"/>
  <c r="B6910" i="5"/>
  <c r="B6906" i="5"/>
  <c r="B6902" i="5"/>
  <c r="B6898" i="5"/>
  <c r="B6894" i="5"/>
  <c r="B6890" i="5"/>
  <c r="B6886" i="5"/>
  <c r="B6882" i="5"/>
  <c r="B6878" i="5"/>
  <c r="B6874" i="5"/>
  <c r="B6870" i="5"/>
  <c r="B6866" i="5"/>
  <c r="B6862" i="5"/>
  <c r="B6858" i="5"/>
  <c r="B6854" i="5"/>
  <c r="B6850" i="5"/>
  <c r="B6846" i="5"/>
  <c r="B6842" i="5"/>
  <c r="B6838" i="5"/>
  <c r="B6834" i="5"/>
  <c r="B6830" i="5"/>
  <c r="B6826" i="5"/>
  <c r="B6822" i="5"/>
  <c r="B6818" i="5"/>
  <c r="B6814" i="5"/>
  <c r="B6810" i="5"/>
  <c r="B6806" i="5"/>
  <c r="B6802" i="5"/>
  <c r="B6798" i="5"/>
  <c r="B6794" i="5"/>
  <c r="B6790" i="5"/>
  <c r="B6786" i="5"/>
  <c r="B6782" i="5"/>
  <c r="B6778" i="5"/>
  <c r="B6774" i="5"/>
  <c r="B6770" i="5"/>
  <c r="B6766" i="5"/>
  <c r="B6762" i="5"/>
  <c r="B6758" i="5"/>
  <c r="B6754" i="5"/>
  <c r="B6750" i="5"/>
  <c r="B6746" i="5"/>
  <c r="B6742" i="5"/>
  <c r="B6738" i="5"/>
  <c r="B6734" i="5"/>
  <c r="B6730" i="5"/>
  <c r="B6726" i="5"/>
  <c r="B6722" i="5"/>
  <c r="B6718" i="5"/>
  <c r="B6714" i="5"/>
  <c r="B6710" i="5"/>
  <c r="B6706" i="5"/>
  <c r="B6702" i="5"/>
  <c r="B6698" i="5"/>
  <c r="B6694" i="5"/>
  <c r="B6690" i="5"/>
  <c r="B6686" i="5"/>
  <c r="B6682" i="5"/>
  <c r="B6678" i="5"/>
  <c r="B6674" i="5"/>
  <c r="B6670" i="5"/>
  <c r="B6666" i="5"/>
  <c r="B6662" i="5"/>
  <c r="B6658" i="5"/>
  <c r="B6654" i="5"/>
  <c r="B6650" i="5"/>
  <c r="B6646" i="5"/>
  <c r="B6642" i="5"/>
  <c r="B6638" i="5"/>
  <c r="B6634" i="5"/>
  <c r="B6630" i="5"/>
  <c r="B6626" i="5"/>
  <c r="B6622" i="5"/>
  <c r="B6618" i="5"/>
  <c r="B6614" i="5"/>
  <c r="B6610" i="5"/>
  <c r="B6606" i="5"/>
  <c r="B6602" i="5"/>
  <c r="B6598" i="5"/>
  <c r="B6594" i="5"/>
  <c r="B6590" i="5"/>
  <c r="B6586" i="5"/>
  <c r="B6582" i="5"/>
  <c r="B6578" i="5"/>
  <c r="B6574" i="5"/>
  <c r="B6570" i="5"/>
  <c r="B6566" i="5"/>
  <c r="B6562" i="5"/>
  <c r="B6558" i="5"/>
  <c r="B6554" i="5"/>
  <c r="B6550" i="5"/>
  <c r="B6546" i="5"/>
  <c r="B6542" i="5"/>
  <c r="B6538" i="5"/>
  <c r="B6534" i="5"/>
  <c r="B6530" i="5"/>
  <c r="B6526" i="5"/>
  <c r="B6522" i="5"/>
  <c r="B6518" i="5"/>
  <c r="B6514" i="5"/>
  <c r="B6510" i="5"/>
  <c r="B6503" i="5"/>
  <c r="B6496" i="5"/>
  <c r="B6489" i="5"/>
  <c r="B6482" i="5"/>
  <c r="B6475" i="5"/>
  <c r="B6466" i="5"/>
  <c r="B6461" i="5"/>
  <c r="B6454" i="5"/>
  <c r="B6449" i="5"/>
  <c r="B6444" i="5"/>
  <c r="B6439" i="5"/>
  <c r="B6435" i="5"/>
  <c r="B6431" i="5"/>
  <c r="B6426" i="5"/>
  <c r="B6422" i="5"/>
  <c r="B6415" i="5"/>
  <c r="B6409" i="5"/>
  <c r="B6402" i="5"/>
  <c r="B6387" i="5"/>
  <c r="B6373" i="5"/>
  <c r="B6368" i="5"/>
  <c r="B6359" i="5"/>
  <c r="B6349" i="5"/>
  <c r="B6325" i="5"/>
  <c r="B6314" i="5"/>
  <c r="B6305" i="5"/>
  <c r="B6297" i="5"/>
  <c r="B6289" i="5"/>
  <c r="B6278" i="5"/>
  <c r="B6269" i="5"/>
  <c r="B6263" i="5"/>
  <c r="B6257" i="5"/>
  <c r="B6250" i="5"/>
  <c r="B6244" i="5"/>
  <c r="B6237" i="5"/>
  <c r="B6228" i="5"/>
  <c r="B6220" i="5"/>
  <c r="B6212" i="5"/>
  <c r="B6207" i="5"/>
  <c r="B6202" i="5"/>
  <c r="B6195" i="5"/>
  <c r="B6184" i="5"/>
  <c r="B6173" i="5"/>
  <c r="B6169" i="5"/>
  <c r="B6165" i="5"/>
  <c r="B6161" i="5"/>
  <c r="B6153" i="5"/>
  <c r="B6149" i="5"/>
  <c r="B6145" i="5"/>
  <c r="B6141" i="5"/>
  <c r="B6137" i="5"/>
  <c r="B6133" i="5"/>
  <c r="B6129" i="5"/>
  <c r="B6125" i="5"/>
  <c r="B6121" i="5"/>
  <c r="B6117" i="5"/>
  <c r="B6113" i="5"/>
  <c r="B6109" i="5"/>
  <c r="B6105" i="5"/>
  <c r="B6101" i="5"/>
  <c r="B6097" i="5"/>
  <c r="B6093" i="5"/>
  <c r="B6089" i="5"/>
  <c r="B6085" i="5"/>
  <c r="B6081" i="5"/>
  <c r="B6077" i="5"/>
  <c r="B6073" i="5"/>
  <c r="B6069" i="5"/>
  <c r="B6065" i="5"/>
  <c r="B6061" i="5"/>
  <c r="B6057" i="5"/>
  <c r="B6053" i="5"/>
  <c r="B6049" i="5"/>
  <c r="B6045" i="5"/>
  <c r="B6041" i="5"/>
  <c r="B6037" i="5"/>
  <c r="B6033" i="5"/>
  <c r="B6029" i="5"/>
  <c r="B6025" i="5"/>
  <c r="B6021" i="5"/>
  <c r="B6017" i="5"/>
  <c r="B6013" i="5"/>
  <c r="B6009" i="5"/>
  <c r="B6005" i="5"/>
  <c r="B6001" i="5"/>
  <c r="B5997" i="5"/>
  <c r="B5993" i="5"/>
  <c r="B5989" i="5"/>
  <c r="B5985" i="5"/>
  <c r="B5981" i="5"/>
  <c r="B5977" i="5"/>
  <c r="B5973" i="5"/>
  <c r="B5969" i="5"/>
  <c r="B5965" i="5"/>
  <c r="B5961" i="5"/>
  <c r="B5957" i="5"/>
  <c r="B5953" i="5"/>
  <c r="B5949" i="5"/>
  <c r="B5945" i="5"/>
  <c r="B5941" i="5"/>
  <c r="B5937" i="5"/>
  <c r="B5933" i="5"/>
  <c r="B5929" i="5"/>
  <c r="B5925" i="5"/>
  <c r="B5921" i="5"/>
  <c r="B5917" i="5"/>
  <c r="B5913" i="5"/>
  <c r="B5909" i="5"/>
  <c r="B5905" i="5"/>
  <c r="B5901" i="5"/>
  <c r="B5897" i="5"/>
  <c r="B5893" i="5"/>
  <c r="B5889" i="5"/>
  <c r="B5885" i="5"/>
  <c r="B5881" i="5"/>
  <c r="B5877" i="5"/>
  <c r="B5873" i="5"/>
  <c r="B5869" i="5"/>
  <c r="B5865" i="5"/>
  <c r="B5861" i="5"/>
  <c r="B5857" i="5"/>
  <c r="B5853" i="5"/>
  <c r="B5849" i="5"/>
  <c r="B5845" i="5"/>
  <c r="B5841" i="5"/>
  <c r="B5837" i="5"/>
  <c r="B5833" i="5"/>
  <c r="B5829" i="5"/>
  <c r="B5825" i="5"/>
  <c r="B5821" i="5"/>
  <c r="B5817" i="5"/>
  <c r="B5813" i="5"/>
  <c r="B5809" i="5"/>
  <c r="B5805" i="5"/>
  <c r="B5801" i="5"/>
  <c r="B5797" i="5"/>
  <c r="B5793" i="5"/>
  <c r="B5789" i="5"/>
  <c r="B5785" i="5"/>
  <c r="B5781" i="5"/>
  <c r="B5777" i="5"/>
  <c r="B5773" i="5"/>
  <c r="B5769" i="5"/>
  <c r="B5765" i="5"/>
  <c r="B5761" i="5"/>
  <c r="B5757" i="5"/>
  <c r="B5753" i="5"/>
  <c r="B5749" i="5"/>
  <c r="B5745" i="5"/>
  <c r="B5741" i="5"/>
  <c r="B5737" i="5"/>
  <c r="B5733" i="5"/>
  <c r="B5729" i="5"/>
  <c r="B5725" i="5"/>
  <c r="B5721" i="5"/>
  <c r="B5717" i="5"/>
  <c r="B5713" i="5"/>
  <c r="B5709" i="5"/>
  <c r="B5705" i="5"/>
  <c r="B5701" i="5"/>
  <c r="B5697" i="5"/>
  <c r="B5693" i="5"/>
  <c r="B5689" i="5"/>
  <c r="B5685" i="5"/>
  <c r="B5681" i="5"/>
  <c r="B5677" i="5"/>
  <c r="B5673" i="5"/>
  <c r="B5669" i="5"/>
  <c r="B5665" i="5"/>
  <c r="B5661" i="5"/>
  <c r="B5657" i="5"/>
  <c r="B5653" i="5"/>
  <c r="B5649" i="5"/>
  <c r="B5645" i="5"/>
  <c r="B5641" i="5"/>
  <c r="B5637" i="5"/>
  <c r="B5633" i="5"/>
  <c r="B5627" i="5"/>
  <c r="B5621" i="5"/>
  <c r="B5615" i="5"/>
  <c r="B5609" i="5"/>
  <c r="B5603" i="5"/>
  <c r="B5597" i="5"/>
  <c r="B5591" i="5"/>
  <c r="B5585" i="5"/>
  <c r="B5579" i="5"/>
  <c r="B5573" i="5"/>
  <c r="B5567" i="5"/>
  <c r="B5561" i="5"/>
  <c r="B5555" i="5"/>
  <c r="B5549" i="5"/>
  <c r="B5543" i="5"/>
  <c r="B5537" i="5"/>
  <c r="B5531" i="5"/>
  <c r="B5525" i="5"/>
  <c r="B5519" i="5"/>
  <c r="B5513" i="5"/>
  <c r="B5509" i="5"/>
  <c r="B5502" i="5"/>
  <c r="B5498" i="5"/>
  <c r="B5492" i="5"/>
  <c r="B5486" i="5"/>
  <c r="B5480" i="5"/>
  <c r="B5473" i="5"/>
  <c r="B5467" i="5"/>
  <c r="B5461" i="5"/>
  <c r="B5449" i="5"/>
  <c r="B5439" i="5"/>
  <c r="B5426" i="5"/>
  <c r="B5418" i="5"/>
  <c r="B5410" i="5"/>
  <c r="B5402" i="5"/>
  <c r="B5396" i="5"/>
  <c r="B5390" i="5"/>
  <c r="B5383" i="5"/>
  <c r="B5377" i="5"/>
  <c r="B5371" i="5"/>
  <c r="B5364" i="5"/>
  <c r="B5357" i="5"/>
  <c r="B5350" i="5"/>
  <c r="B5344" i="5"/>
  <c r="B5338" i="5"/>
  <c r="B5332" i="5"/>
  <c r="B5326" i="5"/>
  <c r="B5320" i="5"/>
  <c r="B5314" i="5"/>
  <c r="B5308" i="5"/>
  <c r="B5301" i="5"/>
  <c r="B5295" i="5"/>
  <c r="B5287" i="5"/>
  <c r="B5275" i="5"/>
  <c r="B5268" i="5"/>
  <c r="B5262" i="5"/>
  <c r="B5256" i="5"/>
  <c r="B5249" i="5"/>
  <c r="B5242" i="5"/>
  <c r="B5227" i="5"/>
  <c r="B5212" i="5"/>
  <c r="B5204" i="5"/>
  <c r="B5196" i="5"/>
  <c r="B5188" i="5"/>
  <c r="B5182" i="5"/>
  <c r="B5174" i="5"/>
  <c r="B5168" i="5"/>
  <c r="B5160" i="5"/>
  <c r="B5152" i="5"/>
  <c r="B5144" i="5"/>
  <c r="B5136" i="5"/>
  <c r="B5130" i="5"/>
  <c r="B5119" i="5"/>
  <c r="B5112" i="5"/>
  <c r="B5105" i="5"/>
  <c r="B5099" i="5"/>
  <c r="B5093" i="5"/>
  <c r="B5087" i="5"/>
  <c r="B5081" i="5"/>
  <c r="B5073" i="5"/>
  <c r="B5066" i="5"/>
  <c r="B5059" i="5"/>
  <c r="B5051" i="5"/>
  <c r="B5045" i="5"/>
  <c r="B5039" i="5"/>
  <c r="B5035" i="5"/>
  <c r="B5029" i="5"/>
  <c r="B5021" i="5"/>
  <c r="B5016" i="5"/>
  <c r="B5009" i="5"/>
  <c r="B5003" i="5"/>
  <c r="B4997" i="5"/>
  <c r="B4991" i="5"/>
  <c r="B4985" i="5"/>
  <c r="B4980" i="5"/>
  <c r="B4973" i="5"/>
  <c r="B4966" i="5"/>
  <c r="B4959" i="5"/>
  <c r="B4952" i="5"/>
  <c r="B4947" i="5"/>
  <c r="B4940" i="5"/>
  <c r="B4933" i="5"/>
  <c r="B4926" i="5"/>
  <c r="B4919" i="5"/>
  <c r="B4912" i="5"/>
  <c r="B4903" i="5"/>
  <c r="B4893" i="5"/>
  <c r="B4885" i="5"/>
  <c r="B4877" i="5"/>
  <c r="B4869" i="5"/>
  <c r="B4861" i="5"/>
  <c r="B4853" i="5"/>
  <c r="B4845" i="5"/>
  <c r="B4837" i="5"/>
  <c r="B4829" i="5"/>
  <c r="B4824" i="5"/>
  <c r="B4819" i="5"/>
  <c r="B4814" i="5"/>
  <c r="B4804" i="5"/>
  <c r="B4794" i="5"/>
  <c r="B4789" i="5"/>
  <c r="B4778" i="5"/>
  <c r="B4774" i="5"/>
  <c r="B4770" i="5"/>
  <c r="B4766" i="5"/>
  <c r="B4762" i="5"/>
  <c r="B4758" i="5"/>
  <c r="B4754" i="5"/>
  <c r="B4750" i="5"/>
  <c r="B4746" i="5"/>
  <c r="B4742" i="5"/>
  <c r="B4734" i="5"/>
  <c r="B4728" i="5"/>
  <c r="B4724" i="5"/>
  <c r="B4712" i="5"/>
  <c r="B4703" i="5"/>
  <c r="B4695" i="5"/>
  <c r="B4689" i="5"/>
  <c r="B4679" i="5"/>
  <c r="B4671" i="5"/>
  <c r="B4663" i="5"/>
  <c r="B4657" i="5"/>
  <c r="B4649" i="5"/>
  <c r="B4637" i="5"/>
  <c r="B4631" i="5"/>
  <c r="B4623" i="5"/>
  <c r="B4614" i="5"/>
  <c r="B4606" i="5"/>
  <c r="B4587" i="5"/>
  <c r="B4575" i="5"/>
  <c r="B4563" i="5"/>
  <c r="B4557" i="5"/>
  <c r="B4552" i="5"/>
  <c r="B4544" i="5"/>
  <c r="B4536" i="5"/>
  <c r="B4531" i="5"/>
  <c r="B4526" i="5"/>
  <c r="B4520" i="5"/>
  <c r="B4512" i="5"/>
  <c r="B4504" i="5"/>
  <c r="B4484" i="5"/>
  <c r="B4478" i="5"/>
  <c r="B4466" i="5"/>
  <c r="B4454" i="5"/>
  <c r="B4446" i="5"/>
  <c r="B4436" i="5"/>
  <c r="B4426" i="5"/>
  <c r="B4416" i="5"/>
  <c r="B4408" i="5"/>
  <c r="B4400" i="5"/>
  <c r="B4390" i="5"/>
  <c r="B4381" i="5"/>
  <c r="B4372" i="5"/>
  <c r="B4363" i="5"/>
  <c r="B4354" i="5"/>
  <c r="B4343" i="5"/>
  <c r="B4336" i="5"/>
  <c r="B4309" i="5"/>
  <c r="B4293" i="5"/>
  <c r="B4284" i="5"/>
  <c r="B4276" i="5"/>
  <c r="B4271" i="5"/>
  <c r="B4264" i="5"/>
  <c r="B4255" i="5"/>
  <c r="B4247" i="5"/>
  <c r="B4239" i="5"/>
  <c r="B4233" i="5"/>
  <c r="B4223" i="5"/>
  <c r="B4217" i="5"/>
  <c r="B4211" i="5"/>
  <c r="B4205" i="5"/>
  <c r="B4198" i="5"/>
  <c r="B4191" i="5"/>
  <c r="B4187" i="5"/>
  <c r="B4176" i="5"/>
  <c r="B4165" i="5"/>
  <c r="B4158" i="5"/>
  <c r="B4154" i="5"/>
  <c r="B4146" i="5"/>
  <c r="B4138" i="5"/>
  <c r="B4130" i="5"/>
  <c r="B4123" i="5"/>
  <c r="B4119" i="5"/>
  <c r="B4113" i="5"/>
  <c r="B4106" i="5"/>
  <c r="B4100" i="5"/>
  <c r="B4094" i="5"/>
  <c r="B4085" i="5"/>
  <c r="B4076" i="5"/>
  <c r="B4067" i="5"/>
  <c r="B4058" i="5"/>
  <c r="B4049" i="5"/>
  <c r="B4040" i="5"/>
  <c r="B4036" i="5"/>
  <c r="B4032" i="5"/>
  <c r="B4027" i="5"/>
  <c r="B4014" i="5"/>
  <c r="B4001" i="5"/>
  <c r="B3993" i="5"/>
  <c r="B3986" i="5"/>
  <c r="B3976" i="5"/>
  <c r="B3968" i="5"/>
  <c r="B3959" i="5"/>
  <c r="B3952" i="5"/>
  <c r="B3946" i="5"/>
  <c r="B3938" i="5"/>
  <c r="B3932" i="5"/>
  <c r="B3914" i="5"/>
  <c r="B3907" i="5"/>
  <c r="B3892" i="5"/>
  <c r="B3880" i="5"/>
  <c r="B3872" i="5"/>
  <c r="B3863" i="5"/>
  <c r="B3853" i="5"/>
  <c r="B3842" i="5"/>
  <c r="B3837" i="5"/>
  <c r="B3831" i="5"/>
  <c r="B3825" i="5"/>
  <c r="B3819" i="5"/>
  <c r="B3813" i="5"/>
  <c r="B3807" i="5"/>
  <c r="B3801" i="5"/>
  <c r="B3795" i="5"/>
  <c r="B3789" i="5"/>
  <c r="B3783" i="5"/>
  <c r="B3777" i="5"/>
  <c r="B3773" i="5"/>
  <c r="B3769" i="5"/>
  <c r="B3765" i="5"/>
  <c r="B3758" i="5"/>
  <c r="B3749" i="5"/>
  <c r="B3744" i="5"/>
  <c r="B3734" i="5"/>
  <c r="B3730" i="5"/>
  <c r="B3719" i="5"/>
  <c r="B3706" i="5"/>
  <c r="B3694" i="5"/>
  <c r="B3686" i="5"/>
  <c r="B3671" i="5"/>
  <c r="B3665" i="5"/>
  <c r="B3661" i="5"/>
  <c r="B3653" i="5"/>
  <c r="B3648" i="5"/>
  <c r="B3643" i="5"/>
  <c r="B3633" i="5"/>
  <c r="B3627" i="5"/>
  <c r="B3620" i="5"/>
  <c r="B3614" i="5"/>
  <c r="B3606" i="5"/>
  <c r="B3601" i="5"/>
  <c r="B3594" i="5"/>
  <c r="B3586" i="5"/>
  <c r="B3580" i="5"/>
  <c r="B3574" i="5"/>
  <c r="B3558" i="5"/>
  <c r="B3551" i="5"/>
  <c r="B3542" i="5"/>
  <c r="B3532" i="5"/>
  <c r="B3515" i="5"/>
  <c r="B3507" i="5"/>
  <c r="B3490" i="5"/>
  <c r="B3482" i="5"/>
  <c r="B3471" i="5"/>
  <c r="B3460" i="5"/>
  <c r="B3450" i="5"/>
  <c r="B3446" i="5"/>
  <c r="B3442" i="5"/>
  <c r="B3437" i="5"/>
  <c r="B3432" i="5"/>
  <c r="B3427" i="5"/>
  <c r="B3420" i="5"/>
  <c r="B3413" i="5"/>
  <c r="B3406" i="5"/>
  <c r="B3402" i="5"/>
  <c r="B3398" i="5"/>
  <c r="B3393" i="5"/>
  <c r="B3389" i="5"/>
  <c r="B3385" i="5"/>
  <c r="B3378" i="5"/>
  <c r="B3371" i="5"/>
  <c r="B3364" i="5"/>
  <c r="B3359" i="5"/>
  <c r="B3350" i="5"/>
  <c r="B3344" i="5"/>
  <c r="B3338" i="5"/>
  <c r="B3331" i="5"/>
  <c r="B3324" i="5"/>
  <c r="B3317" i="5"/>
  <c r="B3310" i="5"/>
  <c r="B3303" i="5"/>
  <c r="B3296" i="5"/>
  <c r="B3289" i="5"/>
  <c r="B3282" i="5"/>
  <c r="B3275" i="5"/>
  <c r="B3268" i="5"/>
  <c r="B3263" i="5"/>
  <c r="B3253" i="5"/>
  <c r="B3247" i="5"/>
  <c r="B3241" i="5"/>
  <c r="B3235" i="5"/>
  <c r="B3222" i="5"/>
  <c r="B3215" i="5"/>
  <c r="B3211" i="5"/>
  <c r="B3206" i="5"/>
  <c r="B3198" i="5"/>
  <c r="B3190" i="5"/>
  <c r="B3181" i="5"/>
  <c r="B3176" i="5"/>
  <c r="B3170" i="5"/>
  <c r="B3165" i="5"/>
  <c r="B3159" i="5"/>
  <c r="B3153" i="5"/>
  <c r="B3147" i="5"/>
  <c r="B3141" i="5"/>
  <c r="B3136" i="5"/>
  <c r="B3131" i="5"/>
  <c r="B3126" i="5"/>
  <c r="B3121" i="5"/>
  <c r="B3116" i="5"/>
  <c r="B3111" i="5"/>
  <c r="B3106" i="5"/>
  <c r="B3101" i="5"/>
  <c r="B3096" i="5"/>
  <c r="B3088" i="5"/>
  <c r="B3083" i="5"/>
  <c r="B3075" i="5"/>
  <c r="B3071" i="5"/>
  <c r="B3063" i="5"/>
  <c r="B3058" i="5"/>
  <c r="B3050" i="5"/>
  <c r="B3045" i="5"/>
  <c r="B3040" i="5"/>
  <c r="B3035" i="5"/>
  <c r="B3030" i="5"/>
  <c r="B3025" i="5"/>
  <c r="B3020" i="5"/>
  <c r="B3015" i="5"/>
  <c r="B3010" i="5"/>
  <c r="B3005" i="5"/>
  <c r="B2995" i="5"/>
  <c r="B2990" i="5"/>
  <c r="B2985" i="5"/>
  <c r="B2980" i="5"/>
  <c r="B2975" i="5"/>
  <c r="B2970" i="5"/>
  <c r="B2965" i="5"/>
  <c r="B2960" i="5"/>
  <c r="B2955" i="5"/>
  <c r="B2950" i="5"/>
  <c r="B2945" i="5"/>
  <c r="B2937" i="5"/>
  <c r="B2929" i="5"/>
  <c r="B2921" i="5"/>
  <c r="B2913" i="5"/>
  <c r="B2905" i="5"/>
  <c r="B2900" i="5"/>
  <c r="B2895" i="5"/>
  <c r="B2890" i="5"/>
  <c r="B2883" i="5"/>
  <c r="B2878" i="5"/>
  <c r="B2873" i="5"/>
  <c r="B2868" i="5"/>
  <c r="B2863" i="5"/>
  <c r="B2858" i="5"/>
  <c r="B2853" i="5"/>
  <c r="B2848" i="5"/>
  <c r="B2843" i="5"/>
  <c r="B2836" i="5"/>
  <c r="B2831" i="5"/>
  <c r="B2826" i="5"/>
  <c r="B2821" i="5"/>
  <c r="B2811" i="5"/>
  <c r="B2806" i="5"/>
  <c r="B2801" i="5"/>
  <c r="B2795" i="5"/>
  <c r="B2785" i="5"/>
  <c r="B2780" i="5"/>
  <c r="B2776" i="5"/>
  <c r="B2772" i="5"/>
  <c r="B2768" i="5"/>
  <c r="B2764" i="5"/>
  <c r="B2760" i="5"/>
  <c r="B2756" i="5"/>
  <c r="B2752" i="5"/>
  <c r="B2748" i="5"/>
  <c r="B2744" i="5"/>
  <c r="B2740" i="5"/>
  <c r="B2736" i="5"/>
  <c r="B2732" i="5"/>
  <c r="B2728" i="5"/>
  <c r="B2724" i="5"/>
  <c r="B2718" i="5"/>
  <c r="B2712" i="5"/>
  <c r="B2706" i="5"/>
  <c r="B2700" i="5"/>
  <c r="B2694" i="5"/>
  <c r="B2688" i="5"/>
  <c r="B2682" i="5"/>
  <c r="B2676" i="5"/>
  <c r="B2670" i="5"/>
  <c r="B2664" i="5"/>
  <c r="B2660" i="5"/>
  <c r="B2656" i="5"/>
  <c r="B2652" i="5"/>
  <c r="B2648" i="5"/>
  <c r="B2644" i="5"/>
  <c r="B2640" i="5"/>
  <c r="B2636" i="5"/>
  <c r="B2632" i="5"/>
  <c r="B2628" i="5"/>
  <c r="B2624" i="5"/>
  <c r="B2620" i="5"/>
  <c r="B2616" i="5"/>
  <c r="B2612" i="5"/>
  <c r="B2608" i="5"/>
  <c r="B2604" i="5"/>
  <c r="B2596" i="5"/>
  <c r="B2588" i="5"/>
  <c r="B2580" i="5"/>
  <c r="B2576" i="5"/>
  <c r="B2572" i="5"/>
  <c r="B2568" i="5"/>
  <c r="B2564" i="5"/>
  <c r="B2560" i="5"/>
  <c r="B2556" i="5"/>
  <c r="B2552" i="5"/>
  <c r="B2548" i="5"/>
  <c r="B2544" i="5"/>
  <c r="B2540" i="5"/>
  <c r="B2536" i="5"/>
  <c r="B2532" i="5"/>
  <c r="B2528" i="5"/>
  <c r="B2524" i="5"/>
  <c r="B2520" i="5"/>
  <c r="B2516" i="5"/>
  <c r="B2512" i="5"/>
  <c r="B2508" i="5"/>
  <c r="B2504" i="5"/>
  <c r="B2500" i="5"/>
  <c r="B2496" i="5"/>
  <c r="B2492" i="5"/>
  <c r="B2488" i="5"/>
  <c r="B2484" i="5"/>
  <c r="B2480" i="5"/>
  <c r="B2476" i="5"/>
  <c r="B2472" i="5"/>
  <c r="B2468" i="5"/>
  <c r="B2464" i="5"/>
  <c r="B2460" i="5"/>
  <c r="B2456" i="5"/>
  <c r="B2452" i="5"/>
  <c r="B2448" i="5"/>
  <c r="B2444" i="5"/>
  <c r="B2440" i="5"/>
  <c r="B2436" i="5"/>
  <c r="B2432" i="5"/>
  <c r="B2428" i="5"/>
  <c r="B2424" i="5"/>
  <c r="B2420" i="5"/>
  <c r="B2416" i="5"/>
  <c r="B2412" i="5"/>
  <c r="B2408" i="5"/>
  <c r="B2404" i="5"/>
  <c r="B2398" i="5"/>
  <c r="B2391" i="5"/>
  <c r="B2385" i="5"/>
  <c r="B2378" i="5"/>
  <c r="B2370" i="5"/>
  <c r="B2364" i="5"/>
  <c r="B2359" i="5"/>
  <c r="B2354" i="5"/>
  <c r="B2349" i="5"/>
  <c r="B2343" i="5"/>
  <c r="B2337" i="5"/>
  <c r="B2331" i="5"/>
  <c r="B2325" i="5"/>
  <c r="B2318" i="5"/>
  <c r="B2311" i="5"/>
  <c r="B2301" i="5"/>
  <c r="B2291" i="5"/>
  <c r="B2281" i="5"/>
  <c r="B2271" i="5"/>
  <c r="B2261" i="5"/>
  <c r="B2255" i="5"/>
  <c r="B2241" i="5"/>
  <c r="B2235" i="5"/>
  <c r="B2229" i="5"/>
  <c r="B2222" i="5"/>
  <c r="B2215" i="5"/>
  <c r="B2210" i="5"/>
  <c r="B2202" i="5"/>
  <c r="B2194" i="5"/>
  <c r="B2186" i="5"/>
  <c r="B2178" i="5"/>
  <c r="B2170" i="5"/>
  <c r="B2162" i="5"/>
  <c r="B2154" i="5"/>
  <c r="B2146" i="5"/>
  <c r="B2140" i="5"/>
  <c r="B2134" i="5"/>
  <c r="B2128" i="5"/>
  <c r="B2122" i="5"/>
  <c r="B2116" i="5"/>
  <c r="B2108" i="5"/>
  <c r="B2100" i="5"/>
  <c r="B2092" i="5"/>
  <c r="B2084" i="5"/>
  <c r="B2076" i="5"/>
  <c r="B2068" i="5"/>
  <c r="B2060" i="5"/>
  <c r="B2052" i="5"/>
  <c r="B2044" i="5"/>
  <c r="B2036" i="5"/>
  <c r="B2028" i="5"/>
  <c r="B2022" i="5"/>
  <c r="B2015" i="5"/>
  <c r="B2008" i="5"/>
  <c r="B2001" i="5"/>
  <c r="B1994" i="5"/>
  <c r="B1986" i="5"/>
  <c r="B1978" i="5"/>
  <c r="B1971" i="5"/>
  <c r="B1964" i="5"/>
  <c r="B1958" i="5"/>
  <c r="B1952" i="5"/>
  <c r="B1945" i="5"/>
  <c r="B1940" i="5"/>
  <c r="B1935" i="5"/>
  <c r="B1929" i="5"/>
  <c r="B1924" i="5"/>
  <c r="B1919" i="5"/>
  <c r="B1914" i="5"/>
  <c r="B1908" i="5"/>
  <c r="B1902" i="5"/>
  <c r="B1896" i="5"/>
  <c r="B1890" i="5"/>
  <c r="B1884" i="5"/>
  <c r="B1878" i="5"/>
  <c r="B1872" i="5"/>
  <c r="B1866" i="5"/>
  <c r="B1860" i="5"/>
  <c r="B1854" i="5"/>
  <c r="B1848" i="5"/>
  <c r="B1842" i="5"/>
  <c r="B1835" i="5"/>
  <c r="B1829" i="5"/>
  <c r="B1823" i="5"/>
  <c r="B1818" i="5"/>
  <c r="B1813" i="5"/>
  <c r="B1806" i="5"/>
  <c r="B1799" i="5"/>
  <c r="B1792" i="5"/>
  <c r="B1785" i="5"/>
  <c r="B1778" i="5"/>
  <c r="B1771" i="5"/>
  <c r="B1764" i="5"/>
  <c r="B1757" i="5"/>
  <c r="B1746" i="5"/>
  <c r="B1735" i="5"/>
  <c r="B1724" i="5"/>
  <c r="B1713" i="5"/>
  <c r="B1705" i="5"/>
  <c r="B1699" i="5"/>
  <c r="B1692" i="5"/>
  <c r="B1685" i="5"/>
  <c r="B1679" i="5"/>
  <c r="B1674" i="5"/>
  <c r="B1669" i="5"/>
  <c r="B1664" i="5"/>
  <c r="B1658" i="5"/>
  <c r="B1652" i="5"/>
  <c r="B1646" i="5"/>
  <c r="B1640" i="5"/>
  <c r="B1635" i="5"/>
  <c r="B1629" i="5"/>
  <c r="B1623" i="5"/>
  <c r="B1618" i="5"/>
  <c r="B1611" i="5"/>
  <c r="B1605" i="5"/>
  <c r="B1599" i="5"/>
  <c r="B1593" i="5"/>
  <c r="B1578" i="5"/>
  <c r="B1571" i="5"/>
  <c r="B1564" i="5"/>
  <c r="B1557" i="5"/>
  <c r="B1550" i="5"/>
  <c r="B1542" i="5"/>
  <c r="B1534" i="5"/>
  <c r="B1526" i="5"/>
  <c r="B1518" i="5"/>
  <c r="B1510" i="5"/>
  <c r="B1495" i="5"/>
  <c r="B1480" i="5"/>
  <c r="B1465" i="5"/>
  <c r="B1450" i="5"/>
  <c r="B1435" i="5"/>
  <c r="B1420" i="5"/>
  <c r="B1405" i="5"/>
  <c r="B1398" i="5"/>
  <c r="B1392" i="5"/>
  <c r="B1386" i="5"/>
  <c r="B1380" i="5"/>
  <c r="B1373" i="5"/>
  <c r="B1367" i="5"/>
  <c r="B1361" i="5"/>
  <c r="B1354" i="5"/>
  <c r="B1348" i="5"/>
  <c r="B1341" i="5"/>
  <c r="B1335" i="5"/>
  <c r="B1329" i="5"/>
  <c r="B1323" i="5"/>
  <c r="B1317" i="5"/>
  <c r="B1308" i="5"/>
  <c r="B1300" i="5"/>
  <c r="B1293" i="5"/>
  <c r="B1286" i="5"/>
  <c r="B1279" i="5"/>
  <c r="B1272" i="5"/>
  <c r="B1266" i="5"/>
  <c r="B1259" i="5"/>
  <c r="B1252" i="5"/>
  <c r="B1245" i="5"/>
  <c r="B1239" i="5"/>
  <c r="B1233" i="5"/>
  <c r="B1227" i="5"/>
  <c r="B1221" i="5"/>
  <c r="B1214" i="5"/>
  <c r="B1207" i="5"/>
  <c r="B1200" i="5"/>
  <c r="B1193" i="5"/>
  <c r="B1186" i="5"/>
  <c r="B1179" i="5"/>
  <c r="B1172" i="5"/>
  <c r="B1165" i="5"/>
  <c r="B1158" i="5"/>
  <c r="B1151" i="5"/>
  <c r="B1144" i="5"/>
  <c r="B1137" i="5"/>
  <c r="B1132" i="5"/>
  <c r="B1126" i="5"/>
  <c r="B1121" i="5"/>
  <c r="B1116" i="5"/>
  <c r="B1108" i="5"/>
  <c r="B1098" i="5"/>
  <c r="B1090" i="5"/>
  <c r="B1082" i="5"/>
  <c r="B1073" i="5"/>
  <c r="B1066" i="5"/>
  <c r="B1059" i="5"/>
  <c r="B1052" i="5"/>
  <c r="B1045" i="5"/>
  <c r="B1036" i="5"/>
  <c r="B1026" i="5"/>
  <c r="B1021" i="5"/>
  <c r="B1012" i="5"/>
  <c r="B1007" i="5"/>
  <c r="B1002" i="5"/>
  <c r="B991" i="5"/>
  <c r="B980" i="5"/>
  <c r="B973" i="5"/>
  <c r="B966" i="5"/>
  <c r="B959" i="5"/>
  <c r="B953" i="5"/>
  <c r="B947" i="5"/>
  <c r="B938" i="5"/>
  <c r="B929" i="5"/>
  <c r="B922" i="5"/>
  <c r="B913" i="5"/>
  <c r="B907" i="5"/>
  <c r="B903" i="5"/>
  <c r="B896" i="5"/>
  <c r="B891" i="5"/>
  <c r="B883" i="5"/>
  <c r="B875" i="5"/>
  <c r="B867" i="5"/>
  <c r="B862" i="5"/>
  <c r="B856" i="5"/>
  <c r="B850" i="5"/>
  <c r="B845" i="5"/>
  <c r="B839" i="5"/>
  <c r="B832" i="5"/>
  <c r="B827" i="5"/>
  <c r="B823" i="5"/>
  <c r="B818" i="5"/>
  <c r="B814" i="5"/>
  <c r="B804" i="5"/>
  <c r="B790" i="5"/>
  <c r="B783" i="5"/>
  <c r="B772" i="5"/>
  <c r="B766" i="5"/>
  <c r="B755" i="5"/>
  <c r="B748" i="5"/>
  <c r="B744" i="5"/>
  <c r="B736" i="5"/>
  <c r="B730" i="5"/>
  <c r="B723" i="5"/>
  <c r="B714" i="5"/>
  <c r="B704" i="5"/>
  <c r="B696" i="5"/>
  <c r="B686" i="5"/>
  <c r="B676" i="5"/>
  <c r="B668" i="5"/>
  <c r="B664" i="5"/>
  <c r="B660" i="5"/>
  <c r="B656" i="5"/>
  <c r="B652" i="5"/>
  <c r="B648" i="5"/>
  <c r="B644" i="5"/>
  <c r="B637" i="5"/>
  <c r="B629" i="5"/>
  <c r="B621" i="5"/>
  <c r="B615" i="5"/>
  <c r="B606" i="5"/>
  <c r="B596" i="5"/>
  <c r="B588" i="5"/>
  <c r="B579" i="5"/>
  <c r="B569" i="5"/>
  <c r="B561" i="5"/>
  <c r="B553" i="5"/>
  <c r="B545" i="5"/>
  <c r="B537" i="5"/>
  <c r="B531" i="5"/>
  <c r="B524" i="5"/>
  <c r="B517" i="5"/>
  <c r="B511" i="5"/>
  <c r="B504" i="5"/>
  <c r="B497" i="5"/>
  <c r="B489" i="5"/>
  <c r="B483" i="5"/>
  <c r="B471" i="5"/>
  <c r="B464" i="5"/>
  <c r="B454" i="5"/>
  <c r="B446" i="5"/>
  <c r="B440" i="5"/>
  <c r="B434" i="5"/>
  <c r="B422" i="5"/>
  <c r="B415" i="5"/>
  <c r="B401" i="5"/>
  <c r="B394" i="5"/>
  <c r="B380" i="5"/>
  <c r="B371" i="5"/>
  <c r="B365" i="5"/>
  <c r="B351" i="5"/>
  <c r="B341" i="5"/>
  <c r="B326" i="5"/>
  <c r="B320" i="5"/>
  <c r="B305" i="5"/>
  <c r="B290" i="5"/>
  <c r="B283" i="5"/>
  <c r="B276" i="5"/>
  <c r="B268" i="5"/>
  <c r="B263" i="5"/>
  <c r="B248" i="5"/>
  <c r="B240" i="5"/>
  <c r="B236" i="5"/>
  <c r="B232" i="5"/>
  <c r="B228" i="5"/>
  <c r="B224" i="5"/>
  <c r="B219" i="5"/>
  <c r="B214" i="5"/>
  <c r="B210" i="5"/>
  <c r="B205" i="5"/>
  <c r="B201" i="5"/>
  <c r="B197" i="5"/>
  <c r="B190" i="5"/>
  <c r="B183" i="5"/>
  <c r="B179" i="5"/>
  <c r="B175" i="5"/>
  <c r="B171" i="5"/>
  <c r="B166" i="5"/>
  <c r="B161" i="5"/>
  <c r="B154" i="5"/>
  <c r="B149" i="5"/>
  <c r="B144" i="5"/>
  <c r="B139" i="5"/>
  <c r="B135" i="5"/>
  <c r="B131" i="5"/>
  <c r="B126" i="5"/>
  <c r="B121" i="5"/>
  <c r="B116" i="5"/>
  <c r="B111" i="5"/>
  <c r="B106" i="5"/>
  <c r="B102" i="5"/>
  <c r="B97" i="5"/>
  <c r="B92" i="5"/>
  <c r="B87" i="5"/>
  <c r="B82" i="5"/>
  <c r="B77" i="5"/>
  <c r="B69" i="5"/>
  <c r="B64" i="5"/>
  <c r="B59" i="5"/>
  <c r="B52" i="5"/>
  <c r="B47" i="5"/>
  <c r="B42" i="5"/>
  <c r="B37" i="5"/>
  <c r="B33" i="5"/>
  <c r="B28" i="5"/>
  <c r="B23" i="5"/>
  <c r="B18" i="5"/>
  <c r="B14" i="5"/>
  <c r="B10" i="5"/>
  <c r="B6" i="5"/>
  <c r="B17" i="9"/>
  <c r="G49" i="21"/>
  <c r="G48" i="21"/>
  <c r="G47" i="21"/>
  <c r="G46" i="21"/>
  <c r="G45" i="21"/>
  <c r="G44" i="21"/>
  <c r="G43" i="21"/>
  <c r="G42" i="21"/>
  <c r="G41" i="21"/>
  <c r="G40" i="21"/>
  <c r="G39" i="21"/>
  <c r="G38" i="21"/>
  <c r="G37" i="21"/>
  <c r="G36" i="21"/>
  <c r="G35" i="21"/>
  <c r="G34" i="21"/>
  <c r="G33" i="21"/>
  <c r="G32" i="21"/>
  <c r="G31" i="21"/>
  <c r="G30" i="21"/>
  <c r="G29" i="21"/>
  <c r="G28" i="21"/>
  <c r="G27" i="21"/>
  <c r="G26" i="21"/>
  <c r="G25" i="21"/>
  <c r="G24" i="21"/>
  <c r="G23" i="21"/>
  <c r="G22" i="21"/>
  <c r="G21" i="21"/>
  <c r="G20" i="21"/>
  <c r="G19" i="21"/>
  <c r="G18" i="21"/>
  <c r="G17" i="21"/>
  <c r="G16" i="21"/>
  <c r="G15" i="21"/>
  <c r="G14" i="21"/>
  <c r="G12" i="21"/>
  <c r="G11" i="21"/>
  <c r="G9" i="21"/>
  <c r="G8" i="21"/>
  <c r="G7" i="21"/>
  <c r="E17" i="9"/>
  <c r="G13" i="21"/>
  <c r="G7342" i="5"/>
  <c r="G7338" i="5"/>
  <c r="G7334" i="5"/>
  <c r="G7330" i="5"/>
  <c r="G7326" i="5"/>
  <c r="G7322" i="5"/>
  <c r="G7318" i="5"/>
  <c r="G7314" i="5"/>
  <c r="G7310" i="5"/>
  <c r="G7306" i="5"/>
  <c r="G7302" i="5"/>
  <c r="G7298" i="5"/>
  <c r="G7294" i="5"/>
  <c r="G7290" i="5"/>
  <c r="G7286" i="5"/>
  <c r="G7282" i="5"/>
  <c r="G7277" i="5"/>
  <c r="G7272" i="5"/>
  <c r="G7267" i="5"/>
  <c r="G7260" i="5"/>
  <c r="G7254" i="5"/>
  <c r="G7248" i="5"/>
  <c r="G7244" i="5"/>
  <c r="G7240" i="5"/>
  <c r="G7236" i="5"/>
  <c r="G7232" i="5"/>
  <c r="E7226" i="5"/>
  <c r="G7226" i="5"/>
  <c r="E7220" i="5"/>
  <c r="G7220" i="5"/>
  <c r="E7214" i="5"/>
  <c r="G7214" i="5"/>
  <c r="E7208" i="5"/>
  <c r="G7208" i="5"/>
  <c r="E7202" i="5"/>
  <c r="G7202" i="5"/>
  <c r="E7196" i="5"/>
  <c r="G7196" i="5"/>
  <c r="E7190" i="5"/>
  <c r="G7190" i="5"/>
  <c r="E7184" i="5"/>
  <c r="G7184" i="5"/>
  <c r="E7178" i="5"/>
  <c r="G7178" i="5"/>
  <c r="E7172" i="5"/>
  <c r="G7172" i="5"/>
  <c r="G7168" i="5"/>
  <c r="G7164" i="5"/>
  <c r="G7160" i="5"/>
  <c r="G7156" i="5"/>
  <c r="G7152" i="5"/>
  <c r="G7148" i="5"/>
  <c r="G7144" i="5"/>
  <c r="G7140" i="5"/>
  <c r="G7136" i="5"/>
  <c r="G7132" i="5"/>
  <c r="G7128" i="5"/>
  <c r="G7124" i="5"/>
  <c r="G7120" i="5"/>
  <c r="G7116" i="5"/>
  <c r="G7112" i="5"/>
  <c r="G7108" i="5"/>
  <c r="G7104" i="5"/>
  <c r="G7100" i="5"/>
  <c r="G7096" i="5"/>
  <c r="G7092" i="5"/>
  <c r="G7088" i="5"/>
  <c r="G7084" i="5"/>
  <c r="G7080" i="5"/>
  <c r="G7076" i="5"/>
  <c r="G7072" i="5"/>
  <c r="G7068" i="5"/>
  <c r="G7064" i="5"/>
  <c r="G7060" i="5"/>
  <c r="G7056" i="5"/>
  <c r="G7052" i="5"/>
  <c r="G7048" i="5"/>
  <c r="G7044" i="5"/>
  <c r="G7040" i="5"/>
  <c r="G7036" i="5"/>
  <c r="G7032" i="5"/>
  <c r="G7028" i="5"/>
  <c r="G7024" i="5"/>
  <c r="G7020" i="5"/>
  <c r="G7016" i="5"/>
  <c r="G7012" i="5"/>
  <c r="G7008" i="5"/>
  <c r="G7004" i="5"/>
  <c r="G7000" i="5"/>
  <c r="G6996" i="5"/>
  <c r="G6992" i="5"/>
  <c r="G6988" i="5"/>
  <c r="G6984" i="5"/>
  <c r="G6980" i="5"/>
  <c r="G6976" i="5"/>
  <c r="G6972" i="5"/>
  <c r="G6968" i="5"/>
  <c r="G6964" i="5"/>
  <c r="G6960" i="5"/>
  <c r="G6956" i="5"/>
  <c r="G6952" i="5"/>
  <c r="G6948" i="5"/>
  <c r="G6944" i="5"/>
  <c r="G6940" i="5"/>
  <c r="G6936" i="5"/>
  <c r="G6932" i="5"/>
  <c r="G6928" i="5"/>
  <c r="G6924" i="5"/>
  <c r="G6920" i="5"/>
  <c r="G6916" i="5"/>
  <c r="G6912" i="5"/>
  <c r="G6908" i="5"/>
  <c r="G6904" i="5"/>
  <c r="G6900" i="5"/>
  <c r="G6896" i="5"/>
  <c r="G6892" i="5"/>
  <c r="G6888" i="5"/>
  <c r="G6884" i="5"/>
  <c r="G6880" i="5"/>
  <c r="G6876" i="5"/>
  <c r="G6872" i="5"/>
  <c r="G6868" i="5"/>
  <c r="G6864" i="5"/>
  <c r="G6860" i="5"/>
  <c r="G6856" i="5"/>
  <c r="G6852" i="5"/>
  <c r="G6848" i="5"/>
  <c r="G6844" i="5"/>
  <c r="G6840" i="5"/>
  <c r="G6836" i="5"/>
  <c r="G6832" i="5"/>
  <c r="G6828" i="5"/>
  <c r="G6824" i="5"/>
  <c r="G6820" i="5"/>
  <c r="G6816" i="5"/>
  <c r="G6812" i="5"/>
  <c r="G6808" i="5"/>
  <c r="G6804" i="5"/>
  <c r="G6800" i="5"/>
  <c r="G6796" i="5"/>
  <c r="G6792" i="5"/>
  <c r="G6788" i="5"/>
  <c r="G6784" i="5"/>
  <c r="G6780" i="5"/>
  <c r="G6776" i="5"/>
  <c r="G6772" i="5"/>
  <c r="G6768" i="5"/>
  <c r="G6764" i="5"/>
  <c r="G6760" i="5"/>
  <c r="G6756" i="5"/>
  <c r="G6752" i="5"/>
  <c r="G6748" i="5"/>
  <c r="G6744" i="5"/>
  <c r="G6740" i="5"/>
  <c r="G6736" i="5"/>
  <c r="G6732" i="5"/>
  <c r="G6728" i="5"/>
  <c r="G6724" i="5"/>
  <c r="G6720" i="5"/>
  <c r="G6716" i="5"/>
  <c r="G6712" i="5"/>
  <c r="G6708" i="5"/>
  <c r="G6704" i="5"/>
  <c r="G6700" i="5"/>
  <c r="G6696" i="5"/>
  <c r="G6692" i="5"/>
  <c r="G6688" i="5"/>
  <c r="G6684" i="5"/>
  <c r="G6680" i="5"/>
  <c r="G6676" i="5"/>
  <c r="G6672" i="5"/>
  <c r="G6668" i="5"/>
  <c r="G6664" i="5"/>
  <c r="G6660" i="5"/>
  <c r="G6656" i="5"/>
  <c r="G6652" i="5"/>
  <c r="G6648" i="5"/>
  <c r="G6644" i="5"/>
  <c r="G6640" i="5"/>
  <c r="G6636" i="5"/>
  <c r="G6632" i="5"/>
  <c r="G6628" i="5"/>
  <c r="G6624" i="5"/>
  <c r="G6620" i="5"/>
  <c r="G6616" i="5"/>
  <c r="G6612" i="5"/>
  <c r="G6608" i="5"/>
  <c r="G6604" i="5"/>
  <c r="G6600" i="5"/>
  <c r="G6596" i="5"/>
  <c r="G6592" i="5"/>
  <c r="G6588" i="5"/>
  <c r="G6584" i="5"/>
  <c r="G6580" i="5"/>
  <c r="G6576" i="5"/>
  <c r="G6572" i="5"/>
  <c r="G6568" i="5"/>
  <c r="G6564" i="5"/>
  <c r="G6560" i="5"/>
  <c r="G6556" i="5"/>
  <c r="G6552" i="5"/>
  <c r="G6548" i="5"/>
  <c r="G6544" i="5"/>
  <c r="G6540" i="5"/>
  <c r="G6536" i="5"/>
  <c r="G6532" i="5"/>
  <c r="G6528" i="5"/>
  <c r="G6524" i="5"/>
  <c r="G6520" i="5"/>
  <c r="G6516" i="5"/>
  <c r="G6512" i="5"/>
  <c r="G6505" i="5"/>
  <c r="G6498" i="5"/>
  <c r="G6491" i="5"/>
  <c r="G6484" i="5"/>
  <c r="G6477" i="5"/>
  <c r="G6468" i="5"/>
  <c r="G6463" i="5"/>
  <c r="G6456" i="5"/>
  <c r="G6451" i="5"/>
  <c r="G6446" i="5"/>
  <c r="G6441" i="5"/>
  <c r="E6437" i="5"/>
  <c r="G6437" i="5"/>
  <c r="G6433" i="5"/>
  <c r="G6428" i="5"/>
  <c r="G6424" i="5"/>
  <c r="G6417" i="5"/>
  <c r="G6411" i="5"/>
  <c r="G6404" i="5"/>
  <c r="G6389" i="5"/>
  <c r="G6375" i="5"/>
  <c r="G6370" i="5"/>
  <c r="G6361" i="5"/>
  <c r="G6351" i="5"/>
  <c r="G6327" i="5"/>
  <c r="G6316" i="5"/>
  <c r="G6307" i="5"/>
  <c r="G6299" i="5"/>
  <c r="G6291" i="5"/>
  <c r="G6280" i="5"/>
  <c r="G6271" i="5"/>
  <c r="G6265" i="5"/>
  <c r="G6259" i="5"/>
  <c r="G6252" i="5"/>
  <c r="G6246" i="5"/>
  <c r="G6239" i="5"/>
  <c r="G6230" i="5"/>
  <c r="G6222" i="5"/>
  <c r="G6214" i="5"/>
  <c r="G6209" i="5"/>
  <c r="G6204" i="5"/>
  <c r="G6197" i="5"/>
  <c r="G6186" i="5"/>
  <c r="E6175" i="5"/>
  <c r="G6175" i="5"/>
  <c r="G6171" i="5"/>
  <c r="G6167" i="5"/>
  <c r="G6163" i="5"/>
  <c r="G6155" i="5"/>
  <c r="E6151" i="5"/>
  <c r="G6151" i="5"/>
  <c r="G6147" i="5"/>
  <c r="G6143" i="5"/>
  <c r="G6139" i="5"/>
  <c r="G6135" i="5"/>
  <c r="G6131" i="5"/>
  <c r="G6127" i="5"/>
  <c r="G6123" i="5"/>
  <c r="G6119" i="5"/>
  <c r="G6115" i="5"/>
  <c r="G6111" i="5"/>
  <c r="G6107" i="5"/>
  <c r="G6103" i="5"/>
  <c r="G6099" i="5"/>
  <c r="G6095" i="5"/>
  <c r="G6091" i="5"/>
  <c r="G6079" i="5"/>
  <c r="G6083" i="5"/>
  <c r="G6075" i="5"/>
  <c r="G6071" i="5"/>
  <c r="G6067" i="5"/>
  <c r="G6063" i="5"/>
  <c r="G6059" i="5"/>
  <c r="G6055" i="5"/>
  <c r="G6051" i="5"/>
  <c r="G6047" i="5"/>
  <c r="G6043" i="5"/>
  <c r="G6039" i="5"/>
  <c r="G6035" i="5"/>
  <c r="G6031" i="5"/>
  <c r="G6027" i="5"/>
  <c r="G6023" i="5"/>
  <c r="G6019" i="5"/>
  <c r="G6015" i="5"/>
  <c r="G6011" i="5"/>
  <c r="G6007" i="5"/>
  <c r="G6003" i="5"/>
  <c r="G5999" i="5"/>
  <c r="G5995" i="5"/>
  <c r="G5991" i="5"/>
  <c r="G5987" i="5"/>
  <c r="G5983" i="5"/>
  <c r="G5979" i="5"/>
  <c r="G5975" i="5"/>
  <c r="G5971" i="5"/>
  <c r="G5967" i="5"/>
  <c r="G5963" i="5"/>
  <c r="G5959" i="5"/>
  <c r="G5955" i="5"/>
  <c r="G5951" i="5"/>
  <c r="G5947" i="5"/>
  <c r="G5943" i="5"/>
  <c r="G5939" i="5"/>
  <c r="G5935" i="5"/>
  <c r="G5931" i="5"/>
  <c r="G5927" i="5"/>
  <c r="G5923" i="5"/>
  <c r="G5919" i="5"/>
  <c r="G5915" i="5"/>
  <c r="G5911" i="5"/>
  <c r="G5907" i="5"/>
  <c r="G5903" i="5"/>
  <c r="G5899" i="5"/>
  <c r="G5895" i="5"/>
  <c r="G5891" i="5"/>
  <c r="G5887" i="5"/>
  <c r="G5883" i="5"/>
  <c r="G5879" i="5"/>
  <c r="G5875" i="5"/>
  <c r="G5871" i="5"/>
  <c r="G5867" i="5"/>
  <c r="G5863" i="5"/>
  <c r="G5859" i="5"/>
  <c r="G5855" i="5"/>
  <c r="G5851" i="5"/>
  <c r="G5847" i="5"/>
  <c r="G5843" i="5"/>
  <c r="G5839" i="5"/>
  <c r="G5835" i="5"/>
  <c r="G5831" i="5"/>
  <c r="G5827" i="5"/>
  <c r="G5823" i="5"/>
  <c r="G5819" i="5"/>
  <c r="G5815" i="5"/>
  <c r="G5811" i="5"/>
  <c r="G5807" i="5"/>
  <c r="G5803" i="5"/>
  <c r="G5799" i="5"/>
  <c r="G5795" i="5"/>
  <c r="G5791" i="5"/>
  <c r="G5787" i="5"/>
  <c r="G5783" i="5"/>
  <c r="G5779" i="5"/>
  <c r="G5775" i="5"/>
  <c r="G5771" i="5"/>
  <c r="G5767" i="5"/>
  <c r="G5763" i="5"/>
  <c r="G5759" i="5"/>
  <c r="G5755" i="5"/>
  <c r="G5751" i="5"/>
  <c r="G5747" i="5"/>
  <c r="G5743" i="5"/>
  <c r="G5739" i="5"/>
  <c r="G5735" i="5"/>
  <c r="G5731" i="5"/>
  <c r="G5727" i="5"/>
  <c r="G5723" i="5"/>
  <c r="G5719" i="5"/>
  <c r="G5715" i="5"/>
  <c r="G5711" i="5"/>
  <c r="G5707" i="5"/>
  <c r="G5703" i="5"/>
  <c r="G5699" i="5"/>
  <c r="G5695" i="5"/>
  <c r="G5691" i="5"/>
  <c r="G5687" i="5"/>
  <c r="G5683" i="5"/>
  <c r="G5679" i="5"/>
  <c r="G5675" i="5"/>
  <c r="G5671" i="5"/>
  <c r="G5667" i="5"/>
  <c r="G5663" i="5"/>
  <c r="G5659" i="5"/>
  <c r="G5655" i="5"/>
  <c r="G5651" i="5"/>
  <c r="G5647" i="5"/>
  <c r="G5643" i="5"/>
  <c r="G5639" i="5"/>
  <c r="G5635" i="5"/>
  <c r="E5629" i="5"/>
  <c r="G5629" i="5"/>
  <c r="E5623" i="5"/>
  <c r="G5623" i="5"/>
  <c r="E5617" i="5"/>
  <c r="G5617" i="5"/>
  <c r="E5611" i="5"/>
  <c r="G5611" i="5"/>
  <c r="E5605" i="5"/>
  <c r="G5605" i="5"/>
  <c r="E5599" i="5"/>
  <c r="G5599" i="5"/>
  <c r="E5593" i="5"/>
  <c r="G5593" i="5"/>
  <c r="E5587" i="5"/>
  <c r="G5587" i="5"/>
  <c r="E5581" i="5"/>
  <c r="G5581" i="5"/>
  <c r="E5575" i="5"/>
  <c r="G5575" i="5"/>
  <c r="E5569" i="5"/>
  <c r="G5569" i="5"/>
  <c r="E5563" i="5"/>
  <c r="G5563" i="5"/>
  <c r="E5557" i="5"/>
  <c r="G5557" i="5"/>
  <c r="E5551" i="5"/>
  <c r="G5551" i="5"/>
  <c r="E5545" i="5"/>
  <c r="G5545" i="5"/>
  <c r="E5539" i="5"/>
  <c r="G5539" i="5"/>
  <c r="E5533" i="5"/>
  <c r="G5533" i="5"/>
  <c r="E5527" i="5"/>
  <c r="G5527" i="5"/>
  <c r="E5521" i="5"/>
  <c r="G5521" i="5"/>
  <c r="E5515" i="5"/>
  <c r="G5515" i="5"/>
  <c r="G5511" i="5"/>
  <c r="G5504" i="5"/>
  <c r="G5500" i="5"/>
  <c r="G5494" i="5"/>
  <c r="G5475" i="5"/>
  <c r="G5469" i="5"/>
  <c r="G5463" i="5"/>
  <c r="E5451" i="5"/>
  <c r="G5451" i="5"/>
  <c r="E5441" i="5"/>
  <c r="G5420" i="5"/>
  <c r="G5412" i="5"/>
  <c r="G5404" i="5"/>
  <c r="G5398" i="5"/>
  <c r="G5392" i="5"/>
  <c r="E5385" i="5"/>
  <c r="G5385" i="5"/>
  <c r="G5379" i="5"/>
  <c r="G5373" i="5"/>
  <c r="G5366" i="5"/>
  <c r="G5359" i="5"/>
  <c r="G5352" i="5"/>
  <c r="G5346" i="5"/>
  <c r="G5340" i="5"/>
  <c r="G5334" i="5"/>
  <c r="G5328" i="5"/>
  <c r="G5322" i="5"/>
  <c r="G5316" i="5"/>
  <c r="G5310" i="5"/>
  <c r="G5303" i="5"/>
  <c r="G5289" i="5"/>
  <c r="E5277" i="5"/>
  <c r="G5277" i="5"/>
  <c r="G5270" i="5"/>
  <c r="G5264" i="5"/>
  <c r="G5258" i="5"/>
  <c r="G5251" i="5"/>
  <c r="G5244" i="5"/>
  <c r="G5229" i="5"/>
  <c r="G5214" i="5"/>
  <c r="E5206" i="5"/>
  <c r="G5206" i="5"/>
  <c r="E5198" i="5"/>
  <c r="G5198" i="5"/>
  <c r="G5190" i="5"/>
  <c r="G5184" i="5"/>
  <c r="E5176" i="5"/>
  <c r="G5176" i="5"/>
  <c r="G5170" i="5"/>
  <c r="E5162" i="5"/>
  <c r="G5162" i="5"/>
  <c r="E5154" i="5"/>
  <c r="G5154" i="5"/>
  <c r="E5146" i="5"/>
  <c r="G5146" i="5"/>
  <c r="E5138" i="5"/>
  <c r="G5138" i="5"/>
  <c r="G5132" i="5"/>
  <c r="E5121" i="5"/>
  <c r="G5121" i="5"/>
  <c r="E5114" i="5"/>
  <c r="G5114" i="5"/>
  <c r="G5107" i="5"/>
  <c r="G5101" i="5"/>
  <c r="G5095" i="5"/>
  <c r="G5089" i="5"/>
  <c r="G5083" i="5"/>
  <c r="G5075" i="5"/>
  <c r="G5068" i="5"/>
  <c r="G5061" i="5"/>
  <c r="G5053" i="5"/>
  <c r="G5047" i="5"/>
  <c r="G5041" i="5"/>
  <c r="G5037" i="5"/>
  <c r="G5031" i="5"/>
  <c r="G5023" i="5"/>
  <c r="G5018" i="5"/>
  <c r="E5011" i="5"/>
  <c r="G5011" i="5"/>
  <c r="G5005" i="5"/>
  <c r="G4999" i="5"/>
  <c r="G4993" i="5"/>
  <c r="G4987" i="5"/>
  <c r="G4982" i="5"/>
  <c r="G4975" i="5"/>
  <c r="G4968" i="5"/>
  <c r="G4961" i="5"/>
  <c r="G4954" i="5"/>
  <c r="G4949" i="5"/>
  <c r="G4942" i="5"/>
  <c r="G4935" i="5"/>
  <c r="G4928" i="5"/>
  <c r="G4921" i="5"/>
  <c r="G4914" i="5"/>
  <c r="G4905" i="5"/>
  <c r="G4895" i="5"/>
  <c r="G4887" i="5"/>
  <c r="G4879" i="5"/>
  <c r="G4871" i="5"/>
  <c r="G4863" i="5"/>
  <c r="G4855" i="5"/>
  <c r="G4847" i="5"/>
  <c r="G4839" i="5"/>
  <c r="G4831" i="5"/>
  <c r="G4826" i="5"/>
  <c r="G4821" i="5"/>
  <c r="G4816" i="5"/>
  <c r="E4806" i="5"/>
  <c r="G4806" i="5"/>
  <c r="E4796" i="5"/>
  <c r="G4796" i="5"/>
  <c r="G4791" i="5"/>
  <c r="G4780" i="5"/>
  <c r="G4776" i="5"/>
  <c r="G4772" i="5"/>
  <c r="G4768" i="5"/>
  <c r="G4764" i="5"/>
  <c r="G4760" i="5"/>
  <c r="G4756" i="5"/>
  <c r="G4752" i="5"/>
  <c r="G4748" i="5"/>
  <c r="E4744" i="5"/>
  <c r="G4744" i="5"/>
  <c r="G4736" i="5"/>
  <c r="G4730" i="5"/>
  <c r="G4726" i="5"/>
  <c r="G4714" i="5"/>
  <c r="G4705" i="5"/>
  <c r="G4697" i="5"/>
  <c r="G4691" i="5"/>
  <c r="G4681" i="5"/>
  <c r="G4673" i="5"/>
  <c r="G4665" i="5"/>
  <c r="G4659" i="5"/>
  <c r="G4651" i="5"/>
  <c r="G4639" i="5"/>
  <c r="G4633" i="5"/>
  <c r="G4625" i="5"/>
  <c r="G4616" i="5"/>
  <c r="E4608" i="5"/>
  <c r="G4608" i="5"/>
  <c r="G4589" i="5"/>
  <c r="E4577" i="5"/>
  <c r="G4577" i="5"/>
  <c r="G4565" i="5"/>
  <c r="G4559" i="5"/>
  <c r="G4554" i="5"/>
  <c r="G4546" i="5"/>
  <c r="G4538" i="5"/>
  <c r="G4533" i="5"/>
  <c r="G4528" i="5"/>
  <c r="G4522" i="5"/>
  <c r="G4514" i="5"/>
  <c r="G4506" i="5"/>
  <c r="G4486" i="5"/>
  <c r="G4480" i="5"/>
  <c r="G4468" i="5"/>
  <c r="G4456" i="5"/>
  <c r="G4448" i="5"/>
  <c r="G4438" i="5"/>
  <c r="G4428" i="5"/>
  <c r="G4418" i="5"/>
  <c r="E4410" i="5"/>
  <c r="G4410" i="5"/>
  <c r="E4402" i="5"/>
  <c r="G4402" i="5"/>
  <c r="G4392" i="5"/>
  <c r="G4383" i="5"/>
  <c r="G4374" i="5"/>
  <c r="G4365" i="5"/>
  <c r="G4356" i="5"/>
  <c r="G4345" i="5"/>
  <c r="E4338" i="5"/>
  <c r="G4338" i="5"/>
  <c r="G4295" i="5"/>
  <c r="E4286" i="5"/>
  <c r="G4286" i="5"/>
  <c r="G4278" i="5"/>
  <c r="G4273" i="5"/>
  <c r="G4266" i="5"/>
  <c r="G4257" i="5"/>
  <c r="G4249" i="5"/>
  <c r="E4241" i="5"/>
  <c r="G4241" i="5"/>
  <c r="G4235" i="5"/>
  <c r="G4225" i="5"/>
  <c r="G4219" i="5"/>
  <c r="G4213" i="5"/>
  <c r="G4207" i="5"/>
  <c r="G4200" i="5"/>
  <c r="G4193" i="5"/>
  <c r="G4189" i="5"/>
  <c r="G4178" i="5"/>
  <c r="G4167" i="5"/>
  <c r="G4160" i="5"/>
  <c r="G4156" i="5"/>
  <c r="G4148" i="5"/>
  <c r="G4140" i="5"/>
  <c r="G4132" i="5"/>
  <c r="G4125" i="5"/>
  <c r="E4121" i="5"/>
  <c r="G4121" i="5"/>
  <c r="E4115" i="5"/>
  <c r="G4115" i="5"/>
  <c r="G4108" i="5"/>
  <c r="G4102" i="5"/>
  <c r="G4096" i="5"/>
  <c r="G4087" i="5"/>
  <c r="G4078" i="5"/>
  <c r="G4069" i="5"/>
  <c r="G4060" i="5"/>
  <c r="G4051" i="5"/>
  <c r="G4042" i="5"/>
  <c r="G4038" i="5"/>
  <c r="G4034" i="5"/>
  <c r="E4029" i="5"/>
  <c r="G4029" i="5"/>
  <c r="G4016" i="5"/>
  <c r="G3995" i="5"/>
  <c r="G3988" i="5"/>
  <c r="G3978" i="5"/>
  <c r="G3970" i="5"/>
  <c r="G3961" i="5"/>
  <c r="G3954" i="5"/>
  <c r="G3948" i="5"/>
  <c r="G3940" i="5"/>
  <c r="G3909" i="5"/>
  <c r="G3894" i="5"/>
  <c r="G3882" i="5"/>
  <c r="G3874" i="5"/>
  <c r="G3865" i="5"/>
  <c r="E3855" i="5"/>
  <c r="G3855" i="5"/>
  <c r="G3844" i="5"/>
  <c r="E3839" i="5"/>
  <c r="G3839" i="5"/>
  <c r="E3833" i="5"/>
  <c r="G3833" i="5"/>
  <c r="E3827" i="5"/>
  <c r="G3827" i="5"/>
  <c r="E3821" i="5"/>
  <c r="G3821" i="5"/>
  <c r="E3815" i="5"/>
  <c r="G3815" i="5"/>
  <c r="E3809" i="5"/>
  <c r="G3809" i="5"/>
  <c r="E3803" i="5"/>
  <c r="G3803" i="5"/>
  <c r="E3797" i="5"/>
  <c r="G3797" i="5"/>
  <c r="E3791" i="5"/>
  <c r="G3791" i="5"/>
  <c r="E3785" i="5"/>
  <c r="G3785" i="5"/>
  <c r="E3779" i="5"/>
  <c r="G3779" i="5"/>
  <c r="G3775" i="5"/>
  <c r="G3771" i="5"/>
  <c r="G3767" i="5"/>
  <c r="G3760" i="5"/>
  <c r="G3751" i="5"/>
  <c r="G3746" i="5"/>
  <c r="G3736" i="5"/>
  <c r="G3732" i="5"/>
  <c r="E3721" i="5"/>
  <c r="G3721" i="5"/>
  <c r="G3708" i="5"/>
  <c r="G3696" i="5"/>
  <c r="E3688" i="5"/>
  <c r="G3688" i="5"/>
  <c r="G3667" i="5"/>
  <c r="G3663" i="5"/>
  <c r="G3655" i="5"/>
  <c r="G3650" i="5"/>
  <c r="G3645" i="5"/>
  <c r="G3635" i="5"/>
  <c r="G3622" i="5"/>
  <c r="G3616" i="5"/>
  <c r="G3608" i="5"/>
  <c r="G3603" i="5"/>
  <c r="G3596" i="5"/>
  <c r="G3588" i="5"/>
  <c r="G3582" i="5"/>
  <c r="G3576" i="5"/>
  <c r="E3560" i="5"/>
  <c r="G3560" i="5"/>
  <c r="G3553" i="5"/>
  <c r="G3544" i="5"/>
  <c r="G3534" i="5"/>
  <c r="G3517" i="5"/>
  <c r="G3509" i="5"/>
  <c r="G3492" i="5"/>
  <c r="G3484" i="5"/>
  <c r="E3473" i="5"/>
  <c r="G3473" i="5"/>
  <c r="E3462" i="5"/>
  <c r="G3462" i="5"/>
  <c r="E3452" i="5"/>
  <c r="G3452" i="5"/>
  <c r="G3448" i="5"/>
  <c r="G3444" i="5"/>
  <c r="G3439" i="5"/>
  <c r="G3434" i="5"/>
  <c r="G3429" i="5"/>
  <c r="G3422" i="5"/>
  <c r="G3415" i="5"/>
  <c r="G3408" i="5"/>
  <c r="G3404" i="5"/>
  <c r="G3400" i="5"/>
  <c r="G3395" i="5"/>
  <c r="G3391" i="5"/>
  <c r="G3387" i="5"/>
  <c r="G3380" i="5"/>
  <c r="G3373" i="5"/>
  <c r="G3366" i="5"/>
  <c r="G3361" i="5"/>
  <c r="G3352" i="5"/>
  <c r="G3346" i="5"/>
  <c r="G3340" i="5"/>
  <c r="G3333" i="5"/>
  <c r="G3326" i="5"/>
  <c r="G3319" i="5"/>
  <c r="G3312" i="5"/>
  <c r="G3305" i="5"/>
  <c r="G3298" i="5"/>
  <c r="G3291" i="5"/>
  <c r="G3277" i="5"/>
  <c r="G3270" i="5"/>
  <c r="G3265" i="5"/>
  <c r="G3255" i="5"/>
  <c r="G3249" i="5"/>
  <c r="G3243" i="5"/>
  <c r="G3237" i="5"/>
  <c r="G3224" i="5"/>
  <c r="G3208" i="5"/>
  <c r="G3200" i="5"/>
  <c r="G3192" i="5"/>
  <c r="G3183" i="5"/>
  <c r="G3178" i="5"/>
  <c r="G3172" i="5"/>
  <c r="G3167" i="5"/>
  <c r="G3161" i="5"/>
  <c r="G3155" i="5"/>
  <c r="G3149" i="5"/>
  <c r="G3143" i="5"/>
  <c r="G3138" i="5"/>
  <c r="G3133" i="5"/>
  <c r="G3128" i="5"/>
  <c r="G3123" i="5"/>
  <c r="G3118" i="5"/>
  <c r="G3113" i="5"/>
  <c r="G3108" i="5"/>
  <c r="G3103" i="5"/>
  <c r="G3098" i="5"/>
  <c r="G3090" i="5"/>
  <c r="G3085" i="5"/>
  <c r="G3077" i="5"/>
  <c r="G3073" i="5"/>
  <c r="G3065" i="5"/>
  <c r="G3060" i="5"/>
  <c r="G3052" i="5"/>
  <c r="G3047" i="5"/>
  <c r="G3042" i="5"/>
  <c r="G3037" i="5"/>
  <c r="G3032" i="5"/>
  <c r="G3027" i="5"/>
  <c r="G3022" i="5"/>
  <c r="G3017" i="5"/>
  <c r="G3012" i="5"/>
  <c r="G3007" i="5"/>
  <c r="G2997" i="5"/>
  <c r="G2992" i="5"/>
  <c r="G2987" i="5"/>
  <c r="G2982" i="5"/>
  <c r="G2977" i="5"/>
  <c r="G2972" i="5"/>
  <c r="G2967" i="5"/>
  <c r="G2962" i="5"/>
  <c r="G2957" i="5"/>
  <c r="G2952" i="5"/>
  <c r="G2947" i="5"/>
  <c r="G2939" i="5"/>
  <c r="G2931" i="5"/>
  <c r="G2923" i="5"/>
  <c r="G2915" i="5"/>
  <c r="G2907" i="5"/>
  <c r="G2902" i="5"/>
  <c r="G2897" i="5"/>
  <c r="G2892" i="5"/>
  <c r="G2885" i="5"/>
  <c r="G2880" i="5"/>
  <c r="G2875" i="5"/>
  <c r="G2870" i="5"/>
  <c r="G2865" i="5"/>
  <c r="G2860" i="5"/>
  <c r="G2855" i="5"/>
  <c r="G2850" i="5"/>
  <c r="G2845" i="5"/>
  <c r="G2838" i="5"/>
  <c r="G2833" i="5"/>
  <c r="G2828" i="5"/>
  <c r="G2823" i="5"/>
  <c r="G2813" i="5"/>
  <c r="G2808" i="5"/>
  <c r="G2803" i="5"/>
  <c r="G2797" i="5"/>
  <c r="G2787" i="5"/>
  <c r="G2782" i="5"/>
  <c r="G2778" i="5"/>
  <c r="G2774" i="5"/>
  <c r="G2770" i="5"/>
  <c r="G2766" i="5"/>
  <c r="G2762" i="5"/>
  <c r="G2758" i="5"/>
  <c r="G2754" i="5"/>
  <c r="G2750" i="5"/>
  <c r="G2746" i="5"/>
  <c r="G2742" i="5"/>
  <c r="G2738" i="5"/>
  <c r="G2734" i="5"/>
  <c r="G2730" i="5"/>
  <c r="G2726" i="5"/>
  <c r="E2720" i="5"/>
  <c r="G2720" i="5"/>
  <c r="E2714" i="5"/>
  <c r="G2714" i="5"/>
  <c r="E2708" i="5"/>
  <c r="G2708" i="5"/>
  <c r="E2702" i="5"/>
  <c r="G2702" i="5"/>
  <c r="E2696" i="5"/>
  <c r="G2696" i="5"/>
  <c r="E2690" i="5"/>
  <c r="G2690" i="5"/>
  <c r="E2684" i="5"/>
  <c r="G2684" i="5"/>
  <c r="E2678" i="5"/>
  <c r="G2678" i="5"/>
  <c r="E2672" i="5"/>
  <c r="G2672" i="5"/>
  <c r="E2666" i="5"/>
  <c r="G2666" i="5"/>
  <c r="G2662" i="5"/>
  <c r="G2658" i="5"/>
  <c r="G2654" i="5"/>
  <c r="G2650" i="5"/>
  <c r="G2646" i="5"/>
  <c r="G2642" i="5"/>
  <c r="G2638" i="5"/>
  <c r="G2634" i="5"/>
  <c r="G2630" i="5"/>
  <c r="G2626" i="5"/>
  <c r="G2622" i="5"/>
  <c r="G2618" i="5"/>
  <c r="G2614" i="5"/>
  <c r="G2610" i="5"/>
  <c r="G2606" i="5"/>
  <c r="G2598" i="5"/>
  <c r="G2590" i="5"/>
  <c r="G2582" i="5"/>
  <c r="G2578" i="5"/>
  <c r="G2574" i="5"/>
  <c r="G2570" i="5"/>
  <c r="G2566" i="5"/>
  <c r="G2562" i="5"/>
  <c r="G2558" i="5"/>
  <c r="G2554" i="5"/>
  <c r="G2550" i="5"/>
  <c r="G2546" i="5"/>
  <c r="G2542" i="5"/>
  <c r="G2538" i="5"/>
  <c r="G2534" i="5"/>
  <c r="G2530" i="5"/>
  <c r="G2526" i="5"/>
  <c r="G2522" i="5"/>
  <c r="G2518" i="5"/>
  <c r="G2514" i="5"/>
  <c r="G2510" i="5"/>
  <c r="G2506" i="5"/>
  <c r="G2502" i="5"/>
  <c r="G2498" i="5"/>
  <c r="G2494" i="5"/>
  <c r="G2490" i="5"/>
  <c r="G2486" i="5"/>
  <c r="G2482" i="5"/>
  <c r="G2478" i="5"/>
  <c r="G2474" i="5"/>
  <c r="G2470" i="5"/>
  <c r="G2466" i="5"/>
  <c r="E2462" i="5"/>
  <c r="G2462" i="5"/>
  <c r="G2458" i="5"/>
  <c r="G2454" i="5"/>
  <c r="G2450" i="5"/>
  <c r="G2446" i="5"/>
  <c r="G2442" i="5"/>
  <c r="G2438" i="5"/>
  <c r="G2434" i="5"/>
  <c r="G2430" i="5"/>
  <c r="G2426" i="5"/>
  <c r="G2422" i="5"/>
  <c r="G2418" i="5"/>
  <c r="G2414" i="5"/>
  <c r="G2410" i="5"/>
  <c r="G2406" i="5"/>
  <c r="G2400" i="5"/>
  <c r="G2393" i="5"/>
  <c r="G2387" i="5"/>
  <c r="E2380" i="5"/>
  <c r="G2380" i="5"/>
  <c r="G2372" i="5"/>
  <c r="G2366" i="5"/>
  <c r="E2361" i="5"/>
  <c r="G2361" i="5"/>
  <c r="G2356" i="5"/>
  <c r="G2351" i="5"/>
  <c r="G2345" i="5"/>
  <c r="G2339" i="5"/>
  <c r="G2333" i="5"/>
  <c r="G2327" i="5"/>
  <c r="G2320" i="5"/>
  <c r="G2313" i="5"/>
  <c r="G2303" i="5"/>
  <c r="G2293" i="5"/>
  <c r="G2283" i="5"/>
  <c r="G2273" i="5"/>
  <c r="G2263" i="5"/>
  <c r="G2257" i="5"/>
  <c r="G2243" i="5"/>
  <c r="G2237" i="5"/>
  <c r="G2231" i="5"/>
  <c r="G2224" i="5"/>
  <c r="G2217" i="5"/>
  <c r="G2212" i="5"/>
  <c r="G2204" i="5"/>
  <c r="G2196" i="5"/>
  <c r="G2188" i="5"/>
  <c r="G2180" i="5"/>
  <c r="G2172" i="5"/>
  <c r="G2164" i="5"/>
  <c r="G2156" i="5"/>
  <c r="G2148" i="5"/>
  <c r="G2142" i="5"/>
  <c r="G2136" i="5"/>
  <c r="G2130" i="5"/>
  <c r="G2124" i="5"/>
  <c r="G2118" i="5"/>
  <c r="G2110" i="5"/>
  <c r="G2102" i="5"/>
  <c r="G2094" i="5"/>
  <c r="G2086" i="5"/>
  <c r="G2078" i="5"/>
  <c r="G2070" i="5"/>
  <c r="G2062" i="5"/>
  <c r="G2054" i="5"/>
  <c r="G2046" i="5"/>
  <c r="G2038" i="5"/>
  <c r="G2030" i="5"/>
  <c r="G2024" i="5"/>
  <c r="G2017" i="5"/>
  <c r="G2010" i="5"/>
  <c r="G2003" i="5"/>
  <c r="G1996" i="5"/>
  <c r="G1988" i="5"/>
  <c r="G1980" i="5"/>
  <c r="G1973" i="5"/>
  <c r="G1966" i="5"/>
  <c r="G1960" i="5"/>
  <c r="G1954" i="5"/>
  <c r="G1947" i="5"/>
  <c r="G1942" i="5"/>
  <c r="G1937" i="5"/>
  <c r="G1931" i="5"/>
  <c r="G1926" i="5"/>
  <c r="G1921" i="5"/>
  <c r="G1916" i="5"/>
  <c r="G1910" i="5"/>
  <c r="G1904" i="5"/>
  <c r="G1898" i="5"/>
  <c r="G1892" i="5"/>
  <c r="G1886" i="5"/>
  <c r="G1880" i="5"/>
  <c r="G1874" i="5"/>
  <c r="G1868" i="5"/>
  <c r="G1862" i="5"/>
  <c r="G1856" i="5"/>
  <c r="G1850" i="5"/>
  <c r="G1844" i="5"/>
  <c r="G1837" i="5"/>
  <c r="G1831" i="5"/>
  <c r="G1825" i="5"/>
  <c r="G1820" i="5"/>
  <c r="G1815" i="5"/>
  <c r="G1808" i="5"/>
  <c r="G1794" i="5"/>
  <c r="G1787" i="5"/>
  <c r="G1780" i="5"/>
  <c r="G1773" i="5"/>
  <c r="G1748" i="5"/>
  <c r="G1737" i="5"/>
  <c r="G1726" i="5"/>
  <c r="G1715" i="5"/>
  <c r="G1707" i="5"/>
  <c r="G1701" i="5"/>
  <c r="G1694" i="5"/>
  <c r="G1687" i="5"/>
  <c r="G1681" i="5"/>
  <c r="G1676" i="5"/>
  <c r="G1671" i="5"/>
  <c r="G1666" i="5"/>
  <c r="E1660" i="5"/>
  <c r="G1660" i="5"/>
  <c r="G1654" i="5"/>
  <c r="G1648" i="5"/>
  <c r="G1642" i="5"/>
  <c r="G1637" i="5"/>
  <c r="G1631" i="5"/>
  <c r="G1625" i="5"/>
  <c r="G1620" i="5"/>
  <c r="E1613" i="5"/>
  <c r="G1613" i="5"/>
  <c r="G1607" i="5"/>
  <c r="G1601" i="5"/>
  <c r="G1595" i="5"/>
  <c r="G1580" i="5"/>
  <c r="G1573" i="5"/>
  <c r="G1566" i="5"/>
  <c r="G1559" i="5"/>
  <c r="G1552" i="5"/>
  <c r="G1544" i="5"/>
  <c r="G1536" i="5"/>
  <c r="G1528" i="5"/>
  <c r="G1520" i="5"/>
  <c r="G1512" i="5"/>
  <c r="G1497" i="5"/>
  <c r="G1482" i="5"/>
  <c r="G1467" i="5"/>
  <c r="G1452" i="5"/>
  <c r="G1437" i="5"/>
  <c r="G1422" i="5"/>
  <c r="G1407" i="5"/>
  <c r="G1400" i="5"/>
  <c r="G1394" i="5"/>
  <c r="G1388" i="5"/>
  <c r="G1382" i="5"/>
  <c r="G1375" i="5"/>
  <c r="G1369" i="5"/>
  <c r="G1363" i="5"/>
  <c r="G1356" i="5"/>
  <c r="G1350" i="5"/>
  <c r="G1343" i="5"/>
  <c r="G1337" i="5"/>
  <c r="G1331" i="5"/>
  <c r="G1325" i="5"/>
  <c r="G1319" i="5"/>
  <c r="G1310" i="5"/>
  <c r="G1302" i="5"/>
  <c r="G1295" i="5"/>
  <c r="G1288" i="5"/>
  <c r="G1281" i="5"/>
  <c r="G1274" i="5"/>
  <c r="G1268" i="5"/>
  <c r="G1261" i="5"/>
  <c r="G1254" i="5"/>
  <c r="G1247" i="5"/>
  <c r="G1241" i="5"/>
  <c r="G1235" i="5"/>
  <c r="G1229" i="5"/>
  <c r="G1223" i="5"/>
  <c r="G1216" i="5"/>
  <c r="G1209" i="5"/>
  <c r="G1202" i="5"/>
  <c r="G1195" i="5"/>
  <c r="G1188" i="5"/>
  <c r="G1181" i="5"/>
  <c r="G1174" i="5"/>
  <c r="G1167" i="5"/>
  <c r="G1160" i="5"/>
  <c r="G1153" i="5"/>
  <c r="G1146" i="5"/>
  <c r="G1139" i="5"/>
  <c r="G1134" i="5"/>
  <c r="G1128" i="5"/>
  <c r="G1123" i="5"/>
  <c r="G1118" i="5"/>
  <c r="G1110" i="5"/>
  <c r="G1100" i="5"/>
  <c r="G1092" i="5"/>
  <c r="G1084" i="5"/>
  <c r="G1075" i="5"/>
  <c r="G1068" i="5"/>
  <c r="G1061" i="5"/>
  <c r="G1054" i="5"/>
  <c r="G1047" i="5"/>
  <c r="G1038" i="5"/>
  <c r="G1028" i="5"/>
  <c r="G1023" i="5"/>
  <c r="G1014" i="5"/>
  <c r="G1009" i="5"/>
  <c r="G1004" i="5"/>
  <c r="G993" i="5"/>
  <c r="G982" i="5"/>
  <c r="G975" i="5"/>
  <c r="G968" i="5"/>
  <c r="G961" i="5"/>
  <c r="G955" i="5"/>
  <c r="G949" i="5"/>
  <c r="G940" i="5"/>
  <c r="G931" i="5"/>
  <c r="G924" i="5"/>
  <c r="G915" i="5"/>
  <c r="G909" i="5"/>
  <c r="E905" i="5"/>
  <c r="G905" i="5"/>
  <c r="G898" i="5"/>
  <c r="E893" i="5"/>
  <c r="G893" i="5"/>
  <c r="G885" i="5"/>
  <c r="G877" i="5"/>
  <c r="G869" i="5"/>
  <c r="G864" i="5"/>
  <c r="G858" i="5"/>
  <c r="G852" i="5"/>
  <c r="G847" i="5"/>
  <c r="G841" i="5"/>
  <c r="G834" i="5"/>
  <c r="G829" i="5"/>
  <c r="E825" i="5"/>
  <c r="G825" i="5"/>
  <c r="E820" i="5"/>
  <c r="G820" i="5"/>
  <c r="G816" i="5"/>
  <c r="G806" i="5"/>
  <c r="G792" i="5"/>
  <c r="G785" i="5"/>
  <c r="G774" i="5"/>
  <c r="G768" i="5"/>
  <c r="G757" i="5"/>
  <c r="E750" i="5"/>
  <c r="G750" i="5"/>
  <c r="G746" i="5"/>
  <c r="G738" i="5"/>
  <c r="G732" i="5"/>
  <c r="E725" i="5"/>
  <c r="G725" i="5"/>
  <c r="E716" i="5"/>
  <c r="G716" i="5"/>
  <c r="E706" i="5"/>
  <c r="G706" i="5"/>
  <c r="G698" i="5"/>
  <c r="G688" i="5"/>
  <c r="E678" i="5"/>
  <c r="G678" i="5"/>
  <c r="G670" i="5"/>
  <c r="G666" i="5"/>
  <c r="G662" i="5"/>
  <c r="G658" i="5"/>
  <c r="G654" i="5"/>
  <c r="G650" i="5"/>
  <c r="G646" i="5"/>
  <c r="G639" i="5"/>
  <c r="G631" i="5"/>
  <c r="G623" i="5"/>
  <c r="G617" i="5"/>
  <c r="G608" i="5"/>
  <c r="G598" i="5"/>
  <c r="G590" i="5"/>
  <c r="G581" i="5"/>
  <c r="G571" i="5"/>
  <c r="G563" i="5"/>
  <c r="G555" i="5"/>
  <c r="G547" i="5"/>
  <c r="G539" i="5"/>
  <c r="G533" i="5"/>
  <c r="G526" i="5"/>
  <c r="G519" i="5"/>
  <c r="G513" i="5"/>
  <c r="G506" i="5"/>
  <c r="G499" i="5"/>
  <c r="E491" i="5"/>
  <c r="G491" i="5"/>
  <c r="G485" i="5"/>
  <c r="G473" i="5"/>
  <c r="E466" i="5"/>
  <c r="G466" i="5"/>
  <c r="E456" i="5"/>
  <c r="G456" i="5"/>
  <c r="G448" i="5"/>
  <c r="G442" i="5"/>
  <c r="G436" i="5"/>
  <c r="G424" i="5"/>
  <c r="G417" i="5"/>
  <c r="G403" i="5"/>
  <c r="G396" i="5"/>
  <c r="G382" i="5"/>
  <c r="G373" i="5"/>
  <c r="G367" i="5"/>
  <c r="G353" i="5"/>
  <c r="G343" i="5"/>
  <c r="G328" i="5"/>
  <c r="G322" i="5"/>
  <c r="G307" i="5"/>
  <c r="G292" i="5"/>
  <c r="G285" i="5"/>
  <c r="G278" i="5"/>
  <c r="G270" i="5"/>
  <c r="G265" i="5"/>
  <c r="G250" i="5"/>
  <c r="G242" i="5"/>
  <c r="G238" i="5"/>
  <c r="G234" i="5"/>
  <c r="G230" i="5"/>
  <c r="G221" i="5"/>
  <c r="G216" i="5"/>
  <c r="G212" i="5"/>
  <c r="G207" i="5"/>
  <c r="E203" i="5"/>
  <c r="G203" i="5"/>
  <c r="G199" i="5"/>
  <c r="G192" i="5"/>
  <c r="E185" i="5"/>
  <c r="G185" i="5"/>
  <c r="G181" i="5"/>
  <c r="E177" i="5"/>
  <c r="G177" i="5"/>
  <c r="G173" i="5"/>
  <c r="G168" i="5"/>
  <c r="G163" i="5"/>
  <c r="E156" i="5"/>
  <c r="G156" i="5"/>
  <c r="G151" i="5"/>
  <c r="G146" i="5"/>
  <c r="G141" i="5"/>
  <c r="E137" i="5"/>
  <c r="G137" i="5"/>
  <c r="G133" i="5"/>
  <c r="G128" i="5"/>
  <c r="G123" i="5"/>
  <c r="G118" i="5"/>
  <c r="G113" i="5"/>
  <c r="G108" i="5"/>
  <c r="E104" i="5"/>
  <c r="G104" i="5"/>
  <c r="G99" i="5"/>
  <c r="E94" i="5"/>
  <c r="G94" i="5"/>
  <c r="E89" i="5"/>
  <c r="G89" i="5"/>
  <c r="G84" i="5"/>
  <c r="G79" i="5"/>
  <c r="G71" i="5"/>
  <c r="G66" i="5"/>
  <c r="G61" i="5"/>
  <c r="G54" i="5"/>
  <c r="E49" i="5"/>
  <c r="G49" i="5"/>
  <c r="G44" i="5"/>
  <c r="G39" i="5"/>
  <c r="G35" i="5"/>
  <c r="G30" i="5"/>
  <c r="G25" i="5"/>
  <c r="F11" i="21"/>
  <c r="H11" i="21"/>
  <c r="I11" i="21"/>
  <c r="F12" i="21"/>
  <c r="H12" i="21"/>
  <c r="I12" i="21"/>
  <c r="H7" i="21"/>
  <c r="I7" i="21"/>
  <c r="H8" i="21"/>
  <c r="I8" i="21"/>
  <c r="H9" i="21"/>
  <c r="I9" i="21"/>
  <c r="E3676" i="5"/>
  <c r="E3677" i="5"/>
  <c r="E3678" i="5"/>
  <c r="E3679" i="5"/>
  <c r="E3680" i="5"/>
  <c r="H23" i="21"/>
  <c r="I23" i="21"/>
  <c r="G26" i="5"/>
  <c r="H25" i="5"/>
  <c r="H13" i="21"/>
  <c r="I13" i="21"/>
  <c r="G31" i="5"/>
  <c r="H30" i="5"/>
  <c r="H14" i="21"/>
  <c r="I14" i="21"/>
  <c r="H35" i="5"/>
  <c r="H15" i="21"/>
  <c r="I15" i="21"/>
  <c r="G40" i="5"/>
  <c r="H39" i="5"/>
  <c r="H16" i="21"/>
  <c r="I16" i="21"/>
  <c r="G45" i="5"/>
  <c r="H44" i="5"/>
  <c r="H17" i="21"/>
  <c r="I17" i="21"/>
  <c r="E50" i="5"/>
  <c r="G50" i="5"/>
  <c r="H49" i="5"/>
  <c r="H18" i="21"/>
  <c r="I18" i="21"/>
  <c r="G55" i="5"/>
  <c r="G56" i="5"/>
  <c r="G57" i="5"/>
  <c r="H54" i="5"/>
  <c r="H19" i="21"/>
  <c r="I19" i="21"/>
  <c r="G62" i="5"/>
  <c r="H61" i="5"/>
  <c r="H20" i="21"/>
  <c r="I20" i="21"/>
  <c r="G67" i="5"/>
  <c r="H66" i="5"/>
  <c r="H21" i="21"/>
  <c r="I21" i="21"/>
  <c r="G72" i="5"/>
  <c r="G73" i="5"/>
  <c r="G74" i="5"/>
  <c r="G75" i="5"/>
  <c r="H71" i="5"/>
  <c r="H22" i="21"/>
  <c r="I22" i="21"/>
  <c r="G80" i="5"/>
  <c r="H79" i="5"/>
  <c r="H24" i="21"/>
  <c r="I24" i="21"/>
  <c r="G85" i="5"/>
  <c r="H84" i="5"/>
  <c r="H25" i="21"/>
  <c r="I25" i="21"/>
  <c r="E90" i="5"/>
  <c r="G90" i="5"/>
  <c r="H89" i="5"/>
  <c r="E5433" i="5"/>
  <c r="H26" i="21"/>
  <c r="I26" i="21"/>
  <c r="E95" i="5"/>
  <c r="G95" i="5"/>
  <c r="H94" i="5"/>
  <c r="H27" i="21"/>
  <c r="I27" i="21"/>
  <c r="G100" i="5"/>
  <c r="H99" i="5"/>
  <c r="H28" i="21"/>
  <c r="I28" i="21"/>
  <c r="H104" i="5"/>
  <c r="H29" i="21"/>
  <c r="I29" i="21"/>
  <c r="G109" i="5"/>
  <c r="H108" i="5"/>
  <c r="H30" i="21"/>
  <c r="I30" i="21"/>
  <c r="G114" i="5"/>
  <c r="H113" i="5"/>
  <c r="H31" i="21"/>
  <c r="I31" i="21"/>
  <c r="G119" i="5"/>
  <c r="H118" i="5"/>
  <c r="H32" i="21"/>
  <c r="I32" i="21"/>
  <c r="G124" i="5"/>
  <c r="H123" i="5"/>
  <c r="H33" i="21"/>
  <c r="I33" i="21"/>
  <c r="G129" i="5"/>
  <c r="H128" i="5"/>
  <c r="H34" i="21"/>
  <c r="I34" i="21"/>
  <c r="H133" i="5"/>
  <c r="H35" i="21"/>
  <c r="I35" i="21"/>
  <c r="H137" i="5"/>
  <c r="H36" i="21"/>
  <c r="I36" i="21"/>
  <c r="G142" i="5"/>
  <c r="H141" i="5"/>
  <c r="H37" i="21"/>
  <c r="I37" i="21"/>
  <c r="G147" i="5"/>
  <c r="H146" i="5"/>
  <c r="H38" i="21"/>
  <c r="I38" i="21"/>
  <c r="G152" i="5"/>
  <c r="H151" i="5"/>
  <c r="H39" i="21"/>
  <c r="I39" i="21"/>
  <c r="E157" i="5"/>
  <c r="G157" i="5"/>
  <c r="H156" i="5"/>
  <c r="H40" i="21"/>
  <c r="I40" i="21"/>
  <c r="G164" i="5"/>
  <c r="H163" i="5"/>
  <c r="H41" i="21"/>
  <c r="I41" i="21"/>
  <c r="G169" i="5"/>
  <c r="H168" i="5"/>
  <c r="H42" i="21"/>
  <c r="I42" i="21"/>
  <c r="H173" i="5"/>
  <c r="H43" i="21"/>
  <c r="I43" i="21"/>
  <c r="H177" i="5"/>
  <c r="H44" i="21"/>
  <c r="I44" i="21"/>
  <c r="H181" i="5"/>
  <c r="H45" i="21"/>
  <c r="I45" i="21"/>
  <c r="E186" i="5"/>
  <c r="G186" i="5"/>
  <c r="H185" i="5"/>
  <c r="H46" i="21"/>
  <c r="I46" i="21"/>
  <c r="G193" i="5"/>
  <c r="G194" i="5"/>
  <c r="G195" i="5"/>
  <c r="H192" i="5"/>
  <c r="H47" i="21"/>
  <c r="I47" i="21"/>
  <c r="H199" i="5"/>
  <c r="H48" i="21"/>
  <c r="I48" i="21"/>
  <c r="H203" i="5"/>
  <c r="E5442" i="5"/>
  <c r="E5443" i="5"/>
  <c r="E5444" i="5"/>
  <c r="E5445" i="5"/>
  <c r="E5446" i="5"/>
  <c r="E5447" i="5"/>
  <c r="H49" i="21"/>
  <c r="I49" i="21"/>
  <c r="G208" i="5"/>
  <c r="H207" i="5"/>
  <c r="H212" i="5"/>
  <c r="G217" i="5"/>
  <c r="H216" i="5"/>
  <c r="G222" i="5"/>
  <c r="H221" i="5"/>
  <c r="H230" i="5"/>
  <c r="H234" i="5"/>
  <c r="H238" i="5"/>
  <c r="G243" i="5"/>
  <c r="G244" i="5"/>
  <c r="G245" i="5"/>
  <c r="G246" i="5"/>
  <c r="H242" i="5"/>
  <c r="G251" i="5"/>
  <c r="G252" i="5"/>
  <c r="G253" i="5"/>
  <c r="G254" i="5"/>
  <c r="G255" i="5"/>
  <c r="G256" i="5"/>
  <c r="G257" i="5"/>
  <c r="G258" i="5"/>
  <c r="G259" i="5"/>
  <c r="G260" i="5"/>
  <c r="G261" i="5"/>
  <c r="H250" i="5"/>
  <c r="G266" i="5"/>
  <c r="H265" i="5"/>
  <c r="G271" i="5"/>
  <c r="G272" i="5"/>
  <c r="G273" i="5"/>
  <c r="G274" i="5"/>
  <c r="H270" i="5"/>
  <c r="G279" i="5"/>
  <c r="G280" i="5"/>
  <c r="G281" i="5"/>
  <c r="H278" i="5"/>
  <c r="G286" i="5"/>
  <c r="G287" i="5"/>
  <c r="G288" i="5"/>
  <c r="H285" i="5"/>
  <c r="G293" i="5"/>
  <c r="G294" i="5"/>
  <c r="G295" i="5"/>
  <c r="G296" i="5"/>
  <c r="G297" i="5"/>
  <c r="G298" i="5"/>
  <c r="G299" i="5"/>
  <c r="E300" i="5"/>
  <c r="G300" i="5"/>
  <c r="E301" i="5"/>
  <c r="G301" i="5"/>
  <c r="H292" i="5"/>
  <c r="G308" i="5"/>
  <c r="G309" i="5"/>
  <c r="G310" i="5"/>
  <c r="G311" i="5"/>
  <c r="G312" i="5"/>
  <c r="G313" i="5"/>
  <c r="G314" i="5"/>
  <c r="E315" i="5"/>
  <c r="G315" i="5"/>
  <c r="E316" i="5"/>
  <c r="G316" i="5"/>
  <c r="H307" i="5"/>
  <c r="G323" i="5"/>
  <c r="G324" i="5"/>
  <c r="H322" i="5"/>
  <c r="G329" i="5"/>
  <c r="G330" i="5"/>
  <c r="G331" i="5"/>
  <c r="G332" i="5"/>
  <c r="G333" i="5"/>
  <c r="E334" i="5"/>
  <c r="G334" i="5"/>
  <c r="G335" i="5"/>
  <c r="G336" i="5"/>
  <c r="G337" i="5"/>
  <c r="G338" i="5"/>
  <c r="G339" i="5"/>
  <c r="H328" i="5"/>
  <c r="G344" i="5"/>
  <c r="G345" i="5"/>
  <c r="G346" i="5"/>
  <c r="G347" i="5"/>
  <c r="G348" i="5"/>
  <c r="G349" i="5"/>
  <c r="H343" i="5"/>
  <c r="G354" i="5"/>
  <c r="G355" i="5"/>
  <c r="G356" i="5"/>
  <c r="G357" i="5"/>
  <c r="G358" i="5"/>
  <c r="G359" i="5"/>
  <c r="E360" i="5"/>
  <c r="G360" i="5"/>
  <c r="E361" i="5"/>
  <c r="G361" i="5"/>
  <c r="H353" i="5"/>
  <c r="G368" i="5"/>
  <c r="G369" i="5"/>
  <c r="H367" i="5"/>
  <c r="G374" i="5"/>
  <c r="G375" i="5"/>
  <c r="G376" i="5"/>
  <c r="G377" i="5"/>
  <c r="G378" i="5"/>
  <c r="H373" i="5"/>
  <c r="G383" i="5"/>
  <c r="G384" i="5"/>
  <c r="G385" i="5"/>
  <c r="G386" i="5"/>
  <c r="G387" i="5"/>
  <c r="G388" i="5"/>
  <c r="G389" i="5"/>
  <c r="G390" i="5"/>
  <c r="G391" i="5"/>
  <c r="G392" i="5"/>
  <c r="H382" i="5"/>
  <c r="G397" i="5"/>
  <c r="G398" i="5"/>
  <c r="G399" i="5"/>
  <c r="H396" i="5"/>
  <c r="G404" i="5"/>
  <c r="G405" i="5"/>
  <c r="G406" i="5"/>
  <c r="G407" i="5"/>
  <c r="G408" i="5"/>
  <c r="G409" i="5"/>
  <c r="G410" i="5"/>
  <c r="G411" i="5"/>
  <c r="G412" i="5"/>
  <c r="G413" i="5"/>
  <c r="H403" i="5"/>
  <c r="G418" i="5"/>
  <c r="E419" i="5"/>
  <c r="G419" i="5"/>
  <c r="E420" i="5"/>
  <c r="G420" i="5"/>
  <c r="H417" i="5"/>
  <c r="G425" i="5"/>
  <c r="G426" i="5"/>
  <c r="G427" i="5"/>
  <c r="G428" i="5"/>
  <c r="G429" i="5"/>
  <c r="G430" i="5"/>
  <c r="G431" i="5"/>
  <c r="G432" i="5"/>
  <c r="H424" i="5"/>
  <c r="G437" i="5"/>
  <c r="G438" i="5"/>
  <c r="H436" i="5"/>
  <c r="G443" i="5"/>
  <c r="G444" i="5"/>
  <c r="H442" i="5"/>
  <c r="G449" i="5"/>
  <c r="G450" i="5"/>
  <c r="H448" i="5"/>
  <c r="E457" i="5"/>
  <c r="G457" i="5"/>
  <c r="G458" i="5"/>
  <c r="E459" i="5"/>
  <c r="G459" i="5"/>
  <c r="H456" i="5"/>
  <c r="E467" i="5"/>
  <c r="G467" i="5"/>
  <c r="E468" i="5"/>
  <c r="G468" i="5"/>
  <c r="E469" i="5"/>
  <c r="G469" i="5"/>
  <c r="H466" i="5"/>
  <c r="G474" i="5"/>
  <c r="G475" i="5"/>
  <c r="E476" i="5"/>
  <c r="G476" i="5"/>
  <c r="G477" i="5"/>
  <c r="H473" i="5"/>
  <c r="G486" i="5"/>
  <c r="G487" i="5"/>
  <c r="H485" i="5"/>
  <c r="G492" i="5"/>
  <c r="H491" i="5"/>
  <c r="G500" i="5"/>
  <c r="G501" i="5"/>
  <c r="G502" i="5"/>
  <c r="H499" i="5"/>
  <c r="G507" i="5"/>
  <c r="G508" i="5"/>
  <c r="G509" i="5"/>
  <c r="H506" i="5"/>
  <c r="G514" i="5"/>
  <c r="G515" i="5"/>
  <c r="H513" i="5"/>
  <c r="G520" i="5"/>
  <c r="H519" i="5"/>
  <c r="G527" i="5"/>
  <c r="H526" i="5"/>
  <c r="G534" i="5"/>
  <c r="G535" i="5"/>
  <c r="H533" i="5"/>
  <c r="G540" i="5"/>
  <c r="G541" i="5"/>
  <c r="G542" i="5"/>
  <c r="G543" i="5"/>
  <c r="H539" i="5"/>
  <c r="G548" i="5"/>
  <c r="G549" i="5"/>
  <c r="G550" i="5"/>
  <c r="G551" i="5"/>
  <c r="H547" i="5"/>
  <c r="G556" i="5"/>
  <c r="G557" i="5"/>
  <c r="G558" i="5"/>
  <c r="G559" i="5"/>
  <c r="H555" i="5"/>
  <c r="G564" i="5"/>
  <c r="G565" i="5"/>
  <c r="G566" i="5"/>
  <c r="G567" i="5"/>
  <c r="H563" i="5"/>
  <c r="E572" i="5"/>
  <c r="G572" i="5"/>
  <c r="E573" i="5"/>
  <c r="G573" i="5"/>
  <c r="E574" i="5"/>
  <c r="G574" i="5"/>
  <c r="E575" i="5"/>
  <c r="G575" i="5"/>
  <c r="H571" i="5"/>
  <c r="E582" i="5"/>
  <c r="G582" i="5"/>
  <c r="E583" i="5"/>
  <c r="G583" i="5"/>
  <c r="E584" i="5"/>
  <c r="G584" i="5"/>
  <c r="H581" i="5"/>
  <c r="G591" i="5"/>
  <c r="G592" i="5"/>
  <c r="G593" i="5"/>
  <c r="G594" i="5"/>
  <c r="H590" i="5"/>
  <c r="E599" i="5"/>
  <c r="G599" i="5"/>
  <c r="E600" i="5"/>
  <c r="G600" i="5"/>
  <c r="E601" i="5"/>
  <c r="G601" i="5"/>
  <c r="E602" i="5"/>
  <c r="G602" i="5"/>
  <c r="H598" i="5"/>
  <c r="E609" i="5"/>
  <c r="G609" i="5"/>
  <c r="E610" i="5"/>
  <c r="G610" i="5"/>
  <c r="E611" i="5"/>
  <c r="G611" i="5"/>
  <c r="H608" i="5"/>
  <c r="G618" i="5"/>
  <c r="G619" i="5"/>
  <c r="H617" i="5"/>
  <c r="G624" i="5"/>
  <c r="G625" i="5"/>
  <c r="G626" i="5"/>
  <c r="G627" i="5"/>
  <c r="H623" i="5"/>
  <c r="G632" i="5"/>
  <c r="G633" i="5"/>
  <c r="G634" i="5"/>
  <c r="G635" i="5"/>
  <c r="H631" i="5"/>
  <c r="G640" i="5"/>
  <c r="G641" i="5"/>
  <c r="G642" i="5"/>
  <c r="H639" i="5"/>
  <c r="H646" i="5"/>
  <c r="H650" i="5"/>
  <c r="H654" i="5"/>
  <c r="H658" i="5"/>
  <c r="H662" i="5"/>
  <c r="H666" i="5"/>
  <c r="E671" i="5"/>
  <c r="G671" i="5"/>
  <c r="E672" i="5"/>
  <c r="G672" i="5"/>
  <c r="E673" i="5"/>
  <c r="G673" i="5"/>
  <c r="E674" i="5"/>
  <c r="G674" i="5"/>
  <c r="H670" i="5"/>
  <c r="E679" i="5"/>
  <c r="G679" i="5"/>
  <c r="G680" i="5"/>
  <c r="E681" i="5"/>
  <c r="G681" i="5"/>
  <c r="E682" i="5"/>
  <c r="G682" i="5"/>
  <c r="E683" i="5"/>
  <c r="G683" i="5"/>
  <c r="E684" i="5"/>
  <c r="G684" i="5"/>
  <c r="H678" i="5"/>
  <c r="G689" i="5"/>
  <c r="G690" i="5"/>
  <c r="G691" i="5"/>
  <c r="G692" i="5"/>
  <c r="G693" i="5"/>
  <c r="G694" i="5"/>
  <c r="H688" i="5"/>
  <c r="E699" i="5"/>
  <c r="G699" i="5"/>
  <c r="E700" i="5"/>
  <c r="G700" i="5"/>
  <c r="E701" i="5"/>
  <c r="G701" i="5"/>
  <c r="E702" i="5"/>
  <c r="G702" i="5"/>
  <c r="H698" i="5"/>
  <c r="E707" i="5"/>
  <c r="G707" i="5"/>
  <c r="G708" i="5"/>
  <c r="E709" i="5"/>
  <c r="G709" i="5"/>
  <c r="E710" i="5"/>
  <c r="G710" i="5"/>
  <c r="E711" i="5"/>
  <c r="G711" i="5"/>
  <c r="E712" i="5"/>
  <c r="G712" i="5"/>
  <c r="H706" i="5"/>
  <c r="E717" i="5"/>
  <c r="G717" i="5"/>
  <c r="E718" i="5"/>
  <c r="G718" i="5"/>
  <c r="E719" i="5"/>
  <c r="G719" i="5"/>
  <c r="E720" i="5"/>
  <c r="G720" i="5"/>
  <c r="E721" i="5"/>
  <c r="G721" i="5"/>
  <c r="H716" i="5"/>
  <c r="E726" i="5"/>
  <c r="G726" i="5"/>
  <c r="E727" i="5"/>
  <c r="G727" i="5"/>
  <c r="E728" i="5"/>
  <c r="G728" i="5"/>
  <c r="H725" i="5"/>
  <c r="G733" i="5"/>
  <c r="G734" i="5"/>
  <c r="H732" i="5"/>
  <c r="G739" i="5"/>
  <c r="G740" i="5"/>
  <c r="G741" i="5"/>
  <c r="G742" i="5"/>
  <c r="H738" i="5"/>
  <c r="H746" i="5"/>
  <c r="G751" i="5"/>
  <c r="G752" i="5"/>
  <c r="G753" i="5"/>
  <c r="H750" i="5"/>
  <c r="G758" i="5"/>
  <c r="G759" i="5"/>
  <c r="G760" i="5"/>
  <c r="G761" i="5"/>
  <c r="G762" i="5"/>
  <c r="G763" i="5"/>
  <c r="G764" i="5"/>
  <c r="H757" i="5"/>
  <c r="G769" i="5"/>
  <c r="E770" i="5"/>
  <c r="G770" i="5"/>
  <c r="H768" i="5"/>
  <c r="G775" i="5"/>
  <c r="G776" i="5"/>
  <c r="G777" i="5"/>
  <c r="G778" i="5"/>
  <c r="G779" i="5"/>
  <c r="G780" i="5"/>
  <c r="G781" i="5"/>
  <c r="H774" i="5"/>
  <c r="G786" i="5"/>
  <c r="G787" i="5"/>
  <c r="G788" i="5"/>
  <c r="H785" i="5"/>
  <c r="G793" i="5"/>
  <c r="G794" i="5"/>
  <c r="G795" i="5"/>
  <c r="G796" i="5"/>
  <c r="G797" i="5"/>
  <c r="G798" i="5"/>
  <c r="G799" i="5"/>
  <c r="G800" i="5"/>
  <c r="G801" i="5"/>
  <c r="G802" i="5"/>
  <c r="H792" i="5"/>
  <c r="G807" i="5"/>
  <c r="G808" i="5"/>
  <c r="G809" i="5"/>
  <c r="G810" i="5"/>
  <c r="G811" i="5"/>
  <c r="G812" i="5"/>
  <c r="H806" i="5"/>
  <c r="H816" i="5"/>
  <c r="G821" i="5"/>
  <c r="H820" i="5"/>
  <c r="H825" i="5"/>
  <c r="G830" i="5"/>
  <c r="H829" i="5"/>
  <c r="G835" i="5"/>
  <c r="G836" i="5"/>
  <c r="G837" i="5"/>
  <c r="H834" i="5"/>
  <c r="G842" i="5"/>
  <c r="G843" i="5"/>
  <c r="H841" i="5"/>
  <c r="G848" i="5"/>
  <c r="H847" i="5"/>
  <c r="E853" i="5"/>
  <c r="G853" i="5"/>
  <c r="G854" i="5"/>
  <c r="H852" i="5"/>
  <c r="G859" i="5"/>
  <c r="G860" i="5"/>
  <c r="H858" i="5"/>
  <c r="G865" i="5"/>
  <c r="H864" i="5"/>
  <c r="G870" i="5"/>
  <c r="E871" i="5"/>
  <c r="G871" i="5"/>
  <c r="H869" i="5"/>
  <c r="G878" i="5"/>
  <c r="G879" i="5"/>
  <c r="G880" i="5"/>
  <c r="G881" i="5"/>
  <c r="H877" i="5"/>
  <c r="G886" i="5"/>
  <c r="G887" i="5"/>
  <c r="G888" i="5"/>
  <c r="G889" i="5"/>
  <c r="H885" i="5"/>
  <c r="E894" i="5"/>
  <c r="G894" i="5"/>
  <c r="H893" i="5"/>
  <c r="G899" i="5"/>
  <c r="G900" i="5"/>
  <c r="G901" i="5"/>
  <c r="H898" i="5"/>
  <c r="H905" i="5"/>
  <c r="G910" i="5"/>
  <c r="G911" i="5"/>
  <c r="H909" i="5"/>
  <c r="G916" i="5"/>
  <c r="G917" i="5"/>
  <c r="G918" i="5"/>
  <c r="G919" i="5"/>
  <c r="G920" i="5"/>
  <c r="H915" i="5"/>
  <c r="G925" i="5"/>
  <c r="G926" i="5"/>
  <c r="G927" i="5"/>
  <c r="H924" i="5"/>
  <c r="G932" i="5"/>
  <c r="G933" i="5"/>
  <c r="G934" i="5"/>
  <c r="G935" i="5"/>
  <c r="G936" i="5"/>
  <c r="H931" i="5"/>
  <c r="G941" i="5"/>
  <c r="G942" i="5"/>
  <c r="G943" i="5"/>
  <c r="G944" i="5"/>
  <c r="G945" i="5"/>
  <c r="H940" i="5"/>
  <c r="G950" i="5"/>
  <c r="G951" i="5"/>
  <c r="H949" i="5"/>
  <c r="G956" i="5"/>
  <c r="G957" i="5"/>
  <c r="H955" i="5"/>
  <c r="G962" i="5"/>
  <c r="G963" i="5"/>
  <c r="G964" i="5"/>
  <c r="H961" i="5"/>
  <c r="G969" i="5"/>
  <c r="G970" i="5"/>
  <c r="G971" i="5"/>
  <c r="H968" i="5"/>
  <c r="G976" i="5"/>
  <c r="G977" i="5"/>
  <c r="G978" i="5"/>
  <c r="H975" i="5"/>
  <c r="G983" i="5"/>
  <c r="G984" i="5"/>
  <c r="G985" i="5"/>
  <c r="G986" i="5"/>
  <c r="G987" i="5"/>
  <c r="G988" i="5"/>
  <c r="G989" i="5"/>
  <c r="H982" i="5"/>
  <c r="G994" i="5"/>
  <c r="G995" i="5"/>
  <c r="G996" i="5"/>
  <c r="G997" i="5"/>
  <c r="G998" i="5"/>
  <c r="G999" i="5"/>
  <c r="G1000" i="5"/>
  <c r="H993" i="5"/>
  <c r="G1005" i="5"/>
  <c r="H1004" i="5"/>
  <c r="G1010" i="5"/>
  <c r="H1009" i="5"/>
  <c r="G1015" i="5"/>
  <c r="G1016" i="5"/>
  <c r="G1017" i="5"/>
  <c r="G1018" i="5"/>
  <c r="G1019" i="5"/>
  <c r="H1014" i="5"/>
  <c r="G1024" i="5"/>
  <c r="H1023" i="5"/>
  <c r="G1029" i="5"/>
  <c r="G1030" i="5"/>
  <c r="G1031" i="5"/>
  <c r="G1032" i="5"/>
  <c r="G1033" i="5"/>
  <c r="G1034" i="5"/>
  <c r="H1028" i="5"/>
  <c r="G1039" i="5"/>
  <c r="G1040" i="5"/>
  <c r="G1041" i="5"/>
  <c r="G1042" i="5"/>
  <c r="G1043" i="5"/>
  <c r="H1038" i="5"/>
  <c r="G1048" i="5"/>
  <c r="G1049" i="5"/>
  <c r="G1050" i="5"/>
  <c r="H1047" i="5"/>
  <c r="G1055" i="5"/>
  <c r="G1056" i="5"/>
  <c r="G1057" i="5"/>
  <c r="H1054" i="5"/>
  <c r="G1062" i="5"/>
  <c r="G1063" i="5"/>
  <c r="G1064" i="5"/>
  <c r="H1061" i="5"/>
  <c r="G1069" i="5"/>
  <c r="G1070" i="5"/>
  <c r="G1071" i="5"/>
  <c r="H1068" i="5"/>
  <c r="G1076" i="5"/>
  <c r="E1077" i="5"/>
  <c r="G1077" i="5"/>
  <c r="E1078" i="5"/>
  <c r="G1078" i="5"/>
  <c r="H1075" i="5"/>
  <c r="G1085" i="5"/>
  <c r="G1086" i="5"/>
  <c r="G1087" i="5"/>
  <c r="G1088" i="5"/>
  <c r="H1084" i="5"/>
  <c r="G1093" i="5"/>
  <c r="G1094" i="5"/>
  <c r="G1095" i="5"/>
  <c r="G1096" i="5"/>
  <c r="H1092" i="5"/>
  <c r="G1101" i="5"/>
  <c r="G1102" i="5"/>
  <c r="E1103" i="5"/>
  <c r="G1103" i="5"/>
  <c r="E1104" i="5"/>
  <c r="G1104" i="5"/>
  <c r="H1100" i="5"/>
  <c r="G1111" i="5"/>
  <c r="G1112" i="5"/>
  <c r="G1113" i="5"/>
  <c r="G1114" i="5"/>
  <c r="H1110" i="5"/>
  <c r="G1119" i="5"/>
  <c r="H1118" i="5"/>
  <c r="G1124" i="5"/>
  <c r="H1123" i="5"/>
  <c r="G1129" i="5"/>
  <c r="G1130" i="5"/>
  <c r="H1128" i="5"/>
  <c r="G1135" i="5"/>
  <c r="H1134" i="5"/>
  <c r="G1140" i="5"/>
  <c r="G1141" i="5"/>
  <c r="G1142" i="5"/>
  <c r="H1139" i="5"/>
  <c r="G1147" i="5"/>
  <c r="G1148" i="5"/>
  <c r="G1149" i="5"/>
  <c r="H1146" i="5"/>
  <c r="G1154" i="5"/>
  <c r="G1155" i="5"/>
  <c r="G1156" i="5"/>
  <c r="H1153" i="5"/>
  <c r="G1161" i="5"/>
  <c r="G1162" i="5"/>
  <c r="G1163" i="5"/>
  <c r="H1160" i="5"/>
  <c r="G1168" i="5"/>
  <c r="G1169" i="5"/>
  <c r="G1170" i="5"/>
  <c r="H1167" i="5"/>
  <c r="G1175" i="5"/>
  <c r="G1176" i="5"/>
  <c r="G1177" i="5"/>
  <c r="H1174" i="5"/>
  <c r="G1182" i="5"/>
  <c r="G1183" i="5"/>
  <c r="G1184" i="5"/>
  <c r="H1181" i="5"/>
  <c r="G1189" i="5"/>
  <c r="G1190" i="5"/>
  <c r="G1191" i="5"/>
  <c r="H1188" i="5"/>
  <c r="G1196" i="5"/>
  <c r="G1197" i="5"/>
  <c r="G1198" i="5"/>
  <c r="H1195" i="5"/>
  <c r="G1203" i="5"/>
  <c r="G1204" i="5"/>
  <c r="G1205" i="5"/>
  <c r="H1202" i="5"/>
  <c r="G1210" i="5"/>
  <c r="G1211" i="5"/>
  <c r="G1212" i="5"/>
  <c r="H1209" i="5"/>
  <c r="G1217" i="5"/>
  <c r="G1218" i="5"/>
  <c r="G1219" i="5"/>
  <c r="H1216" i="5"/>
  <c r="G1224" i="5"/>
  <c r="G1225" i="5"/>
  <c r="H1223" i="5"/>
  <c r="G1230" i="5"/>
  <c r="G1231" i="5"/>
  <c r="H1229" i="5"/>
  <c r="G1236" i="5"/>
  <c r="G1237" i="5"/>
  <c r="H1235" i="5"/>
  <c r="G1242" i="5"/>
  <c r="G1243" i="5"/>
  <c r="H1241" i="5"/>
  <c r="G1248" i="5"/>
  <c r="G1249" i="5"/>
  <c r="G1250" i="5"/>
  <c r="H1247" i="5"/>
  <c r="G1255" i="5"/>
  <c r="G1256" i="5"/>
  <c r="G1257" i="5"/>
  <c r="H1254" i="5"/>
  <c r="G1262" i="5"/>
  <c r="G1263" i="5"/>
  <c r="G1264" i="5"/>
  <c r="H1261" i="5"/>
  <c r="G1269" i="5"/>
  <c r="G1270" i="5"/>
  <c r="H1268" i="5"/>
  <c r="G1275" i="5"/>
  <c r="G1276" i="5"/>
  <c r="G1277" i="5"/>
  <c r="H1274" i="5"/>
  <c r="G1282" i="5"/>
  <c r="G1283" i="5"/>
  <c r="G1284" i="5"/>
  <c r="H1281" i="5"/>
  <c r="G1289" i="5"/>
  <c r="G1290" i="5"/>
  <c r="G1291" i="5"/>
  <c r="H1288" i="5"/>
  <c r="G1296" i="5"/>
  <c r="G1297" i="5"/>
  <c r="G1298" i="5"/>
  <c r="H1295" i="5"/>
  <c r="G1303" i="5"/>
  <c r="G1304" i="5"/>
  <c r="G1305" i="5"/>
  <c r="G1306" i="5"/>
  <c r="H1302" i="5"/>
  <c r="G1311" i="5"/>
  <c r="G1312" i="5"/>
  <c r="G1313" i="5"/>
  <c r="G1314" i="5"/>
  <c r="G1315" i="5"/>
  <c r="H1310" i="5"/>
  <c r="G1320" i="5"/>
  <c r="G1321" i="5"/>
  <c r="H1319" i="5"/>
  <c r="G1326" i="5"/>
  <c r="G1327" i="5"/>
  <c r="H1325" i="5"/>
  <c r="G1332" i="5"/>
  <c r="G1333" i="5"/>
  <c r="H1331" i="5"/>
  <c r="G1338" i="5"/>
  <c r="G1339" i="5"/>
  <c r="H1337" i="5"/>
  <c r="G1344" i="5"/>
  <c r="G1345" i="5"/>
  <c r="G1346" i="5"/>
  <c r="H1343" i="5"/>
  <c r="G1351" i="5"/>
  <c r="G1352" i="5"/>
  <c r="H1350" i="5"/>
  <c r="G1357" i="5"/>
  <c r="G1358" i="5"/>
  <c r="G1359" i="5"/>
  <c r="H1356" i="5"/>
  <c r="G1364" i="5"/>
  <c r="G1365" i="5"/>
  <c r="H1363" i="5"/>
  <c r="G1370" i="5"/>
  <c r="G1371" i="5"/>
  <c r="H1369" i="5"/>
  <c r="G1376" i="5"/>
  <c r="G1377" i="5"/>
  <c r="G1378" i="5"/>
  <c r="H1375" i="5"/>
  <c r="G1383" i="5"/>
  <c r="G1384" i="5"/>
  <c r="H1382" i="5"/>
  <c r="G1389" i="5"/>
  <c r="G1390" i="5"/>
  <c r="H1388" i="5"/>
  <c r="G1395" i="5"/>
  <c r="G1396" i="5"/>
  <c r="H1394" i="5"/>
  <c r="G1401" i="5"/>
  <c r="G1402" i="5"/>
  <c r="G1403" i="5"/>
  <c r="H1400" i="5"/>
  <c r="G1408" i="5"/>
  <c r="G1409" i="5"/>
  <c r="G1410" i="5"/>
  <c r="G1411" i="5"/>
  <c r="G1412" i="5"/>
  <c r="G1413" i="5"/>
  <c r="G1414" i="5"/>
  <c r="G1415" i="5"/>
  <c r="G1416" i="5"/>
  <c r="G1417" i="5"/>
  <c r="G1418" i="5"/>
  <c r="H1407" i="5"/>
  <c r="G1423" i="5"/>
  <c r="G1424" i="5"/>
  <c r="G1425" i="5"/>
  <c r="G1426" i="5"/>
  <c r="G1427" i="5"/>
  <c r="G1428" i="5"/>
  <c r="G1429" i="5"/>
  <c r="G1430" i="5"/>
  <c r="G1431" i="5"/>
  <c r="G1432" i="5"/>
  <c r="G1433" i="5"/>
  <c r="H1422" i="5"/>
  <c r="G1438" i="5"/>
  <c r="G1439" i="5"/>
  <c r="G1440" i="5"/>
  <c r="G1441" i="5"/>
  <c r="G1442" i="5"/>
  <c r="G1443" i="5"/>
  <c r="G1444" i="5"/>
  <c r="G1445" i="5"/>
  <c r="G1446" i="5"/>
  <c r="G1447" i="5"/>
  <c r="G1448" i="5"/>
  <c r="H1437" i="5"/>
  <c r="G1453" i="5"/>
  <c r="G1454" i="5"/>
  <c r="G1455" i="5"/>
  <c r="G1456" i="5"/>
  <c r="G1457" i="5"/>
  <c r="G1458" i="5"/>
  <c r="G1459" i="5"/>
  <c r="G1460" i="5"/>
  <c r="G1461" i="5"/>
  <c r="G1462" i="5"/>
  <c r="G1463" i="5"/>
  <c r="H1452" i="5"/>
  <c r="G1468" i="5"/>
  <c r="G1469" i="5"/>
  <c r="G1470" i="5"/>
  <c r="G1471" i="5"/>
  <c r="G1472" i="5"/>
  <c r="G1473" i="5"/>
  <c r="G1474" i="5"/>
  <c r="G1475" i="5"/>
  <c r="G1476" i="5"/>
  <c r="G1477" i="5"/>
  <c r="G1478" i="5"/>
  <c r="H1467" i="5"/>
  <c r="G1483" i="5"/>
  <c r="G1484" i="5"/>
  <c r="G1485" i="5"/>
  <c r="G1486" i="5"/>
  <c r="G1487" i="5"/>
  <c r="G1488" i="5"/>
  <c r="G1489" i="5"/>
  <c r="G1490" i="5"/>
  <c r="G1491" i="5"/>
  <c r="G1492" i="5"/>
  <c r="G1493" i="5"/>
  <c r="H1482" i="5"/>
  <c r="G1498" i="5"/>
  <c r="G1499" i="5"/>
  <c r="G1500" i="5"/>
  <c r="G1501" i="5"/>
  <c r="G1502" i="5"/>
  <c r="G1503" i="5"/>
  <c r="G1504" i="5"/>
  <c r="G1505" i="5"/>
  <c r="G1506" i="5"/>
  <c r="G1507" i="5"/>
  <c r="G1508" i="5"/>
  <c r="H1497" i="5"/>
  <c r="G1513" i="5"/>
  <c r="G1514" i="5"/>
  <c r="G1515" i="5"/>
  <c r="G1516" i="5"/>
  <c r="H1512" i="5"/>
  <c r="G1521" i="5"/>
  <c r="G1522" i="5"/>
  <c r="G1523" i="5"/>
  <c r="G1524" i="5"/>
  <c r="H1520" i="5"/>
  <c r="G1529" i="5"/>
  <c r="G1530" i="5"/>
  <c r="G1531" i="5"/>
  <c r="G1532" i="5"/>
  <c r="H1528" i="5"/>
  <c r="G1537" i="5"/>
  <c r="G1538" i="5"/>
  <c r="G1539" i="5"/>
  <c r="G1540" i="5"/>
  <c r="H1536" i="5"/>
  <c r="G1545" i="5"/>
  <c r="G1546" i="5"/>
  <c r="G1547" i="5"/>
  <c r="G1548" i="5"/>
  <c r="H1544" i="5"/>
  <c r="G1553" i="5"/>
  <c r="G1554" i="5"/>
  <c r="G1555" i="5"/>
  <c r="H1552" i="5"/>
  <c r="G1560" i="5"/>
  <c r="G1561" i="5"/>
  <c r="G1562" i="5"/>
  <c r="H1559" i="5"/>
  <c r="G1567" i="5"/>
  <c r="G1568" i="5"/>
  <c r="G1569" i="5"/>
  <c r="H1566" i="5"/>
  <c r="G1574" i="5"/>
  <c r="G1575" i="5"/>
  <c r="G1576" i="5"/>
  <c r="H1573" i="5"/>
  <c r="G1581" i="5"/>
  <c r="G1582" i="5"/>
  <c r="G1583" i="5"/>
  <c r="G1584" i="5"/>
  <c r="G1585" i="5"/>
  <c r="G1586" i="5"/>
  <c r="G1587" i="5"/>
  <c r="G1588" i="5"/>
  <c r="G1589" i="5"/>
  <c r="G1590" i="5"/>
  <c r="G1591" i="5"/>
  <c r="H1580" i="5"/>
  <c r="G1596" i="5"/>
  <c r="G1597" i="5"/>
  <c r="H1595" i="5"/>
  <c r="G1602" i="5"/>
  <c r="G1603" i="5"/>
  <c r="H1601" i="5"/>
  <c r="G1608" i="5"/>
  <c r="G1609" i="5"/>
  <c r="H1607" i="5"/>
  <c r="E1614" i="5"/>
  <c r="G1614" i="5"/>
  <c r="G1615" i="5"/>
  <c r="G1616" i="5"/>
  <c r="H1613" i="5"/>
  <c r="G1621" i="5"/>
  <c r="H1620" i="5"/>
  <c r="G1626" i="5"/>
  <c r="G1627" i="5"/>
  <c r="H1625" i="5"/>
  <c r="G1632" i="5"/>
  <c r="G1633" i="5"/>
  <c r="H1631" i="5"/>
  <c r="G1638" i="5"/>
  <c r="H1637" i="5"/>
  <c r="G1643" i="5"/>
  <c r="G1644" i="5"/>
  <c r="H1642" i="5"/>
  <c r="G1649" i="5"/>
  <c r="G1650" i="5"/>
  <c r="H1648" i="5"/>
  <c r="G1655" i="5"/>
  <c r="G1656" i="5"/>
  <c r="H1654" i="5"/>
  <c r="E1661" i="5"/>
  <c r="G1661" i="5"/>
  <c r="G1662" i="5"/>
  <c r="H1660" i="5"/>
  <c r="G1667" i="5"/>
  <c r="H1666" i="5"/>
  <c r="G1672" i="5"/>
  <c r="H1671" i="5"/>
  <c r="G1677" i="5"/>
  <c r="H1676" i="5"/>
  <c r="G1682" i="5"/>
  <c r="G1683" i="5"/>
  <c r="H1681" i="5"/>
  <c r="G1688" i="5"/>
  <c r="G1689" i="5"/>
  <c r="G1690" i="5"/>
  <c r="H1687" i="5"/>
  <c r="G1695" i="5"/>
  <c r="G1696" i="5"/>
  <c r="G1697" i="5"/>
  <c r="H1694" i="5"/>
  <c r="G1702" i="5"/>
  <c r="G1703" i="5"/>
  <c r="H1701" i="5"/>
  <c r="G1708" i="5"/>
  <c r="G1709" i="5"/>
  <c r="G1710" i="5"/>
  <c r="G1711" i="5"/>
  <c r="H1707" i="5"/>
  <c r="G1716" i="5"/>
  <c r="G1717" i="5"/>
  <c r="G1718" i="5"/>
  <c r="G1719" i="5"/>
  <c r="G1720" i="5"/>
  <c r="G1721" i="5"/>
  <c r="G1722" i="5"/>
  <c r="H1715" i="5"/>
  <c r="G1727" i="5"/>
  <c r="G1728" i="5"/>
  <c r="G1729" i="5"/>
  <c r="G1730" i="5"/>
  <c r="G1731" i="5"/>
  <c r="G1732" i="5"/>
  <c r="G1733" i="5"/>
  <c r="H1726" i="5"/>
  <c r="G1738" i="5"/>
  <c r="G1739" i="5"/>
  <c r="G1740" i="5"/>
  <c r="G1741" i="5"/>
  <c r="G1742" i="5"/>
  <c r="G1743" i="5"/>
  <c r="G1744" i="5"/>
  <c r="H1737" i="5"/>
  <c r="G1749" i="5"/>
  <c r="G1750" i="5"/>
  <c r="G1751" i="5"/>
  <c r="G1752" i="5"/>
  <c r="G1753" i="5"/>
  <c r="G1754" i="5"/>
  <c r="G1755" i="5"/>
  <c r="H1748" i="5"/>
  <c r="G1774" i="5"/>
  <c r="G1775" i="5"/>
  <c r="G1776" i="5"/>
  <c r="H1773" i="5"/>
  <c r="G1781" i="5"/>
  <c r="G1782" i="5"/>
  <c r="G1783" i="5"/>
  <c r="H1780" i="5"/>
  <c r="G1788" i="5"/>
  <c r="G1789" i="5"/>
  <c r="G1790" i="5"/>
  <c r="H1787" i="5"/>
  <c r="G1795" i="5"/>
  <c r="G1796" i="5"/>
  <c r="G1797" i="5"/>
  <c r="H1794" i="5"/>
  <c r="G1809" i="5"/>
  <c r="G1810" i="5"/>
  <c r="G1811" i="5"/>
  <c r="H1808" i="5"/>
  <c r="G1816" i="5"/>
  <c r="H1815" i="5"/>
  <c r="G1821" i="5"/>
  <c r="H1820" i="5"/>
  <c r="G1826" i="5"/>
  <c r="G1827" i="5"/>
  <c r="H1825" i="5"/>
  <c r="G1832" i="5"/>
  <c r="G1833" i="5"/>
  <c r="H1831" i="5"/>
  <c r="G1838" i="5"/>
  <c r="G1839" i="5"/>
  <c r="G1840" i="5"/>
  <c r="H1837" i="5"/>
  <c r="G1845" i="5"/>
  <c r="G1846" i="5"/>
  <c r="H1844" i="5"/>
  <c r="G1851" i="5"/>
  <c r="G1852" i="5"/>
  <c r="H1850" i="5"/>
  <c r="G1857" i="5"/>
  <c r="G1858" i="5"/>
  <c r="H1856" i="5"/>
  <c r="G1863" i="5"/>
  <c r="G1864" i="5"/>
  <c r="H1862" i="5"/>
  <c r="G1869" i="5"/>
  <c r="G1870" i="5"/>
  <c r="H1868" i="5"/>
  <c r="G1875" i="5"/>
  <c r="G1876" i="5"/>
  <c r="H1874" i="5"/>
  <c r="G1881" i="5"/>
  <c r="G1882" i="5"/>
  <c r="H1880" i="5"/>
  <c r="G1887" i="5"/>
  <c r="G1888" i="5"/>
  <c r="H1886" i="5"/>
  <c r="G1893" i="5"/>
  <c r="G1894" i="5"/>
  <c r="H1892" i="5"/>
  <c r="G1899" i="5"/>
  <c r="G1900" i="5"/>
  <c r="H1898" i="5"/>
  <c r="G1905" i="5"/>
  <c r="G1906" i="5"/>
  <c r="H1904" i="5"/>
  <c r="G1911" i="5"/>
  <c r="G1912" i="5"/>
  <c r="H1910" i="5"/>
  <c r="G1917" i="5"/>
  <c r="H1916" i="5"/>
  <c r="G1922" i="5"/>
  <c r="H1921" i="5"/>
  <c r="G1927" i="5"/>
  <c r="H1926" i="5"/>
  <c r="G1932" i="5"/>
  <c r="G1933" i="5"/>
  <c r="H1931" i="5"/>
  <c r="G1938" i="5"/>
  <c r="H1937" i="5"/>
  <c r="G1943" i="5"/>
  <c r="H1942" i="5"/>
  <c r="G1948" i="5"/>
  <c r="G1949" i="5"/>
  <c r="G1950" i="5"/>
  <c r="H1947" i="5"/>
  <c r="G1955" i="5"/>
  <c r="G1956" i="5"/>
  <c r="H1954" i="5"/>
  <c r="G1961" i="5"/>
  <c r="G1962" i="5"/>
  <c r="H1960" i="5"/>
  <c r="G1967" i="5"/>
  <c r="G1968" i="5"/>
  <c r="G1969" i="5"/>
  <c r="H1966" i="5"/>
  <c r="G1974" i="5"/>
  <c r="G1975" i="5"/>
  <c r="G1976" i="5"/>
  <c r="H1973" i="5"/>
  <c r="G1981" i="5"/>
  <c r="G1982" i="5"/>
  <c r="G1983" i="5"/>
  <c r="G1984" i="5"/>
  <c r="H1980" i="5"/>
  <c r="G1989" i="5"/>
  <c r="G1990" i="5"/>
  <c r="G1991" i="5"/>
  <c r="G1992" i="5"/>
  <c r="H1988" i="5"/>
  <c r="G1997" i="5"/>
  <c r="G1998" i="5"/>
  <c r="G1999" i="5"/>
  <c r="H1996" i="5"/>
  <c r="G2004" i="5"/>
  <c r="G2005" i="5"/>
  <c r="G2006" i="5"/>
  <c r="H2003" i="5"/>
  <c r="G2011" i="5"/>
  <c r="G2012" i="5"/>
  <c r="G2013" i="5"/>
  <c r="H2010" i="5"/>
  <c r="G2018" i="5"/>
  <c r="G2019" i="5"/>
  <c r="G2020" i="5"/>
  <c r="H2017" i="5"/>
  <c r="G2025" i="5"/>
  <c r="G2026" i="5"/>
  <c r="H2024" i="5"/>
  <c r="E2031" i="5"/>
  <c r="G2031" i="5"/>
  <c r="E2032" i="5"/>
  <c r="G2032" i="5"/>
  <c r="H2030" i="5"/>
  <c r="E2039" i="5"/>
  <c r="G2039" i="5"/>
  <c r="E2040" i="5"/>
  <c r="G2040" i="5"/>
  <c r="H2038" i="5"/>
  <c r="E2047" i="5"/>
  <c r="G2047" i="5"/>
  <c r="E2048" i="5"/>
  <c r="G2048" i="5"/>
  <c r="H2046" i="5"/>
  <c r="E2055" i="5"/>
  <c r="G2055" i="5"/>
  <c r="E2056" i="5"/>
  <c r="G2056" i="5"/>
  <c r="H2054" i="5"/>
  <c r="E2063" i="5"/>
  <c r="G2063" i="5"/>
  <c r="E2064" i="5"/>
  <c r="G2064" i="5"/>
  <c r="H2062" i="5"/>
  <c r="E2071" i="5"/>
  <c r="G2071" i="5"/>
  <c r="E2072" i="5"/>
  <c r="G2072" i="5"/>
  <c r="H2070" i="5"/>
  <c r="E2079" i="5"/>
  <c r="G2079" i="5"/>
  <c r="E2080" i="5"/>
  <c r="G2080" i="5"/>
  <c r="H2078" i="5"/>
  <c r="E2087" i="5"/>
  <c r="G2087" i="5"/>
  <c r="E2088" i="5"/>
  <c r="G2088" i="5"/>
  <c r="H2086" i="5"/>
  <c r="E2095" i="5"/>
  <c r="G2095" i="5"/>
  <c r="E2096" i="5"/>
  <c r="G2096" i="5"/>
  <c r="H2094" i="5"/>
  <c r="E2103" i="5"/>
  <c r="G2103" i="5"/>
  <c r="E2104" i="5"/>
  <c r="G2104" i="5"/>
  <c r="H2102" i="5"/>
  <c r="E2111" i="5"/>
  <c r="G2111" i="5"/>
  <c r="E2112" i="5"/>
  <c r="G2112" i="5"/>
  <c r="H2110" i="5"/>
  <c r="G2119" i="5"/>
  <c r="G2120" i="5"/>
  <c r="H2118" i="5"/>
  <c r="G2125" i="5"/>
  <c r="G2126" i="5"/>
  <c r="H2124" i="5"/>
  <c r="G2131" i="5"/>
  <c r="G2132" i="5"/>
  <c r="H2130" i="5"/>
  <c r="G2137" i="5"/>
  <c r="G2138" i="5"/>
  <c r="H2136" i="5"/>
  <c r="G2143" i="5"/>
  <c r="G2144" i="5"/>
  <c r="H2142" i="5"/>
  <c r="E2149" i="5"/>
  <c r="G2149" i="5"/>
  <c r="E2150" i="5"/>
  <c r="G2150" i="5"/>
  <c r="H2148" i="5"/>
  <c r="E2157" i="5"/>
  <c r="G2157" i="5"/>
  <c r="E2158" i="5"/>
  <c r="G2158" i="5"/>
  <c r="H2156" i="5"/>
  <c r="E2165" i="5"/>
  <c r="G2165" i="5"/>
  <c r="E2166" i="5"/>
  <c r="G2166" i="5"/>
  <c r="H2164" i="5"/>
  <c r="E2173" i="5"/>
  <c r="G2173" i="5"/>
  <c r="E2174" i="5"/>
  <c r="G2174" i="5"/>
  <c r="H2172" i="5"/>
  <c r="E2181" i="5"/>
  <c r="G2181" i="5"/>
  <c r="E2182" i="5"/>
  <c r="G2182" i="5"/>
  <c r="H2180" i="5"/>
  <c r="E2189" i="5"/>
  <c r="G2189" i="5"/>
  <c r="E2190" i="5"/>
  <c r="G2190" i="5"/>
  <c r="H2188" i="5"/>
  <c r="E2197" i="5"/>
  <c r="G2197" i="5"/>
  <c r="E2198" i="5"/>
  <c r="G2198" i="5"/>
  <c r="H2196" i="5"/>
  <c r="E2205" i="5"/>
  <c r="G2205" i="5"/>
  <c r="E2206" i="5"/>
  <c r="G2206" i="5"/>
  <c r="H2204" i="5"/>
  <c r="G2213" i="5"/>
  <c r="H2212" i="5"/>
  <c r="E2218" i="5"/>
  <c r="G2218" i="5"/>
  <c r="G2219" i="5"/>
  <c r="G2220" i="5"/>
  <c r="H2217" i="5"/>
  <c r="G2225" i="5"/>
  <c r="G2226" i="5"/>
  <c r="G2227" i="5"/>
  <c r="H2224" i="5"/>
  <c r="G2232" i="5"/>
  <c r="G2233" i="5"/>
  <c r="H2231" i="5"/>
  <c r="G2238" i="5"/>
  <c r="G2239" i="5"/>
  <c r="H2237" i="5"/>
  <c r="G2244" i="5"/>
  <c r="G2245" i="5"/>
  <c r="E2246" i="5"/>
  <c r="G2246" i="5"/>
  <c r="E2247" i="5"/>
  <c r="G2247" i="5"/>
  <c r="G2248" i="5"/>
  <c r="E2249" i="5"/>
  <c r="G2249" i="5"/>
  <c r="G2250" i="5"/>
  <c r="E2251" i="5"/>
  <c r="G2251" i="5"/>
  <c r="H2243" i="5"/>
  <c r="G2258" i="5"/>
  <c r="G2259" i="5"/>
  <c r="H2257" i="5"/>
  <c r="E2264" i="5"/>
  <c r="G2264" i="5"/>
  <c r="E2265" i="5"/>
  <c r="G2265" i="5"/>
  <c r="G2266" i="5"/>
  <c r="E2267" i="5"/>
  <c r="G2267" i="5"/>
  <c r="H2263" i="5"/>
  <c r="E2274" i="5"/>
  <c r="G2274" i="5"/>
  <c r="E2275" i="5"/>
  <c r="G2275" i="5"/>
  <c r="G2276" i="5"/>
  <c r="E2277" i="5"/>
  <c r="G2277" i="5"/>
  <c r="H2273" i="5"/>
  <c r="E2284" i="5"/>
  <c r="G2284" i="5"/>
  <c r="E2285" i="5"/>
  <c r="G2285" i="5"/>
  <c r="G2286" i="5"/>
  <c r="E2287" i="5"/>
  <c r="G2287" i="5"/>
  <c r="H2283" i="5"/>
  <c r="E2294" i="5"/>
  <c r="G2294" i="5"/>
  <c r="E2295" i="5"/>
  <c r="G2295" i="5"/>
  <c r="G2296" i="5"/>
  <c r="E2297" i="5"/>
  <c r="G2297" i="5"/>
  <c r="H2293" i="5"/>
  <c r="E2304" i="5"/>
  <c r="G2304" i="5"/>
  <c r="E2305" i="5"/>
  <c r="G2305" i="5"/>
  <c r="G2306" i="5"/>
  <c r="E2307" i="5"/>
  <c r="G2307" i="5"/>
  <c r="H2303" i="5"/>
  <c r="G2314" i="5"/>
  <c r="G2315" i="5"/>
  <c r="G2316" i="5"/>
  <c r="H2313" i="5"/>
  <c r="G2321" i="5"/>
  <c r="G2322" i="5"/>
  <c r="G2323" i="5"/>
  <c r="H2320" i="5"/>
  <c r="G2328" i="5"/>
  <c r="G2329" i="5"/>
  <c r="H2327" i="5"/>
  <c r="G2334" i="5"/>
  <c r="G2335" i="5"/>
  <c r="H2333" i="5"/>
  <c r="G2340" i="5"/>
  <c r="G2341" i="5"/>
  <c r="H2339" i="5"/>
  <c r="G2346" i="5"/>
  <c r="G2347" i="5"/>
  <c r="H2345" i="5"/>
  <c r="G2352" i="5"/>
  <c r="H2351" i="5"/>
  <c r="G2357" i="5"/>
  <c r="H2356" i="5"/>
  <c r="G2362" i="5"/>
  <c r="H2361" i="5"/>
  <c r="G2367" i="5"/>
  <c r="G2368" i="5"/>
  <c r="H2366" i="5"/>
  <c r="G2373" i="5"/>
  <c r="G2374" i="5"/>
  <c r="E2375" i="5"/>
  <c r="G2375" i="5"/>
  <c r="E2376" i="5"/>
  <c r="G2376" i="5"/>
  <c r="H2372" i="5"/>
  <c r="E2381" i="5"/>
  <c r="G2381" i="5"/>
  <c r="G2382" i="5"/>
  <c r="G2383" i="5"/>
  <c r="H2380" i="5"/>
  <c r="G2388" i="5"/>
  <c r="G2389" i="5"/>
  <c r="H2387" i="5"/>
  <c r="G2394" i="5"/>
  <c r="G2395" i="5"/>
  <c r="G2396" i="5"/>
  <c r="H2393" i="5"/>
  <c r="G2401" i="5"/>
  <c r="G2402" i="5"/>
  <c r="H2400" i="5"/>
  <c r="H2406" i="5"/>
  <c r="H2410" i="5"/>
  <c r="H2414" i="5"/>
  <c r="H2418" i="5"/>
  <c r="H2422" i="5"/>
  <c r="H2426" i="5"/>
  <c r="H2430" i="5"/>
  <c r="H2434" i="5"/>
  <c r="H2438" i="5"/>
  <c r="H2442" i="5"/>
  <c r="H2446" i="5"/>
  <c r="H2450" i="5"/>
  <c r="H2454" i="5"/>
  <c r="H2458" i="5"/>
  <c r="H2462" i="5"/>
  <c r="H2466" i="5"/>
  <c r="H2470" i="5"/>
  <c r="H2474" i="5"/>
  <c r="H2478" i="5"/>
  <c r="H2482" i="5"/>
  <c r="H2486" i="5"/>
  <c r="H2490" i="5"/>
  <c r="H2494" i="5"/>
  <c r="H2498" i="5"/>
  <c r="H2502" i="5"/>
  <c r="H2506" i="5"/>
  <c r="H2510" i="5"/>
  <c r="H2514" i="5"/>
  <c r="H2518" i="5"/>
  <c r="H2522" i="5"/>
  <c r="H2526" i="5"/>
  <c r="H2530" i="5"/>
  <c r="H2534" i="5"/>
  <c r="H2538" i="5"/>
  <c r="H2542" i="5"/>
  <c r="H2546" i="5"/>
  <c r="H2550" i="5"/>
  <c r="H2554" i="5"/>
  <c r="H2558" i="5"/>
  <c r="H2562" i="5"/>
  <c r="H2566" i="5"/>
  <c r="H2570" i="5"/>
  <c r="H2574" i="5"/>
  <c r="H2578" i="5"/>
  <c r="E2583" i="5"/>
  <c r="G2583" i="5"/>
  <c r="E2584" i="5"/>
  <c r="G2584" i="5"/>
  <c r="H2582" i="5"/>
  <c r="E2591" i="5"/>
  <c r="G2591" i="5"/>
  <c r="E2592" i="5"/>
  <c r="G2592" i="5"/>
  <c r="H2590" i="5"/>
  <c r="E2599" i="5"/>
  <c r="G2599" i="5"/>
  <c r="E2600" i="5"/>
  <c r="G2600" i="5"/>
  <c r="H2598" i="5"/>
  <c r="H2606" i="5"/>
  <c r="H2610" i="5"/>
  <c r="H2614" i="5"/>
  <c r="H2618" i="5"/>
  <c r="H2622" i="5"/>
  <c r="H2626" i="5"/>
  <c r="H2630" i="5"/>
  <c r="H2634" i="5"/>
  <c r="H2638" i="5"/>
  <c r="H2642" i="5"/>
  <c r="H2646" i="5"/>
  <c r="H2650" i="5"/>
  <c r="H2654" i="5"/>
  <c r="H2658" i="5"/>
  <c r="H2662" i="5"/>
  <c r="H2666" i="5"/>
  <c r="H2672" i="5"/>
  <c r="H2678" i="5"/>
  <c r="H2684" i="5"/>
  <c r="H2690" i="5"/>
  <c r="H2696" i="5"/>
  <c r="H2702" i="5"/>
  <c r="H2708" i="5"/>
  <c r="H2714" i="5"/>
  <c r="H2720" i="5"/>
  <c r="H2726" i="5"/>
  <c r="H2730" i="5"/>
  <c r="H2734" i="5"/>
  <c r="H2738" i="5"/>
  <c r="H2742" i="5"/>
  <c r="H2746" i="5"/>
  <c r="H2750" i="5"/>
  <c r="H2754" i="5"/>
  <c r="H2758" i="5"/>
  <c r="H2762" i="5"/>
  <c r="H2766" i="5"/>
  <c r="H2770" i="5"/>
  <c r="H2774" i="5"/>
  <c r="H2778" i="5"/>
  <c r="G2783" i="5"/>
  <c r="H2782" i="5"/>
  <c r="G2788" i="5"/>
  <c r="G2789" i="5"/>
  <c r="G2790" i="5"/>
  <c r="G2791" i="5"/>
  <c r="G2792" i="5"/>
  <c r="G2793" i="5"/>
  <c r="H2787" i="5"/>
  <c r="G2798" i="5"/>
  <c r="G2799" i="5"/>
  <c r="H2797" i="5"/>
  <c r="G2804" i="5"/>
  <c r="H2803" i="5"/>
  <c r="G2809" i="5"/>
  <c r="H2808" i="5"/>
  <c r="G2814" i="5"/>
  <c r="G2815" i="5"/>
  <c r="G2816" i="5"/>
  <c r="G2817" i="5"/>
  <c r="G2818" i="5"/>
  <c r="G2819" i="5"/>
  <c r="H2813" i="5"/>
  <c r="G2824" i="5"/>
  <c r="H2823" i="5"/>
  <c r="G2829" i="5"/>
  <c r="H2828" i="5"/>
  <c r="G2834" i="5"/>
  <c r="H2833" i="5"/>
  <c r="G2839" i="5"/>
  <c r="H2838" i="5"/>
  <c r="G2846" i="5"/>
  <c r="H2845" i="5"/>
  <c r="G2851" i="5"/>
  <c r="H2850" i="5"/>
  <c r="G2856" i="5"/>
  <c r="H2855" i="5"/>
  <c r="G2861" i="5"/>
  <c r="H2860" i="5"/>
  <c r="G2866" i="5"/>
  <c r="H2865" i="5"/>
  <c r="G2871" i="5"/>
  <c r="H2870" i="5"/>
  <c r="G2876" i="5"/>
  <c r="H2875" i="5"/>
  <c r="G2881" i="5"/>
  <c r="H2880" i="5"/>
  <c r="G2886" i="5"/>
  <c r="G2887" i="5"/>
  <c r="G2888" i="5"/>
  <c r="H2885" i="5"/>
  <c r="G2893" i="5"/>
  <c r="H2892" i="5"/>
  <c r="G2898" i="5"/>
  <c r="H2897" i="5"/>
  <c r="G2903" i="5"/>
  <c r="H2902" i="5"/>
  <c r="G2908" i="5"/>
  <c r="H2907" i="5"/>
  <c r="G2916" i="5"/>
  <c r="H2915" i="5"/>
  <c r="G2924" i="5"/>
  <c r="H2923" i="5"/>
  <c r="G2932" i="5"/>
  <c r="H2931" i="5"/>
  <c r="G2940" i="5"/>
  <c r="H2939" i="5"/>
  <c r="G2948" i="5"/>
  <c r="H2947" i="5"/>
  <c r="G2953" i="5"/>
  <c r="H2952" i="5"/>
  <c r="G2958" i="5"/>
  <c r="H2957" i="5"/>
  <c r="G2963" i="5"/>
  <c r="H2962" i="5"/>
  <c r="G2968" i="5"/>
  <c r="H2967" i="5"/>
  <c r="G2973" i="5"/>
  <c r="H2972" i="5"/>
  <c r="G2978" i="5"/>
  <c r="H2977" i="5"/>
  <c r="G2983" i="5"/>
  <c r="H2982" i="5"/>
  <c r="G2988" i="5"/>
  <c r="H2987" i="5"/>
  <c r="G2993" i="5"/>
  <c r="H2992" i="5"/>
  <c r="G2998" i="5"/>
  <c r="G2999" i="5"/>
  <c r="G3000" i="5"/>
  <c r="G3001" i="5"/>
  <c r="G3002" i="5"/>
  <c r="G3003" i="5"/>
  <c r="H2997" i="5"/>
  <c r="G3008" i="5"/>
  <c r="H3007" i="5"/>
  <c r="G3013" i="5"/>
  <c r="H3012" i="5"/>
  <c r="G3018" i="5"/>
  <c r="H3017" i="5"/>
  <c r="G3023" i="5"/>
  <c r="H3022" i="5"/>
  <c r="G3028" i="5"/>
  <c r="H3027" i="5"/>
  <c r="G3033" i="5"/>
  <c r="H3032" i="5"/>
  <c r="G3038" i="5"/>
  <c r="H3037" i="5"/>
  <c r="G3043" i="5"/>
  <c r="H3042" i="5"/>
  <c r="G3048" i="5"/>
  <c r="H3047" i="5"/>
  <c r="G3053" i="5"/>
  <c r="H3052" i="5"/>
  <c r="G3061" i="5"/>
  <c r="H3060" i="5"/>
  <c r="G3066" i="5"/>
  <c r="H3065" i="5"/>
  <c r="H3073" i="5"/>
  <c r="G3078" i="5"/>
  <c r="G3079" i="5"/>
  <c r="G3080" i="5"/>
  <c r="G3081" i="5"/>
  <c r="H3077" i="5"/>
  <c r="G3086" i="5"/>
  <c r="H3085" i="5"/>
  <c r="G3091" i="5"/>
  <c r="G3092" i="5"/>
  <c r="G3093" i="5"/>
  <c r="G3094" i="5"/>
  <c r="H3090" i="5"/>
  <c r="G3099" i="5"/>
  <c r="H3098" i="5"/>
  <c r="G3104" i="5"/>
  <c r="H3103" i="5"/>
  <c r="G3109" i="5"/>
  <c r="H3108" i="5"/>
  <c r="G3114" i="5"/>
  <c r="H3113" i="5"/>
  <c r="G3119" i="5"/>
  <c r="H3118" i="5"/>
  <c r="G3124" i="5"/>
  <c r="H3123" i="5"/>
  <c r="G3129" i="5"/>
  <c r="H3128" i="5"/>
  <c r="G3134" i="5"/>
  <c r="H3133" i="5"/>
  <c r="G3139" i="5"/>
  <c r="H3138" i="5"/>
  <c r="H3143" i="5"/>
  <c r="G3150" i="5"/>
  <c r="G3151" i="5"/>
  <c r="H3149" i="5"/>
  <c r="G3156" i="5"/>
  <c r="G3157" i="5"/>
  <c r="H3155" i="5"/>
  <c r="G3162" i="5"/>
  <c r="G3163" i="5"/>
  <c r="H3161" i="5"/>
  <c r="G3168" i="5"/>
  <c r="H3167" i="5"/>
  <c r="G3173" i="5"/>
  <c r="G3174" i="5"/>
  <c r="H3172" i="5"/>
  <c r="G3179" i="5"/>
  <c r="H3178" i="5"/>
  <c r="G3184" i="5"/>
  <c r="G3185" i="5"/>
  <c r="H3183" i="5"/>
  <c r="G3193" i="5"/>
  <c r="G3194" i="5"/>
  <c r="G3195" i="5"/>
  <c r="G3196" i="5"/>
  <c r="H3192" i="5"/>
  <c r="G3201" i="5"/>
  <c r="G3202" i="5"/>
  <c r="G3203" i="5"/>
  <c r="G3204" i="5"/>
  <c r="H3200" i="5"/>
  <c r="G3209" i="5"/>
  <c r="H3208" i="5"/>
  <c r="G3225" i="5"/>
  <c r="G3226" i="5"/>
  <c r="G3227" i="5"/>
  <c r="G3228" i="5"/>
  <c r="G3229" i="5"/>
  <c r="E3230" i="5"/>
  <c r="G3230" i="5"/>
  <c r="E3231" i="5"/>
  <c r="G3231" i="5"/>
  <c r="H3224" i="5"/>
  <c r="G3238" i="5"/>
  <c r="G3239" i="5"/>
  <c r="H3237" i="5"/>
  <c r="G3244" i="5"/>
  <c r="G3245" i="5"/>
  <c r="H3243" i="5"/>
  <c r="G3250" i="5"/>
  <c r="G3251" i="5"/>
  <c r="H3249" i="5"/>
  <c r="G3256" i="5"/>
  <c r="G3257" i="5"/>
  <c r="G3258" i="5"/>
  <c r="G3259" i="5"/>
  <c r="G3260" i="5"/>
  <c r="G3261" i="5"/>
  <c r="H3255" i="5"/>
  <c r="G3266" i="5"/>
  <c r="H3265" i="5"/>
  <c r="G3271" i="5"/>
  <c r="G3272" i="5"/>
  <c r="G3273" i="5"/>
  <c r="H3270" i="5"/>
  <c r="G3278" i="5"/>
  <c r="G3279" i="5"/>
  <c r="G3280" i="5"/>
  <c r="H3277" i="5"/>
  <c r="G3292" i="5"/>
  <c r="G3293" i="5"/>
  <c r="G3294" i="5"/>
  <c r="H3291" i="5"/>
  <c r="G3299" i="5"/>
  <c r="G3300" i="5"/>
  <c r="G3301" i="5"/>
  <c r="H3298" i="5"/>
  <c r="G3306" i="5"/>
  <c r="G3307" i="5"/>
  <c r="G3308" i="5"/>
  <c r="H3305" i="5"/>
  <c r="G3313" i="5"/>
  <c r="G3314" i="5"/>
  <c r="G3315" i="5"/>
  <c r="H3312" i="5"/>
  <c r="G3320" i="5"/>
  <c r="G3321" i="5"/>
  <c r="G3322" i="5"/>
  <c r="H3319" i="5"/>
  <c r="G3327" i="5"/>
  <c r="G3328" i="5"/>
  <c r="G3329" i="5"/>
  <c r="H3326" i="5"/>
  <c r="G3334" i="5"/>
  <c r="G3335" i="5"/>
  <c r="G3336" i="5"/>
  <c r="H3333" i="5"/>
  <c r="G3341" i="5"/>
  <c r="G3342" i="5"/>
  <c r="H3340" i="5"/>
  <c r="G3347" i="5"/>
  <c r="G3348" i="5"/>
  <c r="H3346" i="5"/>
  <c r="E3353" i="5"/>
  <c r="G3353" i="5"/>
  <c r="G3354" i="5"/>
  <c r="G3355" i="5"/>
  <c r="H3352" i="5"/>
  <c r="G3362" i="5"/>
  <c r="H3361" i="5"/>
  <c r="G3367" i="5"/>
  <c r="G3368" i="5"/>
  <c r="G3369" i="5"/>
  <c r="H3366" i="5"/>
  <c r="G3374" i="5"/>
  <c r="G3375" i="5"/>
  <c r="G3376" i="5"/>
  <c r="H3373" i="5"/>
  <c r="G3381" i="5"/>
  <c r="G3382" i="5"/>
  <c r="G3383" i="5"/>
  <c r="H3380" i="5"/>
  <c r="H3387" i="5"/>
  <c r="H3391" i="5"/>
  <c r="G3396" i="5"/>
  <c r="H3395" i="5"/>
  <c r="G3401" i="5"/>
  <c r="H3400" i="5"/>
  <c r="H3404" i="5"/>
  <c r="G3409" i="5"/>
  <c r="G3410" i="5"/>
  <c r="G3411" i="5"/>
  <c r="H3408" i="5"/>
  <c r="G3416" i="5"/>
  <c r="G3417" i="5"/>
  <c r="G3418" i="5"/>
  <c r="H3415" i="5"/>
  <c r="G3423" i="5"/>
  <c r="G3424" i="5"/>
  <c r="G3425" i="5"/>
  <c r="H3422" i="5"/>
  <c r="G3430" i="5"/>
  <c r="H3429" i="5"/>
  <c r="G3435" i="5"/>
  <c r="H3434" i="5"/>
  <c r="G3440" i="5"/>
  <c r="H3439" i="5"/>
  <c r="H3444" i="5"/>
  <c r="H3448" i="5"/>
  <c r="E3453" i="5"/>
  <c r="G3453" i="5"/>
  <c r="E3454" i="5"/>
  <c r="G3454" i="5"/>
  <c r="E3455" i="5"/>
  <c r="G3455" i="5"/>
  <c r="E3456" i="5"/>
  <c r="G3456" i="5"/>
  <c r="H3452" i="5"/>
  <c r="E3463" i="5"/>
  <c r="G3463" i="5"/>
  <c r="E3464" i="5"/>
  <c r="G3464" i="5"/>
  <c r="E3465" i="5"/>
  <c r="G3465" i="5"/>
  <c r="G3466" i="5"/>
  <c r="E3467" i="5"/>
  <c r="G3467" i="5"/>
  <c r="H3462" i="5"/>
  <c r="E3474" i="5"/>
  <c r="G3474" i="5"/>
  <c r="E3475" i="5"/>
  <c r="G3475" i="5"/>
  <c r="E3476" i="5"/>
  <c r="G3476" i="5"/>
  <c r="G3477" i="5"/>
  <c r="E3478" i="5"/>
  <c r="G3478" i="5"/>
  <c r="H3473" i="5"/>
  <c r="G3485" i="5"/>
  <c r="G3486" i="5"/>
  <c r="G3487" i="5"/>
  <c r="G3488" i="5"/>
  <c r="H3484" i="5"/>
  <c r="E3493" i="5"/>
  <c r="G3493" i="5"/>
  <c r="G3494" i="5"/>
  <c r="E3495" i="5"/>
  <c r="G3495" i="5"/>
  <c r="G3496" i="5"/>
  <c r="G3497" i="5"/>
  <c r="E3498" i="5"/>
  <c r="G3498" i="5"/>
  <c r="E3499" i="5"/>
  <c r="G3499" i="5"/>
  <c r="E3500" i="5"/>
  <c r="G3500" i="5"/>
  <c r="G3501" i="5"/>
  <c r="G3502" i="5"/>
  <c r="H3492" i="5"/>
  <c r="G3510" i="5"/>
  <c r="G3511" i="5"/>
  <c r="G3512" i="5"/>
  <c r="G3513" i="5"/>
  <c r="H3509" i="5"/>
  <c r="E3518" i="5"/>
  <c r="G3518" i="5"/>
  <c r="G3519" i="5"/>
  <c r="E3520" i="5"/>
  <c r="G3520" i="5"/>
  <c r="G3521" i="5"/>
  <c r="G3522" i="5"/>
  <c r="E3523" i="5"/>
  <c r="G3523" i="5"/>
  <c r="E3524" i="5"/>
  <c r="G3524" i="5"/>
  <c r="E3525" i="5"/>
  <c r="G3525" i="5"/>
  <c r="G3526" i="5"/>
  <c r="G3527" i="5"/>
  <c r="H3517" i="5"/>
  <c r="G3535" i="5"/>
  <c r="G3536" i="5"/>
  <c r="E3537" i="5"/>
  <c r="G3537" i="5"/>
  <c r="E3538" i="5"/>
  <c r="G3538" i="5"/>
  <c r="H3534" i="5"/>
  <c r="G3545" i="5"/>
  <c r="E3546" i="5"/>
  <c r="G3546" i="5"/>
  <c r="E3547" i="5"/>
  <c r="G3547" i="5"/>
  <c r="H3544" i="5"/>
  <c r="G3554" i="5"/>
  <c r="G3555" i="5"/>
  <c r="G3556" i="5"/>
  <c r="H3553" i="5"/>
  <c r="G3561" i="5"/>
  <c r="E3562" i="5"/>
  <c r="G3562" i="5"/>
  <c r="G3563" i="5"/>
  <c r="G3564" i="5"/>
  <c r="E3565" i="5"/>
  <c r="G3565" i="5"/>
  <c r="E3566" i="5"/>
  <c r="G3566" i="5"/>
  <c r="E3567" i="5"/>
  <c r="G3567" i="5"/>
  <c r="G3568" i="5"/>
  <c r="G3569" i="5"/>
  <c r="H3560" i="5"/>
  <c r="G3577" i="5"/>
  <c r="G3578" i="5"/>
  <c r="H3576" i="5"/>
  <c r="G3583" i="5"/>
  <c r="G3584" i="5"/>
  <c r="H3582" i="5"/>
  <c r="E3589" i="5"/>
  <c r="G3589" i="5"/>
  <c r="E3590" i="5"/>
  <c r="G3590" i="5"/>
  <c r="E3591" i="5"/>
  <c r="G3591" i="5"/>
  <c r="E3592" i="5"/>
  <c r="G3592" i="5"/>
  <c r="H3588" i="5"/>
  <c r="E3597" i="5"/>
  <c r="G3597" i="5"/>
  <c r="G3598" i="5"/>
  <c r="G3599" i="5"/>
  <c r="H3596" i="5"/>
  <c r="G3604" i="5"/>
  <c r="H3603" i="5"/>
  <c r="G3609" i="5"/>
  <c r="G3610" i="5"/>
  <c r="G3611" i="5"/>
  <c r="E3612" i="5"/>
  <c r="G3612" i="5"/>
  <c r="H3608" i="5"/>
  <c r="G3617" i="5"/>
  <c r="E3618" i="5"/>
  <c r="G3618" i="5"/>
  <c r="H3616" i="5"/>
  <c r="G3623" i="5"/>
  <c r="G3624" i="5"/>
  <c r="G3625" i="5"/>
  <c r="H3622" i="5"/>
  <c r="G3636" i="5"/>
  <c r="G3637" i="5"/>
  <c r="G3638" i="5"/>
  <c r="G3639" i="5"/>
  <c r="G3640" i="5"/>
  <c r="G3641" i="5"/>
  <c r="H3635" i="5"/>
  <c r="G3646" i="5"/>
  <c r="H3645" i="5"/>
  <c r="G3651" i="5"/>
  <c r="H3650" i="5"/>
  <c r="G3656" i="5"/>
  <c r="E3657" i="5"/>
  <c r="G3657" i="5"/>
  <c r="G3658" i="5"/>
  <c r="G3659" i="5"/>
  <c r="H3655" i="5"/>
  <c r="H3663" i="5"/>
  <c r="G3668" i="5"/>
  <c r="G3669" i="5"/>
  <c r="H3667" i="5"/>
  <c r="E3689" i="5"/>
  <c r="G3689" i="5"/>
  <c r="E3690" i="5"/>
  <c r="G3690" i="5"/>
  <c r="H3688" i="5"/>
  <c r="G3697" i="5"/>
  <c r="G3698" i="5"/>
  <c r="G3699" i="5"/>
  <c r="G3700" i="5"/>
  <c r="E3701" i="5"/>
  <c r="G3701" i="5"/>
  <c r="E3702" i="5"/>
  <c r="G3702" i="5"/>
  <c r="G3703" i="5"/>
  <c r="G3704" i="5"/>
  <c r="H3696" i="5"/>
  <c r="G3709" i="5"/>
  <c r="G3710" i="5"/>
  <c r="G3711" i="5"/>
  <c r="G3712" i="5"/>
  <c r="G3713" i="5"/>
  <c r="E3714" i="5"/>
  <c r="G3714" i="5"/>
  <c r="E3715" i="5"/>
  <c r="G3715" i="5"/>
  <c r="G3716" i="5"/>
  <c r="G3717" i="5"/>
  <c r="G3718" i="5"/>
  <c r="H3708" i="5"/>
  <c r="E3722" i="5"/>
  <c r="G3722" i="5"/>
  <c r="E3723" i="5"/>
  <c r="G3723" i="5"/>
  <c r="E3724" i="5"/>
  <c r="G3724" i="5"/>
  <c r="G3725" i="5"/>
  <c r="E3726" i="5"/>
  <c r="G3726" i="5"/>
  <c r="H3721" i="5"/>
  <c r="H3732" i="5"/>
  <c r="G3737" i="5"/>
  <c r="G3738" i="5"/>
  <c r="G3739" i="5"/>
  <c r="G3740" i="5"/>
  <c r="G3741" i="5"/>
  <c r="G3742" i="5"/>
  <c r="H3736" i="5"/>
  <c r="E3747" i="5"/>
  <c r="G3747" i="5"/>
  <c r="H3746" i="5"/>
  <c r="E3752" i="5"/>
  <c r="G3752" i="5"/>
  <c r="E3753" i="5"/>
  <c r="G3753" i="5"/>
  <c r="H3751" i="5"/>
  <c r="G3761" i="5"/>
  <c r="G3762" i="5"/>
  <c r="G3763" i="5"/>
  <c r="H3760" i="5"/>
  <c r="H3767" i="5"/>
  <c r="H3771" i="5"/>
  <c r="G3776" i="5"/>
  <c r="H3775" i="5"/>
  <c r="G3780" i="5"/>
  <c r="G3781" i="5"/>
  <c r="G3782" i="5"/>
  <c r="H3779" i="5"/>
  <c r="G3786" i="5"/>
  <c r="G3787" i="5"/>
  <c r="G3788" i="5"/>
  <c r="H3785" i="5"/>
  <c r="G3792" i="5"/>
  <c r="G3793" i="5"/>
  <c r="G3794" i="5"/>
  <c r="H3791" i="5"/>
  <c r="G3798" i="5"/>
  <c r="G3799" i="5"/>
  <c r="G3800" i="5"/>
  <c r="H3797" i="5"/>
  <c r="G3804" i="5"/>
  <c r="G3805" i="5"/>
  <c r="G3806" i="5"/>
  <c r="H3803" i="5"/>
  <c r="G3810" i="5"/>
  <c r="G3811" i="5"/>
  <c r="G3812" i="5"/>
  <c r="H3809" i="5"/>
  <c r="G3816" i="5"/>
  <c r="G3817" i="5"/>
  <c r="G3818" i="5"/>
  <c r="H3815" i="5"/>
  <c r="G3822" i="5"/>
  <c r="G3823" i="5"/>
  <c r="G3824" i="5"/>
  <c r="H3821" i="5"/>
  <c r="G3828" i="5"/>
  <c r="G3829" i="5"/>
  <c r="G3830" i="5"/>
  <c r="H3827" i="5"/>
  <c r="G3834" i="5"/>
  <c r="G3835" i="5"/>
  <c r="G3836" i="5"/>
  <c r="H3833" i="5"/>
  <c r="G3840" i="5"/>
  <c r="H3839" i="5"/>
  <c r="G3845" i="5"/>
  <c r="G3846" i="5"/>
  <c r="G3847" i="5"/>
  <c r="G3848" i="5"/>
  <c r="E3849" i="5"/>
  <c r="G3849" i="5"/>
  <c r="H3844" i="5"/>
  <c r="E3856" i="5"/>
  <c r="G3856" i="5"/>
  <c r="G3857" i="5"/>
  <c r="E3858" i="5"/>
  <c r="G3858" i="5"/>
  <c r="E3859" i="5"/>
  <c r="G3859" i="5"/>
  <c r="E3860" i="5"/>
  <c r="G3860" i="5"/>
  <c r="E3861" i="5"/>
  <c r="G3861" i="5"/>
  <c r="H3855" i="5"/>
  <c r="G3866" i="5"/>
  <c r="G3867" i="5"/>
  <c r="G3868" i="5"/>
  <c r="G3869" i="5"/>
  <c r="G3870" i="5"/>
  <c r="H3865" i="5"/>
  <c r="G3875" i="5"/>
  <c r="G3876" i="5"/>
  <c r="G3877" i="5"/>
  <c r="G3878" i="5"/>
  <c r="H3874" i="5"/>
  <c r="G3883" i="5"/>
  <c r="G3884" i="5"/>
  <c r="G3885" i="5"/>
  <c r="G3886" i="5"/>
  <c r="E3887" i="5"/>
  <c r="G3887" i="5"/>
  <c r="E3888" i="5"/>
  <c r="G3888" i="5"/>
  <c r="H3882" i="5"/>
  <c r="G3895" i="5"/>
  <c r="G3896" i="5"/>
  <c r="G3897" i="5"/>
  <c r="G3898" i="5"/>
  <c r="G3899" i="5"/>
  <c r="G3900" i="5"/>
  <c r="G3901" i="5"/>
  <c r="G3902" i="5"/>
  <c r="G3903" i="5"/>
  <c r="G3904" i="5"/>
  <c r="G3905" i="5"/>
  <c r="H3894" i="5"/>
  <c r="G3910" i="5"/>
  <c r="G3911" i="5"/>
  <c r="G3912" i="5"/>
  <c r="H3909" i="5"/>
  <c r="G3941" i="5"/>
  <c r="G3942" i="5"/>
  <c r="G3943" i="5"/>
  <c r="G3944" i="5"/>
  <c r="H3940" i="5"/>
  <c r="G3949" i="5"/>
  <c r="G3950" i="5"/>
  <c r="H3948" i="5"/>
  <c r="E3955" i="5"/>
  <c r="G3955" i="5"/>
  <c r="E3956" i="5"/>
  <c r="G3956" i="5"/>
  <c r="E3957" i="5"/>
  <c r="G3957" i="5"/>
  <c r="H3954" i="5"/>
  <c r="G3962" i="5"/>
  <c r="G3963" i="5"/>
  <c r="G3964" i="5"/>
  <c r="G3965" i="5"/>
  <c r="G3966" i="5"/>
  <c r="H3961" i="5"/>
  <c r="G3971" i="5"/>
  <c r="G3972" i="5"/>
  <c r="G3973" i="5"/>
  <c r="G3974" i="5"/>
  <c r="H3970" i="5"/>
  <c r="G3979" i="5"/>
  <c r="G3980" i="5"/>
  <c r="G3981" i="5"/>
  <c r="G3982" i="5"/>
  <c r="G3983" i="5"/>
  <c r="G3984" i="5"/>
  <c r="H3978" i="5"/>
  <c r="G3989" i="5"/>
  <c r="G3990" i="5"/>
  <c r="G3991" i="5"/>
  <c r="H3988" i="5"/>
  <c r="G3996" i="5"/>
  <c r="G3997" i="5"/>
  <c r="G3998" i="5"/>
  <c r="G3999" i="5"/>
  <c r="H3995" i="5"/>
  <c r="G4017" i="5"/>
  <c r="G4018" i="5"/>
  <c r="G4019" i="5"/>
  <c r="G4020" i="5"/>
  <c r="G4021" i="5"/>
  <c r="G4022" i="5"/>
  <c r="G4023" i="5"/>
  <c r="G4024" i="5"/>
  <c r="G4025" i="5"/>
  <c r="H4016" i="5"/>
  <c r="G4030" i="5"/>
  <c r="H4029" i="5"/>
  <c r="H4034" i="5"/>
  <c r="H4038" i="5"/>
  <c r="G4043" i="5"/>
  <c r="G4044" i="5"/>
  <c r="G4045" i="5"/>
  <c r="G4046" i="5"/>
  <c r="G4047" i="5"/>
  <c r="H4042" i="5"/>
  <c r="G4052" i="5"/>
  <c r="G4053" i="5"/>
  <c r="G4054" i="5"/>
  <c r="G4055" i="5"/>
  <c r="G4056" i="5"/>
  <c r="H4051" i="5"/>
  <c r="G4061" i="5"/>
  <c r="G4062" i="5"/>
  <c r="G4063" i="5"/>
  <c r="G4064" i="5"/>
  <c r="G4065" i="5"/>
  <c r="H4060" i="5"/>
  <c r="G4070" i="5"/>
  <c r="G4071" i="5"/>
  <c r="G4072" i="5"/>
  <c r="G4073" i="5"/>
  <c r="G4074" i="5"/>
  <c r="H4069" i="5"/>
  <c r="G4079" i="5"/>
  <c r="G4080" i="5"/>
  <c r="G4081" i="5"/>
  <c r="G4082" i="5"/>
  <c r="G4083" i="5"/>
  <c r="H4078" i="5"/>
  <c r="G4088" i="5"/>
  <c r="G4089" i="5"/>
  <c r="G4090" i="5"/>
  <c r="G4091" i="5"/>
  <c r="G4092" i="5"/>
  <c r="H4087" i="5"/>
  <c r="G4097" i="5"/>
  <c r="G4098" i="5"/>
  <c r="H4096" i="5"/>
  <c r="G4103" i="5"/>
  <c r="G4104" i="5"/>
  <c r="H4102" i="5"/>
  <c r="G4109" i="5"/>
  <c r="G4110" i="5"/>
  <c r="G4111" i="5"/>
  <c r="H4108" i="5"/>
  <c r="H4115" i="5"/>
  <c r="H4121" i="5"/>
  <c r="G4126" i="5"/>
  <c r="G4127" i="5"/>
  <c r="G4128" i="5"/>
  <c r="H4125" i="5"/>
  <c r="G4133" i="5"/>
  <c r="G4134" i="5"/>
  <c r="G4135" i="5"/>
  <c r="G4136" i="5"/>
  <c r="H4132" i="5"/>
  <c r="G4141" i="5"/>
  <c r="G4142" i="5"/>
  <c r="G4143" i="5"/>
  <c r="G4144" i="5"/>
  <c r="H4140" i="5"/>
  <c r="G4149" i="5"/>
  <c r="G4150" i="5"/>
  <c r="G4151" i="5"/>
  <c r="G4152" i="5"/>
  <c r="H4148" i="5"/>
  <c r="H4156" i="5"/>
  <c r="G4161" i="5"/>
  <c r="G4162" i="5"/>
  <c r="G4163" i="5"/>
  <c r="H4160" i="5"/>
  <c r="G4168" i="5"/>
  <c r="G4169" i="5"/>
  <c r="G4170" i="5"/>
  <c r="E4171" i="5"/>
  <c r="G4171" i="5"/>
  <c r="H4167" i="5"/>
  <c r="E4179" i="5"/>
  <c r="G4179" i="5"/>
  <c r="G4180" i="5"/>
  <c r="G4181" i="5"/>
  <c r="G4182" i="5"/>
  <c r="G4183" i="5"/>
  <c r="H4178" i="5"/>
  <c r="H4189" i="5"/>
  <c r="G4194" i="5"/>
  <c r="G4195" i="5"/>
  <c r="G4196" i="5"/>
  <c r="H4193" i="5"/>
  <c r="G4201" i="5"/>
  <c r="G4202" i="5"/>
  <c r="G4203" i="5"/>
  <c r="H4200" i="5"/>
  <c r="G4208" i="5"/>
  <c r="E4209" i="5"/>
  <c r="G4209" i="5"/>
  <c r="H4207" i="5"/>
  <c r="G4214" i="5"/>
  <c r="G4215" i="5"/>
  <c r="H4213" i="5"/>
  <c r="G4220" i="5"/>
  <c r="G4221" i="5"/>
  <c r="H4219" i="5"/>
  <c r="G4226" i="5"/>
  <c r="G4227" i="5"/>
  <c r="G4228" i="5"/>
  <c r="G4229" i="5"/>
  <c r="G4230" i="5"/>
  <c r="G4231" i="5"/>
  <c r="H4225" i="5"/>
  <c r="G4236" i="5"/>
  <c r="G4237" i="5"/>
  <c r="H4235" i="5"/>
  <c r="G4242" i="5"/>
  <c r="G4243" i="5"/>
  <c r="H4241" i="5"/>
  <c r="G4250" i="5"/>
  <c r="G4251" i="5"/>
  <c r="G4252" i="5"/>
  <c r="G4253" i="5"/>
  <c r="H4249" i="5"/>
  <c r="G4258" i="5"/>
  <c r="G4259" i="5"/>
  <c r="G4260" i="5"/>
  <c r="G4261" i="5"/>
  <c r="G4262" i="5"/>
  <c r="H4257" i="5"/>
  <c r="G4267" i="5"/>
  <c r="G4268" i="5"/>
  <c r="G4269" i="5"/>
  <c r="H4266" i="5"/>
  <c r="G4274" i="5"/>
  <c r="H4273" i="5"/>
  <c r="G4279" i="5"/>
  <c r="G4280" i="5"/>
  <c r="G4281" i="5"/>
  <c r="G4282" i="5"/>
  <c r="H4278" i="5"/>
  <c r="E4287" i="5"/>
  <c r="G4287" i="5"/>
  <c r="E4288" i="5"/>
  <c r="G4288" i="5"/>
  <c r="G4289" i="5"/>
  <c r="G4290" i="5"/>
  <c r="G4291" i="5"/>
  <c r="H4286" i="5"/>
  <c r="G4296" i="5"/>
  <c r="G4297" i="5"/>
  <c r="G4298" i="5"/>
  <c r="G4299" i="5"/>
  <c r="G4300" i="5"/>
  <c r="G4301" i="5"/>
  <c r="G4302" i="5"/>
  <c r="G4303" i="5"/>
  <c r="E4304" i="5"/>
  <c r="G4304" i="5"/>
  <c r="E4305" i="5"/>
  <c r="G4305" i="5"/>
  <c r="H4295" i="5"/>
  <c r="E4339" i="5"/>
  <c r="G4339" i="5"/>
  <c r="E4340" i="5"/>
  <c r="G4340" i="5"/>
  <c r="G4341" i="5"/>
  <c r="H4338" i="5"/>
  <c r="G4346" i="5"/>
  <c r="G4347" i="5"/>
  <c r="G4348" i="5"/>
  <c r="G4349" i="5"/>
  <c r="G4350" i="5"/>
  <c r="G4351" i="5"/>
  <c r="G4352" i="5"/>
  <c r="H4345" i="5"/>
  <c r="G4357" i="5"/>
  <c r="G4358" i="5"/>
  <c r="G4359" i="5"/>
  <c r="G4360" i="5"/>
  <c r="G4361" i="5"/>
  <c r="H4356" i="5"/>
  <c r="G4366" i="5"/>
  <c r="G4367" i="5"/>
  <c r="G4368" i="5"/>
  <c r="G4369" i="5"/>
  <c r="G4370" i="5"/>
  <c r="H4365" i="5"/>
  <c r="G4375" i="5"/>
  <c r="G4376" i="5"/>
  <c r="G4377" i="5"/>
  <c r="G4378" i="5"/>
  <c r="G4379" i="5"/>
  <c r="H4374" i="5"/>
  <c r="G4384" i="5"/>
  <c r="G4385" i="5"/>
  <c r="G4386" i="5"/>
  <c r="G4387" i="5"/>
  <c r="G4388" i="5"/>
  <c r="H4383" i="5"/>
  <c r="G4393" i="5"/>
  <c r="G4394" i="5"/>
  <c r="G4395" i="5"/>
  <c r="G4396" i="5"/>
  <c r="G4397" i="5"/>
  <c r="G4398" i="5"/>
  <c r="H4392" i="5"/>
  <c r="E4403" i="5"/>
  <c r="G4403" i="5"/>
  <c r="E4404" i="5"/>
  <c r="G4404" i="5"/>
  <c r="G4405" i="5"/>
  <c r="E4406" i="5"/>
  <c r="G4406" i="5"/>
  <c r="H4402" i="5"/>
  <c r="E4411" i="5"/>
  <c r="G4411" i="5"/>
  <c r="E4412" i="5"/>
  <c r="G4412" i="5"/>
  <c r="G4413" i="5"/>
  <c r="E4414" i="5"/>
  <c r="G4414" i="5"/>
  <c r="H4410" i="5"/>
  <c r="G4419" i="5"/>
  <c r="G4420" i="5"/>
  <c r="G4421" i="5"/>
  <c r="G4422" i="5"/>
  <c r="G4423" i="5"/>
  <c r="G4424" i="5"/>
  <c r="H4418" i="5"/>
  <c r="G4429" i="5"/>
  <c r="G4430" i="5"/>
  <c r="G4431" i="5"/>
  <c r="G4432" i="5"/>
  <c r="G4433" i="5"/>
  <c r="G4434" i="5"/>
  <c r="H4428" i="5"/>
  <c r="G4439" i="5"/>
  <c r="G4440" i="5"/>
  <c r="G4441" i="5"/>
  <c r="G4442" i="5"/>
  <c r="G4443" i="5"/>
  <c r="G4444" i="5"/>
  <c r="H4438" i="5"/>
  <c r="G4449" i="5"/>
  <c r="G4450" i="5"/>
  <c r="G4451" i="5"/>
  <c r="G4452" i="5"/>
  <c r="H4448" i="5"/>
  <c r="G4457" i="5"/>
  <c r="G4458" i="5"/>
  <c r="G4459" i="5"/>
  <c r="G4460" i="5"/>
  <c r="G4461" i="5"/>
  <c r="G4462" i="5"/>
  <c r="G4463" i="5"/>
  <c r="G4464" i="5"/>
  <c r="H4456" i="5"/>
  <c r="G4469" i="5"/>
  <c r="G4470" i="5"/>
  <c r="G4471" i="5"/>
  <c r="G4472" i="5"/>
  <c r="G4473" i="5"/>
  <c r="G4474" i="5"/>
  <c r="G4475" i="5"/>
  <c r="G4476" i="5"/>
  <c r="H4468" i="5"/>
  <c r="G4481" i="5"/>
  <c r="G4482" i="5"/>
  <c r="H4480" i="5"/>
  <c r="G4487" i="5"/>
  <c r="G4488" i="5"/>
  <c r="G4489" i="5"/>
  <c r="G4490" i="5"/>
  <c r="G4491" i="5"/>
  <c r="E4492" i="5"/>
  <c r="G4492" i="5"/>
  <c r="G4493" i="5"/>
  <c r="G4494" i="5"/>
  <c r="G4495" i="5"/>
  <c r="G4496" i="5"/>
  <c r="G4497" i="5"/>
  <c r="E4498" i="5"/>
  <c r="G4498" i="5"/>
  <c r="G4499" i="5"/>
  <c r="G4500" i="5"/>
  <c r="H4486" i="5"/>
  <c r="E4507" i="5"/>
  <c r="G4507" i="5"/>
  <c r="G4508" i="5"/>
  <c r="H4506" i="5"/>
  <c r="G4515" i="5"/>
  <c r="G4516" i="5"/>
  <c r="G4517" i="5"/>
  <c r="G4518" i="5"/>
  <c r="H4514" i="5"/>
  <c r="G4523" i="5"/>
  <c r="G4524" i="5"/>
  <c r="H4522" i="5"/>
  <c r="G4529" i="5"/>
  <c r="H4528" i="5"/>
  <c r="G4534" i="5"/>
  <c r="H4533" i="5"/>
  <c r="G4539" i="5"/>
  <c r="G4540" i="5"/>
  <c r="G4541" i="5"/>
  <c r="G4542" i="5"/>
  <c r="H4538" i="5"/>
  <c r="G4547" i="5"/>
  <c r="G4548" i="5"/>
  <c r="G4549" i="5"/>
  <c r="E4550" i="5"/>
  <c r="G4550" i="5"/>
  <c r="H4546" i="5"/>
  <c r="G4555" i="5"/>
  <c r="H4554" i="5"/>
  <c r="G4560" i="5"/>
  <c r="G4561" i="5"/>
  <c r="H4559" i="5"/>
  <c r="G4566" i="5"/>
  <c r="G4567" i="5"/>
  <c r="G4568" i="5"/>
  <c r="G4569" i="5"/>
  <c r="G4570" i="5"/>
  <c r="G4571" i="5"/>
  <c r="G4572" i="5"/>
  <c r="G4573" i="5"/>
  <c r="H4565" i="5"/>
  <c r="E4578" i="5"/>
  <c r="G4578" i="5"/>
  <c r="E4579" i="5"/>
  <c r="G4579" i="5"/>
  <c r="E4580" i="5"/>
  <c r="G4580" i="5"/>
  <c r="E4581" i="5"/>
  <c r="G4581" i="5"/>
  <c r="E4582" i="5"/>
  <c r="G4582" i="5"/>
  <c r="E4583" i="5"/>
  <c r="G4583" i="5"/>
  <c r="E4584" i="5"/>
  <c r="G4584" i="5"/>
  <c r="E4585" i="5"/>
  <c r="G4585" i="5"/>
  <c r="H4577" i="5"/>
  <c r="G4590" i="5"/>
  <c r="G4591" i="5"/>
  <c r="G4592" i="5"/>
  <c r="G4593" i="5"/>
  <c r="G4594" i="5"/>
  <c r="G4595" i="5"/>
  <c r="G4596" i="5"/>
  <c r="G4597" i="5"/>
  <c r="G4598" i="5"/>
  <c r="G4599" i="5"/>
  <c r="G4600" i="5"/>
  <c r="E4601" i="5"/>
  <c r="G4601" i="5"/>
  <c r="E4602" i="5"/>
  <c r="G4602" i="5"/>
  <c r="H4589" i="5"/>
  <c r="E4609" i="5"/>
  <c r="G4609" i="5"/>
  <c r="E4610" i="5"/>
  <c r="G4610" i="5"/>
  <c r="E4611" i="5"/>
  <c r="G4611" i="5"/>
  <c r="E4612" i="5"/>
  <c r="G4612" i="5"/>
  <c r="H4608" i="5"/>
  <c r="G4617" i="5"/>
  <c r="G4618" i="5"/>
  <c r="G4619" i="5"/>
  <c r="G4620" i="5"/>
  <c r="G4621" i="5"/>
  <c r="H4616" i="5"/>
  <c r="G4626" i="5"/>
  <c r="G4627" i="5"/>
  <c r="H4625" i="5"/>
  <c r="G4634" i="5"/>
  <c r="G4635" i="5"/>
  <c r="H4633" i="5"/>
  <c r="G4640" i="5"/>
  <c r="G4641" i="5"/>
  <c r="G4642" i="5"/>
  <c r="G4643" i="5"/>
  <c r="E4644" i="5"/>
  <c r="G4644" i="5"/>
  <c r="E4645" i="5"/>
  <c r="G4645" i="5"/>
  <c r="H4639" i="5"/>
  <c r="G4652" i="5"/>
  <c r="H4651" i="5"/>
  <c r="G4660" i="5"/>
  <c r="G4661" i="5"/>
  <c r="H4659" i="5"/>
  <c r="G4666" i="5"/>
  <c r="G4667" i="5"/>
  <c r="G4668" i="5"/>
  <c r="G4669" i="5"/>
  <c r="H4665" i="5"/>
  <c r="G4674" i="5"/>
  <c r="G4675" i="5"/>
  <c r="G4676" i="5"/>
  <c r="G4677" i="5"/>
  <c r="H4673" i="5"/>
  <c r="G4682" i="5"/>
  <c r="G4683" i="5"/>
  <c r="G4684" i="5"/>
  <c r="G4685" i="5"/>
  <c r="G4686" i="5"/>
  <c r="G4687" i="5"/>
  <c r="H4681" i="5"/>
  <c r="G4692" i="5"/>
  <c r="G4693" i="5"/>
  <c r="H4691" i="5"/>
  <c r="G4698" i="5"/>
  <c r="H4697" i="5"/>
  <c r="G4706" i="5"/>
  <c r="G4707" i="5"/>
  <c r="G4708" i="5"/>
  <c r="G4709" i="5"/>
  <c r="G4710" i="5"/>
  <c r="H4705" i="5"/>
  <c r="G4715" i="5"/>
  <c r="G4716" i="5"/>
  <c r="G4717" i="5"/>
  <c r="E4718" i="5"/>
  <c r="G4718" i="5"/>
  <c r="G4719" i="5"/>
  <c r="H4714" i="5"/>
  <c r="H4726" i="5"/>
  <c r="H4730" i="5"/>
  <c r="E4737" i="5"/>
  <c r="G4737" i="5"/>
  <c r="E4738" i="5"/>
  <c r="G4738" i="5"/>
  <c r="H4736" i="5"/>
  <c r="H4744" i="5"/>
  <c r="H4748" i="5"/>
  <c r="H4752" i="5"/>
  <c r="H4756" i="5"/>
  <c r="H4760" i="5"/>
  <c r="H4764" i="5"/>
  <c r="H4768" i="5"/>
  <c r="H4772" i="5"/>
  <c r="H4776" i="5"/>
  <c r="G4781" i="5"/>
  <c r="G4782" i="5"/>
  <c r="G4783" i="5"/>
  <c r="G4784" i="5"/>
  <c r="G4785" i="5"/>
  <c r="G4786" i="5"/>
  <c r="G4787" i="5"/>
  <c r="H4780" i="5"/>
  <c r="G4792" i="5"/>
  <c r="H4791" i="5"/>
  <c r="G4797" i="5"/>
  <c r="E4798" i="5"/>
  <c r="G4798" i="5"/>
  <c r="E4799" i="5"/>
  <c r="G4799" i="5"/>
  <c r="G4800" i="5"/>
  <c r="G4801" i="5"/>
  <c r="G4802" i="5"/>
  <c r="H4796" i="5"/>
  <c r="G4807" i="5"/>
  <c r="E4808" i="5"/>
  <c r="G4808" i="5"/>
  <c r="E4809" i="5"/>
  <c r="G4809" i="5"/>
  <c r="G4810" i="5"/>
  <c r="G4811" i="5"/>
  <c r="G4812" i="5"/>
  <c r="H4806" i="5"/>
  <c r="G4817" i="5"/>
  <c r="H4816" i="5"/>
  <c r="G4822" i="5"/>
  <c r="H4821" i="5"/>
  <c r="G4827" i="5"/>
  <c r="H4826" i="5"/>
  <c r="G4832" i="5"/>
  <c r="H4831" i="5"/>
  <c r="G4840" i="5"/>
  <c r="H4839" i="5"/>
  <c r="G4848" i="5"/>
  <c r="H4847" i="5"/>
  <c r="G4856" i="5"/>
  <c r="H4855" i="5"/>
  <c r="G4864" i="5"/>
  <c r="H4863" i="5"/>
  <c r="G4872" i="5"/>
  <c r="H4871" i="5"/>
  <c r="G4880" i="5"/>
  <c r="H4879" i="5"/>
  <c r="G4888" i="5"/>
  <c r="H4887" i="5"/>
  <c r="G4896" i="5"/>
  <c r="G4897" i="5"/>
  <c r="G4898" i="5"/>
  <c r="G4899" i="5"/>
  <c r="G4900" i="5"/>
  <c r="G4901" i="5"/>
  <c r="H4895" i="5"/>
  <c r="G4906" i="5"/>
  <c r="G4907" i="5"/>
  <c r="G4908" i="5"/>
  <c r="G4909" i="5"/>
  <c r="G4910" i="5"/>
  <c r="H4905" i="5"/>
  <c r="G4915" i="5"/>
  <c r="G4916" i="5"/>
  <c r="G4917" i="5"/>
  <c r="H4914" i="5"/>
  <c r="G4922" i="5"/>
  <c r="G4923" i="5"/>
  <c r="G4924" i="5"/>
  <c r="H4921" i="5"/>
  <c r="G4929" i="5"/>
  <c r="G4930" i="5"/>
  <c r="G4931" i="5"/>
  <c r="H4928" i="5"/>
  <c r="G4936" i="5"/>
  <c r="G4937" i="5"/>
  <c r="G4938" i="5"/>
  <c r="H4935" i="5"/>
  <c r="G4943" i="5"/>
  <c r="G4944" i="5"/>
  <c r="G4945" i="5"/>
  <c r="H4942" i="5"/>
  <c r="G4950" i="5"/>
  <c r="H4949" i="5"/>
  <c r="G4955" i="5"/>
  <c r="G4956" i="5"/>
  <c r="G4957" i="5"/>
  <c r="H4954" i="5"/>
  <c r="G4962" i="5"/>
  <c r="G4963" i="5"/>
  <c r="G4964" i="5"/>
  <c r="H4961" i="5"/>
  <c r="G4969" i="5"/>
  <c r="E4970" i="5"/>
  <c r="G4970" i="5"/>
  <c r="E4971" i="5"/>
  <c r="G4971" i="5"/>
  <c r="H4968" i="5"/>
  <c r="G4976" i="5"/>
  <c r="E4977" i="5"/>
  <c r="G4977" i="5"/>
  <c r="E4978" i="5"/>
  <c r="G4978" i="5"/>
  <c r="H4975" i="5"/>
  <c r="G4983" i="5"/>
  <c r="H4982" i="5"/>
  <c r="E4988" i="5"/>
  <c r="G4988" i="5"/>
  <c r="E4989" i="5"/>
  <c r="G4989" i="5"/>
  <c r="H4987" i="5"/>
  <c r="E4994" i="5"/>
  <c r="G4994" i="5"/>
  <c r="E4995" i="5"/>
  <c r="G4995" i="5"/>
  <c r="H4993" i="5"/>
  <c r="E5000" i="5"/>
  <c r="G5000" i="5"/>
  <c r="E5001" i="5"/>
  <c r="G5001" i="5"/>
  <c r="H4999" i="5"/>
  <c r="E5006" i="5"/>
  <c r="G5006" i="5"/>
  <c r="E5007" i="5"/>
  <c r="G5007" i="5"/>
  <c r="H5005" i="5"/>
  <c r="E5012" i="5"/>
  <c r="G5012" i="5"/>
  <c r="E5013" i="5"/>
  <c r="G5013" i="5"/>
  <c r="E5014" i="5"/>
  <c r="G5014" i="5"/>
  <c r="H5011" i="5"/>
  <c r="G5019" i="5"/>
  <c r="H5018" i="5"/>
  <c r="G5024" i="5"/>
  <c r="G5025" i="5"/>
  <c r="G5026" i="5"/>
  <c r="G5027" i="5"/>
  <c r="H5023" i="5"/>
  <c r="G5032" i="5"/>
  <c r="G5033" i="5"/>
  <c r="H5031" i="5"/>
  <c r="H5037" i="5"/>
  <c r="G5042" i="5"/>
  <c r="G5043" i="5"/>
  <c r="H5041" i="5"/>
  <c r="G5048" i="5"/>
  <c r="G5049" i="5"/>
  <c r="H5047" i="5"/>
  <c r="G5054" i="5"/>
  <c r="G5055" i="5"/>
  <c r="G5056" i="5"/>
  <c r="G5057" i="5"/>
  <c r="H5053" i="5"/>
  <c r="G5062" i="5"/>
  <c r="E5063" i="5"/>
  <c r="G5063" i="5"/>
  <c r="G5064" i="5"/>
  <c r="H5061" i="5"/>
  <c r="G5069" i="5"/>
  <c r="G5070" i="5"/>
  <c r="G5071" i="5"/>
  <c r="H5068" i="5"/>
  <c r="G5076" i="5"/>
  <c r="G5077" i="5"/>
  <c r="G5078" i="5"/>
  <c r="E5079" i="5"/>
  <c r="G5079" i="5"/>
  <c r="H5075" i="5"/>
  <c r="G5084" i="5"/>
  <c r="G5085" i="5"/>
  <c r="H5083" i="5"/>
  <c r="G5090" i="5"/>
  <c r="G5091" i="5"/>
  <c r="H5089" i="5"/>
  <c r="G5096" i="5"/>
  <c r="G5097" i="5"/>
  <c r="H5095" i="5"/>
  <c r="G5102" i="5"/>
  <c r="G5103" i="5"/>
  <c r="H5101" i="5"/>
  <c r="G5108" i="5"/>
  <c r="G5109" i="5"/>
  <c r="G5110" i="5"/>
  <c r="H5107" i="5"/>
  <c r="E5115" i="5"/>
  <c r="G5115" i="5"/>
  <c r="E5116" i="5"/>
  <c r="G5116" i="5"/>
  <c r="E5117" i="5"/>
  <c r="G5117" i="5"/>
  <c r="H5114" i="5"/>
  <c r="E5122" i="5"/>
  <c r="G5122" i="5"/>
  <c r="E5123" i="5"/>
  <c r="G5123" i="5"/>
  <c r="E5124" i="5"/>
  <c r="G5124" i="5"/>
  <c r="G5125" i="5"/>
  <c r="G5126" i="5"/>
  <c r="H5121" i="5"/>
  <c r="G5133" i="5"/>
  <c r="G5134" i="5"/>
  <c r="H5132" i="5"/>
  <c r="G5139" i="5"/>
  <c r="E5140" i="5"/>
  <c r="G5140" i="5"/>
  <c r="E5141" i="5"/>
  <c r="G5141" i="5"/>
  <c r="E5142" i="5"/>
  <c r="G5142" i="5"/>
  <c r="H5138" i="5"/>
  <c r="G5147" i="5"/>
  <c r="E5148" i="5"/>
  <c r="G5148" i="5"/>
  <c r="E5149" i="5"/>
  <c r="G5149" i="5"/>
  <c r="E5150" i="5"/>
  <c r="G5150" i="5"/>
  <c r="H5146" i="5"/>
  <c r="G5155" i="5"/>
  <c r="E5156" i="5"/>
  <c r="G5156" i="5"/>
  <c r="E5157" i="5"/>
  <c r="G5157" i="5"/>
  <c r="E5158" i="5"/>
  <c r="G5158" i="5"/>
  <c r="H5154" i="5"/>
  <c r="G5163" i="5"/>
  <c r="E5164" i="5"/>
  <c r="G5164" i="5"/>
  <c r="E5165" i="5"/>
  <c r="G5165" i="5"/>
  <c r="E5166" i="5"/>
  <c r="G5166" i="5"/>
  <c r="H5162" i="5"/>
  <c r="G5171" i="5"/>
  <c r="G5172" i="5"/>
  <c r="H5170" i="5"/>
  <c r="G5177" i="5"/>
  <c r="E5178" i="5"/>
  <c r="G5178" i="5"/>
  <c r="E5179" i="5"/>
  <c r="G5179" i="5"/>
  <c r="E5180" i="5"/>
  <c r="G5180" i="5"/>
  <c r="H5176" i="5"/>
  <c r="E5185" i="5"/>
  <c r="G5185" i="5"/>
  <c r="E5186" i="5"/>
  <c r="G5186" i="5"/>
  <c r="H5184" i="5"/>
  <c r="G5191" i="5"/>
  <c r="G5192" i="5"/>
  <c r="G5193" i="5"/>
  <c r="G5194" i="5"/>
  <c r="H5190" i="5"/>
  <c r="G5199" i="5"/>
  <c r="E5200" i="5"/>
  <c r="G5200" i="5"/>
  <c r="E5201" i="5"/>
  <c r="G5201" i="5"/>
  <c r="E5202" i="5"/>
  <c r="G5202" i="5"/>
  <c r="H5198" i="5"/>
  <c r="G5207" i="5"/>
  <c r="E5208" i="5"/>
  <c r="G5208" i="5"/>
  <c r="E5209" i="5"/>
  <c r="G5209" i="5"/>
  <c r="E5210" i="5"/>
  <c r="G5210" i="5"/>
  <c r="H5206" i="5"/>
  <c r="G5215" i="5"/>
  <c r="G5216" i="5"/>
  <c r="G5217" i="5"/>
  <c r="G5218" i="5"/>
  <c r="G5219" i="5"/>
  <c r="G5220" i="5"/>
  <c r="G5221" i="5"/>
  <c r="G5222" i="5"/>
  <c r="G5223" i="5"/>
  <c r="H5214" i="5"/>
  <c r="G5230" i="5"/>
  <c r="G5231" i="5"/>
  <c r="G5232" i="5"/>
  <c r="G5233" i="5"/>
  <c r="G5234" i="5"/>
  <c r="G5235" i="5"/>
  <c r="G5236" i="5"/>
  <c r="G5237" i="5"/>
  <c r="G5238" i="5"/>
  <c r="G5240" i="5"/>
  <c r="H5229" i="5"/>
  <c r="G5245" i="5"/>
  <c r="G5246" i="5"/>
  <c r="G5247" i="5"/>
  <c r="H5244" i="5"/>
  <c r="G5252" i="5"/>
  <c r="G5253" i="5"/>
  <c r="G5254" i="5"/>
  <c r="H5251" i="5"/>
  <c r="G5259" i="5"/>
  <c r="G5260" i="5"/>
  <c r="H5258" i="5"/>
  <c r="G5265" i="5"/>
  <c r="G5266" i="5"/>
  <c r="H5264" i="5"/>
  <c r="G5271" i="5"/>
  <c r="G5272" i="5"/>
  <c r="G5273" i="5"/>
  <c r="H5270" i="5"/>
  <c r="E5278" i="5"/>
  <c r="G5278" i="5"/>
  <c r="E5279" i="5"/>
  <c r="G5279" i="5"/>
  <c r="E5280" i="5"/>
  <c r="G5280" i="5"/>
  <c r="E5281" i="5"/>
  <c r="G5281" i="5"/>
  <c r="E5282" i="5"/>
  <c r="G5282" i="5"/>
  <c r="E5283" i="5"/>
  <c r="G5283" i="5"/>
  <c r="E5284" i="5"/>
  <c r="G5284" i="5"/>
  <c r="E5285" i="5"/>
  <c r="G5285" i="5"/>
  <c r="H5277" i="5"/>
  <c r="G5290" i="5"/>
  <c r="G5291" i="5"/>
  <c r="G5292" i="5"/>
  <c r="G5293" i="5"/>
  <c r="H5289" i="5"/>
  <c r="G5304" i="5"/>
  <c r="G5305" i="5"/>
  <c r="G5306" i="5"/>
  <c r="H5303" i="5"/>
  <c r="G5311" i="5"/>
  <c r="G5312" i="5"/>
  <c r="H5310" i="5"/>
  <c r="G5317" i="5"/>
  <c r="G5318" i="5"/>
  <c r="H5316" i="5"/>
  <c r="G5323" i="5"/>
  <c r="G5324" i="5"/>
  <c r="H5322" i="5"/>
  <c r="G5329" i="5"/>
  <c r="G5330" i="5"/>
  <c r="H5328" i="5"/>
  <c r="G5335" i="5"/>
  <c r="G5336" i="5"/>
  <c r="H5334" i="5"/>
  <c r="G5341" i="5"/>
  <c r="G5342" i="5"/>
  <c r="H5340" i="5"/>
  <c r="G5347" i="5"/>
  <c r="G5348" i="5"/>
  <c r="H5346" i="5"/>
  <c r="G5353" i="5"/>
  <c r="G5354" i="5"/>
  <c r="G5355" i="5"/>
  <c r="H5352" i="5"/>
  <c r="G5360" i="5"/>
  <c r="G5361" i="5"/>
  <c r="G5362" i="5"/>
  <c r="H5359" i="5"/>
  <c r="G5367" i="5"/>
  <c r="G5368" i="5"/>
  <c r="G5369" i="5"/>
  <c r="H5366" i="5"/>
  <c r="G5374" i="5"/>
  <c r="G5375" i="5"/>
  <c r="H5373" i="5"/>
  <c r="G5380" i="5"/>
  <c r="G5381" i="5"/>
  <c r="H5379" i="5"/>
  <c r="E5386" i="5"/>
  <c r="G5386" i="5"/>
  <c r="G5387" i="5"/>
  <c r="G5388" i="5"/>
  <c r="H5385" i="5"/>
  <c r="G5393" i="5"/>
  <c r="G5394" i="5"/>
  <c r="H5392" i="5"/>
  <c r="G5399" i="5"/>
  <c r="G5400" i="5"/>
  <c r="H5398" i="5"/>
  <c r="G5405" i="5"/>
  <c r="G5406" i="5"/>
  <c r="G5407" i="5"/>
  <c r="G5408" i="5"/>
  <c r="H5404" i="5"/>
  <c r="G5413" i="5"/>
  <c r="G5414" i="5"/>
  <c r="G5415" i="5"/>
  <c r="G5416" i="5"/>
  <c r="H5412" i="5"/>
  <c r="G5421" i="5"/>
  <c r="G5422" i="5"/>
  <c r="G5423" i="5"/>
  <c r="G5424" i="5"/>
  <c r="H5420" i="5"/>
  <c r="E5452" i="5"/>
  <c r="G5452" i="5"/>
  <c r="E5453" i="5"/>
  <c r="G5453" i="5"/>
  <c r="E5454" i="5"/>
  <c r="G5454" i="5"/>
  <c r="E5455" i="5"/>
  <c r="G5455" i="5"/>
  <c r="E5456" i="5"/>
  <c r="G5456" i="5"/>
  <c r="E5457" i="5"/>
  <c r="G5457" i="5"/>
  <c r="G5458" i="5"/>
  <c r="G5459" i="5"/>
  <c r="H5451" i="5"/>
  <c r="G5464" i="5"/>
  <c r="G5465" i="5"/>
  <c r="H5463" i="5"/>
  <c r="G5470" i="5"/>
  <c r="G5471" i="5"/>
  <c r="H5469" i="5"/>
  <c r="G5476" i="5"/>
  <c r="G5477" i="5"/>
  <c r="G5478" i="5"/>
  <c r="H5475" i="5"/>
  <c r="G5495" i="5"/>
  <c r="G5496" i="5"/>
  <c r="H5494" i="5"/>
  <c r="H5500" i="5"/>
  <c r="G5505" i="5"/>
  <c r="G5506" i="5"/>
  <c r="G5507" i="5"/>
  <c r="H5504" i="5"/>
  <c r="H5511" i="5"/>
  <c r="H5515" i="5"/>
  <c r="H5521" i="5"/>
  <c r="H5527" i="5"/>
  <c r="H5533" i="5"/>
  <c r="H5539" i="5"/>
  <c r="H5545" i="5"/>
  <c r="H5551" i="5"/>
  <c r="H5557" i="5"/>
  <c r="H5563" i="5"/>
  <c r="H5569" i="5"/>
  <c r="H5575" i="5"/>
  <c r="H5581" i="5"/>
  <c r="H5587" i="5"/>
  <c r="H5593" i="5"/>
  <c r="H5599" i="5"/>
  <c r="H5605" i="5"/>
  <c r="H5611" i="5"/>
  <c r="H5617" i="5"/>
  <c r="H5623" i="5"/>
  <c r="H5629" i="5"/>
  <c r="H5635" i="5"/>
  <c r="H5639" i="5"/>
  <c r="H5643" i="5"/>
  <c r="H5647" i="5"/>
  <c r="H5651" i="5"/>
  <c r="H5655" i="5"/>
  <c r="H5659" i="5"/>
  <c r="H5663" i="5"/>
  <c r="H5667" i="5"/>
  <c r="H5671" i="5"/>
  <c r="H5675" i="5"/>
  <c r="H5679" i="5"/>
  <c r="H5683" i="5"/>
  <c r="H5687" i="5"/>
  <c r="H5691" i="5"/>
  <c r="H5695" i="5"/>
  <c r="H5699" i="5"/>
  <c r="H5703" i="5"/>
  <c r="H5707" i="5"/>
  <c r="H5711" i="5"/>
  <c r="H5715" i="5"/>
  <c r="H5719" i="5"/>
  <c r="H5723" i="5"/>
  <c r="H5727" i="5"/>
  <c r="H5731" i="5"/>
  <c r="H5735" i="5"/>
  <c r="H5739" i="5"/>
  <c r="H5743" i="5"/>
  <c r="H5747" i="5"/>
  <c r="H5751" i="5"/>
  <c r="H5755" i="5"/>
  <c r="H5759" i="5"/>
  <c r="H5763" i="5"/>
  <c r="H5767" i="5"/>
  <c r="H5771" i="5"/>
  <c r="H5775" i="5"/>
  <c r="H5779" i="5"/>
  <c r="H5783" i="5"/>
  <c r="H5787" i="5"/>
  <c r="H5791" i="5"/>
  <c r="H5795" i="5"/>
  <c r="H5799" i="5"/>
  <c r="H5803" i="5"/>
  <c r="H5807" i="5"/>
  <c r="H5811" i="5"/>
  <c r="H5815" i="5"/>
  <c r="H5819" i="5"/>
  <c r="H5823" i="5"/>
  <c r="H5827" i="5"/>
  <c r="H5831" i="5"/>
  <c r="H5835" i="5"/>
  <c r="H5839" i="5"/>
  <c r="H5843" i="5"/>
  <c r="H5847" i="5"/>
  <c r="H5851" i="5"/>
  <c r="H5855" i="5"/>
  <c r="H5859" i="5"/>
  <c r="H5863" i="5"/>
  <c r="H5867" i="5"/>
  <c r="H5871" i="5"/>
  <c r="H5875" i="5"/>
  <c r="H5879" i="5"/>
  <c r="H5883" i="5"/>
  <c r="H5887" i="5"/>
  <c r="H5891" i="5"/>
  <c r="H5895" i="5"/>
  <c r="H5899" i="5"/>
  <c r="H5903" i="5"/>
  <c r="H5907" i="5"/>
  <c r="H5911" i="5"/>
  <c r="H5915" i="5"/>
  <c r="H5919" i="5"/>
  <c r="H5923" i="5"/>
  <c r="H5927" i="5"/>
  <c r="H5931" i="5"/>
  <c r="H5935" i="5"/>
  <c r="H5939" i="5"/>
  <c r="H5943" i="5"/>
  <c r="H5947" i="5"/>
  <c r="H5951" i="5"/>
  <c r="H5955" i="5"/>
  <c r="H5959" i="5"/>
  <c r="H5963" i="5"/>
  <c r="H5967" i="5"/>
  <c r="H5971" i="5"/>
  <c r="H5975" i="5"/>
  <c r="H5979" i="5"/>
  <c r="H5983" i="5"/>
  <c r="H5987" i="5"/>
  <c r="H5991" i="5"/>
  <c r="H5995" i="5"/>
  <c r="H5999" i="5"/>
  <c r="H6003" i="5"/>
  <c r="H6007" i="5"/>
  <c r="H6011" i="5"/>
  <c r="H6015" i="5"/>
  <c r="H6019" i="5"/>
  <c r="H6023" i="5"/>
  <c r="H6027" i="5"/>
  <c r="H6031" i="5"/>
  <c r="H6035" i="5"/>
  <c r="H6039" i="5"/>
  <c r="H6043" i="5"/>
  <c r="H6047" i="5"/>
  <c r="H6051" i="5"/>
  <c r="H6055" i="5"/>
  <c r="H6059" i="5"/>
  <c r="H6063" i="5"/>
  <c r="H6067" i="5"/>
  <c r="H6071" i="5"/>
  <c r="I52" i="21"/>
  <c r="F7" i="21"/>
  <c r="F8" i="21"/>
  <c r="F9" i="21"/>
  <c r="F13" i="21"/>
  <c r="F14" i="21"/>
  <c r="F15" i="21"/>
  <c r="F16" i="21"/>
  <c r="F17" i="21"/>
  <c r="F18" i="21"/>
  <c r="F19" i="21"/>
  <c r="F20" i="21"/>
  <c r="F21" i="21"/>
  <c r="F22" i="21"/>
  <c r="F23" i="21"/>
  <c r="F24" i="21"/>
  <c r="F25" i="21"/>
  <c r="F26" i="21"/>
  <c r="F27" i="21"/>
  <c r="F28" i="21"/>
  <c r="F29" i="21"/>
  <c r="F30" i="21"/>
  <c r="F31" i="21"/>
  <c r="F32" i="21"/>
  <c r="F33" i="21"/>
  <c r="F34" i="21"/>
  <c r="F35" i="21"/>
  <c r="F36" i="21"/>
  <c r="F37" i="21"/>
  <c r="F38" i="21"/>
  <c r="F39" i="21"/>
  <c r="F40" i="21"/>
  <c r="F41" i="21"/>
  <c r="F42" i="21"/>
  <c r="F43" i="21"/>
  <c r="F44" i="21"/>
  <c r="F45" i="21"/>
  <c r="F46" i="21"/>
  <c r="F47" i="21"/>
  <c r="F48" i="21"/>
  <c r="F49" i="21"/>
  <c r="I51" i="21"/>
  <c r="E492" i="5"/>
  <c r="E519" i="5"/>
  <c r="E527" i="5"/>
  <c r="E571" i="5"/>
  <c r="E581" i="5"/>
  <c r="E598" i="5"/>
  <c r="E608" i="5"/>
  <c r="E670" i="5"/>
  <c r="E680" i="5"/>
  <c r="E698" i="5"/>
  <c r="E708" i="5"/>
  <c r="E738" i="5"/>
  <c r="E751" i="5"/>
  <c r="E3501" i="5"/>
  <c r="E3751" i="5"/>
  <c r="E3840" i="5"/>
  <c r="E3857" i="5"/>
  <c r="E3954" i="5"/>
  <c r="E4627" i="5"/>
  <c r="E4787" i="5"/>
  <c r="F341" i="6"/>
  <c r="F342" i="6"/>
  <c r="F343" i="6"/>
  <c r="F344" i="6"/>
  <c r="G341" i="6"/>
  <c r="F19" i="7"/>
  <c r="F20" i="7"/>
  <c r="F21" i="7"/>
  <c r="F22" i="7"/>
  <c r="G19" i="7"/>
  <c r="E6216" i="5"/>
  <c r="F23" i="6"/>
  <c r="F24" i="6"/>
  <c r="F25" i="6"/>
  <c r="G23" i="6"/>
  <c r="F40" i="6"/>
  <c r="F41" i="6"/>
  <c r="F42" i="6"/>
  <c r="F43" i="6"/>
  <c r="F44" i="6"/>
  <c r="F45" i="6"/>
  <c r="F46" i="6"/>
  <c r="G40" i="6"/>
  <c r="F81" i="6"/>
  <c r="F82" i="6"/>
  <c r="F83" i="6"/>
  <c r="F84" i="6"/>
  <c r="G81" i="6"/>
  <c r="F138" i="6"/>
  <c r="F139" i="6"/>
  <c r="F140" i="6"/>
  <c r="G138" i="6"/>
  <c r="F268" i="6"/>
  <c r="F269" i="6"/>
  <c r="F270" i="6"/>
  <c r="F271" i="6"/>
  <c r="F272" i="6"/>
  <c r="G268" i="6"/>
  <c r="F597" i="6"/>
  <c r="F598" i="6"/>
  <c r="G597" i="6"/>
  <c r="G7278" i="5"/>
  <c r="G7273" i="5"/>
  <c r="G7268" i="5"/>
  <c r="G7250" i="5"/>
  <c r="G6485" i="5"/>
  <c r="G6478" i="5"/>
  <c r="G6420" i="5"/>
  <c r="G6394" i="5"/>
  <c r="G6379" i="5"/>
  <c r="G6376" i="5"/>
  <c r="G6357" i="5"/>
  <c r="G6354" i="5"/>
  <c r="G6353" i="5"/>
  <c r="G6352" i="5"/>
  <c r="G6336" i="5"/>
  <c r="G6335" i="5"/>
  <c r="G6331" i="5"/>
  <c r="G6320" i="5"/>
  <c r="G6319" i="5"/>
  <c r="G6318" i="5"/>
  <c r="G6317" i="5"/>
  <c r="G6283" i="5"/>
  <c r="G6282" i="5"/>
  <c r="G6261" i="5"/>
  <c r="G6260" i="5"/>
  <c r="G6216" i="5"/>
  <c r="G6189" i="5"/>
  <c r="G6178" i="5"/>
  <c r="G6159" i="5"/>
  <c r="G6158" i="5"/>
  <c r="G6157" i="5"/>
  <c r="D639" i="6"/>
  <c r="D640" i="6"/>
  <c r="D422" i="6"/>
  <c r="D423" i="6"/>
  <c r="D334" i="6"/>
  <c r="D335" i="6"/>
  <c r="D434" i="6"/>
  <c r="D435" i="6"/>
  <c r="D104" i="7"/>
  <c r="D105" i="7"/>
  <c r="D498" i="6"/>
  <c r="D499" i="6"/>
  <c r="D322" i="6"/>
  <c r="D323" i="6"/>
  <c r="D11" i="6"/>
  <c r="D12" i="6"/>
  <c r="D56" i="6"/>
  <c r="D57" i="6"/>
  <c r="D151" i="6"/>
  <c r="D152" i="6"/>
  <c r="D74" i="6"/>
  <c r="D75" i="6"/>
  <c r="D91" i="6"/>
  <c r="D92" i="6"/>
  <c r="D261" i="6"/>
  <c r="D262" i="6"/>
  <c r="D251" i="6"/>
  <c r="D252" i="6"/>
  <c r="D163" i="6"/>
  <c r="D164" i="6"/>
  <c r="D90" i="7"/>
  <c r="D91" i="7"/>
  <c r="D467" i="6"/>
  <c r="D468" i="6"/>
  <c r="H6075" i="5"/>
  <c r="H6083" i="5"/>
  <c r="H6079" i="5"/>
  <c r="H6091" i="5"/>
  <c r="H6095" i="5"/>
  <c r="H6099" i="5"/>
  <c r="H6103" i="5"/>
  <c r="H6107" i="5"/>
  <c r="H6111" i="5"/>
  <c r="H6115" i="5"/>
  <c r="H6119" i="5"/>
  <c r="H6123" i="5"/>
  <c r="H6127" i="5"/>
  <c r="H6131" i="5"/>
  <c r="H6135" i="5"/>
  <c r="H6139" i="5"/>
  <c r="H6143" i="5"/>
  <c r="H6147" i="5"/>
  <c r="H6151" i="5"/>
  <c r="G6156" i="5"/>
  <c r="H6155" i="5"/>
  <c r="H6163" i="5"/>
  <c r="H6167" i="5"/>
  <c r="H6171" i="5"/>
  <c r="E6176" i="5"/>
  <c r="G6176" i="5"/>
  <c r="G6177" i="5"/>
  <c r="G6179" i="5"/>
  <c r="G6180" i="5"/>
  <c r="G6181" i="5"/>
  <c r="G6182" i="5"/>
  <c r="H6175" i="5"/>
  <c r="G6187" i="5"/>
  <c r="G6188" i="5"/>
  <c r="G6190" i="5"/>
  <c r="G6191" i="5"/>
  <c r="G6192" i="5"/>
  <c r="G6193" i="5"/>
  <c r="H6186" i="5"/>
  <c r="G6198" i="5"/>
  <c r="G6199" i="5"/>
  <c r="G6200" i="5"/>
  <c r="H6197" i="5"/>
  <c r="G6205" i="5"/>
  <c r="H6204" i="5"/>
  <c r="G6210" i="5"/>
  <c r="H6209" i="5"/>
  <c r="G6215" i="5"/>
  <c r="H6214" i="5"/>
  <c r="G6223" i="5"/>
  <c r="G6224" i="5"/>
  <c r="G6225" i="5"/>
  <c r="G6226" i="5"/>
  <c r="H6222" i="5"/>
  <c r="D222" i="6"/>
  <c r="D223" i="6"/>
  <c r="G6231" i="5"/>
  <c r="G6232" i="5"/>
  <c r="G6233" i="5"/>
  <c r="G6234" i="5"/>
  <c r="G6235" i="5"/>
  <c r="H6230" i="5"/>
  <c r="G6240" i="5"/>
  <c r="G6241" i="5"/>
  <c r="G6242" i="5"/>
  <c r="H6239" i="5"/>
  <c r="G6247" i="5"/>
  <c r="G6248" i="5"/>
  <c r="H6246" i="5"/>
  <c r="G6253" i="5"/>
  <c r="G6254" i="5"/>
  <c r="G6255" i="5"/>
  <c r="H6252" i="5"/>
  <c r="H6259" i="5"/>
  <c r="G6266" i="5"/>
  <c r="G6267" i="5"/>
  <c r="H6265" i="5"/>
  <c r="G6272" i="5"/>
  <c r="G6273" i="5"/>
  <c r="G6274" i="5"/>
  <c r="G6275" i="5"/>
  <c r="G6276" i="5"/>
  <c r="H6271" i="5"/>
  <c r="G6281" i="5"/>
  <c r="G6284" i="5"/>
  <c r="G6285" i="5"/>
  <c r="G6286" i="5"/>
  <c r="G6287" i="5"/>
  <c r="H6280" i="5"/>
  <c r="G6292" i="5"/>
  <c r="G6293" i="5"/>
  <c r="G6294" i="5"/>
  <c r="G6295" i="5"/>
  <c r="H6291" i="5"/>
  <c r="G6300" i="5"/>
  <c r="G6301" i="5"/>
  <c r="G6302" i="5"/>
  <c r="G6303" i="5"/>
  <c r="H6299" i="5"/>
  <c r="G6308" i="5"/>
  <c r="G6309" i="5"/>
  <c r="G6310" i="5"/>
  <c r="G6311" i="5"/>
  <c r="G6312" i="5"/>
  <c r="H6307" i="5"/>
  <c r="G6321" i="5"/>
  <c r="G6322" i="5"/>
  <c r="D590" i="6"/>
  <c r="D591" i="6"/>
  <c r="G6323" i="5"/>
  <c r="H6316" i="5"/>
  <c r="G6328" i="5"/>
  <c r="G6329" i="5"/>
  <c r="G6330" i="5"/>
  <c r="G6332" i="5"/>
  <c r="G6333" i="5"/>
  <c r="G6334" i="5"/>
  <c r="G6337" i="5"/>
  <c r="G6338" i="5"/>
  <c r="G6339" i="5"/>
  <c r="G6340" i="5"/>
  <c r="D119" i="7"/>
  <c r="D120" i="7"/>
  <c r="G6341" i="5"/>
  <c r="G6342" i="5"/>
  <c r="G6343" i="5"/>
  <c r="G6344" i="5"/>
  <c r="G6345" i="5"/>
  <c r="G6346" i="5"/>
  <c r="G6347" i="5"/>
  <c r="H6327" i="5"/>
  <c r="G6355" i="5"/>
  <c r="G6356" i="5"/>
  <c r="H6351" i="5"/>
  <c r="G6362" i="5"/>
  <c r="G6363" i="5"/>
  <c r="G6364" i="5"/>
  <c r="G6365" i="5"/>
  <c r="G6366" i="5"/>
  <c r="H6361" i="5"/>
  <c r="G6371" i="5"/>
  <c r="H6370" i="5"/>
  <c r="G6377" i="5"/>
  <c r="G6378" i="5"/>
  <c r="G6380" i="5"/>
  <c r="G6381" i="5"/>
  <c r="G6382" i="5"/>
  <c r="G6383" i="5"/>
  <c r="D509" i="6"/>
  <c r="D510" i="6"/>
  <c r="G6384" i="5"/>
  <c r="G6385" i="5"/>
  <c r="H6375" i="5"/>
  <c r="G6390" i="5"/>
  <c r="G6391" i="5"/>
  <c r="G6392" i="5"/>
  <c r="E6393" i="5"/>
  <c r="G6393" i="5"/>
  <c r="G6395" i="5"/>
  <c r="G6396" i="5"/>
  <c r="E6397" i="5"/>
  <c r="G6397" i="5"/>
  <c r="G6398" i="5"/>
  <c r="H6389" i="5"/>
  <c r="G6405" i="5"/>
  <c r="E6406" i="5"/>
  <c r="G6406" i="5"/>
  <c r="E6407" i="5"/>
  <c r="G6407" i="5"/>
  <c r="H6404" i="5"/>
  <c r="G6412" i="5"/>
  <c r="G6413" i="5"/>
  <c r="H6411" i="5"/>
  <c r="G6418" i="5"/>
  <c r="G6419" i="5"/>
  <c r="H6417" i="5"/>
  <c r="H6424" i="5"/>
  <c r="G6429" i="5"/>
  <c r="H6428" i="5"/>
  <c r="H6433" i="5"/>
  <c r="H6437" i="5"/>
  <c r="G6442" i="5"/>
  <c r="H6441" i="5"/>
  <c r="G6447" i="5"/>
  <c r="H6446" i="5"/>
  <c r="G6452" i="5"/>
  <c r="H6451" i="5"/>
  <c r="G6457" i="5"/>
  <c r="G6458" i="5"/>
  <c r="G6459" i="5"/>
  <c r="H6456" i="5"/>
  <c r="G6464" i="5"/>
  <c r="H6463" i="5"/>
  <c r="G6469" i="5"/>
  <c r="G6470" i="5"/>
  <c r="G6471" i="5"/>
  <c r="G6472" i="5"/>
  <c r="G6473" i="5"/>
  <c r="H6468" i="5"/>
  <c r="G6479" i="5"/>
  <c r="G6480" i="5"/>
  <c r="H6477" i="5"/>
  <c r="G6486" i="5"/>
  <c r="G6487" i="5"/>
  <c r="H6484" i="5"/>
  <c r="G6492" i="5"/>
  <c r="G6493" i="5"/>
  <c r="G6494" i="5"/>
  <c r="H6491" i="5"/>
  <c r="G6499" i="5"/>
  <c r="G6500" i="5"/>
  <c r="G6501" i="5"/>
  <c r="H6498" i="5"/>
  <c r="G6506" i="5"/>
  <c r="G6507" i="5"/>
  <c r="G6508" i="5"/>
  <c r="H6505" i="5"/>
  <c r="H6512" i="5"/>
  <c r="H6516" i="5"/>
  <c r="H6520" i="5"/>
  <c r="H6524" i="5"/>
  <c r="H6528" i="5"/>
  <c r="H6532" i="5"/>
  <c r="H6536" i="5"/>
  <c r="H6540" i="5"/>
  <c r="H6544" i="5"/>
  <c r="H6548" i="5"/>
  <c r="H6552" i="5"/>
  <c r="H6556" i="5"/>
  <c r="H6560" i="5"/>
  <c r="H6564" i="5"/>
  <c r="H6568" i="5"/>
  <c r="H6572" i="5"/>
  <c r="H6576" i="5"/>
  <c r="H6580" i="5"/>
  <c r="H6584" i="5"/>
  <c r="H6588" i="5"/>
  <c r="H6592" i="5"/>
  <c r="H6596" i="5"/>
  <c r="H6600" i="5"/>
  <c r="H6604" i="5"/>
  <c r="H6608" i="5"/>
  <c r="H6612" i="5"/>
  <c r="H6616" i="5"/>
  <c r="H6620" i="5"/>
  <c r="H6624" i="5"/>
  <c r="H6628" i="5"/>
  <c r="H6632" i="5"/>
  <c r="H6636" i="5"/>
  <c r="H6640" i="5"/>
  <c r="H6644" i="5"/>
  <c r="H6648" i="5"/>
  <c r="H6652" i="5"/>
  <c r="H6656" i="5"/>
  <c r="H6660" i="5"/>
  <c r="H6664" i="5"/>
  <c r="H6668" i="5"/>
  <c r="H6672" i="5"/>
  <c r="H6676" i="5"/>
  <c r="H6680" i="5"/>
  <c r="H6684" i="5"/>
  <c r="H6688" i="5"/>
  <c r="H6692" i="5"/>
  <c r="H6696" i="5"/>
  <c r="H6700" i="5"/>
  <c r="H6704" i="5"/>
  <c r="H6708" i="5"/>
  <c r="H6712" i="5"/>
  <c r="H6716" i="5"/>
  <c r="H6720" i="5"/>
  <c r="H6724" i="5"/>
  <c r="H6728" i="5"/>
  <c r="H6732" i="5"/>
  <c r="H6736" i="5"/>
  <c r="H6740" i="5"/>
  <c r="H6744" i="5"/>
  <c r="H6748" i="5"/>
  <c r="H6752" i="5"/>
  <c r="H6756" i="5"/>
  <c r="H6760" i="5"/>
  <c r="H6764" i="5"/>
  <c r="H6768" i="5"/>
  <c r="H6772" i="5"/>
  <c r="H6776" i="5"/>
  <c r="H6780" i="5"/>
  <c r="H6784" i="5"/>
  <c r="H6788" i="5"/>
  <c r="H6792" i="5"/>
  <c r="H6796" i="5"/>
  <c r="H6800" i="5"/>
  <c r="H6804" i="5"/>
  <c r="H6808" i="5"/>
  <c r="H6812" i="5"/>
  <c r="H6816" i="5"/>
  <c r="H6820" i="5"/>
  <c r="H6824" i="5"/>
  <c r="H6828" i="5"/>
  <c r="H6832" i="5"/>
  <c r="H6836" i="5"/>
  <c r="H6840" i="5"/>
  <c r="H6844" i="5"/>
  <c r="H6848" i="5"/>
  <c r="H6852" i="5"/>
  <c r="H6856" i="5"/>
  <c r="H6860" i="5"/>
  <c r="H6864" i="5"/>
  <c r="H6868" i="5"/>
  <c r="H6872" i="5"/>
  <c r="H6876" i="5"/>
  <c r="H6880" i="5"/>
  <c r="H6884" i="5"/>
  <c r="H6888" i="5"/>
  <c r="H6892" i="5"/>
  <c r="H6896" i="5"/>
  <c r="H6900" i="5"/>
  <c r="H6904" i="5"/>
  <c r="H6908" i="5"/>
  <c r="H6912" i="5"/>
  <c r="H6916" i="5"/>
  <c r="H6920" i="5"/>
  <c r="H6924" i="5"/>
  <c r="H6928" i="5"/>
  <c r="H6932" i="5"/>
  <c r="H6936" i="5"/>
  <c r="H6940" i="5"/>
  <c r="H6944" i="5"/>
  <c r="H6948" i="5"/>
  <c r="H6952" i="5"/>
  <c r="H6956" i="5"/>
  <c r="H6960" i="5"/>
  <c r="H6964" i="5"/>
  <c r="H6968" i="5"/>
  <c r="H6972" i="5"/>
  <c r="H6976" i="5"/>
  <c r="H6980" i="5"/>
  <c r="H6984" i="5"/>
  <c r="H6988" i="5"/>
  <c r="H6992" i="5"/>
  <c r="H6996" i="5"/>
  <c r="H7000" i="5"/>
  <c r="H7004" i="5"/>
  <c r="H7008" i="5"/>
  <c r="H7012" i="5"/>
  <c r="H7016" i="5"/>
  <c r="H7020" i="5"/>
  <c r="H7024" i="5"/>
  <c r="H7028" i="5"/>
  <c r="H7032" i="5"/>
  <c r="H7036" i="5"/>
  <c r="H7040" i="5"/>
  <c r="H7044" i="5"/>
  <c r="H7048" i="5"/>
  <c r="H7052" i="5"/>
  <c r="H7056" i="5"/>
  <c r="H7060" i="5"/>
  <c r="H7064" i="5"/>
  <c r="H7068" i="5"/>
  <c r="H7072" i="5"/>
  <c r="H7076" i="5"/>
  <c r="H7080" i="5"/>
  <c r="H7084" i="5"/>
  <c r="H7088" i="5"/>
  <c r="H7092" i="5"/>
  <c r="H7096" i="5"/>
  <c r="H7100" i="5"/>
  <c r="H7104" i="5"/>
  <c r="H7108" i="5"/>
  <c r="H7112" i="5"/>
  <c r="H7116" i="5"/>
  <c r="H7120" i="5"/>
  <c r="H7124" i="5"/>
  <c r="H7128" i="5"/>
  <c r="H7132" i="5"/>
  <c r="H7136" i="5"/>
  <c r="H7140" i="5"/>
  <c r="H7144" i="5"/>
  <c r="H7148" i="5"/>
  <c r="H7152" i="5"/>
  <c r="H7156" i="5"/>
  <c r="H7160" i="5"/>
  <c r="H7164" i="5"/>
  <c r="H7168" i="5"/>
  <c r="H7172" i="5"/>
  <c r="H7178" i="5"/>
  <c r="H7184" i="5"/>
  <c r="H7190" i="5"/>
  <c r="H7196" i="5"/>
  <c r="H7202" i="5"/>
  <c r="H7208" i="5"/>
  <c r="H7214" i="5"/>
  <c r="H7220" i="5"/>
  <c r="H7226" i="5"/>
  <c r="H7232" i="5"/>
  <c r="H7236" i="5"/>
  <c r="H7240" i="5"/>
  <c r="H7244" i="5"/>
  <c r="G7249" i="5"/>
  <c r="H7248" i="5"/>
  <c r="G7255" i="5"/>
  <c r="G7256" i="5"/>
  <c r="H7254" i="5"/>
  <c r="G7261" i="5"/>
  <c r="G7262" i="5"/>
  <c r="G7263" i="5"/>
  <c r="H7260" i="5"/>
  <c r="H7267" i="5"/>
  <c r="H7272" i="5"/>
  <c r="H7277" i="5"/>
  <c r="H7282" i="5"/>
  <c r="H7286" i="5"/>
  <c r="H7290" i="5"/>
  <c r="H7294" i="5"/>
  <c r="H7298" i="5"/>
  <c r="H7302" i="5"/>
  <c r="H7306" i="5"/>
  <c r="H7310" i="5"/>
  <c r="H7314" i="5"/>
  <c r="H7318" i="5"/>
  <c r="H7326" i="5"/>
  <c r="H7330" i="5"/>
  <c r="H7334" i="5"/>
  <c r="H7338" i="5"/>
  <c r="G7343" i="5"/>
  <c r="G7344" i="5"/>
  <c r="G7345" i="5"/>
  <c r="H7342" i="5"/>
  <c r="E1540" i="5"/>
  <c r="E2250" i="5"/>
  <c r="E2266" i="5"/>
  <c r="E2276" i="5"/>
  <c r="E2286" i="5"/>
  <c r="E2296" i="5"/>
  <c r="E2306" i="5"/>
  <c r="E3526" i="5"/>
  <c r="E3568" i="5"/>
  <c r="E3944" i="5"/>
  <c r="E6182" i="5"/>
  <c r="E6193" i="5"/>
  <c r="E6398" i="5"/>
  <c r="G5437" i="5"/>
  <c r="G7462" i="5"/>
  <c r="G7458" i="5"/>
  <c r="G7457" i="5"/>
  <c r="F665" i="6"/>
  <c r="F661" i="6"/>
  <c r="F654" i="6"/>
  <c r="F651" i="6"/>
  <c r="F649" i="6"/>
  <c r="F644" i="6"/>
  <c r="F655" i="6"/>
  <c r="F659" i="6"/>
  <c r="F645" i="6"/>
  <c r="F656" i="6"/>
  <c r="F650" i="6"/>
  <c r="F660" i="6"/>
  <c r="G5438" i="5"/>
  <c r="G5427" i="5"/>
  <c r="G7449" i="5"/>
  <c r="G7444" i="5"/>
  <c r="G7448" i="5"/>
  <c r="G7445" i="5"/>
  <c r="G6" i="5"/>
  <c r="G23" i="5"/>
  <c r="G52" i="5"/>
  <c r="G59" i="5"/>
  <c r="G69" i="5"/>
  <c r="G116" i="5"/>
  <c r="G139" i="5"/>
  <c r="G149" i="5"/>
  <c r="G154" i="5"/>
  <c r="G161" i="5"/>
  <c r="G166" i="5"/>
  <c r="G219" i="5"/>
  <c r="G232" i="5"/>
  <c r="G236" i="5"/>
  <c r="G268" i="5"/>
  <c r="G276" i="5"/>
  <c r="G283" i="5"/>
  <c r="G290" i="5"/>
  <c r="G305" i="5"/>
  <c r="G341" i="5"/>
  <c r="G365" i="5"/>
  <c r="G371" i="5"/>
  <c r="G380" i="5"/>
  <c r="G394" i="5"/>
  <c r="G401" i="5"/>
  <c r="G422" i="5"/>
  <c r="G434" i="5"/>
  <c r="G440" i="5"/>
  <c r="G454" i="5"/>
  <c r="G483" i="5"/>
  <c r="G489" i="5"/>
  <c r="G497" i="5"/>
  <c r="G504" i="5"/>
  <c r="G511" i="5"/>
  <c r="G517" i="5"/>
  <c r="G524" i="5"/>
  <c r="G531" i="5"/>
  <c r="G537" i="5"/>
  <c r="G545" i="5"/>
  <c r="G553" i="5"/>
  <c r="G561" i="5"/>
  <c r="G569" i="5"/>
  <c r="G579" i="5"/>
  <c r="G588" i="5"/>
  <c r="G596" i="5"/>
  <c r="G606" i="5"/>
  <c r="G615" i="5"/>
  <c r="G621" i="5"/>
  <c r="G637" i="5"/>
  <c r="G660" i="5"/>
  <c r="G664" i="5"/>
  <c r="G668" i="5"/>
  <c r="G676" i="5"/>
  <c r="G686" i="5"/>
  <c r="G696" i="5"/>
  <c r="G704" i="5"/>
  <c r="G723" i="5"/>
  <c r="G730" i="5"/>
  <c r="G736" i="5"/>
  <c r="G755" i="5"/>
  <c r="G766" i="5"/>
  <c r="G790" i="5"/>
  <c r="G804" i="5"/>
  <c r="G814" i="5"/>
  <c r="G823" i="5"/>
  <c r="G832" i="5"/>
  <c r="G875" i="5"/>
  <c r="G883" i="5"/>
  <c r="G913" i="5"/>
  <c r="G922" i="5"/>
  <c r="G929" i="5"/>
  <c r="G938" i="5"/>
  <c r="G947" i="5"/>
  <c r="G953" i="5"/>
  <c r="G959" i="5"/>
  <c r="G966" i="5"/>
  <c r="G973" i="5"/>
  <c r="G980" i="5"/>
  <c r="G991" i="5"/>
  <c r="G1026" i="5"/>
  <c r="G1036" i="5"/>
  <c r="G1045" i="5"/>
  <c r="G1052" i="5"/>
  <c r="G1059" i="5"/>
  <c r="G1066" i="5"/>
  <c r="G1090" i="5"/>
  <c r="G1108" i="5"/>
  <c r="G1132" i="5"/>
  <c r="G1137" i="5"/>
  <c r="G1144" i="5"/>
  <c r="G1158" i="5"/>
  <c r="G1172" i="5"/>
  <c r="G1179" i="5"/>
  <c r="G1193" i="5"/>
  <c r="G1200" i="5"/>
  <c r="G1207" i="5"/>
  <c r="G1214" i="5"/>
  <c r="G1245" i="5"/>
  <c r="G1259" i="5"/>
  <c r="G1300" i="5"/>
  <c r="G1317" i="5"/>
  <c r="G1323" i="5"/>
  <c r="G1329" i="5"/>
  <c r="G1335" i="5"/>
  <c r="G1348" i="5"/>
  <c r="G1354" i="5"/>
  <c r="G1361" i="5"/>
  <c r="G1367" i="5"/>
  <c r="G1380" i="5"/>
  <c r="G1386" i="5"/>
  <c r="G1526" i="5"/>
  <c r="G1534" i="5"/>
  <c r="G1542" i="5"/>
  <c r="G1550" i="5"/>
  <c r="G1557" i="5"/>
  <c r="G1593" i="5"/>
  <c r="G1599" i="5"/>
  <c r="G1640" i="5"/>
  <c r="G1646" i="5"/>
  <c r="G1652" i="5"/>
  <c r="G1685" i="5"/>
  <c r="G1699" i="5"/>
  <c r="G1705" i="5"/>
  <c r="G1713" i="5"/>
  <c r="G1724" i="5"/>
  <c r="G1735" i="5"/>
  <c r="G1746" i="5"/>
  <c r="G1757" i="5"/>
  <c r="G1771" i="5"/>
  <c r="G1785" i="5"/>
  <c r="G1792" i="5"/>
  <c r="G1799" i="5"/>
  <c r="G1806" i="5"/>
  <c r="G1964" i="5"/>
  <c r="G1971" i="5"/>
  <c r="G1978" i="5"/>
  <c r="G1986" i="5"/>
  <c r="G2008" i="5"/>
  <c r="G2015" i="5"/>
  <c r="G2036" i="5"/>
  <c r="G2044" i="5"/>
  <c r="G2052" i="5"/>
  <c r="G2068" i="5"/>
  <c r="G2076" i="5"/>
  <c r="G2084" i="5"/>
  <c r="G2092" i="5"/>
  <c r="G2100" i="5"/>
  <c r="G2128" i="5"/>
  <c r="G2134" i="5"/>
  <c r="G2140" i="5"/>
  <c r="G2146" i="5"/>
  <c r="G2154" i="5"/>
  <c r="G2170" i="5"/>
  <c r="G2178" i="5"/>
  <c r="G2186" i="5"/>
  <c r="G2194" i="5"/>
  <c r="G2202" i="5"/>
  <c r="G2241" i="5"/>
  <c r="G2261" i="5"/>
  <c r="G2271" i="5"/>
  <c r="G2281" i="5"/>
  <c r="G2301" i="5"/>
  <c r="G2311" i="5"/>
  <c r="G2318" i="5"/>
  <c r="G2325" i="5"/>
  <c r="G2331" i="5"/>
  <c r="G2337" i="5"/>
  <c r="G2349" i="5"/>
  <c r="G2364" i="5"/>
  <c r="G2370" i="5"/>
  <c r="G2385" i="5"/>
  <c r="G2391" i="5"/>
  <c r="G2412" i="5"/>
  <c r="G2416" i="5"/>
  <c r="G2424" i="5"/>
  <c r="G2428" i="5"/>
  <c r="G2432" i="5"/>
  <c r="G2436" i="5"/>
  <c r="G2440" i="5"/>
  <c r="G2444" i="5"/>
  <c r="G2448" i="5"/>
  <c r="G2452" i="5"/>
  <c r="G2456" i="5"/>
  <c r="G2464" i="5"/>
  <c r="G2468" i="5"/>
  <c r="G2476" i="5"/>
  <c r="G2480" i="5"/>
  <c r="G2504" i="5"/>
  <c r="G2552" i="5"/>
  <c r="G2604" i="5"/>
  <c r="G2612" i="5"/>
  <c r="G2640" i="5"/>
  <c r="G2644" i="5"/>
  <c r="G2656" i="5"/>
  <c r="G2660" i="5"/>
  <c r="G2724" i="5"/>
  <c r="G2728" i="5"/>
  <c r="G2732" i="5"/>
  <c r="G2736" i="5"/>
  <c r="G2740" i="5"/>
  <c r="G2744" i="5"/>
  <c r="G2756" i="5"/>
  <c r="G2760" i="5"/>
  <c r="G2764" i="5"/>
  <c r="G2768" i="5"/>
  <c r="G2772" i="5"/>
  <c r="G2776" i="5"/>
  <c r="G2785" i="5"/>
  <c r="G2883" i="5"/>
  <c r="G2995" i="5"/>
  <c r="G3075" i="5"/>
  <c r="G3088" i="5"/>
  <c r="G3141" i="5"/>
  <c r="G3181" i="5"/>
  <c r="G3190" i="5"/>
  <c r="G3211" i="5"/>
  <c r="G3215" i="5"/>
  <c r="G3222" i="5"/>
  <c r="G3241" i="5"/>
  <c r="G3253" i="5"/>
  <c r="G3268" i="5"/>
  <c r="G3275" i="5"/>
  <c r="G3282" i="5"/>
  <c r="G3289" i="5"/>
  <c r="G3296" i="5"/>
  <c r="G3303" i="5"/>
  <c r="G3310" i="5"/>
  <c r="G3317" i="5"/>
  <c r="G3324" i="5"/>
  <c r="G3331" i="5"/>
  <c r="G3338" i="5"/>
  <c r="G3344" i="5"/>
  <c r="G3350" i="5"/>
  <c r="G3364" i="5"/>
  <c r="G3371" i="5"/>
  <c r="G3378" i="5"/>
  <c r="G3385" i="5"/>
  <c r="G3389" i="5"/>
  <c r="G3393" i="5"/>
  <c r="G3413" i="5"/>
  <c r="G3420" i="5"/>
  <c r="G3586" i="5"/>
  <c r="G3620" i="5"/>
  <c r="G3627" i="5"/>
  <c r="G3633" i="5"/>
  <c r="G3648" i="5"/>
  <c r="G3665" i="5"/>
  <c r="G3671" i="5"/>
  <c r="G3694" i="5"/>
  <c r="G3730" i="5"/>
  <c r="G3734" i="5"/>
  <c r="G3758" i="5"/>
  <c r="G3769" i="5"/>
  <c r="G3773" i="5"/>
  <c r="G3853" i="5"/>
  <c r="G3872" i="5"/>
  <c r="G3892" i="5"/>
  <c r="G3907" i="5"/>
  <c r="G3914" i="5"/>
  <c r="G3932" i="5"/>
  <c r="G3938" i="5"/>
  <c r="G3959" i="5"/>
  <c r="G3976" i="5"/>
  <c r="G3986" i="5"/>
  <c r="G3993" i="5"/>
  <c r="G4001" i="5"/>
  <c r="G4036" i="5"/>
  <c r="G4040" i="5"/>
  <c r="G4049" i="5"/>
  <c r="G4058" i="5"/>
  <c r="G4067" i="5"/>
  <c r="G4076" i="5"/>
  <c r="G4085" i="5"/>
  <c r="G4100" i="5"/>
  <c r="G4106" i="5"/>
  <c r="G4130" i="5"/>
  <c r="G4138" i="5"/>
  <c r="G4146" i="5"/>
  <c r="G4191" i="5"/>
  <c r="G4198" i="5"/>
  <c r="G4223" i="5"/>
  <c r="G4233" i="5"/>
  <c r="G4247" i="5"/>
  <c r="G4276" i="5"/>
  <c r="G4293" i="5"/>
  <c r="G4354" i="5"/>
  <c r="G4363" i="5"/>
  <c r="G4372" i="5"/>
  <c r="G4381" i="5"/>
  <c r="G4416" i="5"/>
  <c r="G4426" i="5"/>
  <c r="G4436" i="5"/>
  <c r="G4484" i="5"/>
  <c r="G4512" i="5"/>
  <c r="G4520" i="5"/>
  <c r="G4536" i="5"/>
  <c r="G4544" i="5"/>
  <c r="G4563" i="5"/>
  <c r="G4575" i="5"/>
  <c r="G4606" i="5"/>
  <c r="G4614" i="5"/>
  <c r="G4649" i="5"/>
  <c r="G4657" i="5"/>
  <c r="G4689" i="5"/>
  <c r="G4712" i="5"/>
  <c r="G4750" i="5"/>
  <c r="G4754" i="5"/>
  <c r="G4758" i="5"/>
  <c r="G4762" i="5"/>
  <c r="G4766" i="5"/>
  <c r="G4770" i="5"/>
  <c r="G4774" i="5"/>
  <c r="G4794" i="5"/>
  <c r="G4804" i="5"/>
  <c r="G4893" i="5"/>
  <c r="G4903" i="5"/>
  <c r="G4912" i="5"/>
  <c r="G4919" i="5"/>
  <c r="G4926" i="5"/>
  <c r="G4933" i="5"/>
  <c r="G4940" i="5"/>
  <c r="G4952" i="5"/>
  <c r="G4959" i="5"/>
  <c r="G4966" i="5"/>
  <c r="G4973" i="5"/>
  <c r="G4997" i="5"/>
  <c r="G5003" i="5"/>
  <c r="G5021" i="5"/>
  <c r="G5029" i="5"/>
  <c r="G5039" i="5"/>
  <c r="G5045" i="5"/>
  <c r="G5051" i="5"/>
  <c r="G5066" i="5"/>
  <c r="G5081" i="5"/>
  <c r="G5087" i="5"/>
  <c r="G5093" i="5"/>
  <c r="G5099" i="5"/>
  <c r="G5105" i="5"/>
  <c r="G5112" i="5"/>
  <c r="G5119" i="5"/>
  <c r="G5130" i="5"/>
  <c r="G5136" i="5"/>
  <c r="G5144" i="5"/>
  <c r="G5152" i="5"/>
  <c r="G5160" i="5"/>
  <c r="G5168" i="5"/>
  <c r="G5174" i="5"/>
  <c r="G5182" i="5"/>
  <c r="G5188" i="5"/>
  <c r="G5196" i="5"/>
  <c r="G5204" i="5"/>
  <c r="G5212" i="5"/>
  <c r="G5242" i="5"/>
  <c r="G5249" i="5"/>
  <c r="G5256" i="5"/>
  <c r="G5268" i="5"/>
  <c r="G5275" i="5"/>
  <c r="G5295" i="5"/>
  <c r="G5301" i="5"/>
  <c r="G5308" i="5"/>
  <c r="G5314" i="5"/>
  <c r="G5320" i="5"/>
  <c r="G5326" i="5"/>
  <c r="G5332" i="5"/>
  <c r="G5338" i="5"/>
  <c r="G5344" i="5"/>
  <c r="G5350" i="5"/>
  <c r="G5357" i="5"/>
  <c r="G5364" i="5"/>
  <c r="G5377" i="5"/>
  <c r="G5402" i="5"/>
  <c r="G5410" i="5"/>
  <c r="G5418" i="5"/>
  <c r="G5439" i="5"/>
  <c r="G5449" i="5"/>
  <c r="G5473" i="5"/>
  <c r="G5480" i="5"/>
  <c r="G5486" i="5"/>
  <c r="G5498" i="5"/>
  <c r="G5502" i="5"/>
  <c r="G5513" i="5"/>
  <c r="G5519" i="5"/>
  <c r="G5525" i="5"/>
  <c r="G5531" i="5"/>
  <c r="G5537" i="5"/>
  <c r="G5543" i="5"/>
  <c r="G5549" i="5"/>
  <c r="G5555" i="5"/>
  <c r="G5561" i="5"/>
  <c r="G5567" i="5"/>
  <c r="G5579" i="5"/>
  <c r="G5585" i="5"/>
  <c r="G5591" i="5"/>
  <c r="G5597" i="5"/>
  <c r="G5603" i="5"/>
  <c r="G5609" i="5"/>
  <c r="G5615" i="5"/>
  <c r="G5621" i="5"/>
  <c r="G5627" i="5"/>
  <c r="G5633" i="5"/>
  <c r="G5637" i="5"/>
  <c r="G5641" i="5"/>
  <c r="G5645" i="5"/>
  <c r="G5649" i="5"/>
  <c r="G5653" i="5"/>
  <c r="G5657" i="5"/>
  <c r="G5661" i="5"/>
  <c r="G5665" i="5"/>
  <c r="G5669" i="5"/>
  <c r="G5673" i="5"/>
  <c r="G5677" i="5"/>
  <c r="G5681" i="5"/>
  <c r="G5685" i="5"/>
  <c r="G5689" i="5"/>
  <c r="G5693" i="5"/>
  <c r="G5697" i="5"/>
  <c r="G5701" i="5"/>
  <c r="G5705" i="5"/>
  <c r="G5709" i="5"/>
  <c r="G5713" i="5"/>
  <c r="G5717" i="5"/>
  <c r="G5721" i="5"/>
  <c r="G5729" i="5"/>
  <c r="G5765" i="5"/>
  <c r="G5769" i="5"/>
  <c r="G5773" i="5"/>
  <c r="G5777" i="5"/>
  <c r="G5781" i="5"/>
  <c r="G5785" i="5"/>
  <c r="G5789" i="5"/>
  <c r="G5793" i="5"/>
  <c r="G5797" i="5"/>
  <c r="G5801" i="5"/>
  <c r="G5809" i="5"/>
  <c r="G5813" i="5"/>
  <c r="G5817" i="5"/>
  <c r="G5821" i="5"/>
  <c r="G5825" i="5"/>
  <c r="G5829" i="5"/>
  <c r="G5833" i="5"/>
  <c r="G5837" i="5"/>
  <c r="G5841" i="5"/>
  <c r="G5845" i="5"/>
  <c r="G5849" i="5"/>
  <c r="G5853" i="5"/>
  <c r="G5857" i="5"/>
  <c r="G5861" i="5"/>
  <c r="G5865" i="5"/>
  <c r="G5869" i="5"/>
  <c r="G5873" i="5"/>
  <c r="G5877" i="5"/>
  <c r="G5881" i="5"/>
  <c r="G5885" i="5"/>
  <c r="G5889" i="5"/>
  <c r="G5893" i="5"/>
  <c r="G5897" i="5"/>
  <c r="G5901" i="5"/>
  <c r="G5905" i="5"/>
  <c r="G5909" i="5"/>
  <c r="G5913" i="5"/>
  <c r="G5917" i="5"/>
  <c r="G5921" i="5"/>
  <c r="G5925" i="5"/>
  <c r="G5929" i="5"/>
  <c r="G5933" i="5"/>
  <c r="G5941" i="5"/>
  <c r="G5945" i="5"/>
  <c r="G5949" i="5"/>
  <c r="G5953" i="5"/>
  <c r="G5957" i="5"/>
  <c r="G5961" i="5"/>
  <c r="G5965" i="5"/>
  <c r="G5969" i="5"/>
  <c r="G5973" i="5"/>
  <c r="G5977" i="5"/>
  <c r="G5981" i="5"/>
  <c r="G5985" i="5"/>
  <c r="G5989" i="5"/>
  <c r="G5993" i="5"/>
  <c r="G5997" i="5"/>
  <c r="G6001" i="5"/>
  <c r="G6009" i="5"/>
  <c r="G6013" i="5"/>
  <c r="G6017" i="5"/>
  <c r="G6053" i="5"/>
  <c r="G6057" i="5"/>
  <c r="G6061" i="5"/>
  <c r="G6065" i="5"/>
  <c r="G6069" i="5"/>
  <c r="G6073" i="5"/>
  <c r="G6077" i="5"/>
  <c r="G6081" i="5"/>
  <c r="G6085" i="5"/>
  <c r="G6093" i="5"/>
  <c r="G6101" i="5"/>
  <c r="G6105" i="5"/>
  <c r="G6113" i="5"/>
  <c r="G6117" i="5"/>
  <c r="G6121" i="5"/>
  <c r="G6125" i="5"/>
  <c r="G6129" i="5"/>
  <c r="G6133" i="5"/>
  <c r="G6137" i="5"/>
  <c r="G6141" i="5"/>
  <c r="G6161" i="5"/>
  <c r="G6165" i="5"/>
  <c r="G6169" i="5"/>
  <c r="G6212" i="5"/>
  <c r="G6220" i="5"/>
  <c r="G6228" i="5"/>
  <c r="G6237" i="5"/>
  <c r="G6250" i="5"/>
  <c r="G6257" i="5"/>
  <c r="G6263" i="5"/>
  <c r="G6269" i="5"/>
  <c r="G6278" i="5"/>
  <c r="G6289" i="5"/>
  <c r="G6297" i="5"/>
  <c r="G6305" i="5"/>
  <c r="G6314" i="5"/>
  <c r="G6325" i="5"/>
  <c r="G6359" i="5"/>
  <c r="G6368" i="5"/>
  <c r="G6373" i="5"/>
  <c r="G6415" i="5"/>
  <c r="G6444" i="5"/>
  <c r="G6454" i="5"/>
  <c r="G6461" i="5"/>
  <c r="G6466" i="5"/>
  <c r="G6475" i="5"/>
  <c r="G6482" i="5"/>
  <c r="G6489" i="5"/>
  <c r="G6503" i="5"/>
  <c r="G6510" i="5"/>
  <c r="G6514" i="5"/>
  <c r="G6518" i="5"/>
  <c r="G6526" i="5"/>
  <c r="G6534" i="5"/>
  <c r="G6538" i="5"/>
  <c r="G6542" i="5"/>
  <c r="G6546" i="5"/>
  <c r="G6550" i="5"/>
  <c r="G6554" i="5"/>
  <c r="G6558" i="5"/>
  <c r="G6566" i="5"/>
  <c r="G6570" i="5"/>
  <c r="G6574" i="5"/>
  <c r="G6578" i="5"/>
  <c r="G6582" i="5"/>
  <c r="G6586" i="5"/>
  <c r="G6590" i="5"/>
  <c r="G6594" i="5"/>
  <c r="G6598" i="5"/>
  <c r="G6602" i="5"/>
  <c r="G6606" i="5"/>
  <c r="G6614" i="5"/>
  <c r="G6618" i="5"/>
  <c r="G6622" i="5"/>
  <c r="G6626" i="5"/>
  <c r="G6630" i="5"/>
  <c r="G6638" i="5"/>
  <c r="G6642" i="5"/>
  <c r="G6646" i="5"/>
  <c r="G6654" i="5"/>
  <c r="G6658" i="5"/>
  <c r="G6666" i="5"/>
  <c r="G6670" i="5"/>
  <c r="G6678" i="5"/>
  <c r="G6686" i="5"/>
  <c r="G6690" i="5"/>
  <c r="G6694" i="5"/>
  <c r="G6698" i="5"/>
  <c r="G6702" i="5"/>
  <c r="G6706" i="5"/>
  <c r="G6710" i="5"/>
  <c r="G6714" i="5"/>
  <c r="G6718" i="5"/>
  <c r="G6722" i="5"/>
  <c r="G6726" i="5"/>
  <c r="G6730" i="5"/>
  <c r="G6734" i="5"/>
  <c r="G6738" i="5"/>
  <c r="G6742" i="5"/>
  <c r="G6746" i="5"/>
  <c r="G6750" i="5"/>
  <c r="G6754" i="5"/>
  <c r="G6758" i="5"/>
  <c r="G6762" i="5"/>
  <c r="G6766" i="5"/>
  <c r="G6770" i="5"/>
  <c r="G6774" i="5"/>
  <c r="G6778" i="5"/>
  <c r="G6782" i="5"/>
  <c r="G6786" i="5"/>
  <c r="G6790" i="5"/>
  <c r="G6798" i="5"/>
  <c r="G6802" i="5"/>
  <c r="G6806" i="5"/>
  <c r="G6814" i="5"/>
  <c r="G6818" i="5"/>
  <c r="G6822" i="5"/>
  <c r="G6826" i="5"/>
  <c r="G6830" i="5"/>
  <c r="G6834" i="5"/>
  <c r="G6838" i="5"/>
  <c r="G6842" i="5"/>
  <c r="G6846" i="5"/>
  <c r="G6858" i="5"/>
  <c r="G6862" i="5"/>
  <c r="G6866" i="5"/>
  <c r="G6870" i="5"/>
  <c r="G6878" i="5"/>
  <c r="G6886" i="5"/>
  <c r="G6890" i="5"/>
  <c r="G6894" i="5"/>
  <c r="G6898" i="5"/>
  <c r="G6902" i="5"/>
  <c r="G6906" i="5"/>
  <c r="G6910" i="5"/>
  <c r="G6914" i="5"/>
  <c r="G6918" i="5"/>
  <c r="G6922" i="5"/>
  <c r="G6926" i="5"/>
  <c r="G6934" i="5"/>
  <c r="G6938" i="5"/>
  <c r="G6942" i="5"/>
  <c r="G6946" i="5"/>
  <c r="G6950" i="5"/>
  <c r="G6958" i="5"/>
  <c r="G6966" i="5"/>
  <c r="G6970" i="5"/>
  <c r="G6974" i="5"/>
  <c r="G6978" i="5"/>
  <c r="G6982" i="5"/>
  <c r="G6990" i="5"/>
  <c r="G6994" i="5"/>
  <c r="G6998" i="5"/>
  <c r="G7002" i="5"/>
  <c r="G7006" i="5"/>
  <c r="G7014" i="5"/>
  <c r="G7018" i="5"/>
  <c r="G7026" i="5"/>
  <c r="G7030" i="5"/>
  <c r="G7034" i="5"/>
  <c r="G7038" i="5"/>
  <c r="G7042" i="5"/>
  <c r="G7050" i="5"/>
  <c r="G7054" i="5"/>
  <c r="G7058" i="5"/>
  <c r="G7062" i="5"/>
  <c r="G7066" i="5"/>
  <c r="G7070" i="5"/>
  <c r="G7074" i="5"/>
  <c r="G7078" i="5"/>
  <c r="G7082" i="5"/>
  <c r="G7086" i="5"/>
  <c r="G7090" i="5"/>
  <c r="G7102" i="5"/>
  <c r="G7106" i="5"/>
  <c r="G7110" i="5"/>
  <c r="G7118" i="5"/>
  <c r="G7122" i="5"/>
  <c r="G7126" i="5"/>
  <c r="G7130" i="5"/>
  <c r="G7134" i="5"/>
  <c r="G7138" i="5"/>
  <c r="G7142" i="5"/>
  <c r="G7150" i="5"/>
  <c r="G7158" i="5"/>
  <c r="G7162" i="5"/>
  <c r="G7166" i="5"/>
  <c r="G7230" i="5"/>
  <c r="G7234" i="5"/>
  <c r="G7242" i="5"/>
  <c r="G7252" i="5"/>
  <c r="G7258" i="5"/>
  <c r="G7280" i="5"/>
  <c r="G7288" i="5"/>
  <c r="G7292" i="5"/>
  <c r="G7308" i="5"/>
  <c r="G7332" i="5"/>
  <c r="G7336" i="5"/>
  <c r="G7340" i="5"/>
  <c r="G7347" i="5"/>
  <c r="G7353" i="5"/>
  <c r="G7407" i="5"/>
  <c r="G7432" i="5"/>
  <c r="G7469" i="5"/>
  <c r="G7464" i="5"/>
  <c r="G7456" i="5"/>
  <c r="G7450" i="5"/>
  <c r="G7419" i="5"/>
  <c r="G7414" i="5"/>
  <c r="G7443" i="5"/>
  <c r="G7439" i="5"/>
  <c r="G7438" i="5"/>
  <c r="G7437" i="5"/>
  <c r="G7433" i="5"/>
  <c r="G7431" i="5"/>
  <c r="G7427" i="5"/>
  <c r="G7425" i="5"/>
  <c r="G7421" i="5"/>
  <c r="G7412" i="5"/>
  <c r="G7408" i="5"/>
  <c r="G7406" i="5"/>
  <c r="G7400" i="5"/>
  <c r="G7398" i="5"/>
  <c r="G7393" i="5"/>
  <c r="G6509" i="5"/>
  <c r="G6504" i="5"/>
  <c r="G6502" i="5"/>
  <c r="G6497" i="5"/>
  <c r="G7391" i="5"/>
  <c r="G7386" i="5"/>
  <c r="G7384" i="5"/>
  <c r="G7381" i="5"/>
  <c r="G7380" i="5"/>
  <c r="G7379" i="5"/>
  <c r="G7376" i="5"/>
  <c r="G7375" i="5"/>
  <c r="G7374" i="5"/>
  <c r="G7370" i="5"/>
  <c r="G7369" i="5"/>
  <c r="G7368" i="5"/>
  <c r="G7362" i="5"/>
  <c r="G7360" i="5"/>
  <c r="G7354" i="5"/>
  <c r="D101" i="6"/>
  <c r="D102" i="6"/>
  <c r="D236" i="6"/>
  <c r="D237" i="6"/>
  <c r="D280" i="6"/>
  <c r="D281" i="6"/>
  <c r="D308" i="6"/>
  <c r="D309" i="6"/>
  <c r="D399" i="6"/>
  <c r="D400" i="6"/>
  <c r="D411" i="6"/>
  <c r="D412" i="6"/>
  <c r="D559" i="6"/>
  <c r="D560" i="6"/>
  <c r="D31" i="7"/>
  <c r="D32" i="7"/>
  <c r="D53" i="7"/>
  <c r="D54" i="7"/>
  <c r="D67" i="7"/>
  <c r="D68" i="7"/>
  <c r="F562" i="6"/>
  <c r="F643" i="6"/>
  <c r="G7346" i="5"/>
  <c r="G7341" i="5"/>
  <c r="G7352" i="5"/>
  <c r="G7348" i="5"/>
  <c r="G7279" i="5"/>
  <c r="G7276" i="5"/>
  <c r="G7275" i="5"/>
  <c r="G7274" i="5"/>
  <c r="G7271" i="5"/>
  <c r="G7270" i="5"/>
  <c r="G7269" i="5"/>
  <c r="G7266" i="5"/>
  <c r="G7265" i="5"/>
  <c r="G7291" i="5"/>
  <c r="G7289" i="5"/>
  <c r="G7287" i="5"/>
  <c r="G7285" i="5"/>
  <c r="G7283" i="5"/>
  <c r="G7281" i="5"/>
  <c r="G4743" i="5"/>
  <c r="G4742" i="5"/>
  <c r="G4749" i="5"/>
  <c r="G4747" i="5"/>
  <c r="G4746" i="5"/>
  <c r="G4745" i="5"/>
  <c r="G7331" i="5"/>
  <c r="G7329" i="5"/>
  <c r="G7328" i="5"/>
  <c r="G7327" i="5"/>
  <c r="G7325" i="5"/>
  <c r="G7324" i="5"/>
  <c r="G7323" i="5"/>
  <c r="G7321" i="5"/>
  <c r="G7320" i="5"/>
  <c r="G7339" i="5"/>
  <c r="G7337" i="5"/>
  <c r="G7335" i="5"/>
  <c r="G7333" i="5"/>
  <c r="G7303" i="5"/>
  <c r="G7301" i="5"/>
  <c r="G4727" i="5"/>
  <c r="G4725" i="5"/>
  <c r="G4724" i="5"/>
  <c r="G7319" i="5"/>
  <c r="G7317" i="5"/>
  <c r="G7316" i="5"/>
  <c r="G7311" i="5"/>
  <c r="G7309" i="5"/>
  <c r="G7307" i="5"/>
  <c r="G7305" i="5"/>
  <c r="G7304" i="5"/>
  <c r="G7315" i="5"/>
  <c r="G7313" i="5"/>
  <c r="G7312" i="5"/>
  <c r="G4777" i="5"/>
  <c r="G4775" i="5"/>
  <c r="G4773" i="5"/>
  <c r="G4771" i="5"/>
  <c r="G2651" i="5"/>
  <c r="G2649" i="5"/>
  <c r="G2648" i="5"/>
  <c r="G7299" i="5"/>
  <c r="G7297" i="5"/>
  <c r="G7296" i="5"/>
  <c r="G7295" i="5"/>
  <c r="G7293" i="5"/>
  <c r="G6460" i="5"/>
  <c r="G6455" i="5"/>
  <c r="G6453" i="5"/>
  <c r="G6450" i="5"/>
  <c r="G6449" i="5"/>
  <c r="G7264" i="5"/>
  <c r="G7259" i="5"/>
  <c r="G7253" i="5"/>
  <c r="G7251" i="5"/>
  <c r="G7247" i="5"/>
  <c r="G7246" i="5"/>
  <c r="G6993" i="5"/>
  <c r="G6991" i="5"/>
  <c r="G6152" i="5"/>
  <c r="G6150" i="5"/>
  <c r="G6149" i="5"/>
  <c r="G6148" i="5"/>
  <c r="G6146" i="5"/>
  <c r="G6144" i="5"/>
  <c r="G6142" i="5"/>
  <c r="G6074" i="5"/>
  <c r="G6076" i="5"/>
  <c r="G6080" i="5"/>
  <c r="G6078" i="5"/>
  <c r="G6060" i="5"/>
  <c r="G6058" i="5"/>
  <c r="G4765" i="5"/>
  <c r="G4763" i="5"/>
  <c r="G4753" i="5"/>
  <c r="G4751" i="5"/>
  <c r="G3550" i="5"/>
  <c r="G3549" i="5"/>
  <c r="G3548" i="5"/>
  <c r="G3543" i="5"/>
  <c r="G3542" i="5"/>
  <c r="G3481" i="5"/>
  <c r="G3480" i="5"/>
  <c r="G3479" i="5"/>
  <c r="G3472" i="5"/>
  <c r="G3471" i="5"/>
  <c r="G3482" i="5"/>
  <c r="G3483" i="5"/>
  <c r="G2767" i="5"/>
  <c r="G2765" i="5"/>
  <c r="G2755" i="5"/>
  <c r="G2753" i="5"/>
  <c r="G2735" i="5"/>
  <c r="G2733" i="5"/>
  <c r="G2731" i="5"/>
  <c r="G2729" i="5"/>
  <c r="G2727" i="5"/>
  <c r="G2725" i="5"/>
  <c r="G3826" i="5"/>
  <c r="G3825" i="5"/>
  <c r="G3820" i="5"/>
  <c r="G3819" i="5"/>
  <c r="G3814" i="5"/>
  <c r="G3813" i="5"/>
  <c r="G3808" i="5"/>
  <c r="G3807" i="5"/>
  <c r="G3802" i="5"/>
  <c r="G3801" i="5"/>
  <c r="G3796" i="5"/>
  <c r="G3795" i="5"/>
  <c r="G3790" i="5"/>
  <c r="G3789" i="5"/>
  <c r="G3784" i="5"/>
  <c r="G3783" i="5"/>
  <c r="G3778" i="5"/>
  <c r="G3777" i="5"/>
  <c r="G6937" i="5"/>
  <c r="G6935" i="5"/>
  <c r="G7229" i="5"/>
  <c r="G7228" i="5"/>
  <c r="G7227" i="5"/>
  <c r="G7225" i="5"/>
  <c r="G7224" i="5"/>
  <c r="G7223" i="5"/>
  <c r="G7222" i="5"/>
  <c r="G7221" i="5"/>
  <c r="G7219" i="5"/>
  <c r="G7218" i="5"/>
  <c r="G7217" i="5"/>
  <c r="G7216" i="5"/>
  <c r="G7215" i="5"/>
  <c r="G7213" i="5"/>
  <c r="G7212" i="5"/>
  <c r="G7211" i="5"/>
  <c r="G7210" i="5"/>
  <c r="G7209" i="5"/>
  <c r="G7207" i="5"/>
  <c r="G7206" i="5"/>
  <c r="G7205" i="5"/>
  <c r="G7204" i="5"/>
  <c r="G7203" i="5"/>
  <c r="G7201" i="5"/>
  <c r="G7200" i="5"/>
  <c r="G7199" i="5"/>
  <c r="G7198" i="5"/>
  <c r="G7197" i="5"/>
  <c r="G7195" i="5"/>
  <c r="G7194" i="5"/>
  <c r="G7193" i="5"/>
  <c r="G7192" i="5"/>
  <c r="G7191" i="5"/>
  <c r="G7189" i="5"/>
  <c r="G7188" i="5"/>
  <c r="G7187" i="5"/>
  <c r="G7186" i="5"/>
  <c r="G7185" i="5"/>
  <c r="G7183" i="5"/>
  <c r="G7182" i="5"/>
  <c r="G7181" i="5"/>
  <c r="G7180" i="5"/>
  <c r="G7179" i="5"/>
  <c r="G7177" i="5"/>
  <c r="G7176" i="5"/>
  <c r="G7175" i="5"/>
  <c r="G7174" i="5"/>
  <c r="G7173" i="5"/>
  <c r="G7171" i="5"/>
  <c r="G7170" i="5"/>
  <c r="G7237" i="5"/>
  <c r="G7235" i="5"/>
  <c r="G7233" i="5"/>
  <c r="G7231" i="5"/>
  <c r="G7245" i="5"/>
  <c r="G7243" i="5"/>
  <c r="G6877" i="5"/>
  <c r="G6875" i="5"/>
  <c r="G6873" i="5"/>
  <c r="G6871" i="5"/>
  <c r="G7037" i="5"/>
  <c r="G7035" i="5"/>
  <c r="G6913" i="5"/>
  <c r="G6911" i="5"/>
  <c r="G6577" i="5"/>
  <c r="G6575" i="5"/>
  <c r="G6741" i="5"/>
  <c r="G6739" i="5"/>
  <c r="G6869" i="5"/>
  <c r="G6867" i="5"/>
  <c r="G7073" i="5"/>
  <c r="G7071" i="5"/>
  <c r="G7069" i="5"/>
  <c r="G7067" i="5"/>
  <c r="G7065" i="5"/>
  <c r="G7063" i="5"/>
  <c r="G7241" i="5"/>
  <c r="G7239" i="5"/>
  <c r="G7169" i="5"/>
  <c r="G7167" i="5"/>
  <c r="G7165" i="5"/>
  <c r="G7163" i="5"/>
  <c r="G7161" i="5"/>
  <c r="G7159" i="5"/>
  <c r="G7157" i="5"/>
  <c r="G7155" i="5"/>
  <c r="G7153" i="5"/>
  <c r="G7151" i="5"/>
  <c r="G7149" i="5"/>
  <c r="G7147" i="5"/>
  <c r="G7145" i="5"/>
  <c r="G7143" i="5"/>
  <c r="G7141" i="5"/>
  <c r="G7139" i="5"/>
  <c r="G7137" i="5"/>
  <c r="G7135" i="5"/>
  <c r="G7133" i="5"/>
  <c r="G7131" i="5"/>
  <c r="G7129" i="5"/>
  <c r="G7127" i="5"/>
  <c r="G7125" i="5"/>
  <c r="G7123" i="5"/>
  <c r="G7121" i="5"/>
  <c r="G7119" i="5"/>
  <c r="G7117" i="5"/>
  <c r="G7115" i="5"/>
  <c r="G7113" i="5"/>
  <c r="G7111" i="5"/>
  <c r="G7109" i="5"/>
  <c r="G7107" i="5"/>
  <c r="G7105" i="5"/>
  <c r="G7103" i="5"/>
  <c r="G7101" i="5"/>
  <c r="G7099" i="5"/>
  <c r="G7097" i="5"/>
  <c r="G7095" i="5"/>
  <c r="G7093" i="5"/>
  <c r="G7091" i="5"/>
  <c r="G7089" i="5"/>
  <c r="G7087" i="5"/>
  <c r="G7085" i="5"/>
  <c r="G7083" i="5"/>
  <c r="G7081" i="5"/>
  <c r="G7079" i="5"/>
  <c r="G7077" i="5"/>
  <c r="G7075" i="5"/>
  <c r="G7061" i="5"/>
  <c r="G7059" i="5"/>
  <c r="G7057" i="5"/>
  <c r="G7055" i="5"/>
  <c r="G7053" i="5"/>
  <c r="G7051" i="5"/>
  <c r="G7049" i="5"/>
  <c r="G7047" i="5"/>
  <c r="G7045" i="5"/>
  <c r="G7043" i="5"/>
  <c r="G7041" i="5"/>
  <c r="G7039" i="5"/>
  <c r="G7033" i="5"/>
  <c r="G7031" i="5"/>
  <c r="G7029" i="5"/>
  <c r="G7027" i="5"/>
  <c r="G7025" i="5"/>
  <c r="G7023" i="5"/>
  <c r="G7021" i="5"/>
  <c r="G7019" i="5"/>
  <c r="G7017" i="5"/>
  <c r="G7015" i="5"/>
  <c r="G7013" i="5"/>
  <c r="G7011" i="5"/>
  <c r="G7009" i="5"/>
  <c r="G7007" i="5"/>
  <c r="G7005" i="5"/>
  <c r="G7003" i="5"/>
  <c r="G7001" i="5"/>
  <c r="G6999" i="5"/>
  <c r="G6997" i="5"/>
  <c r="G6995" i="5"/>
  <c r="G6989" i="5"/>
  <c r="G6987" i="5"/>
  <c r="G6985" i="5"/>
  <c r="G6983" i="5"/>
  <c r="G6949" i="5"/>
  <c r="G6947" i="5"/>
  <c r="G6945" i="5"/>
  <c r="G6943" i="5"/>
  <c r="G6933" i="5"/>
  <c r="G6931" i="5"/>
  <c r="G6929" i="5"/>
  <c r="G6927" i="5"/>
  <c r="G6925" i="5"/>
  <c r="G6923" i="5"/>
  <c r="G6885" i="5"/>
  <c r="G6883" i="5"/>
  <c r="G6881" i="5"/>
  <c r="G6879" i="5"/>
  <c r="G6865" i="5"/>
  <c r="G6863" i="5"/>
  <c r="G6861" i="5"/>
  <c r="G6859" i="5"/>
  <c r="G6857" i="5"/>
  <c r="G6855" i="5"/>
  <c r="G6853" i="5"/>
  <c r="G6851" i="5"/>
  <c r="G6849" i="5"/>
  <c r="G6847" i="5"/>
  <c r="G6845" i="5"/>
  <c r="G6843" i="5"/>
  <c r="G6841" i="5"/>
  <c r="G6839" i="5"/>
  <c r="G6837" i="5"/>
  <c r="G6835" i="5"/>
  <c r="G6833" i="5"/>
  <c r="G6831" i="5"/>
  <c r="G6829" i="5"/>
  <c r="G6827" i="5"/>
  <c r="G6825" i="5"/>
  <c r="G6823" i="5"/>
  <c r="G6821" i="5"/>
  <c r="G6819" i="5"/>
  <c r="G6817" i="5"/>
  <c r="G6815" i="5"/>
  <c r="G6813" i="5"/>
  <c r="G6811" i="5"/>
  <c r="G6809" i="5"/>
  <c r="G6807" i="5"/>
  <c r="G6805" i="5"/>
  <c r="G6803" i="5"/>
  <c r="G6801" i="5"/>
  <c r="G6799" i="5"/>
  <c r="G6797" i="5"/>
  <c r="G6795" i="5"/>
  <c r="G6793" i="5"/>
  <c r="G6791" i="5"/>
  <c r="G6789" i="5"/>
  <c r="G6787" i="5"/>
  <c r="G6785" i="5"/>
  <c r="G6783" i="5"/>
  <c r="G6781" i="5"/>
  <c r="G6779" i="5"/>
  <c r="G6777" i="5"/>
  <c r="G6775" i="5"/>
  <c r="G6773" i="5"/>
  <c r="G6771" i="5"/>
  <c r="G6769" i="5"/>
  <c r="G6767" i="5"/>
  <c r="G6765" i="5"/>
  <c r="G6763" i="5"/>
  <c r="G6761" i="5"/>
  <c r="G6759" i="5"/>
  <c r="G6757" i="5"/>
  <c r="G6755" i="5"/>
  <c r="G6753" i="5"/>
  <c r="G6751" i="5"/>
  <c r="G6749" i="5"/>
  <c r="G6747" i="5"/>
  <c r="G6745" i="5"/>
  <c r="G6743" i="5"/>
  <c r="G6737" i="5"/>
  <c r="G6735" i="5"/>
  <c r="G6733" i="5"/>
  <c r="G6731" i="5"/>
  <c r="G6729" i="5"/>
  <c r="G6727" i="5"/>
  <c r="G6725" i="5"/>
  <c r="G6723" i="5"/>
  <c r="G6721" i="5"/>
  <c r="G6719" i="5"/>
  <c r="G6717" i="5"/>
  <c r="G6715" i="5"/>
  <c r="G6713" i="5"/>
  <c r="G6711" i="5"/>
  <c r="G6709" i="5"/>
  <c r="G6707" i="5"/>
  <c r="G6705" i="5"/>
  <c r="G6703" i="5"/>
  <c r="G6701" i="5"/>
  <c r="G6699" i="5"/>
  <c r="G6649" i="5"/>
  <c r="G6647" i="5"/>
  <c r="G6645" i="5"/>
  <c r="G6643" i="5"/>
  <c r="G6677" i="5"/>
  <c r="G6675" i="5"/>
  <c r="G6673" i="5"/>
  <c r="G6671" i="5"/>
  <c r="G6669" i="5"/>
  <c r="G6667" i="5"/>
  <c r="G6605" i="5"/>
  <c r="G6603" i="5"/>
  <c r="G6557" i="5"/>
  <c r="G6555" i="5"/>
  <c r="G6513" i="5"/>
  <c r="G6511" i="5"/>
  <c r="G6653" i="5"/>
  <c r="G6651" i="5"/>
  <c r="G4769" i="5"/>
  <c r="G4767" i="5"/>
  <c r="G4761" i="5"/>
  <c r="G4759" i="5"/>
  <c r="G4757" i="5"/>
  <c r="G4755" i="5"/>
  <c r="G2763" i="5"/>
  <c r="G2761" i="5"/>
  <c r="G2759" i="5"/>
  <c r="G2757" i="5"/>
  <c r="G2751" i="5"/>
  <c r="G2749" i="5"/>
  <c r="G2747" i="5"/>
  <c r="G2745" i="5"/>
  <c r="G2741" i="5"/>
  <c r="G2743" i="5"/>
  <c r="G2739" i="5"/>
  <c r="G2737" i="5"/>
  <c r="G6981" i="5"/>
  <c r="G6979" i="5"/>
  <c r="G6977" i="5"/>
  <c r="G6975" i="5"/>
  <c r="G6973" i="5"/>
  <c r="G6971" i="5"/>
  <c r="G6969" i="5"/>
  <c r="G6967" i="5"/>
  <c r="G6965" i="5"/>
  <c r="G6963" i="5"/>
  <c r="G6961" i="5"/>
  <c r="G6959" i="5"/>
  <c r="G6957" i="5"/>
  <c r="G6955" i="5"/>
  <c r="G6953" i="5"/>
  <c r="G6951" i="5"/>
  <c r="G6941" i="5"/>
  <c r="G6939" i="5"/>
  <c r="G6921" i="5"/>
  <c r="G6919" i="5"/>
  <c r="G6917" i="5"/>
  <c r="G6915" i="5"/>
  <c r="G6909" i="5"/>
  <c r="G6907" i="5"/>
  <c r="G6905" i="5"/>
  <c r="G6903" i="5"/>
  <c r="G6901" i="5"/>
  <c r="G6899" i="5"/>
  <c r="G6897" i="5"/>
  <c r="G6895" i="5"/>
  <c r="G6893" i="5"/>
  <c r="G6891" i="5"/>
  <c r="G6889" i="5"/>
  <c r="G6887" i="5"/>
  <c r="G6697" i="5"/>
  <c r="G6695" i="5"/>
  <c r="G6693" i="5"/>
  <c r="G6691" i="5"/>
  <c r="G6689" i="5"/>
  <c r="G6687" i="5"/>
  <c r="G6685" i="5"/>
  <c r="G6683" i="5"/>
  <c r="G6681" i="5"/>
  <c r="G6679" i="5"/>
  <c r="G6665" i="5"/>
  <c r="G6663" i="5"/>
  <c r="G6661" i="5"/>
  <c r="G6659" i="5"/>
  <c r="G6657" i="5"/>
  <c r="G6655" i="5"/>
  <c r="G6641" i="5"/>
  <c r="G6639" i="5"/>
  <c r="G6637" i="5"/>
  <c r="G6635" i="5"/>
  <c r="G6633" i="5"/>
  <c r="G6631" i="5"/>
  <c r="G6629" i="5"/>
  <c r="G6627" i="5"/>
  <c r="G6625" i="5"/>
  <c r="G6623" i="5"/>
  <c r="G6621" i="5"/>
  <c r="G6619" i="5"/>
  <c r="G6617" i="5"/>
  <c r="G6615" i="5"/>
  <c r="G6613" i="5"/>
  <c r="G6611" i="5"/>
  <c r="G6609" i="5"/>
  <c r="G6607" i="5"/>
  <c r="G6601" i="5"/>
  <c r="G6599" i="5"/>
  <c r="G6597" i="5"/>
  <c r="G6595" i="5"/>
  <c r="G6593" i="5"/>
  <c r="G6591" i="5"/>
  <c r="G6589" i="5"/>
  <c r="G6587" i="5"/>
  <c r="G6585" i="5"/>
  <c r="G6583" i="5"/>
  <c r="G6581" i="5"/>
  <c r="G6579" i="5"/>
  <c r="G6573" i="5"/>
  <c r="G6571" i="5"/>
  <c r="G6569" i="5"/>
  <c r="G6567" i="5"/>
  <c r="G6565" i="5"/>
  <c r="G6563" i="5"/>
  <c r="G6561" i="5"/>
  <c r="G6559" i="5"/>
  <c r="G6553" i="5"/>
  <c r="G6551" i="5"/>
  <c r="G6549" i="5"/>
  <c r="G6547" i="5"/>
  <c r="G6545" i="5"/>
  <c r="G6543" i="5"/>
  <c r="G6541" i="5"/>
  <c r="G6539" i="5"/>
  <c r="G6537" i="5"/>
  <c r="G6535" i="5"/>
  <c r="G6533" i="5"/>
  <c r="G6531" i="5"/>
  <c r="G6529" i="5"/>
  <c r="G6527" i="5"/>
  <c r="G6525" i="5"/>
  <c r="G6523" i="5"/>
  <c r="G6521" i="5"/>
  <c r="G6519" i="5"/>
  <c r="G6517" i="5"/>
  <c r="G6515" i="5"/>
  <c r="F629" i="6"/>
  <c r="F624" i="6"/>
  <c r="F619" i="6"/>
  <c r="F615" i="6"/>
  <c r="F614" i="6"/>
  <c r="F613" i="6"/>
  <c r="F609" i="6"/>
  <c r="F608" i="6"/>
  <c r="F607" i="6"/>
  <c r="F600" i="6"/>
  <c r="F134" i="7"/>
  <c r="G6495" i="5"/>
  <c r="G6490" i="5"/>
  <c r="G6488" i="5"/>
  <c r="G6483" i="5"/>
  <c r="G6481" i="5"/>
  <c r="G6476" i="5"/>
  <c r="G6474" i="5"/>
  <c r="G6467" i="5"/>
  <c r="G6465" i="5"/>
  <c r="G6462" i="5"/>
  <c r="G6438" i="5"/>
  <c r="G6436" i="5"/>
  <c r="G6435" i="5"/>
  <c r="G6434" i="5"/>
  <c r="G6432" i="5"/>
  <c r="G6431" i="5"/>
  <c r="G6439" i="5"/>
  <c r="G6430" i="5"/>
  <c r="G6427" i="5"/>
  <c r="G6426" i="5"/>
  <c r="G6425" i="5"/>
  <c r="G6423" i="5"/>
  <c r="G6422" i="5"/>
  <c r="G6421" i="5"/>
  <c r="G6416" i="5"/>
  <c r="G6448" i="5"/>
  <c r="G6445" i="5"/>
  <c r="G6443" i="5"/>
  <c r="G6440" i="5"/>
  <c r="F128" i="7"/>
  <c r="F125" i="7"/>
  <c r="F124" i="7"/>
  <c r="F110" i="7"/>
  <c r="F109" i="7"/>
  <c r="F108" i="7"/>
  <c r="F107" i="7"/>
  <c r="F106" i="7"/>
  <c r="F81" i="7"/>
  <c r="F73" i="7"/>
  <c r="F72" i="7"/>
  <c r="F60" i="7"/>
  <c r="F59" i="7"/>
  <c r="F58" i="7"/>
  <c r="F47" i="7"/>
  <c r="F46" i="7"/>
  <c r="F45" i="7"/>
  <c r="F37" i="7"/>
  <c r="F35" i="7"/>
  <c r="F34" i="7"/>
  <c r="F25" i="7"/>
  <c r="F24" i="7"/>
  <c r="F12" i="7"/>
  <c r="F11" i="7"/>
  <c r="F10" i="7"/>
  <c r="F7" i="7"/>
  <c r="F595" i="6"/>
  <c r="F594" i="6"/>
  <c r="F583" i="6"/>
  <c r="F582" i="6"/>
  <c r="F581" i="6"/>
  <c r="F578" i="6"/>
  <c r="F577" i="6"/>
  <c r="F570" i="6"/>
  <c r="F569" i="6"/>
  <c r="F565" i="6"/>
  <c r="F564" i="6"/>
  <c r="F563" i="6"/>
  <c r="F552" i="6"/>
  <c r="F551" i="6"/>
  <c r="F550" i="6"/>
  <c r="F545" i="6"/>
  <c r="F543" i="6"/>
  <c r="F539" i="6"/>
  <c r="F538" i="6"/>
  <c r="F537" i="6"/>
  <c r="F532" i="6"/>
  <c r="F531" i="6"/>
  <c r="F527" i="6"/>
  <c r="F526" i="6"/>
  <c r="F521" i="6"/>
  <c r="F520" i="6"/>
  <c r="F515" i="6"/>
  <c r="F514" i="6"/>
  <c r="F513" i="6"/>
  <c r="F504" i="6"/>
  <c r="F503" i="6"/>
  <c r="F502" i="6"/>
  <c r="F492" i="6"/>
  <c r="F491" i="6"/>
  <c r="F490" i="6"/>
  <c r="F473" i="6"/>
  <c r="F472" i="6"/>
  <c r="F458" i="6"/>
  <c r="F457" i="6"/>
  <c r="F439" i="6"/>
  <c r="F438" i="6"/>
  <c r="F428" i="6"/>
  <c r="F426" i="6"/>
  <c r="F416" i="6"/>
  <c r="F415" i="6"/>
  <c r="F405" i="6"/>
  <c r="F404" i="6"/>
  <c r="F393" i="6"/>
  <c r="F392" i="6"/>
  <c r="F381" i="6"/>
  <c r="F368" i="6"/>
  <c r="F367" i="6"/>
  <c r="F362" i="6"/>
  <c r="F361" i="6"/>
  <c r="F360" i="6"/>
  <c r="F353" i="6"/>
  <c r="F352" i="6"/>
  <c r="F346" i="6"/>
  <c r="F345" i="6"/>
  <c r="F337" i="6"/>
  <c r="F336" i="6"/>
  <c r="F327" i="6"/>
  <c r="F326" i="6"/>
  <c r="F324" i="6"/>
  <c r="F314" i="6"/>
  <c r="F312" i="6"/>
  <c r="F310" i="6"/>
  <c r="F300" i="6"/>
  <c r="F294" i="6"/>
  <c r="F292" i="6"/>
  <c r="F284" i="6"/>
  <c r="F283" i="6"/>
  <c r="F274" i="6"/>
  <c r="F273" i="6"/>
  <c r="F266" i="6"/>
  <c r="F264" i="6"/>
  <c r="F263" i="6"/>
  <c r="F257" i="6"/>
  <c r="F256" i="6"/>
  <c r="F255" i="6"/>
  <c r="F254" i="6"/>
  <c r="F253" i="6"/>
  <c r="F242" i="6"/>
  <c r="F241" i="6"/>
  <c r="F239" i="6"/>
  <c r="F238" i="6"/>
  <c r="F228" i="6"/>
  <c r="F225" i="6"/>
  <c r="F224" i="6"/>
  <c r="F214" i="6"/>
  <c r="F212" i="6"/>
  <c r="F209" i="6"/>
  <c r="F208" i="6"/>
  <c r="F202" i="6"/>
  <c r="F195" i="6"/>
  <c r="F194" i="6"/>
  <c r="F192" i="6"/>
  <c r="F191" i="6"/>
  <c r="F190" i="6"/>
  <c r="F187" i="6"/>
  <c r="F186" i="6"/>
  <c r="F181" i="6"/>
  <c r="F180" i="6"/>
  <c r="F175" i="6"/>
  <c r="F174" i="6"/>
  <c r="F169" i="6"/>
  <c r="F168" i="6"/>
  <c r="F167" i="6"/>
  <c r="F166" i="6"/>
  <c r="F157" i="6"/>
  <c r="F155" i="6"/>
  <c r="F154" i="6"/>
  <c r="F143" i="6"/>
  <c r="F137" i="6"/>
  <c r="F136" i="6"/>
  <c r="F135" i="6"/>
  <c r="F131" i="6"/>
  <c r="F130" i="6"/>
  <c r="F125" i="6"/>
  <c r="F119" i="6"/>
  <c r="F118" i="6"/>
  <c r="F117" i="6"/>
  <c r="F113" i="6"/>
  <c r="F112" i="6"/>
  <c r="F111" i="6"/>
  <c r="F106" i="6"/>
  <c r="F105" i="6"/>
  <c r="F103" i="6"/>
  <c r="F96" i="6"/>
  <c r="F95" i="6"/>
  <c r="F94" i="6"/>
  <c r="F93" i="6"/>
  <c r="F87" i="6"/>
  <c r="F86" i="6"/>
  <c r="F85" i="6"/>
  <c r="F80" i="6"/>
  <c r="F79" i="6"/>
  <c r="F78" i="6"/>
  <c r="F77" i="6"/>
  <c r="F76" i="6"/>
  <c r="F70" i="6"/>
  <c r="F69" i="6"/>
  <c r="F61" i="6"/>
  <c r="F60" i="6"/>
  <c r="F58" i="6"/>
  <c r="F48" i="6"/>
  <c r="F47" i="6"/>
  <c r="F39" i="6"/>
  <c r="F38" i="6"/>
  <c r="F37" i="6"/>
  <c r="F28" i="6"/>
  <c r="F27" i="6"/>
  <c r="F21" i="6"/>
  <c r="F16" i="6"/>
  <c r="F14" i="6"/>
  <c r="F7" i="6"/>
  <c r="G6414" i="5"/>
  <c r="G6410" i="5"/>
  <c r="G6409" i="5"/>
  <c r="G6408" i="5"/>
  <c r="G6403" i="5"/>
  <c r="G6388" i="5"/>
  <c r="G6387" i="5"/>
  <c r="G6374" i="5"/>
  <c r="G6369" i="5"/>
  <c r="G6360" i="5"/>
  <c r="G6350" i="5"/>
  <c r="G6349" i="5"/>
  <c r="G6326" i="5"/>
  <c r="G6315" i="5"/>
  <c r="G6306" i="5"/>
  <c r="G6298" i="5"/>
  <c r="G6290" i="5"/>
  <c r="G6279" i="5"/>
  <c r="G6270" i="5"/>
  <c r="G6264" i="5"/>
  <c r="G6258" i="5"/>
  <c r="G6251" i="5"/>
  <c r="G6245" i="5"/>
  <c r="G6244" i="5"/>
  <c r="G6238" i="5"/>
  <c r="G6229" i="5"/>
  <c r="G6221" i="5"/>
  <c r="G6213" i="5"/>
  <c r="G6208" i="5"/>
  <c r="G6207" i="5"/>
  <c r="G6203" i="5"/>
  <c r="G6202" i="5"/>
  <c r="G6196" i="5"/>
  <c r="G6195" i="5"/>
  <c r="G6194" i="5"/>
  <c r="G6185" i="5"/>
  <c r="G6184" i="5"/>
  <c r="G6183" i="5"/>
  <c r="G6174" i="5"/>
  <c r="G6173" i="5"/>
  <c r="G6172" i="5"/>
  <c r="G6170" i="5"/>
  <c r="G6168" i="5"/>
  <c r="G6166" i="5"/>
  <c r="G6164" i="5"/>
  <c r="G6162" i="5"/>
  <c r="G6154" i="5"/>
  <c r="G6153" i="5"/>
  <c r="G6140" i="5"/>
  <c r="G6138" i="5"/>
  <c r="G6136" i="5"/>
  <c r="G6134" i="5"/>
  <c r="G6132" i="5"/>
  <c r="G6130" i="5"/>
  <c r="G6128" i="5"/>
  <c r="G6126" i="5"/>
  <c r="G6124" i="5"/>
  <c r="G6122" i="5"/>
  <c r="G6120" i="5"/>
  <c r="G6118" i="5"/>
  <c r="G6116" i="5"/>
  <c r="G6114" i="5"/>
  <c r="G6112" i="5"/>
  <c r="G6110" i="5"/>
  <c r="G6108" i="5"/>
  <c r="G6106" i="5"/>
  <c r="G6104" i="5"/>
  <c r="G6102" i="5"/>
  <c r="G6100" i="5"/>
  <c r="G6098" i="5"/>
  <c r="G6097" i="5"/>
  <c r="G6096" i="5"/>
  <c r="G6094" i="5"/>
  <c r="G6092" i="5"/>
  <c r="G6090" i="5"/>
  <c r="G6089" i="5"/>
  <c r="G6088" i="5"/>
  <c r="G6086" i="5"/>
  <c r="G6084" i="5"/>
  <c r="G6082" i="5"/>
  <c r="G6072" i="5"/>
  <c r="G6070" i="5"/>
  <c r="G6068" i="5"/>
  <c r="G6066" i="5"/>
  <c r="G6064" i="5"/>
  <c r="G6062" i="5"/>
  <c r="G6056" i="5"/>
  <c r="G6054" i="5"/>
  <c r="G6052" i="5"/>
  <c r="G6050" i="5"/>
  <c r="G6049" i="5"/>
  <c r="G6048" i="5"/>
  <c r="G6046" i="5"/>
  <c r="G6045" i="5"/>
  <c r="G6044" i="5"/>
  <c r="G6042" i="5"/>
  <c r="G6041" i="5"/>
  <c r="G6040" i="5"/>
  <c r="G6038" i="5"/>
  <c r="G6037" i="5"/>
  <c r="G6036" i="5"/>
  <c r="G6034" i="5"/>
  <c r="G6033" i="5"/>
  <c r="G6032" i="5"/>
  <c r="G6030" i="5"/>
  <c r="G6029" i="5"/>
  <c r="G6028" i="5"/>
  <c r="G6026" i="5"/>
  <c r="G6025" i="5"/>
  <c r="G6024" i="5"/>
  <c r="G6022" i="5"/>
  <c r="G6021" i="5"/>
  <c r="G6020" i="5"/>
  <c r="G6018" i="5"/>
  <c r="G6016" i="5"/>
  <c r="G6014" i="5"/>
  <c r="G6012" i="5"/>
  <c r="G6010" i="5"/>
  <c r="G6008" i="5"/>
  <c r="G6006" i="5"/>
  <c r="G6004" i="5"/>
  <c r="G6002" i="5"/>
  <c r="G6000" i="5"/>
  <c r="G5998" i="5"/>
  <c r="G5996" i="5"/>
  <c r="G5994" i="5"/>
  <c r="G5992" i="5"/>
  <c r="G5990" i="5"/>
  <c r="G5988" i="5"/>
  <c r="G5986" i="5"/>
  <c r="G5984" i="5"/>
  <c r="G5982" i="5"/>
  <c r="G5980" i="5"/>
  <c r="G5978" i="5"/>
  <c r="G5976" i="5"/>
  <c r="G5974" i="5"/>
  <c r="G5972" i="5"/>
  <c r="G5970" i="5"/>
  <c r="G5968" i="5"/>
  <c r="G5966" i="5"/>
  <c r="G5964" i="5"/>
  <c r="G5962" i="5"/>
  <c r="G5960" i="5"/>
  <c r="G5958" i="5"/>
  <c r="G5956" i="5"/>
  <c r="G5954" i="5"/>
  <c r="G5952" i="5"/>
  <c r="G5950" i="5"/>
  <c r="G5948" i="5"/>
  <c r="G5946" i="5"/>
  <c r="G5944" i="5"/>
  <c r="G5942" i="5"/>
  <c r="G5940" i="5"/>
  <c r="G5938" i="5"/>
  <c r="G5936" i="5"/>
  <c r="G5934" i="5"/>
  <c r="G5932" i="5"/>
  <c r="G5930" i="5"/>
  <c r="G5928" i="5"/>
  <c r="G5926" i="5"/>
  <c r="G5924" i="5"/>
  <c r="G5922" i="5"/>
  <c r="G5920" i="5"/>
  <c r="G5918" i="5"/>
  <c r="G5916" i="5"/>
  <c r="G5914" i="5"/>
  <c r="G5912" i="5"/>
  <c r="G5910" i="5"/>
  <c r="G5908" i="5"/>
  <c r="G5906" i="5"/>
  <c r="G5904" i="5"/>
  <c r="G5902" i="5"/>
  <c r="G5900" i="5"/>
  <c r="G5898" i="5"/>
  <c r="G5896" i="5"/>
  <c r="G5894" i="5"/>
  <c r="G5892" i="5"/>
  <c r="G5890" i="5"/>
  <c r="G5888" i="5"/>
  <c r="G5886" i="5"/>
  <c r="G5884" i="5"/>
  <c r="G5882" i="5"/>
  <c r="G5880" i="5"/>
  <c r="G5878" i="5"/>
  <c r="G5876" i="5"/>
  <c r="G5874" i="5"/>
  <c r="G5872" i="5"/>
  <c r="G5870" i="5"/>
  <c r="G5868" i="5"/>
  <c r="G5866" i="5"/>
  <c r="G5864" i="5"/>
  <c r="G5862" i="5"/>
  <c r="G5860" i="5"/>
  <c r="G5858" i="5"/>
  <c r="G5856" i="5"/>
  <c r="G5854" i="5"/>
  <c r="G5852" i="5"/>
  <c r="G5850" i="5"/>
  <c r="G5848" i="5"/>
  <c r="G5846" i="5"/>
  <c r="G5844" i="5"/>
  <c r="G5842" i="5"/>
  <c r="G5840" i="5"/>
  <c r="G5838" i="5"/>
  <c r="G5836" i="5"/>
  <c r="G5834" i="5"/>
  <c r="G5832" i="5"/>
  <c r="G5830" i="5"/>
  <c r="G5828" i="5"/>
  <c r="G5826" i="5"/>
  <c r="G5824" i="5"/>
  <c r="G5822" i="5"/>
  <c r="G5820" i="5"/>
  <c r="G5818" i="5"/>
  <c r="G5816" i="5"/>
  <c r="G5814" i="5"/>
  <c r="G5812" i="5"/>
  <c r="G5810" i="5"/>
  <c r="G5808" i="5"/>
  <c r="G5806" i="5"/>
  <c r="G5804" i="5"/>
  <c r="G5802" i="5"/>
  <c r="G5800" i="5"/>
  <c r="G5798" i="5"/>
  <c r="G5796" i="5"/>
  <c r="G5794" i="5"/>
  <c r="G5792" i="5"/>
  <c r="G5790" i="5"/>
  <c r="G5788" i="5"/>
  <c r="G5786" i="5"/>
  <c r="G5784" i="5"/>
  <c r="G5782" i="5"/>
  <c r="G5780" i="5"/>
  <c r="G5778" i="5"/>
  <c r="G5776" i="5"/>
  <c r="G5774" i="5"/>
  <c r="G5772" i="5"/>
  <c r="G5770" i="5"/>
  <c r="G5768" i="5"/>
  <c r="G5766" i="5"/>
  <c r="G5764" i="5"/>
  <c r="G5762" i="5"/>
  <c r="G5761" i="5"/>
  <c r="G5760" i="5"/>
  <c r="G5758" i="5"/>
  <c r="G5757" i="5"/>
  <c r="G5756" i="5"/>
  <c r="G5754" i="5"/>
  <c r="G5753" i="5"/>
  <c r="G5752" i="5"/>
  <c r="G5750" i="5"/>
  <c r="G5749" i="5"/>
  <c r="G5748" i="5"/>
  <c r="G5746" i="5"/>
  <c r="G5745" i="5"/>
  <c r="G5744" i="5"/>
  <c r="G5742" i="5"/>
  <c r="G5741" i="5"/>
  <c r="G5740" i="5"/>
  <c r="G5738" i="5"/>
  <c r="G5737" i="5"/>
  <c r="G5736" i="5"/>
  <c r="G5734" i="5"/>
  <c r="G5733" i="5"/>
  <c r="G5732" i="5"/>
  <c r="G5730" i="5"/>
  <c r="G5728" i="5"/>
  <c r="G5726" i="5"/>
  <c r="G5724" i="5"/>
  <c r="G5722" i="5"/>
  <c r="G5720" i="5"/>
  <c r="G5718" i="5"/>
  <c r="G5716" i="5"/>
  <c r="G5714" i="5"/>
  <c r="G5712" i="5"/>
  <c r="G5710" i="5"/>
  <c r="G5708" i="5"/>
  <c r="G5706" i="5"/>
  <c r="G5704" i="5"/>
  <c r="G5702" i="5"/>
  <c r="G5700" i="5"/>
  <c r="G5698" i="5"/>
  <c r="G5696" i="5"/>
  <c r="G5694" i="5"/>
  <c r="G5692" i="5"/>
  <c r="G5690" i="5"/>
  <c r="G5688" i="5"/>
  <c r="G5686" i="5"/>
  <c r="G5684" i="5"/>
  <c r="G5682" i="5"/>
  <c r="G5680" i="5"/>
  <c r="G5678" i="5"/>
  <c r="G5676" i="5"/>
  <c r="G5674" i="5"/>
  <c r="G5672" i="5"/>
  <c r="G5670" i="5"/>
  <c r="G5668" i="5"/>
  <c r="G5666" i="5"/>
  <c r="G5664" i="5"/>
  <c r="G5662" i="5"/>
  <c r="G5660" i="5"/>
  <c r="G5658" i="5"/>
  <c r="G5656" i="5"/>
  <c r="G5654" i="5"/>
  <c r="G5652" i="5"/>
  <c r="G5650" i="5"/>
  <c r="G5648" i="5"/>
  <c r="G5646" i="5"/>
  <c r="G5644" i="5"/>
  <c r="G5642" i="5"/>
  <c r="G5640" i="5"/>
  <c r="G5638" i="5"/>
  <c r="G5636" i="5"/>
  <c r="G5634" i="5"/>
  <c r="G5632" i="5"/>
  <c r="G5631" i="5"/>
  <c r="G5630" i="5"/>
  <c r="G5628" i="5"/>
  <c r="G5626" i="5"/>
  <c r="G5625" i="5"/>
  <c r="G5624" i="5"/>
  <c r="G5622" i="5"/>
  <c r="G5620" i="5"/>
  <c r="G5619" i="5"/>
  <c r="G5618" i="5"/>
  <c r="G5616" i="5"/>
  <c r="G5614" i="5"/>
  <c r="G5613" i="5"/>
  <c r="G5612" i="5"/>
  <c r="G5610" i="5"/>
  <c r="G5608" i="5"/>
  <c r="G5607" i="5"/>
  <c r="G5606" i="5"/>
  <c r="G5604" i="5"/>
  <c r="G5602" i="5"/>
  <c r="G5601" i="5"/>
  <c r="G5600" i="5"/>
  <c r="G5598" i="5"/>
  <c r="G5596" i="5"/>
  <c r="G5595" i="5"/>
  <c r="G5594" i="5"/>
  <c r="G5592" i="5"/>
  <c r="G5590" i="5"/>
  <c r="G5589" i="5"/>
  <c r="G5588" i="5"/>
  <c r="G5586" i="5"/>
  <c r="G5584" i="5"/>
  <c r="G5583" i="5"/>
  <c r="G5582" i="5"/>
  <c r="G5580" i="5"/>
  <c r="G5578" i="5"/>
  <c r="G5577" i="5"/>
  <c r="G5576" i="5"/>
  <c r="G5574" i="5"/>
  <c r="G5572" i="5"/>
  <c r="G5571" i="5"/>
  <c r="G5570" i="5"/>
  <c r="G5568" i="5"/>
  <c r="G5566" i="5"/>
  <c r="G5565" i="5"/>
  <c r="G5564" i="5"/>
  <c r="G5562" i="5"/>
  <c r="G5560" i="5"/>
  <c r="G5559" i="5"/>
  <c r="G5558" i="5"/>
  <c r="G5556" i="5"/>
  <c r="G5554" i="5"/>
  <c r="G5553" i="5"/>
  <c r="G5552" i="5"/>
  <c r="G5550" i="5"/>
  <c r="G5548" i="5"/>
  <c r="G5547" i="5"/>
  <c r="G5546" i="5"/>
  <c r="G5544" i="5"/>
  <c r="G5542" i="5"/>
  <c r="G5541" i="5"/>
  <c r="G5540" i="5"/>
  <c r="G5538" i="5"/>
  <c r="G5536" i="5"/>
  <c r="G5535" i="5"/>
  <c r="G5534" i="5"/>
  <c r="G5532" i="5"/>
  <c r="G5530" i="5"/>
  <c r="G5529" i="5"/>
  <c r="G5528" i="5"/>
  <c r="G5526" i="5"/>
  <c r="G5524" i="5"/>
  <c r="G5523" i="5"/>
  <c r="G5522" i="5"/>
  <c r="G5520" i="5"/>
  <c r="G5518" i="5"/>
  <c r="G5517" i="5"/>
  <c r="G5516" i="5"/>
  <c r="G5514" i="5"/>
  <c r="G5512" i="5"/>
  <c r="G5510" i="5"/>
  <c r="G5509" i="5"/>
  <c r="G5508" i="5"/>
  <c r="G5503" i="5"/>
  <c r="G5501" i="5"/>
  <c r="G5499" i="5"/>
  <c r="G5497" i="5"/>
  <c r="G5493" i="5"/>
  <c r="G5492" i="5"/>
  <c r="G5491" i="5"/>
  <c r="G5487" i="5"/>
  <c r="G5485" i="5"/>
  <c r="G5481" i="5"/>
  <c r="G5479" i="5"/>
  <c r="G5474" i="5"/>
  <c r="G5472" i="5"/>
  <c r="G5468" i="5"/>
  <c r="G5467" i="5"/>
  <c r="G5466" i="5"/>
  <c r="G5462" i="5"/>
  <c r="G5461" i="5"/>
  <c r="G5460" i="5"/>
  <c r="G5450" i="5"/>
  <c r="G5448" i="5"/>
  <c r="G5440" i="5"/>
  <c r="G5425" i="5"/>
  <c r="G5419" i="5"/>
  <c r="G5417" i="5"/>
  <c r="G5411" i="5"/>
  <c r="G5409" i="5"/>
  <c r="G5403" i="5"/>
  <c r="G5401" i="5"/>
  <c r="G5397" i="5"/>
  <c r="G5396" i="5"/>
  <c r="G5395" i="5"/>
  <c r="G5391" i="5"/>
  <c r="G5390" i="5"/>
  <c r="G5389" i="5"/>
  <c r="G5384" i="5"/>
  <c r="G5383" i="5"/>
  <c r="G5382" i="5"/>
  <c r="G5378" i="5"/>
  <c r="G5376" i="5"/>
  <c r="G5372" i="5"/>
  <c r="G5371" i="5"/>
  <c r="G5370" i="5"/>
  <c r="G5365" i="5"/>
  <c r="G5363" i="5"/>
  <c r="G5358" i="5"/>
  <c r="G5356" i="5"/>
  <c r="G5351" i="5"/>
  <c r="G5349" i="5"/>
  <c r="G5345" i="5"/>
  <c r="G5343" i="5"/>
  <c r="G5339" i="5"/>
  <c r="G5337" i="5"/>
  <c r="G5333" i="5"/>
  <c r="G5331" i="5"/>
  <c r="G5327" i="5"/>
  <c r="G5325" i="5"/>
  <c r="G5321" i="5"/>
  <c r="G5319" i="5"/>
  <c r="G5315" i="5"/>
  <c r="G5313" i="5"/>
  <c r="G5309" i="5"/>
  <c r="G5307" i="5"/>
  <c r="G5302" i="5"/>
  <c r="G5300" i="5"/>
  <c r="G5296" i="5"/>
  <c r="G5294" i="5"/>
  <c r="G5288" i="5"/>
  <c r="G5287" i="5"/>
  <c r="G5286" i="5"/>
  <c r="G5276" i="5"/>
  <c r="G5274" i="5"/>
  <c r="G5269" i="5"/>
  <c r="G5267" i="5"/>
  <c r="G5263" i="5"/>
  <c r="G5261" i="5"/>
  <c r="G5257" i="5"/>
  <c r="G5255" i="5"/>
  <c r="G5250" i="5"/>
  <c r="G5248" i="5"/>
  <c r="G5243" i="5"/>
  <c r="G5241" i="5"/>
  <c r="G5228" i="5"/>
  <c r="G5226" i="5"/>
  <c r="G5213" i="5"/>
  <c r="G5211" i="5"/>
  <c r="G5205" i="5"/>
  <c r="G5203" i="5"/>
  <c r="G5197" i="5"/>
  <c r="G5195" i="5"/>
  <c r="G5189" i="5"/>
  <c r="G5187" i="5"/>
  <c r="G5183" i="5"/>
  <c r="G5181" i="5"/>
  <c r="G5175" i="5"/>
  <c r="G5173" i="5"/>
  <c r="G5169" i="5"/>
  <c r="G5167" i="5"/>
  <c r="G5161" i="5"/>
  <c r="G5159" i="5"/>
  <c r="G5153" i="5"/>
  <c r="G5151" i="5"/>
  <c r="G5145" i="5"/>
  <c r="G5143" i="5"/>
  <c r="G5137" i="5"/>
  <c r="G5135" i="5"/>
  <c r="G5131" i="5"/>
  <c r="G5129" i="5"/>
  <c r="G5120" i="5"/>
  <c r="G5118" i="5"/>
  <c r="G5113" i="5"/>
  <c r="G5111" i="5"/>
  <c r="G5106" i="5"/>
  <c r="G5104" i="5"/>
  <c r="G5100" i="5"/>
  <c r="G5098" i="5"/>
  <c r="G5094" i="5"/>
  <c r="G5092" i="5"/>
  <c r="G5088" i="5"/>
  <c r="G5086" i="5"/>
  <c r="G5082" i="5"/>
  <c r="G5080" i="5"/>
  <c r="G5074" i="5"/>
  <c r="G5073" i="5"/>
  <c r="G5072" i="5"/>
  <c r="G5067" i="5"/>
  <c r="G5065" i="5"/>
  <c r="G5060" i="5"/>
  <c r="G5059" i="5"/>
  <c r="G5058" i="5"/>
  <c r="G5052" i="5"/>
  <c r="G5050" i="5"/>
  <c r="G5046" i="5"/>
  <c r="G5044" i="5"/>
  <c r="G5040" i="5"/>
  <c r="G5038" i="5"/>
  <c r="G5036" i="5"/>
  <c r="G5035" i="5"/>
  <c r="G5034" i="5"/>
  <c r="G5030" i="5"/>
  <c r="G5028" i="5"/>
  <c r="G5022" i="5"/>
  <c r="G5020" i="5"/>
  <c r="G5017" i="5"/>
  <c r="G5016" i="5"/>
  <c r="G5015" i="5"/>
  <c r="G5010" i="5"/>
  <c r="G5009" i="5"/>
  <c r="G5008" i="5"/>
  <c r="G5004" i="5"/>
  <c r="G5002" i="5"/>
  <c r="G4998" i="5"/>
  <c r="G4996" i="5"/>
  <c r="G4992" i="5"/>
  <c r="G4990" i="5"/>
  <c r="G4986" i="5"/>
  <c r="G4984" i="5"/>
  <c r="G4981" i="5"/>
  <c r="G4980" i="5"/>
  <c r="G4979" i="5"/>
  <c r="G4974" i="5"/>
  <c r="G4972" i="5"/>
  <c r="G4967" i="5"/>
  <c r="G4965" i="5"/>
  <c r="G4960" i="5"/>
  <c r="G4958" i="5"/>
  <c r="G4953" i="5"/>
  <c r="G4951" i="5"/>
  <c r="G4948" i="5"/>
  <c r="G4947" i="5"/>
  <c r="G4946" i="5"/>
  <c r="G4941" i="5"/>
  <c r="G4939" i="5"/>
  <c r="G4934" i="5"/>
  <c r="G4932" i="5"/>
  <c r="G4927" i="5"/>
  <c r="G4925" i="5"/>
  <c r="G4920" i="5"/>
  <c r="G4918" i="5"/>
  <c r="G4913" i="5"/>
  <c r="G4911" i="5"/>
  <c r="G4904" i="5"/>
  <c r="G4902" i="5"/>
  <c r="G4894" i="5"/>
  <c r="G4892" i="5"/>
  <c r="G4886" i="5"/>
  <c r="G4885" i="5"/>
  <c r="G4884" i="5"/>
  <c r="G4878" i="5"/>
  <c r="G4877" i="5"/>
  <c r="G4876" i="5"/>
  <c r="G4870" i="5"/>
  <c r="G4869" i="5"/>
  <c r="G4868" i="5"/>
  <c r="G4862" i="5"/>
  <c r="G4861" i="5"/>
  <c r="G4860" i="5"/>
  <c r="G4854" i="5"/>
  <c r="G4853" i="5"/>
  <c r="G4852" i="5"/>
  <c r="G4846" i="5"/>
  <c r="G4845" i="5"/>
  <c r="G4844" i="5"/>
  <c r="G4838" i="5"/>
  <c r="G4837" i="5"/>
  <c r="G4835" i="5"/>
  <c r="G4830" i="5"/>
  <c r="G4829" i="5"/>
  <c r="G4828" i="5"/>
  <c r="G4825" i="5"/>
  <c r="G4824" i="5"/>
  <c r="G4823" i="5"/>
  <c r="G4820" i="5"/>
  <c r="G4819" i="5"/>
  <c r="G4818" i="5"/>
  <c r="G4815" i="5"/>
  <c r="G4814" i="5"/>
  <c r="G4813" i="5"/>
  <c r="G4805" i="5"/>
  <c r="G4803" i="5"/>
  <c r="G4795" i="5"/>
  <c r="G4793" i="5"/>
  <c r="G4790" i="5"/>
  <c r="G4789" i="5"/>
  <c r="G4788" i="5"/>
  <c r="G4779" i="5"/>
  <c r="G4778" i="5"/>
  <c r="G4741" i="5"/>
  <c r="G4740" i="5"/>
  <c r="G4739" i="5"/>
  <c r="G4735" i="5"/>
  <c r="G4734" i="5"/>
  <c r="G4733" i="5"/>
  <c r="G4732" i="5"/>
  <c r="G4731" i="5"/>
  <c r="G4729" i="5"/>
  <c r="G4728" i="5"/>
  <c r="G4723" i="5"/>
  <c r="G4722" i="5"/>
  <c r="G4721" i="5"/>
  <c r="G4720" i="5"/>
  <c r="G4713" i="5"/>
  <c r="G4711" i="5"/>
  <c r="G4704" i="5"/>
  <c r="G4702" i="5"/>
  <c r="G4701" i="5"/>
  <c r="G4700" i="5"/>
  <c r="G4699" i="5"/>
  <c r="G4696" i="5"/>
  <c r="G4695" i="5"/>
  <c r="G4694" i="5"/>
  <c r="G4690" i="5"/>
  <c r="G4688" i="5"/>
  <c r="G4680" i="5"/>
  <c r="G4679" i="5"/>
  <c r="G4678" i="5"/>
  <c r="G4672" i="5"/>
  <c r="G4670" i="5"/>
  <c r="G4664" i="5"/>
  <c r="G4662" i="5"/>
  <c r="G4658" i="5"/>
  <c r="G4656" i="5"/>
  <c r="G4655" i="5"/>
  <c r="G4654" i="5"/>
  <c r="G4653" i="5"/>
  <c r="G4650" i="5"/>
  <c r="G4648" i="5"/>
  <c r="G4647" i="5"/>
  <c r="G4646" i="5"/>
  <c r="G4638" i="5"/>
  <c r="G4637" i="5"/>
  <c r="G4636" i="5"/>
  <c r="G4632" i="5"/>
  <c r="G4631" i="5"/>
  <c r="G4630" i="5"/>
  <c r="G4629" i="5"/>
  <c r="G4628" i="5"/>
  <c r="G4624" i="5"/>
  <c r="G4623" i="5"/>
  <c r="G4622" i="5"/>
  <c r="G4615" i="5"/>
  <c r="G4613" i="5"/>
  <c r="G4607" i="5"/>
  <c r="G4605" i="5"/>
  <c r="G4604" i="5"/>
  <c r="G4603" i="5"/>
  <c r="G4588" i="5"/>
  <c r="G4587" i="5"/>
  <c r="G4586" i="5"/>
  <c r="G4576" i="5"/>
  <c r="G4574" i="5"/>
  <c r="G4564" i="5"/>
  <c r="G4562" i="5"/>
  <c r="G4558" i="5"/>
  <c r="G4557" i="5"/>
  <c r="G4556" i="5"/>
  <c r="G4553" i="5"/>
  <c r="G4551" i="5"/>
  <c r="G4545" i="5"/>
  <c r="G4543" i="5"/>
  <c r="G4537" i="5"/>
  <c r="G4535" i="5"/>
  <c r="G4532" i="5"/>
  <c r="G4531" i="5"/>
  <c r="G4530" i="5"/>
  <c r="G4527" i="5"/>
  <c r="G4526" i="5"/>
  <c r="G4525" i="5"/>
  <c r="G4521" i="5"/>
  <c r="G4519" i="5"/>
  <c r="G4513" i="5"/>
  <c r="G4511" i="5"/>
  <c r="G4505" i="5"/>
  <c r="G4504" i="5"/>
  <c r="G4503" i="5"/>
  <c r="G4485" i="5"/>
  <c r="G4483" i="5"/>
  <c r="G4479" i="5"/>
  <c r="G4478" i="5"/>
  <c r="G4477" i="5"/>
  <c r="G4467" i="5"/>
  <c r="G4466" i="5"/>
  <c r="G4465" i="5"/>
  <c r="G4455" i="5"/>
  <c r="G4454" i="5"/>
  <c r="G4453" i="5"/>
  <c r="G4447" i="5"/>
  <c r="G4446" i="5"/>
  <c r="G4445" i="5"/>
  <c r="G4437" i="5"/>
  <c r="G4435" i="5"/>
  <c r="G4427" i="5"/>
  <c r="G4425" i="5"/>
  <c r="G4417" i="5"/>
  <c r="G4415" i="5"/>
  <c r="G4409" i="5"/>
  <c r="G4408" i="5"/>
  <c r="G4407" i="5"/>
  <c r="G4401" i="5"/>
  <c r="G4400" i="5"/>
  <c r="G4399" i="5"/>
  <c r="G4391" i="5"/>
  <c r="G4390" i="5"/>
  <c r="G4389" i="5"/>
  <c r="G4382" i="5"/>
  <c r="G4380" i="5"/>
  <c r="G4373" i="5"/>
  <c r="G4371" i="5"/>
  <c r="G4364" i="5"/>
  <c r="G4362" i="5"/>
  <c r="G4355" i="5"/>
  <c r="G4353" i="5"/>
  <c r="G4344" i="5"/>
  <c r="G4342" i="5"/>
  <c r="G4337" i="5"/>
  <c r="G4336" i="5"/>
  <c r="G4335" i="5"/>
  <c r="G4334" i="5"/>
  <c r="G4333" i="5"/>
  <c r="G4310" i="5"/>
  <c r="G4309" i="5"/>
  <c r="G4308" i="5"/>
  <c r="G4307" i="5"/>
  <c r="G4306" i="5"/>
  <c r="G4294" i="5"/>
  <c r="G4292" i="5"/>
  <c r="G4285" i="5"/>
  <c r="G4284" i="5"/>
  <c r="G4283" i="5"/>
  <c r="G4277" i="5"/>
  <c r="G4275" i="5"/>
  <c r="G4272" i="5"/>
  <c r="G4271" i="5"/>
  <c r="G4270" i="5"/>
  <c r="G4265" i="5"/>
  <c r="G4264" i="5"/>
  <c r="G4263" i="5"/>
  <c r="G4256" i="5"/>
  <c r="G4254" i="5"/>
  <c r="G4248" i="5"/>
  <c r="G4246" i="5"/>
  <c r="G4245" i="5"/>
  <c r="G4244" i="5"/>
  <c r="G4240" i="5"/>
  <c r="G4238" i="5"/>
  <c r="G4234" i="5"/>
  <c r="G4232" i="5"/>
  <c r="G4224" i="5"/>
  <c r="G4222" i="5"/>
  <c r="G4218" i="5"/>
  <c r="G4217" i="5"/>
  <c r="G4216" i="5"/>
  <c r="G4212" i="5"/>
  <c r="G4211" i="5"/>
  <c r="G4210" i="5"/>
  <c r="G4206" i="5"/>
  <c r="G4205" i="5"/>
  <c r="G4204" i="5"/>
  <c r="G4199" i="5"/>
  <c r="G4197" i="5"/>
  <c r="G4192" i="5"/>
  <c r="G4190" i="5"/>
  <c r="G4188" i="5"/>
  <c r="G4187" i="5"/>
  <c r="G4186" i="5"/>
  <c r="G4185" i="5"/>
  <c r="G4184" i="5"/>
  <c r="G4177" i="5"/>
  <c r="G4176" i="5"/>
  <c r="G4175" i="5"/>
  <c r="G4166" i="5"/>
  <c r="G4165" i="5"/>
  <c r="G4164" i="5"/>
  <c r="G4159" i="5"/>
  <c r="G4158" i="5"/>
  <c r="G4157" i="5"/>
  <c r="G4155" i="5"/>
  <c r="G4153" i="5"/>
  <c r="G4147" i="5"/>
  <c r="G4145" i="5"/>
  <c r="G4139" i="5"/>
  <c r="G4137" i="5"/>
  <c r="G4131" i="5"/>
  <c r="G4129" i="5"/>
  <c r="G4124" i="5"/>
  <c r="G4123" i="5"/>
  <c r="G4122" i="5"/>
  <c r="G4120" i="5"/>
  <c r="G4119" i="5"/>
  <c r="G4118" i="5"/>
  <c r="G4117" i="5"/>
  <c r="G4116" i="5"/>
  <c r="G4114" i="5"/>
  <c r="G4113" i="5"/>
  <c r="G4112" i="5"/>
  <c r="G4107" i="5"/>
  <c r="G4105" i="5"/>
  <c r="G4101" i="5"/>
  <c r="G4099" i="5"/>
  <c r="G4095" i="5"/>
  <c r="G4093" i="5"/>
  <c r="G4086" i="5"/>
  <c r="G4084" i="5"/>
  <c r="G4077" i="5"/>
  <c r="G4075" i="5"/>
  <c r="G4068" i="5"/>
  <c r="G4066" i="5"/>
  <c r="G4059" i="5"/>
  <c r="G4057" i="5"/>
  <c r="G4050" i="5"/>
  <c r="G4048" i="5"/>
  <c r="G4041" i="5"/>
  <c r="G4039" i="5"/>
  <c r="G4037" i="5"/>
  <c r="G4035" i="5"/>
  <c r="G4033" i="5"/>
  <c r="G4031" i="5"/>
  <c r="G4028" i="5"/>
  <c r="G4027" i="5"/>
  <c r="G4026" i="5"/>
  <c r="G4015" i="5"/>
  <c r="G4013" i="5"/>
  <c r="G4012" i="5"/>
  <c r="G4011" i="5"/>
  <c r="G4002" i="5"/>
  <c r="G4000" i="5"/>
  <c r="G3994" i="5"/>
  <c r="G3992" i="5"/>
  <c r="G3987" i="5"/>
  <c r="G3985" i="5"/>
  <c r="G3977" i="5"/>
  <c r="G3975" i="5"/>
  <c r="G3969" i="5"/>
  <c r="G3967" i="5"/>
  <c r="G3960" i="5"/>
  <c r="G3958" i="5"/>
  <c r="G3953" i="5"/>
  <c r="G3951" i="5"/>
  <c r="G3947" i="5"/>
  <c r="G3946" i="5"/>
  <c r="G3945" i="5"/>
  <c r="G3939" i="5"/>
  <c r="G3937" i="5"/>
  <c r="G3933" i="5"/>
  <c r="G3931" i="5"/>
  <c r="G3915" i="5"/>
  <c r="G3913" i="5"/>
  <c r="G3908" i="5"/>
  <c r="G3906" i="5"/>
  <c r="G3893" i="5"/>
  <c r="G3891" i="5"/>
  <c r="G3890" i="5"/>
  <c r="G3889" i="5"/>
  <c r="G3881" i="5"/>
  <c r="G3880" i="5"/>
  <c r="G3879" i="5"/>
  <c r="G3873" i="5"/>
  <c r="G3871" i="5"/>
  <c r="G3864" i="5"/>
  <c r="G3862" i="5"/>
  <c r="G3854" i="5"/>
  <c r="G3852" i="5"/>
  <c r="G3851" i="5"/>
  <c r="G3850" i="5"/>
  <c r="G3843" i="5"/>
  <c r="G3842" i="5"/>
  <c r="G3841" i="5"/>
  <c r="G3838" i="5"/>
  <c r="G3837" i="5"/>
  <c r="G3832" i="5"/>
  <c r="G3831" i="5"/>
  <c r="G3774" i="5"/>
  <c r="G3772" i="5"/>
  <c r="G3770" i="5"/>
  <c r="G3768" i="5"/>
  <c r="G3766" i="5"/>
  <c r="G3764" i="5"/>
  <c r="G3759" i="5"/>
  <c r="G3757" i="5"/>
  <c r="G3756" i="5"/>
  <c r="G3755" i="5"/>
  <c r="G3754" i="5"/>
  <c r="G3750" i="5"/>
  <c r="G3749" i="5"/>
  <c r="G3748" i="5"/>
  <c r="G3745" i="5"/>
  <c r="G3744" i="5"/>
  <c r="G3743" i="5"/>
  <c r="G3735" i="5"/>
  <c r="G3733" i="5"/>
  <c r="G3731" i="5"/>
  <c r="G3729" i="5"/>
  <c r="G3728" i="5"/>
  <c r="G3727" i="5"/>
  <c r="G3720" i="5"/>
  <c r="G3719" i="5"/>
  <c r="G3707" i="5"/>
  <c r="G3706" i="5"/>
  <c r="G3705" i="5"/>
  <c r="G3695" i="5"/>
  <c r="G3693" i="5"/>
  <c r="G3692" i="5"/>
  <c r="G3691" i="5"/>
  <c r="G3687" i="5"/>
  <c r="G3685" i="5"/>
  <c r="G3684" i="5"/>
  <c r="G3672" i="5"/>
  <c r="G3670" i="5"/>
  <c r="G3666" i="5"/>
  <c r="G3664" i="5"/>
  <c r="G3662" i="5"/>
  <c r="G3661" i="5"/>
  <c r="G3660" i="5"/>
  <c r="G3654" i="5"/>
  <c r="G3653" i="5"/>
  <c r="G3652" i="5"/>
  <c r="G3649" i="5"/>
  <c r="G3647" i="5"/>
  <c r="G3644" i="5"/>
  <c r="G3643" i="5"/>
  <c r="G3642" i="5"/>
  <c r="G3634" i="5"/>
  <c r="G3632" i="5"/>
  <c r="G3628" i="5"/>
  <c r="G3626" i="5"/>
  <c r="G3621" i="5"/>
  <c r="G3619" i="5"/>
  <c r="G3615" i="5"/>
  <c r="G3614" i="5"/>
  <c r="G3613" i="5"/>
  <c r="G3607" i="5"/>
  <c r="G3606" i="5"/>
  <c r="G3605" i="5"/>
  <c r="G3602" i="5"/>
  <c r="G3601" i="5"/>
  <c r="G3600" i="5"/>
  <c r="G3595" i="5"/>
  <c r="G3594" i="5"/>
  <c r="G3593" i="5"/>
  <c r="G3587" i="5"/>
  <c r="G3585" i="5"/>
  <c r="G3581" i="5"/>
  <c r="G3580" i="5"/>
  <c r="G3579" i="5"/>
  <c r="G3575" i="5"/>
  <c r="G3574" i="5"/>
  <c r="G3573" i="5"/>
  <c r="G3572" i="5"/>
  <c r="G3571" i="5"/>
  <c r="G3570" i="5"/>
  <c r="G3559" i="5"/>
  <c r="G3558" i="5"/>
  <c r="G3557" i="5"/>
  <c r="G3552" i="5"/>
  <c r="G3551" i="5"/>
  <c r="G3541" i="5"/>
  <c r="G3540" i="5"/>
  <c r="G3539" i="5"/>
  <c r="G3533" i="5"/>
  <c r="G3532" i="5"/>
  <c r="G3531" i="5"/>
  <c r="G3530" i="5"/>
  <c r="G3529" i="5"/>
  <c r="G3528" i="5"/>
  <c r="G3516" i="5"/>
  <c r="G3515" i="5"/>
  <c r="G3514" i="5"/>
  <c r="G3508" i="5"/>
  <c r="G3507" i="5"/>
  <c r="G3506" i="5"/>
  <c r="G3505" i="5"/>
  <c r="G3504" i="5"/>
  <c r="G3503" i="5"/>
  <c r="G3491" i="5"/>
  <c r="G3490" i="5"/>
  <c r="G3489" i="5"/>
  <c r="G3470" i="5"/>
  <c r="G3469" i="5"/>
  <c r="G3468" i="5"/>
  <c r="G3461" i="5"/>
  <c r="G3460" i="5"/>
  <c r="G3459" i="5"/>
  <c r="G3458" i="5"/>
  <c r="G3457" i="5"/>
  <c r="G3451" i="5"/>
  <c r="G3450" i="5"/>
  <c r="G3449" i="5"/>
  <c r="G3447" i="5"/>
  <c r="G3446" i="5"/>
  <c r="G3445" i="5"/>
  <c r="G3443" i="5"/>
  <c r="G3442" i="5"/>
  <c r="G3441" i="5"/>
  <c r="G3438" i="5"/>
  <c r="G3437" i="5"/>
  <c r="G3436" i="5"/>
  <c r="G3433" i="5"/>
  <c r="G3432" i="5"/>
  <c r="G3431" i="5"/>
  <c r="G3428" i="5"/>
  <c r="G3427" i="5"/>
  <c r="G3426" i="5"/>
  <c r="G3421" i="5"/>
  <c r="G3419" i="5"/>
  <c r="G3414" i="5"/>
  <c r="G3412" i="5"/>
  <c r="G3407" i="5"/>
  <c r="G3405" i="5"/>
  <c r="G3403" i="5"/>
  <c r="G3402" i="5"/>
  <c r="G3399" i="5"/>
  <c r="G3398" i="5"/>
  <c r="G3397" i="5"/>
  <c r="G3394" i="5"/>
  <c r="G3392" i="5"/>
  <c r="G3390" i="5"/>
  <c r="G3388" i="5"/>
  <c r="G3386" i="5"/>
  <c r="G3384" i="5"/>
  <c r="G3379" i="5"/>
  <c r="G3377" i="5"/>
  <c r="G3372" i="5"/>
  <c r="G3370" i="5"/>
  <c r="G3365" i="5"/>
  <c r="G3363" i="5"/>
  <c r="G3360" i="5"/>
  <c r="G3359" i="5"/>
  <c r="G3358" i="5"/>
  <c r="G3357" i="5"/>
  <c r="G3356" i="5"/>
  <c r="G3351" i="5"/>
  <c r="G3349" i="5"/>
  <c r="G3345" i="5"/>
  <c r="G3343" i="5"/>
  <c r="G3339" i="5"/>
  <c r="G3337" i="5"/>
  <c r="G3332" i="5"/>
  <c r="G3330" i="5"/>
  <c r="G3325" i="5"/>
  <c r="G3323" i="5"/>
  <c r="G3318" i="5"/>
  <c r="G3316" i="5"/>
  <c r="G3311" i="5"/>
  <c r="G3309" i="5"/>
  <c r="G3304" i="5"/>
  <c r="G3302" i="5"/>
  <c r="G3297" i="5"/>
  <c r="G3295" i="5"/>
  <c r="G3290" i="5"/>
  <c r="G3288" i="5"/>
  <c r="G3283" i="5"/>
  <c r="G3281" i="5"/>
  <c r="G3276" i="5"/>
  <c r="G3274" i="5"/>
  <c r="G3269" i="5"/>
  <c r="G3267" i="5"/>
  <c r="G3264" i="5"/>
  <c r="G3263" i="5"/>
  <c r="G3262" i="5"/>
  <c r="G3254" i="5"/>
  <c r="G3252" i="5"/>
  <c r="G3248" i="5"/>
  <c r="G3246" i="5"/>
  <c r="G3242" i="5"/>
  <c r="G3240" i="5"/>
  <c r="G3236" i="5"/>
  <c r="G3234" i="5"/>
  <c r="G3233" i="5"/>
  <c r="G3232" i="5"/>
  <c r="G3223" i="5"/>
  <c r="G3221" i="5"/>
  <c r="G3216" i="5"/>
  <c r="G3214" i="5"/>
  <c r="G3212" i="5"/>
  <c r="G3210" i="5"/>
  <c r="G3207" i="5"/>
  <c r="G3206" i="5"/>
  <c r="G3205" i="5"/>
  <c r="G3199" i="5"/>
  <c r="G3197" i="5"/>
  <c r="G3191" i="5"/>
  <c r="G3189" i="5"/>
  <c r="G3182" i="5"/>
  <c r="G3180" i="5"/>
  <c r="G3177" i="5"/>
  <c r="G3176" i="5"/>
  <c r="G3175" i="5"/>
  <c r="G3171" i="5"/>
  <c r="G3170" i="5"/>
  <c r="G3169" i="5"/>
  <c r="G3166" i="5"/>
  <c r="G3165" i="5"/>
  <c r="G3164" i="5"/>
  <c r="G3160" i="5"/>
  <c r="G3159" i="5"/>
  <c r="G3158" i="5"/>
  <c r="G3154" i="5"/>
  <c r="G3153" i="5"/>
  <c r="G3152" i="5"/>
  <c r="G3148" i="5"/>
  <c r="G3147" i="5"/>
  <c r="G3146" i="5"/>
  <c r="G3145" i="5"/>
  <c r="G3144" i="5"/>
  <c r="G3142" i="5"/>
  <c r="G3140" i="5"/>
  <c r="G3137" i="5"/>
  <c r="G3136" i="5"/>
  <c r="G3135" i="5"/>
  <c r="G3132" i="5"/>
  <c r="G3131" i="5"/>
  <c r="G3130" i="5"/>
  <c r="G3127" i="5"/>
  <c r="G3126" i="5"/>
  <c r="G3125" i="5"/>
  <c r="G3122" i="5"/>
  <c r="G3121" i="5"/>
  <c r="G3120" i="5"/>
  <c r="G3117" i="5"/>
  <c r="G3116" i="5"/>
  <c r="G3115" i="5"/>
  <c r="G3112" i="5"/>
  <c r="G3111" i="5"/>
  <c r="G3110" i="5"/>
  <c r="G3107" i="5"/>
  <c r="G3106" i="5"/>
  <c r="G3105" i="5"/>
  <c r="G3102" i="5"/>
  <c r="G3101" i="5"/>
  <c r="G3100" i="5"/>
  <c r="G3097" i="5"/>
  <c r="G3096" i="5"/>
  <c r="G3095" i="5"/>
  <c r="G3089" i="5"/>
  <c r="G3087" i="5"/>
  <c r="G3084" i="5"/>
  <c r="G3083" i="5"/>
  <c r="G3082" i="5"/>
  <c r="G3076" i="5"/>
  <c r="G3074" i="5"/>
  <c r="G3072" i="5"/>
  <c r="G3071" i="5"/>
  <c r="G3070" i="5"/>
  <c r="G3069" i="5"/>
  <c r="G3068" i="5"/>
  <c r="G3067" i="5"/>
  <c r="G3064" i="5"/>
  <c r="G3063" i="5"/>
  <c r="G3062" i="5"/>
  <c r="G3059" i="5"/>
  <c r="G3058" i="5"/>
  <c r="G3057" i="5"/>
  <c r="G3056" i="5"/>
  <c r="G3055" i="5"/>
  <c r="G3054" i="5"/>
  <c r="G3051" i="5"/>
  <c r="G3050" i="5"/>
  <c r="G3049" i="5"/>
  <c r="G3046" i="5"/>
  <c r="G3045" i="5"/>
  <c r="G3044" i="5"/>
  <c r="G3041" i="5"/>
  <c r="G3040" i="5"/>
  <c r="G3039" i="5"/>
  <c r="G3036" i="5"/>
  <c r="G3035" i="5"/>
  <c r="G3034" i="5"/>
  <c r="G3031" i="5"/>
  <c r="G3030" i="5"/>
  <c r="G3029" i="5"/>
  <c r="G3026" i="5"/>
  <c r="G3025" i="5"/>
  <c r="G3024" i="5"/>
  <c r="G3021" i="5"/>
  <c r="G3020" i="5"/>
  <c r="G3019" i="5"/>
  <c r="G3016" i="5"/>
  <c r="G3015" i="5"/>
  <c r="G3014" i="5"/>
  <c r="G3011" i="5"/>
  <c r="G3010" i="5"/>
  <c r="G3009" i="5"/>
  <c r="G3006" i="5"/>
  <c r="G3005" i="5"/>
  <c r="G3004" i="5"/>
  <c r="G2996" i="5"/>
  <c r="G2994" i="5"/>
  <c r="G2991" i="5"/>
  <c r="G2990" i="5"/>
  <c r="G2989" i="5"/>
  <c r="G2986" i="5"/>
  <c r="G2985" i="5"/>
  <c r="G2984" i="5"/>
  <c r="G2981" i="5"/>
  <c r="G2980" i="5"/>
  <c r="G2979" i="5"/>
  <c r="G2976" i="5"/>
  <c r="G2975" i="5"/>
  <c r="G2974" i="5"/>
  <c r="G2971" i="5"/>
  <c r="G2970" i="5"/>
  <c r="G2969" i="5"/>
  <c r="G2966" i="5"/>
  <c r="G2965" i="5"/>
  <c r="G2964" i="5"/>
  <c r="G2961" i="5"/>
  <c r="G2960" i="5"/>
  <c r="G2959" i="5"/>
  <c r="G2956" i="5"/>
  <c r="G2955" i="5"/>
  <c r="G2954" i="5"/>
  <c r="G2951" i="5"/>
  <c r="G2950" i="5"/>
  <c r="G2949" i="5"/>
  <c r="G2946" i="5"/>
  <c r="G2945" i="5"/>
  <c r="G2944" i="5"/>
  <c r="G2943" i="5"/>
  <c r="G2942" i="5"/>
  <c r="G2941" i="5"/>
  <c r="G2938" i="5"/>
  <c r="G2937" i="5"/>
  <c r="G2936" i="5"/>
  <c r="G2935" i="5"/>
  <c r="G2934" i="5"/>
  <c r="G2933" i="5"/>
  <c r="G2930" i="5"/>
  <c r="G2929" i="5"/>
  <c r="G2928" i="5"/>
  <c r="G2927" i="5"/>
  <c r="G2926" i="5"/>
  <c r="G2925" i="5"/>
  <c r="G2922" i="5"/>
  <c r="G2921" i="5"/>
  <c r="G2920" i="5"/>
  <c r="G2919" i="5"/>
  <c r="G2918" i="5"/>
  <c r="G2917" i="5"/>
  <c r="G2914" i="5"/>
  <c r="G2913" i="5"/>
  <c r="G2912" i="5"/>
  <c r="G2911" i="5"/>
  <c r="G2910" i="5"/>
  <c r="G2909" i="5"/>
  <c r="G2906" i="5"/>
  <c r="G2905" i="5"/>
  <c r="G2904" i="5"/>
  <c r="G2901" i="5"/>
  <c r="G2900" i="5"/>
  <c r="G2899" i="5"/>
  <c r="G2896" i="5"/>
  <c r="G2895" i="5"/>
  <c r="G2894" i="5"/>
  <c r="G2891" i="5"/>
  <c r="G2890" i="5"/>
  <c r="G2889" i="5"/>
  <c r="G2884" i="5"/>
  <c r="G2882" i="5"/>
  <c r="G2879" i="5"/>
  <c r="G2878" i="5"/>
  <c r="G2877" i="5"/>
  <c r="G2874" i="5"/>
  <c r="G2873" i="5"/>
  <c r="G2872" i="5"/>
  <c r="G2869" i="5"/>
  <c r="G2868" i="5"/>
  <c r="G2867" i="5"/>
  <c r="G2864" i="5"/>
  <c r="G2863" i="5"/>
  <c r="G2862" i="5"/>
  <c r="G2859" i="5"/>
  <c r="G2858" i="5"/>
  <c r="G2857" i="5"/>
  <c r="G2854" i="5"/>
  <c r="G2853" i="5"/>
  <c r="G2852" i="5"/>
  <c r="G2849" i="5"/>
  <c r="G2848" i="5"/>
  <c r="G2847" i="5"/>
  <c r="G2844" i="5"/>
  <c r="G2843" i="5"/>
  <c r="G2842" i="5"/>
  <c r="G2841" i="5"/>
  <c r="G2840" i="5"/>
  <c r="G2837" i="5"/>
  <c r="G2836" i="5"/>
  <c r="G2835" i="5"/>
  <c r="G2832" i="5"/>
  <c r="G2831" i="5"/>
  <c r="G2830" i="5"/>
  <c r="G2827" i="5"/>
  <c r="G2826" i="5"/>
  <c r="G2825" i="5"/>
  <c r="G2822" i="5"/>
  <c r="G2821" i="5"/>
  <c r="G2820" i="5"/>
  <c r="G2812" i="5"/>
  <c r="G2810" i="5"/>
  <c r="G2807" i="5"/>
  <c r="G2806" i="5"/>
  <c r="G2805" i="5"/>
  <c r="G2802" i="5"/>
  <c r="G2801" i="5"/>
  <c r="G2800" i="5"/>
  <c r="G2796" i="5"/>
  <c r="G2795" i="5"/>
  <c r="G2794" i="5"/>
  <c r="G2786" i="5"/>
  <c r="G2784" i="5"/>
  <c r="G2781" i="5"/>
  <c r="G2780" i="5"/>
  <c r="G2779" i="5"/>
  <c r="G2777" i="5"/>
  <c r="G2775" i="5"/>
  <c r="G2773" i="5"/>
  <c r="G2771" i="5"/>
  <c r="G2769" i="5"/>
  <c r="G2723" i="5"/>
  <c r="G2722" i="5"/>
  <c r="G2721" i="5"/>
  <c r="G2719" i="5"/>
  <c r="G2718" i="5"/>
  <c r="G2717" i="5"/>
  <c r="G2716" i="5"/>
  <c r="G2715" i="5"/>
  <c r="G2713" i="5"/>
  <c r="G2712" i="5"/>
  <c r="G2711" i="5"/>
  <c r="G2710" i="5"/>
  <c r="G2709" i="5"/>
  <c r="G2707" i="5"/>
  <c r="G2706" i="5"/>
  <c r="G2705" i="5"/>
  <c r="G2704" i="5"/>
  <c r="G2703" i="5"/>
  <c r="G2701" i="5"/>
  <c r="G2700" i="5"/>
  <c r="G2699" i="5"/>
  <c r="G2698" i="5"/>
  <c r="G2697" i="5"/>
  <c r="G2695" i="5"/>
  <c r="G2694" i="5"/>
  <c r="G2693" i="5"/>
  <c r="G2692" i="5"/>
  <c r="G2691" i="5"/>
  <c r="G2689" i="5"/>
  <c r="G2688" i="5"/>
  <c r="G2687" i="5"/>
  <c r="G2686" i="5"/>
  <c r="G2685" i="5"/>
  <c r="G2683" i="5"/>
  <c r="G2682" i="5"/>
  <c r="G2681" i="5"/>
  <c r="G2680" i="5"/>
  <c r="G2679" i="5"/>
  <c r="G2677" i="5"/>
  <c r="G2676" i="5"/>
  <c r="G2675" i="5"/>
  <c r="G2674" i="5"/>
  <c r="G2673" i="5"/>
  <c r="G2671" i="5"/>
  <c r="G2670" i="5"/>
  <c r="G2669" i="5"/>
  <c r="G2668" i="5"/>
  <c r="G2667" i="5"/>
  <c r="G2665" i="5"/>
  <c r="G2664" i="5"/>
  <c r="G2663" i="5"/>
  <c r="G2661" i="5"/>
  <c r="G2659" i="5"/>
  <c r="G2657" i="5"/>
  <c r="G2655" i="5"/>
  <c r="G2653" i="5"/>
  <c r="G2647" i="5"/>
  <c r="G2645" i="5"/>
  <c r="G2643" i="5"/>
  <c r="G2641" i="5"/>
  <c r="G2639" i="5"/>
  <c r="G2637" i="5"/>
  <c r="G2636" i="5"/>
  <c r="G2635" i="5"/>
  <c r="G2633" i="5"/>
  <c r="G2632" i="5"/>
  <c r="G2631" i="5"/>
  <c r="G2629" i="5"/>
  <c r="G2628" i="5"/>
  <c r="G2627" i="5"/>
  <c r="G2625" i="5"/>
  <c r="G2624" i="5"/>
  <c r="G2623" i="5"/>
  <c r="G2621" i="5"/>
  <c r="G2620" i="5"/>
  <c r="G2619" i="5"/>
  <c r="G2617" i="5"/>
  <c r="G2616" i="5"/>
  <c r="G2615" i="5"/>
  <c r="G2613" i="5"/>
  <c r="G2611" i="5"/>
  <c r="G2609" i="5"/>
  <c r="G2607" i="5"/>
  <c r="G2605" i="5"/>
  <c r="G2603" i="5"/>
  <c r="G2602" i="5"/>
  <c r="G2601" i="5"/>
  <c r="G2597" i="5"/>
  <c r="G2596" i="5"/>
  <c r="G2595" i="5"/>
  <c r="G2594" i="5"/>
  <c r="G2593" i="5"/>
  <c r="G2589" i="5"/>
  <c r="G2588" i="5"/>
  <c r="G2587" i="5"/>
  <c r="G2586" i="5"/>
  <c r="G2585" i="5"/>
  <c r="G2581" i="5"/>
  <c r="G2580" i="5"/>
  <c r="G2579" i="5"/>
  <c r="G2577" i="5"/>
  <c r="G2576" i="5"/>
  <c r="G2575" i="5"/>
  <c r="G2573" i="5"/>
  <c r="G2572" i="5"/>
  <c r="G2571" i="5"/>
  <c r="G2569" i="5"/>
  <c r="G2568" i="5"/>
  <c r="G2567" i="5"/>
  <c r="G2565" i="5"/>
  <c r="G2564" i="5"/>
  <c r="G2563" i="5"/>
  <c r="G2561" i="5"/>
  <c r="G2560" i="5"/>
  <c r="G2559" i="5"/>
  <c r="G2557" i="5"/>
  <c r="G2556" i="5"/>
  <c r="G2555" i="5"/>
  <c r="G2553" i="5"/>
  <c r="G2551" i="5"/>
  <c r="G2549" i="5"/>
  <c r="G2547" i="5"/>
  <c r="G2545" i="5"/>
  <c r="G2543" i="5"/>
  <c r="G2541" i="5"/>
  <c r="G2540" i="5"/>
  <c r="G2539" i="5"/>
  <c r="G2537" i="5"/>
  <c r="G2536" i="5"/>
  <c r="G2535" i="5"/>
  <c r="G2533" i="5"/>
  <c r="G2532" i="5"/>
  <c r="G2531" i="5"/>
  <c r="G2529" i="5"/>
  <c r="G2528" i="5"/>
  <c r="G2527" i="5"/>
  <c r="G2525" i="5"/>
  <c r="G2524" i="5"/>
  <c r="G2523" i="5"/>
  <c r="G2521" i="5"/>
  <c r="G2520" i="5"/>
  <c r="G2519" i="5"/>
  <c r="G2517" i="5"/>
  <c r="G2516" i="5"/>
  <c r="G2515" i="5"/>
  <c r="G2513" i="5"/>
  <c r="G2512" i="5"/>
  <c r="G2511" i="5"/>
  <c r="G2509" i="5"/>
  <c r="G2508" i="5"/>
  <c r="G2507" i="5"/>
  <c r="G2505" i="5"/>
  <c r="G2503" i="5"/>
  <c r="G2501" i="5"/>
  <c r="G2500" i="5"/>
  <c r="G2499" i="5"/>
  <c r="G2497" i="5"/>
  <c r="G2496" i="5"/>
  <c r="G2495" i="5"/>
  <c r="G2493" i="5"/>
  <c r="G2492" i="5"/>
  <c r="G2491" i="5"/>
  <c r="G2489" i="5"/>
  <c r="G2488" i="5"/>
  <c r="G2487" i="5"/>
  <c r="G2485" i="5"/>
  <c r="G2484" i="5"/>
  <c r="G2483" i="5"/>
  <c r="G2481" i="5"/>
  <c r="G2479" i="5"/>
  <c r="G2477" i="5"/>
  <c r="G2475" i="5"/>
  <c r="G2473" i="5"/>
  <c r="G2471" i="5"/>
  <c r="G2469" i="5"/>
  <c r="G2467" i="5"/>
  <c r="G2465" i="5"/>
  <c r="G2463" i="5"/>
  <c r="G2461" i="5"/>
  <c r="G2460" i="5"/>
  <c r="G2459" i="5"/>
  <c r="G2457" i="5"/>
  <c r="G2455" i="5"/>
  <c r="G2453" i="5"/>
  <c r="G2451" i="5"/>
  <c r="G2449" i="5"/>
  <c r="G2447" i="5"/>
  <c r="G2445" i="5"/>
  <c r="G2443" i="5"/>
  <c r="G2441" i="5"/>
  <c r="G2439" i="5"/>
  <c r="G2437" i="5"/>
  <c r="G2435" i="5"/>
  <c r="G2433" i="5"/>
  <c r="G2431" i="5"/>
  <c r="G2429" i="5"/>
  <c r="G2427" i="5"/>
  <c r="G2425" i="5"/>
  <c r="G2423" i="5"/>
  <c r="G2421" i="5"/>
  <c r="G2419" i="5"/>
  <c r="G2417" i="5"/>
  <c r="G2415" i="5"/>
  <c r="G2413" i="5"/>
  <c r="G2411" i="5"/>
  <c r="G2409" i="5"/>
  <c r="G2407" i="5"/>
  <c r="G2405" i="5"/>
  <c r="G2403" i="5"/>
  <c r="G2399" i="5"/>
  <c r="G2398" i="5"/>
  <c r="G2397" i="5"/>
  <c r="G2392" i="5"/>
  <c r="G2390" i="5"/>
  <c r="G2386" i="5"/>
  <c r="G2384" i="5"/>
  <c r="G2379" i="5"/>
  <c r="G2377" i="5"/>
  <c r="G2371" i="5"/>
  <c r="G2369" i="5"/>
  <c r="G2365" i="5"/>
  <c r="G2363" i="5"/>
  <c r="G2360" i="5"/>
  <c r="G2359" i="5"/>
  <c r="G2358" i="5"/>
  <c r="G2355" i="5"/>
  <c r="G2354" i="5"/>
  <c r="G2353" i="5"/>
  <c r="G2350" i="5"/>
  <c r="G2348" i="5"/>
  <c r="G2344" i="5"/>
  <c r="G2342" i="5"/>
  <c r="G2338" i="5"/>
  <c r="G2336" i="5"/>
  <c r="G2332" i="5"/>
  <c r="G2330" i="5"/>
  <c r="G2326" i="5"/>
  <c r="G2324" i="5"/>
  <c r="G2319" i="5"/>
  <c r="G2317" i="5"/>
  <c r="G2312" i="5"/>
  <c r="G2310" i="5"/>
  <c r="G2302" i="5"/>
  <c r="G2300" i="5"/>
  <c r="G2292" i="5"/>
  <c r="G2290" i="5"/>
  <c r="G2282" i="5"/>
  <c r="G2280" i="5"/>
  <c r="G2272" i="5"/>
  <c r="G2270" i="5"/>
  <c r="G2262" i="5"/>
  <c r="G2260" i="5"/>
  <c r="G2256" i="5"/>
  <c r="G2255" i="5"/>
  <c r="G2254" i="5"/>
  <c r="G2242" i="5"/>
  <c r="G2240" i="5"/>
  <c r="G2236" i="5"/>
  <c r="G2235" i="5"/>
  <c r="G2234" i="5"/>
  <c r="G2230" i="5"/>
  <c r="G2229" i="5"/>
  <c r="G2228" i="5"/>
  <c r="G2223" i="5"/>
  <c r="G2222" i="5"/>
  <c r="G2221" i="5"/>
  <c r="G2216" i="5"/>
  <c r="G2215" i="5"/>
  <c r="G2214" i="5"/>
  <c r="G2211" i="5"/>
  <c r="G2210" i="5"/>
  <c r="G2209" i="5"/>
  <c r="G2208" i="5"/>
  <c r="G2207" i="5"/>
  <c r="G2203" i="5"/>
  <c r="G2201" i="5"/>
  <c r="G2200" i="5"/>
  <c r="G2199" i="5"/>
  <c r="G2195" i="5"/>
  <c r="G2193" i="5"/>
  <c r="G2192" i="5"/>
  <c r="G2191" i="5"/>
  <c r="G2187" i="5"/>
  <c r="G2185" i="5"/>
  <c r="G2184" i="5"/>
  <c r="G2183" i="5"/>
  <c r="G2179" i="5"/>
  <c r="G2177" i="5"/>
  <c r="G2176" i="5"/>
  <c r="G2175" i="5"/>
  <c r="G2171" i="5"/>
  <c r="G2169" i="5"/>
  <c r="G2168" i="5"/>
  <c r="G2167" i="5"/>
  <c r="G2163" i="5"/>
  <c r="G2161" i="5"/>
  <c r="G2160" i="5"/>
  <c r="G2159" i="5"/>
  <c r="G2155" i="5"/>
  <c r="G2153" i="5"/>
  <c r="G2152" i="5"/>
  <c r="G2151" i="5"/>
  <c r="G2147" i="5"/>
  <c r="G2145" i="5"/>
  <c r="G2141" i="5"/>
  <c r="G2139" i="5"/>
  <c r="G2135" i="5"/>
  <c r="G2133" i="5"/>
  <c r="G2129" i="5"/>
  <c r="G2127" i="5"/>
  <c r="G2123" i="5"/>
  <c r="G2121" i="5"/>
  <c r="G2117" i="5"/>
  <c r="G2116" i="5"/>
  <c r="G2115" i="5"/>
  <c r="G2114" i="5"/>
  <c r="G2113" i="5"/>
  <c r="G2109" i="5"/>
  <c r="G2108" i="5"/>
  <c r="G2107" i="5"/>
  <c r="G2106" i="5"/>
  <c r="G2105" i="5"/>
  <c r="G2101" i="5"/>
  <c r="G2099" i="5"/>
  <c r="G2098" i="5"/>
  <c r="G2097" i="5"/>
  <c r="G2093" i="5"/>
  <c r="G2091" i="5"/>
  <c r="G2090" i="5"/>
  <c r="G2089" i="5"/>
  <c r="G2085" i="5"/>
  <c r="G2083" i="5"/>
  <c r="G2082" i="5"/>
  <c r="G2081" i="5"/>
  <c r="G2077" i="5"/>
  <c r="G2075" i="5"/>
  <c r="G2074" i="5"/>
  <c r="G2073" i="5"/>
  <c r="G2069" i="5"/>
  <c r="G2067" i="5"/>
  <c r="G2066" i="5"/>
  <c r="G2065" i="5"/>
  <c r="G2061" i="5"/>
  <c r="G2059" i="5"/>
  <c r="G2058" i="5"/>
  <c r="G2057" i="5"/>
  <c r="G2053" i="5"/>
  <c r="G2051" i="5"/>
  <c r="G2050" i="5"/>
  <c r="G2049" i="5"/>
  <c r="G2045" i="5"/>
  <c r="G2043" i="5"/>
  <c r="G2042" i="5"/>
  <c r="G2041" i="5"/>
  <c r="G2037" i="5"/>
  <c r="G2035" i="5"/>
  <c r="G2034" i="5"/>
  <c r="G2033" i="5"/>
  <c r="G2029" i="5"/>
  <c r="G2027" i="5"/>
  <c r="G2023" i="5"/>
  <c r="G2022" i="5"/>
  <c r="G2021" i="5"/>
  <c r="G2016" i="5"/>
  <c r="G2014" i="5"/>
  <c r="G2009" i="5"/>
  <c r="G2007" i="5"/>
  <c r="G2002" i="5"/>
  <c r="G2000" i="5"/>
  <c r="G1995" i="5"/>
  <c r="G1993" i="5"/>
  <c r="G1987" i="5"/>
  <c r="G1985" i="5"/>
  <c r="G1979" i="5"/>
  <c r="G1977" i="5"/>
  <c r="G1972" i="5"/>
  <c r="G1970" i="5"/>
  <c r="G1965" i="5"/>
  <c r="G1963" i="5"/>
  <c r="G1959" i="5"/>
  <c r="G1958" i="5"/>
  <c r="G1957" i="5"/>
  <c r="G1953" i="5"/>
  <c r="G1952" i="5"/>
  <c r="G1951" i="5"/>
  <c r="G1946" i="5"/>
  <c r="G1945" i="5"/>
  <c r="G1944" i="5"/>
  <c r="G1941" i="5"/>
  <c r="G1940" i="5"/>
  <c r="G1939" i="5"/>
  <c r="G1936" i="5"/>
  <c r="G1935" i="5"/>
  <c r="G1934" i="5"/>
  <c r="G1930" i="5"/>
  <c r="G1929" i="5"/>
  <c r="G1928" i="5"/>
  <c r="G1925" i="5"/>
  <c r="G1924" i="5"/>
  <c r="G1923" i="5"/>
  <c r="G1920" i="5"/>
  <c r="G1919" i="5"/>
  <c r="G1918" i="5"/>
  <c r="G1915" i="5"/>
  <c r="G1914" i="5"/>
  <c r="G1913" i="5"/>
  <c r="G1909" i="5"/>
  <c r="G1908" i="5"/>
  <c r="G1907" i="5"/>
  <c r="G1903" i="5"/>
  <c r="G1902" i="5"/>
  <c r="G1901" i="5"/>
  <c r="G1897" i="5"/>
  <c r="G1896" i="5"/>
  <c r="G1895" i="5"/>
  <c r="G1891" i="5"/>
  <c r="G1890" i="5"/>
  <c r="G1889" i="5"/>
  <c r="G1885" i="5"/>
  <c r="G1884" i="5"/>
  <c r="G1883" i="5"/>
  <c r="G1879" i="5"/>
  <c r="G1878" i="5"/>
  <c r="G1877" i="5"/>
  <c r="G1873" i="5"/>
  <c r="G1872" i="5"/>
  <c r="G1871" i="5"/>
  <c r="G1867" i="5"/>
  <c r="G1866" i="5"/>
  <c r="G1865" i="5"/>
  <c r="G1861" i="5"/>
  <c r="G1860" i="5"/>
  <c r="G1859" i="5"/>
  <c r="G1855" i="5"/>
  <c r="G1854" i="5"/>
  <c r="G1853" i="5"/>
  <c r="G1849" i="5"/>
  <c r="G1848" i="5"/>
  <c r="G1847" i="5"/>
  <c r="G1843" i="5"/>
  <c r="G1842" i="5"/>
  <c r="G1841" i="5"/>
  <c r="G1836" i="5"/>
  <c r="G1835" i="5"/>
  <c r="G1834" i="5"/>
  <c r="G1830" i="5"/>
  <c r="G1829" i="5"/>
  <c r="G1828" i="5"/>
  <c r="G1824" i="5"/>
  <c r="G1823" i="5"/>
  <c r="G1822" i="5"/>
  <c r="G1819" i="5"/>
  <c r="G1818" i="5"/>
  <c r="G1817" i="5"/>
  <c r="G1814" i="5"/>
  <c r="G1813" i="5"/>
  <c r="G1812" i="5"/>
  <c r="G1807" i="5"/>
  <c r="G1805" i="5"/>
  <c r="G1800" i="5"/>
  <c r="G1798" i="5"/>
  <c r="G1793" i="5"/>
  <c r="G1791" i="5"/>
  <c r="G1786" i="5"/>
  <c r="G1784" i="5"/>
  <c r="G1779" i="5"/>
  <c r="G1777" i="5"/>
  <c r="G1772" i="5"/>
  <c r="G1770" i="5"/>
  <c r="G1765" i="5"/>
  <c r="G1763" i="5"/>
  <c r="G1758" i="5"/>
  <c r="G1756" i="5"/>
  <c r="G1747" i="5"/>
  <c r="G1745" i="5"/>
  <c r="G1736" i="5"/>
  <c r="G1734" i="5"/>
  <c r="G1725" i="5"/>
  <c r="G1723" i="5"/>
  <c r="G1714" i="5"/>
  <c r="G1712" i="5"/>
  <c r="G1706" i="5"/>
  <c r="G1704" i="5"/>
  <c r="G1700" i="5"/>
  <c r="G1698" i="5"/>
  <c r="G1693" i="5"/>
  <c r="G1692" i="5"/>
  <c r="G1691" i="5"/>
  <c r="G1686" i="5"/>
  <c r="G1684" i="5"/>
  <c r="G1680" i="5"/>
  <c r="G1679" i="5"/>
  <c r="G1678" i="5"/>
  <c r="G1675" i="5"/>
  <c r="G1674" i="5"/>
  <c r="G1673" i="5"/>
  <c r="G1670" i="5"/>
  <c r="G1669" i="5"/>
  <c r="G1668" i="5"/>
  <c r="G1665" i="5"/>
  <c r="G1664" i="5"/>
  <c r="G1663" i="5"/>
  <c r="G1659" i="5"/>
  <c r="G1658" i="5"/>
  <c r="G1657" i="5"/>
  <c r="G1653" i="5"/>
  <c r="G1651" i="5"/>
  <c r="G1647" i="5"/>
  <c r="G1645" i="5"/>
  <c r="G1641" i="5"/>
  <c r="G1639" i="5"/>
  <c r="G1636" i="5"/>
  <c r="G1635" i="5"/>
  <c r="G1634" i="5"/>
  <c r="G1630" i="5"/>
  <c r="G1628" i="5"/>
  <c r="G1624" i="5"/>
  <c r="G1622" i="5"/>
  <c r="G1619" i="5"/>
  <c r="G1618" i="5"/>
  <c r="G1617" i="5"/>
  <c r="G1612" i="5"/>
  <c r="G1611" i="5"/>
  <c r="G1610" i="5"/>
  <c r="G1606" i="5"/>
  <c r="G1604" i="5"/>
  <c r="G1600" i="5"/>
  <c r="G1598" i="5"/>
  <c r="G1594" i="5"/>
  <c r="G1592" i="5"/>
  <c r="G1579" i="5"/>
  <c r="G1578" i="5"/>
  <c r="G1577" i="5"/>
  <c r="G1572" i="5"/>
  <c r="G1570" i="5"/>
  <c r="G1565" i="5"/>
  <c r="G1563" i="5"/>
  <c r="G1558" i="5"/>
  <c r="G1556" i="5"/>
  <c r="G1551" i="5"/>
  <c r="G1549" i="5"/>
  <c r="G1543" i="5"/>
  <c r="G1541" i="5"/>
  <c r="G1535" i="5"/>
  <c r="G1533" i="5"/>
  <c r="G1527" i="5"/>
  <c r="G1525" i="5"/>
  <c r="G1519" i="5"/>
  <c r="G1517" i="5"/>
  <c r="G1511" i="5"/>
  <c r="G1509" i="5"/>
  <c r="G1496" i="5"/>
  <c r="G1495" i="5"/>
  <c r="G1494" i="5"/>
  <c r="G1481" i="5"/>
  <c r="G1480" i="5"/>
  <c r="G1479" i="5"/>
  <c r="G1466" i="5"/>
  <c r="G1465" i="5"/>
  <c r="G1464" i="5"/>
  <c r="G1451" i="5"/>
  <c r="G1450" i="5"/>
  <c r="G1449" i="5"/>
  <c r="G1436" i="5"/>
  <c r="G1435" i="5"/>
  <c r="G1434" i="5"/>
  <c r="G1421" i="5"/>
  <c r="G1420" i="5"/>
  <c r="G1419" i="5"/>
  <c r="G1406" i="5"/>
  <c r="G1405" i="5"/>
  <c r="G1404" i="5"/>
  <c r="G1399" i="5"/>
  <c r="G1397" i="5"/>
  <c r="G1393" i="5"/>
  <c r="G1392" i="5"/>
  <c r="G1391" i="5"/>
  <c r="G1387" i="5"/>
  <c r="G1385" i="5"/>
  <c r="G1381" i="5"/>
  <c r="G1379" i="5"/>
  <c r="G1374" i="5"/>
  <c r="G1372" i="5"/>
  <c r="G1368" i="5"/>
  <c r="G1366" i="5"/>
  <c r="G1362" i="5"/>
  <c r="G1360" i="5"/>
  <c r="G1355" i="5"/>
  <c r="G1353" i="5"/>
  <c r="G1349" i="5"/>
  <c r="G1347" i="5"/>
  <c r="G1342" i="5"/>
  <c r="G1340" i="5"/>
  <c r="G1336" i="5"/>
  <c r="G1334" i="5"/>
  <c r="G1330" i="5"/>
  <c r="G1328" i="5"/>
  <c r="G1324" i="5"/>
  <c r="G1322" i="5"/>
  <c r="G1318" i="5"/>
  <c r="G1316" i="5"/>
  <c r="G1309" i="5"/>
  <c r="G1307" i="5"/>
  <c r="G1301" i="5"/>
  <c r="G1299" i="5"/>
  <c r="G1294" i="5"/>
  <c r="G1293" i="5"/>
  <c r="G1292" i="5"/>
  <c r="G1287" i="5"/>
  <c r="G1286" i="5"/>
  <c r="G1285" i="5"/>
  <c r="G1280" i="5"/>
  <c r="G1279" i="5"/>
  <c r="G1278" i="5"/>
  <c r="G1273" i="5"/>
  <c r="G1272" i="5"/>
  <c r="G1271" i="5"/>
  <c r="G1267" i="5"/>
  <c r="G1266" i="5"/>
  <c r="G1265" i="5"/>
  <c r="G1260" i="5"/>
  <c r="G1258" i="5"/>
  <c r="G1253" i="5"/>
  <c r="G1251" i="5"/>
  <c r="G1246" i="5"/>
  <c r="G1244" i="5"/>
  <c r="G1240" i="5"/>
  <c r="G1239" i="5"/>
  <c r="G1238" i="5"/>
  <c r="G1234" i="5"/>
  <c r="G1233" i="5"/>
  <c r="G1232" i="5"/>
  <c r="G1228" i="5"/>
  <c r="G1227" i="5"/>
  <c r="G1226" i="5"/>
  <c r="G1222" i="5"/>
  <c r="G1221" i="5"/>
  <c r="G1220" i="5"/>
  <c r="G1215" i="5"/>
  <c r="G1213" i="5"/>
  <c r="G1208" i="5"/>
  <c r="G1206" i="5"/>
  <c r="G1201" i="5"/>
  <c r="G1199" i="5"/>
  <c r="G1194" i="5"/>
  <c r="G1192" i="5"/>
  <c r="G1187" i="5"/>
  <c r="G1185" i="5"/>
  <c r="G1180" i="5"/>
  <c r="G1178" i="5"/>
  <c r="G1173" i="5"/>
  <c r="G1171" i="5"/>
  <c r="G1166" i="5"/>
  <c r="G1164" i="5"/>
  <c r="G1159" i="5"/>
  <c r="G1157" i="5"/>
  <c r="G1152" i="5"/>
  <c r="G1150" i="5"/>
  <c r="G1145" i="5"/>
  <c r="G1143" i="5"/>
  <c r="G1138" i="5"/>
  <c r="G1136" i="5"/>
  <c r="G1133" i="5"/>
  <c r="G1131" i="5"/>
  <c r="G1127" i="5"/>
  <c r="G1126" i="5"/>
  <c r="G1125" i="5"/>
  <c r="G1122" i="5"/>
  <c r="G1121" i="5"/>
  <c r="G1120" i="5"/>
  <c r="G1117" i="5"/>
  <c r="G1116" i="5"/>
  <c r="G1115" i="5"/>
  <c r="G1109" i="5"/>
  <c r="G1107" i="5"/>
  <c r="G1106" i="5"/>
  <c r="G1105" i="5"/>
  <c r="G1099" i="5"/>
  <c r="G1097" i="5"/>
  <c r="G1091" i="5"/>
  <c r="G1089" i="5"/>
  <c r="G1083" i="5"/>
  <c r="G1081" i="5"/>
  <c r="G1080" i="5"/>
  <c r="G1079" i="5"/>
  <c r="G1074" i="5"/>
  <c r="G1072" i="5"/>
  <c r="G1067" i="5"/>
  <c r="G1065" i="5"/>
  <c r="G1060" i="5"/>
  <c r="G1058" i="5"/>
  <c r="G1053" i="5"/>
  <c r="G1051" i="5"/>
  <c r="G1046" i="5"/>
  <c r="G1044" i="5"/>
  <c r="G1037" i="5"/>
  <c r="G1035" i="5"/>
  <c r="G1027" i="5"/>
  <c r="G1025" i="5"/>
  <c r="G1022" i="5"/>
  <c r="G1021" i="5"/>
  <c r="G1020" i="5"/>
  <c r="G1013" i="5"/>
  <c r="G1011" i="5"/>
  <c r="G1008" i="5"/>
  <c r="G1007" i="5"/>
  <c r="G1006" i="5"/>
  <c r="G1003" i="5"/>
  <c r="G1002" i="5"/>
  <c r="G1001" i="5"/>
  <c r="G992" i="5"/>
  <c r="G990" i="5"/>
  <c r="G981" i="5"/>
  <c r="G979" i="5"/>
  <c r="G974" i="5"/>
  <c r="G972" i="5"/>
  <c r="G967" i="5"/>
  <c r="G965" i="5"/>
  <c r="G960" i="5"/>
  <c r="G958" i="5"/>
  <c r="G954" i="5"/>
  <c r="G952" i="5"/>
  <c r="G948" i="5"/>
  <c r="G946" i="5"/>
  <c r="G939" i="5"/>
  <c r="G937" i="5"/>
  <c r="G930" i="5"/>
  <c r="G928" i="5"/>
  <c r="G923" i="5"/>
  <c r="G921" i="5"/>
  <c r="G914" i="5"/>
  <c r="G912" i="5"/>
  <c r="G908" i="5"/>
  <c r="G907" i="5"/>
  <c r="G906" i="5"/>
  <c r="G904" i="5"/>
  <c r="G903" i="5"/>
  <c r="G902" i="5"/>
  <c r="G897" i="5"/>
  <c r="G895" i="5"/>
  <c r="G892" i="5"/>
  <c r="G891" i="5"/>
  <c r="G890" i="5"/>
  <c r="G884" i="5"/>
  <c r="G882" i="5"/>
  <c r="G876" i="5"/>
  <c r="G874" i="5"/>
  <c r="G873" i="5"/>
  <c r="G872" i="5"/>
  <c r="G868" i="5"/>
  <c r="G867" i="5"/>
  <c r="G866" i="5"/>
  <c r="G863" i="5"/>
  <c r="G862" i="5"/>
  <c r="G861" i="5"/>
  <c r="G857" i="5"/>
  <c r="G856" i="5"/>
  <c r="G855" i="5"/>
  <c r="G851" i="5"/>
  <c r="G850" i="5"/>
  <c r="G849" i="5"/>
  <c r="G846" i="5"/>
  <c r="G845" i="5"/>
  <c r="G844" i="5"/>
  <c r="G840" i="5"/>
  <c r="G839" i="5"/>
  <c r="G838" i="5"/>
  <c r="G833" i="5"/>
  <c r="G831" i="5"/>
  <c r="G828" i="5"/>
  <c r="G827" i="5"/>
  <c r="G826" i="5"/>
  <c r="G824" i="5"/>
  <c r="G822" i="5"/>
  <c r="G819" i="5"/>
  <c r="G818" i="5"/>
  <c r="G817" i="5"/>
  <c r="G815" i="5"/>
  <c r="G813" i="5"/>
  <c r="G805" i="5"/>
  <c r="G803" i="5"/>
  <c r="G791" i="5"/>
  <c r="G789" i="5"/>
  <c r="G784" i="5"/>
  <c r="G783" i="5"/>
  <c r="G782" i="5"/>
  <c r="G773" i="5"/>
  <c r="G771" i="5"/>
  <c r="G767" i="5"/>
  <c r="G765" i="5"/>
  <c r="G756" i="5"/>
  <c r="G754" i="5"/>
  <c r="G749" i="5"/>
  <c r="G748" i="5"/>
  <c r="G747" i="5"/>
  <c r="G745" i="5"/>
  <c r="G744" i="5"/>
  <c r="G743" i="5"/>
  <c r="G737" i="5"/>
  <c r="G735" i="5"/>
  <c r="G731" i="5"/>
  <c r="G729" i="5"/>
  <c r="G724" i="5"/>
  <c r="G722" i="5"/>
  <c r="G715" i="5"/>
  <c r="G713" i="5"/>
  <c r="G705" i="5"/>
  <c r="G703" i="5"/>
  <c r="G697" i="5"/>
  <c r="G695" i="5"/>
  <c r="G687" i="5"/>
  <c r="G685" i="5"/>
  <c r="G677" i="5"/>
  <c r="G675" i="5"/>
  <c r="G669" i="5"/>
  <c r="G667" i="5"/>
  <c r="G665" i="5"/>
  <c r="G663" i="5"/>
  <c r="G661" i="5"/>
  <c r="G659" i="5"/>
  <c r="G657" i="5"/>
  <c r="G656" i="5"/>
  <c r="G655" i="5"/>
  <c r="G653" i="5"/>
  <c r="G652" i="5"/>
  <c r="G651" i="5"/>
  <c r="G649" i="5"/>
  <c r="G648" i="5"/>
  <c r="G647" i="5"/>
  <c r="G645" i="5"/>
  <c r="G644" i="5"/>
  <c r="G643" i="5"/>
  <c r="G638" i="5"/>
  <c r="G636" i="5"/>
  <c r="G630" i="5"/>
  <c r="G629" i="5"/>
  <c r="G628" i="5"/>
  <c r="G622" i="5"/>
  <c r="G620" i="5"/>
  <c r="G616" i="5"/>
  <c r="G614" i="5"/>
  <c r="G613" i="5"/>
  <c r="G612" i="5"/>
  <c r="G607" i="5"/>
  <c r="G605" i="5"/>
  <c r="G604" i="5"/>
  <c r="G603" i="5"/>
  <c r="G597" i="5"/>
  <c r="G595" i="5"/>
  <c r="G589" i="5"/>
  <c r="G587" i="5"/>
  <c r="G586" i="5"/>
  <c r="G585" i="5"/>
  <c r="G580" i="5"/>
  <c r="G578" i="5"/>
  <c r="G577" i="5"/>
  <c r="G576" i="5"/>
  <c r="G570" i="5"/>
  <c r="G568" i="5"/>
  <c r="G562" i="5"/>
  <c r="G560" i="5"/>
  <c r="G554" i="5"/>
  <c r="G552" i="5"/>
  <c r="G546" i="5"/>
  <c r="G544" i="5"/>
  <c r="G538" i="5"/>
  <c r="G536" i="5"/>
  <c r="G532" i="5"/>
  <c r="G530" i="5"/>
  <c r="G525" i="5"/>
  <c r="G523" i="5"/>
  <c r="G518" i="5"/>
  <c r="G516" i="5"/>
  <c r="G512" i="5"/>
  <c r="G510" i="5"/>
  <c r="G505" i="5"/>
  <c r="G503" i="5"/>
  <c r="G498" i="5"/>
  <c r="G496" i="5"/>
  <c r="G495" i="5"/>
  <c r="G494" i="5"/>
  <c r="G493" i="5"/>
  <c r="G490" i="5"/>
  <c r="G488" i="5"/>
  <c r="G484" i="5"/>
  <c r="G482" i="5"/>
  <c r="G481" i="5"/>
  <c r="G480" i="5"/>
  <c r="G479" i="5"/>
  <c r="G478" i="5"/>
  <c r="G472" i="5"/>
  <c r="G471" i="5"/>
  <c r="G470" i="5"/>
  <c r="G465" i="5"/>
  <c r="G463" i="5"/>
  <c r="G462" i="5"/>
  <c r="G461" i="5"/>
  <c r="G460" i="5"/>
  <c r="G455" i="5"/>
  <c r="G453" i="5"/>
  <c r="G452" i="5"/>
  <c r="G451" i="5"/>
  <c r="G447" i="5"/>
  <c r="G445" i="5"/>
  <c r="G441" i="5"/>
  <c r="G439" i="5"/>
  <c r="G435" i="5"/>
  <c r="G433" i="5"/>
  <c r="G423" i="5"/>
  <c r="G421" i="5"/>
  <c r="G416" i="5"/>
  <c r="G414" i="5"/>
  <c r="G402" i="5"/>
  <c r="G400" i="5"/>
  <c r="G395" i="5"/>
  <c r="G393" i="5"/>
  <c r="G381" i="5"/>
  <c r="G379" i="5"/>
  <c r="G372" i="5"/>
  <c r="G370" i="5"/>
  <c r="G366" i="5"/>
  <c r="G364" i="5"/>
  <c r="G363" i="5"/>
  <c r="G362" i="5"/>
  <c r="G352" i="5"/>
  <c r="G351" i="5"/>
  <c r="G350" i="5"/>
  <c r="G342" i="5"/>
  <c r="G340" i="5"/>
  <c r="G327" i="5"/>
  <c r="G326" i="5"/>
  <c r="G325" i="5"/>
  <c r="G321" i="5"/>
  <c r="G320" i="5"/>
  <c r="G319" i="5"/>
  <c r="G318" i="5"/>
  <c r="G317" i="5"/>
  <c r="G306" i="5"/>
  <c r="G304" i="5"/>
  <c r="G303" i="5"/>
  <c r="G302" i="5"/>
  <c r="G291" i="5"/>
  <c r="G289" i="5"/>
  <c r="G284" i="5"/>
  <c r="G282" i="5"/>
  <c r="G277" i="5"/>
  <c r="G275" i="5"/>
  <c r="G269" i="5"/>
  <c r="G267" i="5"/>
  <c r="G264" i="5"/>
  <c r="G262" i="5"/>
  <c r="G249" i="5"/>
  <c r="G248" i="5"/>
  <c r="G247" i="5"/>
  <c r="G241" i="5"/>
  <c r="G240" i="5"/>
  <c r="G239" i="5"/>
  <c r="G237" i="5"/>
  <c r="G235" i="5"/>
  <c r="G233" i="5"/>
  <c r="G231" i="5"/>
  <c r="G229" i="5"/>
  <c r="G227" i="5"/>
  <c r="G225" i="5"/>
  <c r="G224" i="5"/>
  <c r="G223" i="5"/>
  <c r="G220" i="5"/>
  <c r="G218" i="5"/>
  <c r="G215" i="5"/>
  <c r="G214" i="5"/>
  <c r="G213" i="5"/>
  <c r="G211" i="5"/>
  <c r="G210" i="5"/>
  <c r="G209" i="5"/>
  <c r="G206" i="5"/>
  <c r="G205" i="5"/>
  <c r="G204" i="5"/>
  <c r="G202" i="5"/>
  <c r="G201" i="5"/>
  <c r="G200" i="5"/>
  <c r="G198" i="5"/>
  <c r="G197" i="5"/>
  <c r="G196" i="5"/>
  <c r="G191" i="5"/>
  <c r="G190" i="5"/>
  <c r="G189" i="5"/>
  <c r="G188" i="5"/>
  <c r="G187" i="5"/>
  <c r="G184" i="5"/>
  <c r="G182" i="5"/>
  <c r="G180" i="5"/>
  <c r="G179" i="5"/>
  <c r="G178" i="5"/>
  <c r="G176" i="5"/>
  <c r="G175" i="5"/>
  <c r="G174" i="5"/>
  <c r="G172" i="5"/>
  <c r="G171" i="5"/>
  <c r="G170" i="5"/>
  <c r="G167" i="5"/>
  <c r="G165" i="5"/>
  <c r="G162" i="5"/>
  <c r="G160" i="5"/>
  <c r="G159" i="5"/>
  <c r="G158" i="5"/>
  <c r="G155" i="5"/>
  <c r="G153" i="5"/>
  <c r="G150" i="5"/>
  <c r="G148" i="5"/>
  <c r="G145" i="5"/>
  <c r="G144" i="5"/>
  <c r="G143" i="5"/>
  <c r="G140" i="5"/>
  <c r="G138" i="5"/>
  <c r="G136" i="5"/>
  <c r="G135" i="5"/>
  <c r="G134" i="5"/>
  <c r="G132" i="5"/>
  <c r="G131" i="5"/>
  <c r="G130" i="5"/>
  <c r="G127" i="5"/>
  <c r="G126" i="5"/>
  <c r="G125" i="5"/>
  <c r="G122" i="5"/>
  <c r="G121" i="5"/>
  <c r="G120" i="5"/>
  <c r="G117" i="5"/>
  <c r="G115" i="5"/>
  <c r="G112" i="5"/>
  <c r="G111" i="5"/>
  <c r="G110" i="5"/>
  <c r="G107" i="5"/>
  <c r="G106" i="5"/>
  <c r="G105" i="5"/>
  <c r="G103" i="5"/>
  <c r="G102" i="5"/>
  <c r="G101" i="5"/>
  <c r="G98" i="5"/>
  <c r="G97" i="5"/>
  <c r="G96" i="5"/>
  <c r="G93" i="5"/>
  <c r="G92" i="5"/>
  <c r="G91" i="5"/>
  <c r="G88" i="5"/>
  <c r="G87" i="5"/>
  <c r="G86" i="5"/>
  <c r="G83" i="5"/>
  <c r="G82" i="5"/>
  <c r="G81" i="5"/>
  <c r="G78" i="5"/>
  <c r="G77" i="5"/>
  <c r="G76" i="5"/>
  <c r="G70" i="5"/>
  <c r="G68" i="5"/>
  <c r="G65" i="5"/>
  <c r="G64" i="5"/>
  <c r="G63" i="5"/>
  <c r="G60" i="5"/>
  <c r="G58" i="5"/>
  <c r="G53" i="5"/>
  <c r="G51" i="5"/>
  <c r="G48" i="5"/>
  <c r="G46" i="5"/>
  <c r="G43" i="5"/>
  <c r="G41" i="5"/>
  <c r="G38" i="5"/>
  <c r="G36" i="5"/>
  <c r="G34" i="5"/>
  <c r="G33" i="5"/>
  <c r="G32" i="5"/>
  <c r="G29" i="5"/>
  <c r="G28" i="5"/>
  <c r="G27" i="5"/>
  <c r="G24" i="5"/>
  <c r="G22" i="5"/>
  <c r="G19" i="5"/>
  <c r="G18" i="5"/>
  <c r="G17" i="5"/>
  <c r="G15" i="5"/>
  <c r="G14" i="5"/>
  <c r="G13" i="5"/>
  <c r="G11" i="5"/>
  <c r="G9" i="5"/>
  <c r="G7" i="5"/>
  <c r="F6" i="6"/>
  <c r="F6" i="7"/>
  <c r="G5224" i="5"/>
  <c r="G5225" i="5"/>
  <c r="G4663" i="5"/>
  <c r="G1994" i="5"/>
  <c r="G714" i="5"/>
  <c r="G1165" i="5"/>
  <c r="G2811" i="5"/>
  <c r="G4239" i="5"/>
  <c r="G1623" i="5"/>
  <c r="G1082" i="5"/>
  <c r="G6005" i="5"/>
  <c r="G3247" i="5"/>
  <c r="G2548" i="5"/>
  <c r="G1308" i="5"/>
  <c r="G1564" i="5"/>
  <c r="G3952" i="5"/>
  <c r="G1571" i="5"/>
  <c r="G3686" i="5"/>
  <c r="G415" i="5"/>
  <c r="G4094" i="5"/>
  <c r="G4671" i="5"/>
  <c r="G2544" i="5"/>
  <c r="G6882" i="5"/>
  <c r="G2608" i="5"/>
  <c r="G896" i="5"/>
  <c r="G1151" i="5"/>
  <c r="G2028" i="5"/>
  <c r="G1098" i="5"/>
  <c r="G183" i="5"/>
  <c r="G4703" i="5"/>
  <c r="G4985" i="5"/>
  <c r="G5725" i="5"/>
  <c r="G2408" i="5"/>
  <c r="G2404" i="5"/>
  <c r="G2752" i="5"/>
  <c r="G2420" i="5"/>
  <c r="G3406" i="5"/>
  <c r="G3765" i="5"/>
  <c r="G1012" i="5"/>
  <c r="G3235" i="5"/>
  <c r="G3863" i="5"/>
  <c r="G1629" i="5"/>
  <c r="G3198" i="5"/>
  <c r="G1373" i="5"/>
  <c r="G6610" i="5"/>
  <c r="G2001" i="5"/>
  <c r="G2060" i="5"/>
  <c r="G4154" i="5"/>
  <c r="G47" i="5"/>
  <c r="G2122" i="5"/>
  <c r="G464" i="5"/>
  <c r="G1073" i="5"/>
  <c r="G5262" i="5"/>
  <c r="G4032" i="5"/>
  <c r="G2162" i="5"/>
  <c r="G772" i="5"/>
  <c r="G1186" i="5"/>
  <c r="G37" i="5"/>
  <c r="G1510" i="5"/>
  <c r="G2652" i="5"/>
  <c r="G228" i="5"/>
  <c r="G2343" i="5"/>
  <c r="G4991" i="5"/>
  <c r="G1252" i="5"/>
  <c r="G1398" i="5"/>
  <c r="G2378" i="5"/>
  <c r="G5805" i="5"/>
  <c r="G2472" i="5"/>
  <c r="G4255" i="5"/>
  <c r="G446" i="5"/>
  <c r="G4552" i="5"/>
  <c r="G1764" i="5"/>
  <c r="G4014" i="5"/>
  <c r="G1341" i="5"/>
  <c r="G2748" i="5"/>
  <c r="G42" i="5"/>
  <c r="G5227" i="5"/>
  <c r="G1605" i="5"/>
  <c r="G1518" i="5"/>
  <c r="G10" i="5"/>
  <c r="G1778" i="5"/>
  <c r="G2291" i="5"/>
  <c r="G263" i="5"/>
  <c r="F425" i="6"/>
  <c r="F489" i="6"/>
  <c r="G7463" i="5"/>
  <c r="F455" i="6"/>
  <c r="F512" i="6"/>
  <c r="F437" i="6"/>
  <c r="F470" i="6"/>
  <c r="F500" i="6"/>
  <c r="F501" i="6"/>
  <c r="F488" i="6"/>
  <c r="F377" i="6"/>
  <c r="F386" i="6"/>
  <c r="F406" i="6"/>
  <c r="F62" i="7"/>
  <c r="F554" i="6"/>
  <c r="F593" i="6"/>
  <c r="F424" i="6"/>
  <c r="F84" i="7"/>
  <c r="F85" i="7"/>
  <c r="G3968" i="5"/>
  <c r="F436" i="6"/>
  <c r="F456" i="6"/>
  <c r="F246" i="6"/>
  <c r="G4343" i="5"/>
  <c r="G6522" i="5"/>
  <c r="F507" i="6"/>
  <c r="F112" i="7"/>
  <c r="G6109" i="5"/>
  <c r="G7022" i="5"/>
  <c r="G6930" i="5"/>
  <c r="F217" i="6"/>
  <c r="F75" i="7"/>
  <c r="F216" i="6"/>
  <c r="G6954" i="5"/>
  <c r="F70" i="7"/>
  <c r="G7238" i="5"/>
  <c r="G6402" i="5"/>
  <c r="G7284" i="5"/>
  <c r="F57" i="7"/>
  <c r="F153" i="6"/>
  <c r="F196" i="6"/>
  <c r="F69" i="7"/>
  <c r="F56" i="7"/>
  <c r="F114" i="7"/>
  <c r="F571" i="6"/>
  <c r="F96" i="7"/>
  <c r="F596" i="6"/>
  <c r="F383" i="6"/>
  <c r="F74" i="7"/>
  <c r="G6145" i="5"/>
  <c r="F601" i="6"/>
  <c r="G5937" i="5"/>
  <c r="G7114" i="5"/>
  <c r="F20" i="6"/>
  <c r="F62" i="6"/>
  <c r="F97" i="6"/>
  <c r="F213" i="6"/>
  <c r="F275" i="6"/>
  <c r="F354" i="6"/>
  <c r="F373" i="6"/>
  <c r="F525" i="6"/>
  <c r="G5573" i="5"/>
  <c r="F293" i="6"/>
  <c r="G6634" i="5"/>
  <c r="F207" i="6"/>
  <c r="F23" i="7"/>
  <c r="F469" i="6"/>
  <c r="F71" i="7"/>
  <c r="F427" i="6"/>
  <c r="G6674" i="5"/>
  <c r="F592" i="6"/>
  <c r="F17" i="6"/>
  <c r="G7046" i="5"/>
  <c r="F82" i="7"/>
  <c r="G6986" i="5"/>
  <c r="G6850" i="5"/>
  <c r="G6794" i="5"/>
  <c r="F80" i="7"/>
  <c r="F185" i="6"/>
  <c r="F338" i="6"/>
  <c r="F403" i="6"/>
  <c r="F511" i="6"/>
  <c r="F123" i="7"/>
  <c r="F313" i="6"/>
  <c r="F26" i="6"/>
  <c r="F55" i="7"/>
  <c r="G7154" i="5"/>
  <c r="G6962" i="5"/>
  <c r="G6682" i="5"/>
  <c r="F282" i="6"/>
  <c r="F620" i="6"/>
  <c r="F414" i="6"/>
  <c r="F93" i="7"/>
  <c r="F68" i="6"/>
  <c r="F339" i="6"/>
  <c r="F374" i="6"/>
  <c r="F156" i="6"/>
  <c r="F265" i="6"/>
  <c r="F226" i="6"/>
  <c r="F285" i="6"/>
  <c r="F298" i="6"/>
  <c r="F382" i="6"/>
  <c r="F240" i="6"/>
  <c r="F544" i="6"/>
  <c r="F92" i="7"/>
  <c r="F618" i="6"/>
  <c r="F129" i="6"/>
  <c r="G7300" i="5"/>
  <c r="F129" i="7"/>
  <c r="F16" i="7"/>
  <c r="G6530" i="5"/>
  <c r="F179" i="6"/>
  <c r="F328" i="6"/>
  <c r="F107" i="6"/>
  <c r="F15" i="6"/>
  <c r="F94" i="7"/>
  <c r="F36" i="7"/>
  <c r="F347" i="6"/>
  <c r="G7094" i="5"/>
  <c r="G6087" i="5"/>
  <c r="F413" i="6"/>
  <c r="F625" i="6"/>
  <c r="F49" i="6"/>
  <c r="G7420" i="5"/>
  <c r="G6662" i="5"/>
  <c r="G6562" i="5"/>
  <c r="G6854" i="5"/>
  <c r="G6650" i="5"/>
  <c r="F130" i="7"/>
  <c r="F519" i="6"/>
  <c r="F391" i="6"/>
  <c r="F124" i="6"/>
  <c r="F141" i="6"/>
  <c r="F59" i="6"/>
  <c r="F165" i="6"/>
  <c r="F227" i="6"/>
  <c r="F267" i="6"/>
  <c r="F286" i="6"/>
  <c r="F311" i="6"/>
  <c r="F417" i="6"/>
  <c r="F471" i="6"/>
  <c r="F533" i="6"/>
  <c r="F576" i="6"/>
  <c r="F17" i="7"/>
  <c r="F121" i="7"/>
  <c r="F459" i="6"/>
  <c r="F142" i="6"/>
  <c r="F122" i="7"/>
  <c r="F623" i="6"/>
  <c r="F440" i="6"/>
  <c r="F95" i="7"/>
  <c r="F599" i="6"/>
  <c r="F203" i="6"/>
  <c r="F402" i="6"/>
  <c r="F22" i="6"/>
  <c r="F340" i="6"/>
  <c r="F325" i="6"/>
  <c r="F561" i="6"/>
  <c r="F111" i="7"/>
  <c r="G7392" i="5"/>
  <c r="F104" i="6"/>
  <c r="F173" i="6"/>
  <c r="G7146" i="5"/>
  <c r="F33" i="7"/>
  <c r="G6874" i="5"/>
  <c r="F401" i="6"/>
  <c r="G6810" i="5"/>
  <c r="G7010" i="5"/>
  <c r="F540" i="6"/>
  <c r="F516" i="6"/>
  <c r="G7098" i="5"/>
  <c r="G6496" i="5"/>
  <c r="F299" i="6"/>
  <c r="F18" i="7"/>
  <c r="F13" i="6"/>
  <c r="F204" i="6"/>
  <c r="F123" i="6"/>
  <c r="F641" i="6"/>
  <c r="F630" i="6"/>
  <c r="F387" i="6"/>
  <c r="G7426" i="5"/>
  <c r="G7413" i="5"/>
  <c r="G7399" i="5"/>
  <c r="F631" i="6"/>
  <c r="G7385" i="5"/>
  <c r="G7361" i="5"/>
  <c r="F302" i="6"/>
  <c r="F139" i="7"/>
  <c r="F642" i="6"/>
  <c r="G5426" i="5"/>
  <c r="F276" i="6"/>
  <c r="F38" i="7"/>
  <c r="F136" i="7"/>
  <c r="F356" i="6"/>
  <c r="F61" i="7"/>
  <c r="F375" i="6"/>
  <c r="F376" i="6"/>
  <c r="F48" i="7"/>
  <c r="F301" i="6"/>
  <c r="F278" i="6"/>
  <c r="F40" i="7"/>
  <c r="F135" i="7"/>
  <c r="F277" i="6"/>
  <c r="F553" i="6"/>
  <c r="F49" i="7"/>
  <c r="F39" i="7"/>
  <c r="F407" i="6"/>
  <c r="F27" i="7"/>
  <c r="H6087" i="5"/>
  <c r="F137" i="7"/>
  <c r="F215" i="6"/>
  <c r="F97" i="7"/>
  <c r="F584" i="6"/>
  <c r="F72" i="6"/>
  <c r="F505" i="6"/>
  <c r="F476" i="6"/>
  <c r="F83" i="7"/>
  <c r="F632" i="6"/>
  <c r="F602" i="6"/>
  <c r="F76" i="7"/>
  <c r="F258" i="6"/>
  <c r="F443" i="6"/>
  <c r="F586" i="6"/>
  <c r="F113" i="7"/>
  <c r="F444" i="6"/>
  <c r="F389" i="6"/>
  <c r="F64" i="6"/>
  <c r="F146" i="6"/>
  <c r="F395" i="6"/>
  <c r="F120" i="6"/>
  <c r="F126" i="6"/>
  <c r="F127" i="7"/>
  <c r="F557" i="6"/>
  <c r="F89" i="6"/>
  <c r="F315" i="6"/>
  <c r="F380" i="6"/>
  <c r="F409" i="6"/>
  <c r="F330" i="6"/>
  <c r="F484" i="6"/>
  <c r="F419" i="6"/>
  <c r="F290" i="6"/>
  <c r="F29" i="7"/>
  <c r="F306" i="6"/>
  <c r="F304" i="6"/>
  <c r="F9" i="7"/>
  <c r="F99" i="6"/>
  <c r="F15" i="7"/>
  <c r="F475" i="6"/>
  <c r="F622" i="6"/>
  <c r="F566" i="6"/>
  <c r="F329" i="6"/>
  <c r="F506" i="6"/>
  <c r="F567" i="6"/>
  <c r="F523" i="6"/>
  <c r="F88" i="7"/>
  <c r="F13" i="7"/>
  <c r="F288" i="6"/>
  <c r="F18" i="6"/>
  <c r="F64" i="7"/>
  <c r="F41" i="7"/>
  <c r="F44" i="7"/>
  <c r="F230" i="6"/>
  <c r="F287" i="6"/>
  <c r="F555" i="6"/>
  <c r="F279" i="6"/>
  <c r="F42" i="7"/>
  <c r="F65" i="7"/>
  <c r="F52" i="7"/>
  <c r="F26" i="7"/>
  <c r="F63" i="7"/>
  <c r="F295" i="6"/>
  <c r="F316" i="6"/>
  <c r="F634" i="6"/>
  <c r="F71" i="6"/>
  <c r="F245" i="6"/>
  <c r="F534" i="6"/>
  <c r="F493" i="6"/>
  <c r="F477" i="6"/>
  <c r="F30" i="6"/>
  <c r="F98" i="7"/>
  <c r="F88" i="6"/>
  <c r="F108" i="6"/>
  <c r="F158" i="6"/>
  <c r="F9" i="6"/>
  <c r="F259" i="6"/>
  <c r="F429" i="6"/>
  <c r="F243" i="6"/>
  <c r="F29" i="6"/>
  <c r="F418" i="6"/>
  <c r="F317" i="6"/>
  <c r="F176" i="6"/>
  <c r="F572" i="6"/>
  <c r="F603" i="6"/>
  <c r="F633" i="6"/>
  <c r="F8" i="6"/>
  <c r="F460" i="6"/>
  <c r="F442" i="6"/>
  <c r="F131" i="7"/>
  <c r="F159" i="6"/>
  <c r="F244" i="6"/>
  <c r="F182" i="6"/>
  <c r="F144" i="6"/>
  <c r="F52" i="6"/>
  <c r="F474" i="6"/>
  <c r="F420" i="6"/>
  <c r="F32" i="6"/>
  <c r="F441" i="6"/>
  <c r="F99" i="7"/>
  <c r="F430" i="6"/>
  <c r="F585" i="6"/>
  <c r="F188" i="6"/>
  <c r="F145" i="6"/>
  <c r="F50" i="6"/>
  <c r="F53" i="6"/>
  <c r="F89" i="7"/>
  <c r="F162" i="6"/>
  <c r="F466" i="6"/>
  <c r="F321" i="6"/>
  <c r="F485" i="6"/>
  <c r="F482" i="6"/>
  <c r="F211" i="6"/>
  <c r="F103" i="7"/>
  <c r="F350" i="6"/>
  <c r="F610" i="6"/>
  <c r="F617" i="6"/>
  <c r="F626" i="6"/>
  <c r="F621" i="6"/>
  <c r="G621" i="6"/>
  <c r="F349" i="6"/>
  <c r="F580" i="6"/>
  <c r="F348" i="6"/>
  <c r="F450" i="6"/>
  <c r="F200" i="6"/>
  <c r="F351" i="6"/>
  <c r="F220" i="6"/>
  <c r="F170" i="6"/>
  <c r="F333" i="6"/>
  <c r="F205" i="6"/>
  <c r="F102" i="7"/>
  <c r="F118" i="7"/>
  <c r="F55" i="6"/>
  <c r="F221" i="6"/>
  <c r="F54" i="6"/>
  <c r="F589" i="6"/>
  <c r="F234" i="6"/>
  <c r="F30" i="7"/>
  <c r="F36" i="6"/>
  <c r="F249" i="6"/>
  <c r="F497" i="6"/>
  <c r="F201" i="6"/>
  <c r="F250" i="6"/>
  <c r="F210" i="6"/>
  <c r="F452" i="6"/>
  <c r="F332" i="6"/>
  <c r="F461" i="6"/>
  <c r="F548" i="6"/>
  <c r="F235" i="6"/>
  <c r="F433" i="6"/>
  <c r="F638" i="6"/>
  <c r="F410" i="6"/>
  <c r="F637" i="6"/>
  <c r="F35" i="6"/>
  <c r="F171" i="6"/>
  <c r="F449" i="6"/>
  <c r="F588" i="6"/>
  <c r="F320" i="6"/>
  <c r="F465" i="6"/>
  <c r="F8" i="7"/>
  <c r="G8" i="7"/>
  <c r="F558" i="6"/>
  <c r="F549" i="6"/>
  <c r="F66" i="7"/>
  <c r="F579" i="6"/>
  <c r="F206" i="6"/>
  <c r="F43" i="7"/>
  <c r="F161" i="6"/>
  <c r="F149" i="6"/>
  <c r="F390" i="6"/>
  <c r="F627" i="6"/>
  <c r="F483" i="6"/>
  <c r="F397" i="6"/>
  <c r="F496" i="6"/>
  <c r="F51" i="7"/>
  <c r="F117" i="7"/>
  <c r="F616" i="6"/>
  <c r="F451" i="6"/>
  <c r="F462" i="6"/>
  <c r="F432" i="6"/>
  <c r="F100" i="6"/>
  <c r="F121" i="6"/>
  <c r="F517" i="6"/>
  <c r="F184" i="6"/>
  <c r="F110" i="6"/>
  <c r="F358" i="6"/>
  <c r="F78" i="7"/>
  <c r="F480" i="6"/>
  <c r="F431" i="6"/>
  <c r="F178" i="6"/>
  <c r="F115" i="6"/>
  <c r="F233" i="6"/>
  <c r="F115" i="7"/>
  <c r="F248" i="6"/>
  <c r="F232" i="6"/>
  <c r="F463" i="6"/>
  <c r="F132" i="7"/>
  <c r="F101" i="7"/>
  <c r="F518" i="6"/>
  <c r="F574" i="6"/>
  <c r="F122" i="6"/>
  <c r="F116" i="6"/>
  <c r="F658" i="6"/>
  <c r="F605" i="6"/>
  <c r="F370" i="6"/>
  <c r="F133" i="6"/>
  <c r="F652" i="6"/>
  <c r="F86" i="7"/>
  <c r="F247" i="6"/>
  <c r="F19" i="6"/>
  <c r="G18" i="6"/>
  <c r="F635" i="6"/>
  <c r="F34" i="6"/>
  <c r="F357" i="6"/>
  <c r="F260" i="6"/>
  <c r="F646" i="6"/>
  <c r="F529" i="6"/>
  <c r="F522" i="6"/>
  <c r="F446" i="6"/>
  <c r="F77" i="7"/>
  <c r="F172" i="6"/>
  <c r="F197" i="6"/>
  <c r="F478" i="6"/>
  <c r="F90" i="6"/>
  <c r="F371" i="6"/>
  <c r="F364" i="6"/>
  <c r="F528" i="6"/>
  <c r="F219" i="6"/>
  <c r="F183" i="6"/>
  <c r="F319" i="6"/>
  <c r="F657" i="6"/>
  <c r="F296" i="6"/>
  <c r="F116" i="7"/>
  <c r="F421" i="6"/>
  <c r="F653" i="6"/>
  <c r="F535" i="6"/>
  <c r="F160" i="6"/>
  <c r="F663" i="6"/>
  <c r="F546" i="6"/>
  <c r="F193" i="6"/>
  <c r="G193" i="6"/>
  <c r="F73" i="6"/>
  <c r="F662" i="6"/>
  <c r="F547" i="6"/>
  <c r="F587" i="6"/>
  <c r="F495" i="6"/>
  <c r="F199" i="6"/>
  <c r="F189" i="6"/>
  <c r="F127" i="6"/>
  <c r="F33" i="6"/>
  <c r="F50" i="7"/>
  <c r="F541" i="6"/>
  <c r="F612" i="6"/>
  <c r="F198" i="6"/>
  <c r="F365" i="6"/>
  <c r="F66" i="6"/>
  <c r="F464" i="6"/>
  <c r="F134" i="6"/>
  <c r="F331" i="6"/>
  <c r="F305" i="6"/>
  <c r="F573" i="6"/>
  <c r="F536" i="6"/>
  <c r="F508" i="6"/>
  <c r="F447" i="6"/>
  <c r="F177" i="6"/>
  <c r="F28" i="7"/>
  <c r="F109" i="6"/>
  <c r="F14" i="7"/>
  <c r="G13" i="7"/>
  <c r="F138" i="7"/>
  <c r="G137" i="7"/>
  <c r="F318" i="6"/>
  <c r="F479" i="6"/>
  <c r="F100" i="7"/>
  <c r="F448" i="6"/>
  <c r="F445" i="6"/>
  <c r="F542" i="6"/>
  <c r="F568" i="6"/>
  <c r="G566" i="6"/>
  <c r="F147" i="6"/>
  <c r="F87" i="7"/>
  <c r="F664" i="6"/>
  <c r="F10" i="6"/>
  <c r="F648" i="6"/>
  <c r="F481" i="6"/>
  <c r="F604" i="6"/>
  <c r="F133" i="7"/>
  <c r="F128" i="6"/>
  <c r="F218" i="6"/>
  <c r="F636" i="6"/>
  <c r="F494" i="6"/>
  <c r="F628" i="6"/>
  <c r="F148" i="6"/>
  <c r="F647" i="6"/>
  <c r="G38" i="7"/>
  <c r="F385" i="6"/>
  <c r="F408" i="6"/>
  <c r="F98" i="6"/>
  <c r="F396" i="6"/>
  <c r="F126" i="7"/>
  <c r="G126" i="7"/>
  <c r="F229" i="6"/>
  <c r="F355" i="6"/>
  <c r="F303" i="6"/>
  <c r="F289" i="6"/>
  <c r="F388" i="6"/>
  <c r="F379" i="6"/>
  <c r="F63" i="6"/>
  <c r="F67" i="6"/>
  <c r="F556" i="6"/>
  <c r="F394" i="6"/>
  <c r="F297" i="6"/>
  <c r="G295" i="6"/>
  <c r="F231" i="6"/>
  <c r="F307" i="6"/>
  <c r="F398" i="6"/>
  <c r="F384" i="6"/>
  <c r="G108" i="6"/>
  <c r="G188" i="6"/>
  <c r="G626" i="6"/>
  <c r="G182" i="6"/>
  <c r="F611" i="6"/>
  <c r="G610" i="6"/>
  <c r="G176" i="6"/>
  <c r="F31" i="6"/>
  <c r="G29" i="6"/>
  <c r="F51" i="6"/>
  <c r="F132" i="6"/>
  <c r="G132" i="6"/>
  <c r="F114" i="6"/>
  <c r="G114" i="6"/>
  <c r="G170" i="6"/>
  <c r="G652" i="6"/>
  <c r="G616" i="6"/>
  <c r="G579" i="6"/>
  <c r="G210" i="6"/>
  <c r="G205" i="6"/>
  <c r="G348" i="6"/>
  <c r="F150" i="6"/>
  <c r="G546" i="6"/>
  <c r="G126" i="6"/>
  <c r="G131" i="7"/>
  <c r="G516" i="6"/>
  <c r="G646" i="6"/>
  <c r="G540" i="6"/>
  <c r="G197" i="6"/>
  <c r="G120" i="6"/>
  <c r="G662" i="6"/>
  <c r="G534" i="6"/>
  <c r="G657" i="6"/>
  <c r="G384" i="6"/>
  <c r="F54" i="7"/>
  <c r="F67" i="7"/>
  <c r="F119" i="7"/>
  <c r="H7322" i="5"/>
  <c r="F91" i="7"/>
  <c r="F105" i="7"/>
  <c r="F104" i="7"/>
  <c r="F281" i="6"/>
  <c r="F68" i="7"/>
  <c r="G61" i="7"/>
  <c r="F120" i="7"/>
  <c r="G111" i="7"/>
  <c r="G97" i="7"/>
  <c r="F151" i="6"/>
  <c r="F31" i="7"/>
  <c r="F79" i="7"/>
  <c r="G75" i="7"/>
  <c r="F53" i="7"/>
  <c r="G48" i="7"/>
  <c r="F90" i="7"/>
  <c r="G83" i="7"/>
  <c r="F102" i="6"/>
  <c r="F237" i="6"/>
  <c r="F422" i="6"/>
  <c r="F91" i="6"/>
  <c r="F251" i="6"/>
  <c r="F75" i="6"/>
  <c r="F400" i="6"/>
  <c r="F222" i="6"/>
  <c r="F640" i="6"/>
  <c r="F435" i="6"/>
  <c r="F101" i="6"/>
  <c r="F12" i="6"/>
  <c r="F322" i="6"/>
  <c r="F262" i="6"/>
  <c r="F236" i="6"/>
  <c r="F468" i="6"/>
  <c r="F56" i="6"/>
  <c r="F591" i="6"/>
  <c r="F334" i="6"/>
  <c r="F423" i="6"/>
  <c r="F280" i="6"/>
  <c r="F223" i="6"/>
  <c r="F152" i="6"/>
  <c r="F57" i="6"/>
  <c r="F323" i="6"/>
  <c r="F509" i="6"/>
  <c r="F308" i="6"/>
  <c r="F412" i="6"/>
  <c r="F639" i="6"/>
  <c r="F467" i="6"/>
  <c r="F499" i="6"/>
  <c r="F252" i="6"/>
  <c r="F434" i="6"/>
  <c r="F560" i="6"/>
  <c r="F498" i="6"/>
  <c r="F92" i="6"/>
  <c r="F559" i="6"/>
  <c r="F74" i="6"/>
  <c r="F163" i="6"/>
  <c r="F335" i="6"/>
  <c r="F510" i="6"/>
  <c r="F309" i="6"/>
  <c r="F411" i="6"/>
  <c r="F11" i="6"/>
  <c r="F590" i="6"/>
  <c r="F164" i="6"/>
  <c r="F359" i="6"/>
  <c r="G355" i="6"/>
  <c r="F32" i="7"/>
  <c r="F261" i="6"/>
  <c r="G258" i="6"/>
  <c r="G329" i="6"/>
  <c r="G632" i="6"/>
  <c r="G71" i="6"/>
  <c r="G26" i="7"/>
  <c r="G215" i="6"/>
  <c r="G158" i="6"/>
  <c r="G229" i="6"/>
  <c r="G315" i="6"/>
  <c r="G493" i="6"/>
  <c r="G144" i="6"/>
  <c r="G429" i="6"/>
  <c r="G301" i="6"/>
  <c r="G50" i="6"/>
  <c r="G276" i="6"/>
  <c r="G406" i="6"/>
  <c r="G460" i="6"/>
  <c r="G8" i="6"/>
  <c r="G418" i="6"/>
  <c r="G243" i="6"/>
  <c r="F399" i="6"/>
  <c r="G394" i="6"/>
  <c r="G584" i="6"/>
  <c r="G553" i="6"/>
  <c r="G88" i="6"/>
  <c r="G98" i="6"/>
  <c r="G505" i="6"/>
  <c r="F606" i="6"/>
  <c r="G602" i="6"/>
  <c r="F575" i="6"/>
  <c r="G572" i="6"/>
  <c r="F291" i="6"/>
  <c r="G287" i="6"/>
  <c r="F454" i="6"/>
  <c r="F487" i="6"/>
  <c r="F486" i="6"/>
  <c r="F453" i="6"/>
  <c r="G441" i="6"/>
  <c r="G474" i="6"/>
  <c r="F524" i="6"/>
  <c r="G522" i="6"/>
  <c r="F363" i="6"/>
  <c r="G363" i="6"/>
  <c r="F369" i="6"/>
  <c r="G369" i="6"/>
  <c r="F378" i="6"/>
  <c r="G375" i="6"/>
  <c r="F530" i="6"/>
  <c r="G528" i="6"/>
  <c r="F65" i="6"/>
  <c r="G63" i="6"/>
</calcChain>
</file>

<file path=xl/sharedStrings.xml><?xml version="1.0" encoding="utf-8"?>
<sst xmlns="http://schemas.openxmlformats.org/spreadsheetml/2006/main" count="15823" uniqueCount="2847">
  <si>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</si>
  <si>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</si>
  <si>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</si>
  <si>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</si>
  <si>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</si>
  <si>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</si>
  <si>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</si>
  <si>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</si>
  <si>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</si>
  <si>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</si>
  <si>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</si>
  <si>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</si>
  <si>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</si>
  <si>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</si>
  <si>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</si>
  <si>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</si>
  <si>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</si>
  <si>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</si>
  <si>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</si>
  <si>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</si>
  <si>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</si>
  <si>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</si>
  <si>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</si>
  <si>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</si>
  <si>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</si>
  <si>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</si>
  <si>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</si>
  <si>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</si>
  <si>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</si>
  <si>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</si>
  <si>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</si>
  <si>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</si>
  <si>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</si>
  <si>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</si>
  <si>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</si>
  <si>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</si>
  <si>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</si>
  <si>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</si>
  <si>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</si>
  <si>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</si>
  <si>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</si>
  <si>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</si>
  <si>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</si>
  <si>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</si>
  <si>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</si>
  <si>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</si>
  <si>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</si>
  <si>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</si>
  <si>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</si>
  <si>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</si>
  <si>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</si>
  <si>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</si>
  <si>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</si>
  <si>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</si>
  <si>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</si>
  <si>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</si>
  <si>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</si>
  <si>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</si>
  <si>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</si>
  <si>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</si>
  <si>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</si>
  <si>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</si>
  <si>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</si>
  <si>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</si>
  <si>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</si>
  <si>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</si>
  <si>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</si>
  <si>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</si>
  <si>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</si>
  <si>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</si>
  <si>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</si>
  <si>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</si>
  <si>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</si>
  <si>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</si>
  <si>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</si>
  <si>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</si>
  <si>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</si>
  <si>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</si>
  <si>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</si>
  <si>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</si>
  <si>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</si>
  <si>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</si>
  <si>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</si>
  <si>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</si>
  <si>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</si>
  <si>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LOCACAO DE ANDAIME METALICO TIPO FACHADEIRO, LARGURA DE 1,20 M, ALTURA POR PECA DE 2,0 M, INCLUINDO SAPATAS E ITENS NECESSARIOS A INSTALACAO</t>
  </si>
  <si>
    <t>M2XMES</t>
  </si>
  <si>
    <t>SF-00049</t>
  </si>
  <si>
    <t>MXMES</t>
  </si>
  <si>
    <t>SF-00051</t>
  </si>
  <si>
    <t>CORDA DE POLIAMIDA 12 MM TIPO BOMBEIRO, PARA TRABALHO EM ALTURA</t>
  </si>
  <si>
    <t>100m</t>
  </si>
  <si>
    <t>SF-00057</t>
  </si>
  <si>
    <t>m</t>
  </si>
  <si>
    <t>Prego de aco polido com cabeca 18 x 27 (2 1/2 x 10)</t>
  </si>
  <si>
    <t>m2</t>
  </si>
  <si>
    <t>SF-00070</t>
  </si>
  <si>
    <t>Chapa de madeira compensada resinada 1,10 x 2,20 m # 6 mm</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</si>
  <si>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</si>
  <si>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</si>
  <si>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</si>
  <si>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</si>
  <si>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</si>
  <si>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</si>
  <si>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</si>
  <si>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</si>
  <si>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SF-00074</t>
  </si>
  <si>
    <t>Auxiliar de encanador ou bombeiro hidráulico com encargos complementares</t>
  </si>
  <si>
    <t>ARGAMASSA TRAÇO 1:3 (EM VOLUME DE CIMENTO E AREIA MÉDIA ÚMIDA), PREPARO MANUAL. AF_08/2019</t>
  </si>
  <si>
    <t>m3</t>
  </si>
  <si>
    <t>SF-00075</t>
  </si>
  <si>
    <t>SF-00076</t>
  </si>
  <si>
    <t>SF-00077</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</si>
  <si>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</si>
  <si>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</si>
  <si>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</si>
  <si>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</si>
  <si>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</si>
  <si>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</si>
  <si>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</si>
  <si>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</si>
  <si>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</si>
  <si>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</si>
  <si>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</si>
  <si>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</si>
  <si>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</si>
  <si>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</si>
  <si>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</si>
  <si>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</si>
  <si>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</si>
  <si>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</si>
  <si>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</si>
  <si>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</si>
  <si>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</si>
  <si>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</si>
  <si>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</si>
  <si>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</si>
  <si>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</si>
  <si>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</si>
  <si>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</si>
  <si>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</si>
  <si>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</si>
  <si>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</si>
  <si>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</si>
  <si>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</si>
  <si>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</si>
  <si>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</si>
  <si>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</si>
  <si>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</si>
  <si>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</si>
  <si>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</si>
  <si>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</si>
  <si>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</si>
  <si>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</si>
  <si>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</si>
  <si>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</si>
  <si>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</si>
  <si>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</si>
  <si>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</si>
  <si>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</si>
  <si>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</si>
  <si>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</si>
  <si>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SF-00086</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</si>
  <si>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</si>
  <si>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</si>
  <si>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</si>
  <si>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</si>
  <si>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</si>
  <si>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</si>
  <si>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</si>
  <si>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</si>
  <si>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</si>
  <si>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</si>
  <si>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</si>
  <si>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</si>
  <si>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</si>
  <si>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</si>
  <si>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</si>
  <si>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</si>
  <si>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</si>
  <si>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</si>
  <si>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</si>
  <si>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</si>
  <si>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</si>
  <si>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</si>
  <si>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</si>
  <si>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</si>
  <si>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</si>
  <si>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</si>
  <si>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</si>
  <si>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</si>
  <si>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</si>
  <si>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</si>
  <si>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</si>
  <si>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</si>
  <si>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</si>
  <si>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</si>
  <si>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</si>
  <si>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</si>
  <si>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</si>
  <si>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</si>
  <si>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</si>
  <si>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</si>
  <si>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</si>
  <si>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</si>
  <si>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</si>
  <si>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</si>
  <si>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</si>
  <si>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</si>
  <si>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</si>
  <si>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Aditivo adesivo liquido para argamassas de revestimentos cimenticios</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</si>
  <si>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</si>
  <si>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</si>
  <si>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</si>
  <si>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</si>
  <si>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</si>
  <si>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</si>
  <si>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</si>
  <si>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</si>
  <si>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</si>
  <si>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</si>
  <si>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</si>
  <si>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</si>
  <si>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</si>
  <si>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</si>
  <si>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</si>
  <si>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</si>
  <si>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</si>
  <si>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</si>
  <si>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</si>
  <si>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</si>
  <si>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</si>
  <si>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Cola a base de resina sintetica para chapa de laminado melaminico</t>
  </si>
  <si>
    <t>SF-00117</t>
  </si>
  <si>
    <t>SF-00118</t>
  </si>
  <si>
    <t>SF-00119</t>
  </si>
  <si>
    <t>SF-00120</t>
  </si>
  <si>
    <t>SF-00121</t>
  </si>
  <si>
    <t>ABERTURA PARA ENCAIXE DE CUBA OU LAVATORIO EM BANCADA DE MARMORE/ GRANITO OU OUTRO TIPO DE PEDRA NATURAL</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</si>
  <si>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</si>
  <si>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</si>
  <si>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</si>
  <si>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</si>
  <si>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</si>
  <si>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</si>
  <si>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</si>
  <si>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</si>
  <si>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</si>
  <si>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</si>
  <si>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</si>
  <si>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</si>
  <si>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</si>
  <si>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</si>
  <si>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</si>
  <si>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</si>
  <si>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</si>
  <si>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</si>
  <si>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</si>
  <si>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</si>
  <si>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</si>
  <si>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</si>
  <si>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</si>
  <si>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</si>
  <si>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</si>
  <si>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</si>
  <si>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</si>
  <si>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</si>
  <si>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</si>
  <si>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</si>
  <si>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</si>
  <si>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</si>
  <si>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</si>
  <si>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</si>
  <si>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</si>
  <si>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</si>
  <si>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</si>
  <si>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</si>
  <si>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</si>
  <si>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</si>
  <si>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</si>
  <si>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</si>
  <si>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</si>
  <si>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</si>
  <si>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</si>
  <si>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</si>
  <si>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SF-00152</t>
  </si>
  <si>
    <t>Baguetes metálicos</t>
  </si>
  <si>
    <t>SF-00153</t>
  </si>
  <si>
    <t>Massa para vidro</t>
  </si>
  <si>
    <t>SF-00154</t>
  </si>
  <si>
    <t>Espelho cristal comum #5mm</t>
  </si>
  <si>
    <t>SF-00155</t>
  </si>
  <si>
    <t>SF-00156</t>
  </si>
  <si>
    <t>Silicone acetico uso geral incolor 280 g</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</si>
  <si>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</si>
  <si>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</si>
  <si>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</si>
  <si>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</si>
  <si>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</si>
  <si>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</si>
  <si>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</si>
  <si>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</si>
  <si>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</si>
  <si>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</si>
  <si>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Lixa d'agua em folha, grao 100</t>
  </si>
  <si>
    <t>SF-00168</t>
  </si>
  <si>
    <t>SF-00169</t>
  </si>
  <si>
    <t>SF-00170</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</si>
  <si>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</si>
  <si>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</si>
  <si>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</si>
  <si>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</si>
  <si>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</si>
  <si>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</si>
  <si>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</si>
  <si>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</si>
  <si>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</si>
  <si>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</si>
  <si>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</si>
  <si>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</si>
  <si>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</si>
  <si>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</si>
  <si>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</si>
  <si>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</si>
  <si>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</si>
  <si>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</si>
  <si>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</si>
  <si>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</si>
  <si>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</si>
  <si>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</si>
  <si>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</si>
  <si>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</si>
  <si>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</si>
  <si>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</si>
  <si>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</si>
  <si>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</si>
  <si>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</si>
  <si>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</si>
  <si>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</si>
  <si>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</si>
  <si>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</si>
  <si>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</si>
  <si>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</si>
  <si>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</si>
  <si>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</si>
  <si>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</si>
  <si>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</si>
  <si>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</si>
  <si>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</si>
  <si>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</si>
  <si>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</si>
  <si>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</si>
  <si>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</si>
  <si>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</si>
  <si>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</si>
  <si>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</si>
  <si>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</si>
  <si>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</si>
  <si>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</si>
  <si>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</si>
  <si>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</si>
  <si>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</si>
  <si>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</si>
  <si>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</si>
  <si>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</si>
  <si>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</si>
  <si>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</si>
  <si>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</si>
  <si>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</si>
  <si>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</si>
  <si>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</si>
  <si>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</si>
  <si>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</si>
  <si>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</si>
  <si>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</si>
  <si>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</si>
  <si>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</si>
  <si>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</si>
  <si>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</si>
  <si>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Fita veda rosca em rolos de 18 mm x 50 m (L x C)</t>
  </si>
  <si>
    <t>SF-00210</t>
  </si>
  <si>
    <t>SF-00211</t>
  </si>
  <si>
    <t>SF-00212</t>
  </si>
  <si>
    <t>SF-00213</t>
  </si>
  <si>
    <t>Valvula em metal cromado para lavatorio, 1 " sem ladrao</t>
  </si>
  <si>
    <t>SF-00214</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</si>
  <si>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</si>
  <si>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</si>
  <si>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</si>
  <si>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</si>
  <si>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</si>
  <si>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</si>
  <si>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</si>
  <si>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</si>
  <si>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</si>
  <si>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</si>
  <si>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</si>
  <si>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</si>
  <si>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</si>
  <si>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</si>
  <si>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</si>
  <si>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</si>
  <si>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</si>
  <si>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</si>
  <si>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</si>
  <si>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</si>
  <si>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</si>
  <si>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</si>
  <si>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</si>
  <si>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</si>
  <si>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</si>
  <si>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</si>
  <si>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</si>
  <si>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</si>
  <si>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</si>
  <si>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</si>
  <si>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</si>
  <si>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</si>
  <si>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</si>
  <si>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</si>
  <si>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</si>
  <si>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</si>
  <si>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</si>
  <si>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</si>
  <si>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</si>
  <si>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</si>
  <si>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</si>
  <si>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</si>
  <si>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</si>
  <si>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</si>
  <si>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</si>
  <si>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</si>
  <si>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</si>
  <si>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</si>
  <si>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</si>
  <si>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</si>
  <si>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</si>
  <si>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</si>
  <si>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</si>
  <si>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</si>
  <si>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</si>
  <si>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</si>
  <si>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</si>
  <si>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</si>
  <si>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</si>
  <si>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</si>
  <si>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</si>
  <si>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</si>
  <si>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</si>
  <si>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</si>
  <si>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</si>
  <si>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</si>
  <si>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</si>
  <si>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</si>
  <si>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</si>
  <si>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</si>
  <si>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</si>
  <si>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</si>
  <si>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</si>
  <si>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</si>
  <si>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</si>
  <si>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</si>
  <si>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</si>
  <si>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</si>
  <si>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</si>
  <si>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</si>
  <si>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</si>
  <si>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</si>
  <si>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Fixação de tubos verticais de PPR diâmetros menores ou iguais a 40 mm com abraçadeira metálica rígida tipo D 1/2", fixada em perfilado em alvenaria. af_05/2015</t>
  </si>
  <si>
    <t>Luva de emenda para eletroduto, aço galvanizado, DN 40 mm (1 1/2''), aparente, instalada em parede - fornecimento e instalação. af_11/2016_p</t>
  </si>
  <si>
    <t>SF-00245</t>
  </si>
  <si>
    <t>Eletroduto de aço com costura galvanização eletrolítica Ø 1 1/4"</t>
  </si>
  <si>
    <t>Luva de emenda para eletroduto, aço galvanizado, DN 32 mm (1 1/4''), aparente, instalada em parede - fornecimento e instalação. af_11/2016_p</t>
  </si>
  <si>
    <t>SF-00246</t>
  </si>
  <si>
    <t>Eletroduto de aço com costura galvanização eletrolítica Ø 1"</t>
  </si>
  <si>
    <t>Luva de emenda para eletroduto, aço galvanizado, DN 25 mm (1''), aparente, instalada em parede - fornecimento e instalação. af_11/2016_p</t>
  </si>
  <si>
    <t>SF-00247</t>
  </si>
  <si>
    <t>Eletroduto de aço com costura galvanização eletrolítica Ø 2"</t>
  </si>
  <si>
    <t>FIXAÇÃO DE TUBOS VERTICAIS DE PPR DIÂMETROS MAIORES QUE 40 MM E MENORES OU IGUAIS A 75 MM COM ABRAÇADEIRA METÁLICA RÍGIDA TIPO D 2", FIXADA EM PERFILADO EM ALVENARIA. AF_05/2015</t>
  </si>
  <si>
    <t>M</t>
  </si>
  <si>
    <t>SF-00248</t>
  </si>
  <si>
    <t>Eletroduto de aço com costura galvanização eletrolítica Ø 3/4"</t>
  </si>
  <si>
    <t>Luva de emenda para eletroduto, aço galvanizado, DN 20 mm (3/4''), aparente, instalada em parede - fornecimento e instalação. af_11/2016_p</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</si>
  <si>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</si>
  <si>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</si>
  <si>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</si>
  <si>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</si>
  <si>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</si>
  <si>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</si>
  <si>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</si>
  <si>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</si>
  <si>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</si>
  <si>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</si>
  <si>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</si>
  <si>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</si>
  <si>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</si>
  <si>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</si>
  <si>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</si>
  <si>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</si>
  <si>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</si>
  <si>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</si>
  <si>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</si>
  <si>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</si>
  <si>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</si>
  <si>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</si>
  <si>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</si>
  <si>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</si>
  <si>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</si>
  <si>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</si>
  <si>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</si>
  <si>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</si>
  <si>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</si>
  <si>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</si>
  <si>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</si>
  <si>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</si>
  <si>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</si>
  <si>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</si>
  <si>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</si>
  <si>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</si>
  <si>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SF-00264</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</si>
  <si>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</si>
  <si>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</si>
  <si>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</si>
  <si>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</si>
  <si>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</si>
  <si>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</si>
  <si>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</si>
  <si>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</si>
  <si>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</si>
  <si>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</si>
  <si>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</si>
  <si>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</si>
  <si>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</si>
  <si>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</si>
  <si>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</si>
  <si>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</si>
  <si>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</si>
  <si>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</si>
  <si>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</si>
  <si>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</si>
  <si>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</si>
  <si>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</si>
  <si>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</si>
  <si>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</si>
  <si>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</si>
  <si>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</si>
  <si>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</si>
  <si>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</si>
  <si>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</si>
  <si>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</si>
  <si>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</si>
  <si>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</si>
  <si>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</si>
  <si>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</si>
  <si>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</si>
  <si>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</si>
  <si>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</si>
  <si>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</si>
  <si>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</si>
  <si>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</si>
  <si>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</si>
  <si>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</si>
  <si>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</si>
  <si>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</si>
  <si>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</si>
  <si>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</si>
  <si>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</si>
  <si>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</si>
  <si>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</si>
  <si>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</si>
  <si>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</si>
  <si>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</si>
  <si>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</si>
  <si>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</si>
  <si>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</si>
  <si>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</si>
  <si>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</si>
  <si>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</si>
  <si>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</si>
  <si>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</si>
  <si>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</si>
  <si>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</si>
  <si>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</si>
  <si>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</si>
  <si>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</si>
  <si>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</si>
  <si>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</si>
  <si>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</si>
  <si>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</si>
  <si>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</si>
  <si>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</si>
  <si>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</si>
  <si>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</si>
  <si>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</si>
  <si>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</si>
  <si>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</si>
  <si>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</si>
  <si>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</si>
  <si>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</si>
  <si>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</si>
  <si>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</si>
  <si>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</si>
  <si>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</si>
  <si>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</si>
  <si>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</si>
  <si>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</si>
  <si>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</si>
  <si>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</si>
  <si>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</si>
  <si>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</si>
  <si>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</si>
  <si>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</si>
  <si>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</si>
  <si>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</si>
  <si>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</si>
  <si>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</si>
  <si>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</si>
  <si>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</si>
  <si>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</si>
  <si>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</si>
  <si>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</si>
  <si>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</si>
  <si>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</si>
  <si>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</si>
  <si>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</si>
  <si>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</si>
  <si>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</si>
  <si>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</si>
  <si>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</si>
  <si>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</si>
  <si>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</si>
  <si>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</si>
  <si>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</si>
  <si>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</si>
  <si>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</si>
  <si>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</si>
  <si>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</si>
  <si>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</si>
  <si>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</si>
  <si>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</si>
  <si>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</si>
  <si>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</si>
  <si>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</si>
  <si>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</si>
  <si>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</si>
  <si>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</si>
  <si>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</si>
  <si>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</si>
  <si>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</si>
  <si>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</si>
  <si>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</si>
  <si>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</si>
  <si>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</si>
  <si>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</si>
  <si>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</si>
  <si>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</si>
  <si>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</si>
  <si>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</si>
  <si>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</si>
  <si>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</si>
  <si>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</si>
  <si>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</si>
  <si>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</si>
  <si>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</si>
  <si>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</si>
  <si>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</si>
  <si>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</si>
  <si>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</si>
  <si>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</si>
  <si>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</si>
  <si>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</si>
  <si>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</si>
  <si>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</si>
  <si>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</si>
  <si>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</si>
  <si>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</si>
  <si>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</si>
  <si>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</si>
  <si>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</si>
  <si>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</si>
  <si>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</si>
  <si>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</si>
  <si>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</si>
  <si>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</si>
  <si>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</si>
  <si>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</si>
  <si>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</si>
  <si>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</si>
  <si>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</si>
  <si>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</si>
  <si>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</si>
  <si>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SF-00357</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</si>
  <si>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</si>
  <si>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</si>
  <si>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</si>
  <si>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</si>
  <si>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</si>
  <si>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</si>
  <si>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</si>
  <si>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</si>
  <si>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</si>
  <si>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</si>
  <si>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</si>
  <si>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</si>
  <si>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</si>
  <si>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</si>
  <si>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</si>
  <si>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</si>
  <si>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</si>
  <si>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</si>
  <si>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</si>
  <si>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</si>
  <si>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</si>
  <si>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</si>
  <si>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</si>
  <si>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</si>
  <si>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</si>
  <si>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</si>
  <si>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</si>
  <si>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</si>
  <si>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</si>
  <si>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</si>
  <si>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</si>
  <si>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</si>
  <si>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</si>
  <si>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</si>
  <si>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</si>
  <si>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</si>
  <si>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</si>
  <si>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</si>
  <si>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</si>
  <si>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</si>
  <si>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</si>
  <si>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</si>
  <si>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</si>
  <si>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</si>
  <si>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</si>
  <si>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</si>
  <si>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</si>
  <si>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</si>
  <si>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</si>
  <si>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</si>
  <si>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</si>
  <si>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</si>
  <si>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</si>
  <si>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</si>
  <si>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</si>
  <si>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</si>
  <si>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</si>
  <si>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SF-00567</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</si>
  <si>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</si>
  <si>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</si>
  <si>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</si>
  <si>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</si>
  <si>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</si>
  <si>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</si>
  <si>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</si>
  <si>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</si>
  <si>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</si>
  <si>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</si>
  <si>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</si>
  <si>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SF-00572</t>
  </si>
  <si>
    <t>SF-00573</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</si>
  <si>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</si>
  <si>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</si>
  <si>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</si>
  <si>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</si>
  <si>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</si>
  <si>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</si>
  <si>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</si>
  <si>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</si>
  <si>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</si>
  <si>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</si>
  <si>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</si>
  <si>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</si>
  <si>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</si>
  <si>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</si>
  <si>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</si>
  <si>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</si>
  <si>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</si>
  <si>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</si>
  <si>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</si>
  <si>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</si>
  <si>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</si>
  <si>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</si>
  <si>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</si>
  <si>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</si>
  <si>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</si>
  <si>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</si>
  <si>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</si>
  <si>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</si>
  <si>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</si>
  <si>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</si>
  <si>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</si>
  <si>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</si>
  <si>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</si>
  <si>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</si>
  <si>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</si>
  <si>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</si>
  <si>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</si>
  <si>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</si>
  <si>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</si>
  <si>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</si>
  <si>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</si>
  <si>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</si>
  <si>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</si>
  <si>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</si>
  <si>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</si>
  <si>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</si>
  <si>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</si>
  <si>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</si>
  <si>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</si>
  <si>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</si>
  <si>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</si>
  <si>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</si>
  <si>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</si>
  <si>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</si>
  <si>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</si>
  <si>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</si>
  <si>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</si>
  <si>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</si>
  <si>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</si>
  <si>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</si>
  <si>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</si>
  <si>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</si>
  <si>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</si>
  <si>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</si>
  <si>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</si>
  <si>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</si>
  <si>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</si>
  <si>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</si>
  <si>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</si>
  <si>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</si>
  <si>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</si>
  <si>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</si>
  <si>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</si>
  <si>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</si>
  <si>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</si>
  <si>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</si>
  <si>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</si>
  <si>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</si>
  <si>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</si>
  <si>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</si>
  <si>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</si>
  <si>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</si>
  <si>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</si>
  <si>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</si>
  <si>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</si>
  <si>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</si>
  <si>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</si>
  <si>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</si>
  <si>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</si>
  <si>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</si>
  <si>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</si>
  <si>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</si>
  <si>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</si>
  <si>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</si>
  <si>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</si>
  <si>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</si>
  <si>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</si>
  <si>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</si>
  <si>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</si>
  <si>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</si>
  <si>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</si>
  <si>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</si>
  <si>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</si>
  <si>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</si>
  <si>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</si>
  <si>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</si>
  <si>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</si>
  <si>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</si>
  <si>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</si>
  <si>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</si>
  <si>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</si>
  <si>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</si>
  <si>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</si>
  <si>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</si>
  <si>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</si>
  <si>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</si>
  <si>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</si>
  <si>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</si>
  <si>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</si>
  <si>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</si>
  <si>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</si>
  <si>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</si>
  <si>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</si>
  <si>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</si>
  <si>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</si>
  <si>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</si>
  <si>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</si>
  <si>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</si>
  <si>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</si>
  <si>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</si>
  <si>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</si>
  <si>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</si>
  <si>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</si>
  <si>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</si>
  <si>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</si>
  <si>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</si>
  <si>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</si>
  <si>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</si>
  <si>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</si>
  <si>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</si>
  <si>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</si>
  <si>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</si>
  <si>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</si>
  <si>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</si>
  <si>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</si>
  <si>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</si>
  <si>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</si>
  <si>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</si>
  <si>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</si>
  <si>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</si>
  <si>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</si>
  <si>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</si>
  <si>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</si>
  <si>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</si>
  <si>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</si>
  <si>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</si>
  <si>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</si>
  <si>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</si>
  <si>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</si>
  <si>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</si>
  <si>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</si>
  <si>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</si>
  <si>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</si>
  <si>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</si>
  <si>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</si>
  <si>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</si>
  <si>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</si>
  <si>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</si>
  <si>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</si>
  <si>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</si>
  <si>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SF-00917</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</si>
  <si>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</si>
  <si>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</si>
  <si>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</si>
  <si>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</si>
  <si>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</si>
  <si>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</si>
  <si>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</si>
  <si>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</si>
  <si>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</si>
  <si>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</si>
  <si>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</si>
  <si>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</si>
  <si>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</si>
  <si>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</si>
  <si>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</si>
  <si>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</si>
  <si>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</si>
  <si>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</si>
  <si>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</si>
  <si>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</si>
  <si>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</si>
  <si>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</si>
  <si>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</si>
  <si>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</si>
  <si>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</si>
  <si>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</si>
  <si>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</si>
  <si>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</si>
  <si>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</si>
  <si>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</si>
  <si>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</si>
  <si>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</si>
  <si>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</si>
  <si>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</si>
  <si>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</si>
  <si>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</si>
  <si>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</si>
  <si>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</si>
  <si>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</si>
  <si>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</si>
  <si>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</si>
  <si>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</si>
  <si>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</si>
  <si>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</si>
  <si>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</si>
  <si>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</si>
  <si>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</si>
  <si>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</si>
  <si>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</si>
  <si>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</si>
  <si>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</si>
  <si>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</si>
  <si>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</si>
  <si>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</si>
  <si>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</si>
  <si>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</si>
  <si>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</si>
  <si>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</si>
  <si>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</si>
  <si>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</si>
  <si>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</si>
  <si>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</si>
  <si>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</si>
  <si>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</si>
  <si>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</si>
  <si>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</si>
  <si>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</si>
  <si>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</si>
  <si>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</si>
  <si>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</si>
  <si>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</si>
  <si>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</si>
  <si>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</si>
  <si>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</si>
  <si>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</si>
  <si>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</si>
  <si>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</si>
  <si>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</si>
  <si>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</si>
  <si>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</si>
  <si>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</si>
  <si>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</si>
  <si>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</si>
  <si>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</si>
  <si>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</si>
  <si>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</si>
  <si>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</si>
  <si>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</si>
  <si>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</si>
  <si>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</si>
  <si>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</si>
  <si>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</si>
  <si>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</si>
  <si>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</si>
  <si>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</si>
  <si>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</si>
  <si>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</si>
  <si>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</si>
  <si>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</si>
  <si>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</si>
  <si>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</si>
  <si>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</si>
  <si>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</si>
  <si>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</si>
  <si>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</si>
  <si>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</si>
  <si>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</si>
  <si>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</si>
  <si>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</si>
  <si>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</si>
  <si>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</si>
  <si>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</si>
  <si>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</si>
  <si>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</si>
  <si>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</si>
  <si>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</si>
  <si>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</si>
  <si>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</si>
  <si>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</si>
  <si>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</si>
  <si>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</si>
  <si>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</si>
  <si>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</si>
  <si>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</si>
  <si>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</si>
  <si>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</si>
  <si>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</si>
  <si>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</si>
  <si>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</si>
  <si>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</si>
  <si>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</si>
  <si>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</si>
  <si>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</si>
  <si>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</si>
  <si>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</si>
  <si>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</si>
  <si>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</si>
  <si>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</si>
  <si>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</si>
  <si>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</si>
  <si>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</si>
  <si>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</si>
  <si>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</si>
  <si>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</si>
  <si>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</si>
  <si>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</si>
  <si>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</si>
  <si>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</si>
  <si>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</si>
  <si>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</si>
  <si>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</si>
  <si>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</si>
  <si>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</si>
  <si>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</si>
  <si>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</si>
  <si>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</si>
  <si>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</si>
  <si>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</si>
  <si>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</si>
  <si>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</si>
  <si>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</si>
  <si>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</si>
  <si>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PEDRA BRITADA N. 2 (19 A 38 MM) POSTO PEDREIRA/FORNECEDOR, SEM FRETE</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</si>
  <si>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</si>
  <si>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</si>
  <si>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</si>
  <si>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</si>
  <si>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</si>
  <si>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</si>
  <si>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</si>
  <si>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</si>
  <si>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</si>
  <si>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</si>
  <si>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</si>
  <si>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</si>
  <si>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</si>
  <si>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</si>
  <si>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</si>
  <si>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</si>
  <si>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</si>
  <si>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</si>
  <si>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</si>
  <si>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</si>
  <si>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</si>
  <si>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</si>
  <si>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</si>
  <si>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</si>
  <si>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</si>
  <si>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</si>
  <si>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</si>
  <si>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</si>
  <si>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</si>
  <si>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</si>
  <si>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</si>
  <si>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</si>
  <si>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</si>
  <si>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Pedreiro com encargos complementares</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</si>
  <si>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</si>
  <si>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</si>
  <si>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</si>
  <si>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</si>
  <si>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</si>
  <si>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</si>
  <si>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</si>
  <si>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</si>
  <si>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</si>
  <si>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</si>
  <si>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</si>
  <si>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</si>
  <si>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</si>
  <si>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</si>
  <si>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</si>
  <si>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</si>
  <si>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</si>
  <si>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</si>
  <si>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</si>
  <si>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</si>
  <si>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</si>
  <si>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</si>
  <si>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</si>
  <si>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</si>
  <si>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SF-01066</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</si>
  <si>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</si>
  <si>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</si>
  <si>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</si>
  <si>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</si>
  <si>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</si>
  <si>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</si>
  <si>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</si>
  <si>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</si>
  <si>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</si>
  <si>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</si>
  <si>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</si>
  <si>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</si>
  <si>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</si>
  <si>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</si>
  <si>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</si>
  <si>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</si>
  <si>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</si>
  <si>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</si>
  <si>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</si>
  <si>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</si>
  <si>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</si>
  <si>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</si>
  <si>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</si>
  <si>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</si>
  <si>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</si>
  <si>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</si>
  <si>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</si>
  <si>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</si>
  <si>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</si>
  <si>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</si>
  <si>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</si>
  <si>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</si>
  <si>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</si>
  <si>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</si>
  <si>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</si>
  <si>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</si>
  <si>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</si>
  <si>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</si>
  <si>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</si>
  <si>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</si>
  <si>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</si>
  <si>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</si>
  <si>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</si>
  <si>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</si>
  <si>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</si>
  <si>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</si>
  <si>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</si>
  <si>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</si>
  <si>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</si>
  <si>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</si>
  <si>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</si>
  <si>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</si>
  <si>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</si>
  <si>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</si>
  <si>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</si>
  <si>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</si>
  <si>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</si>
  <si>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</si>
  <si>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</si>
  <si>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</si>
  <si>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</si>
  <si>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</si>
  <si>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</si>
  <si>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</si>
  <si>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</si>
  <si>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</si>
  <si>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</si>
  <si>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</si>
  <si>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</si>
  <si>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</si>
  <si>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</si>
  <si>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</si>
  <si>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</si>
  <si>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</si>
  <si>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</si>
  <si>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</si>
  <si>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</si>
  <si>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</si>
  <si>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</si>
  <si>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</si>
  <si>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</si>
  <si>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</si>
  <si>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</si>
  <si>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</si>
  <si>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</si>
  <si>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</si>
  <si>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</si>
  <si>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</si>
  <si>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SISAL EM FIBRA</t>
  </si>
  <si>
    <t>CENTO</t>
  </si>
  <si>
    <t>GESSEIRO COM ENCARGOS COMPLEMENTARES</t>
  </si>
  <si>
    <t>SF-01120</t>
  </si>
  <si>
    <t>SF-01121</t>
  </si>
  <si>
    <t>Obs.: Acréscimo de 15% no coeficiente da tinta para suprir a diferença de preço da tinta branca para as tintas de cores especiais.</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</si>
  <si>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</si>
  <si>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</si>
  <si>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</si>
  <si>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</si>
  <si>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</si>
  <si>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</si>
  <si>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</si>
  <si>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</si>
  <si>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</si>
  <si>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</si>
  <si>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</si>
  <si>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</si>
  <si>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</si>
  <si>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</si>
  <si>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</si>
  <si>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</si>
  <si>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</si>
  <si>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</si>
  <si>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</si>
  <si>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</si>
  <si>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</si>
  <si>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</si>
  <si>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</si>
  <si>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</si>
  <si>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</si>
  <si>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</si>
  <si>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</si>
  <si>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</si>
  <si>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</si>
  <si>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</si>
  <si>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</si>
  <si>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</si>
  <si>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</si>
  <si>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</si>
  <si>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</si>
  <si>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</si>
  <si>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</si>
  <si>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</si>
  <si>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</si>
  <si>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</si>
  <si>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</si>
  <si>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</si>
  <si>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</si>
  <si>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</si>
  <si>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</si>
  <si>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</si>
  <si>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</si>
  <si>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</si>
  <si>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</si>
  <si>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</si>
  <si>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</si>
  <si>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</si>
  <si>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</si>
  <si>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</si>
  <si>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</si>
  <si>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</si>
  <si>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</si>
  <si>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</si>
  <si>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</si>
  <si>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</si>
  <si>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</si>
  <si>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</si>
  <si>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</si>
  <si>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</si>
  <si>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</si>
  <si>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</si>
  <si>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</si>
  <si>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</si>
  <si>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</si>
  <si>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</si>
  <si>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</si>
  <si>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</si>
  <si>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</si>
  <si>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</si>
  <si>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</si>
  <si>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</si>
  <si>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</si>
  <si>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</si>
  <si>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</si>
  <si>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</si>
  <si>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</si>
  <si>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</si>
  <si>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</si>
  <si>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</si>
  <si>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</si>
  <si>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</si>
  <si>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</si>
  <si>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</si>
  <si>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</si>
  <si>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</si>
  <si>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</si>
  <si>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</si>
  <si>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</si>
  <si>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</si>
  <si>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</si>
  <si>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</si>
  <si>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</si>
  <si>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</si>
  <si>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</si>
  <si>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</si>
  <si>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</si>
  <si>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</si>
  <si>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</si>
  <si>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</si>
  <si>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</si>
  <si>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</si>
  <si>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</si>
  <si>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</si>
  <si>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</si>
  <si>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</si>
  <si>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</si>
  <si>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</si>
  <si>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</si>
  <si>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</si>
  <si>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</si>
  <si>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</si>
  <si>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</si>
  <si>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</si>
  <si>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</si>
  <si>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</si>
  <si>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</si>
  <si>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</si>
  <si>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</si>
  <si>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</si>
  <si>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</si>
  <si>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</si>
  <si>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</si>
  <si>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</si>
  <si>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</si>
  <si>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</si>
  <si>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</si>
  <si>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</si>
  <si>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</si>
  <si>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</si>
  <si>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</si>
  <si>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</si>
  <si>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</si>
  <si>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</si>
  <si>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</si>
  <si>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</si>
  <si>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</si>
  <si>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</si>
  <si>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</si>
  <si>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</si>
  <si>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</si>
  <si>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</si>
  <si>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</si>
  <si>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</si>
  <si>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</si>
  <si>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</si>
  <si>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</si>
  <si>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</si>
  <si>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</si>
  <si>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</si>
  <si>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</si>
  <si>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</si>
  <si>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</si>
  <si>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</si>
  <si>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</si>
  <si>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</si>
  <si>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COMPOSIÇÕES DE CUSTO UNITÁRIO AUXILIARES DE 1º NÍVEL</t>
  </si>
  <si>
    <t>TOTAL</t>
  </si>
  <si>
    <t>Servente com encargos complementares</t>
  </si>
  <si>
    <t>Encanador ou bombeiro hidráulico com encargos complementares</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</si>
  <si>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</si>
  <si>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</si>
  <si>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</si>
  <si>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Cal hidratada CH-I para argamassas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</si>
  <si>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</si>
  <si>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</si>
  <si>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Areia grossa - posto jazida/fornecedor (retirado na jazida, sem transporte)</t>
  </si>
  <si>
    <t>Argamassa industrializada para chapisco colante</t>
  </si>
  <si>
    <t>Misturador de argamassa, eixo horizontal, capacidade de mistura 300 kg, motor elétrico potência 5 cv - CHP diurno. af_06/2014</t>
  </si>
  <si>
    <t>Misturador de argamassa, eixo horizontal, capacidade de mistura 300 kg, motor elétrico potência 5 cv - CHI diurno. af_06/2014</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</si>
  <si>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</si>
  <si>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</si>
  <si>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</si>
  <si>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</si>
  <si>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</si>
  <si>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</si>
  <si>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Vibrador de imersão, diâmetro de ponteira 45mm, motor elétrico trifásico potência de 2 CV - CHP diurno. AF_06/2015</t>
  </si>
  <si>
    <t>Vibrador de imersão, diâmetro de ponteira 45mm, motor elétrico trifásico potência de 2 CV - CHI diurno. AF_06/2015</t>
  </si>
  <si>
    <t>M3XKM</t>
  </si>
  <si>
    <t>TXKM</t>
  </si>
  <si>
    <t>OPERADOR DE BETONEIRA ESTACIONÁRIA/MISTURADOR COM ENCARGOS COMPLEMENTARES</t>
  </si>
  <si>
    <t>BETONEIRA CAPACIDADE NOMINAL DE 600 L, CAPACIDADE DE MISTURA 360 L, MOTOR ELÉTRICO TRIFÁSICO POTÊNCIA DE 4 CV, SEM CARREGADOR - CHI DIURNO. AF_11/2014</t>
  </si>
  <si>
    <t>CAL HIDRATADA CH-I PARA ARGAMASSAS</t>
  </si>
  <si>
    <t>JG</t>
  </si>
  <si>
    <t>PREGO DE ACO POLIDO COM CABECA 12 X 12</t>
  </si>
  <si>
    <t>CORTE E DOBRA DE AÇO CA-60, DIÂMETRO DE 4,2 MM, UTILIZADO EM LAJE. AF_12/2015</t>
  </si>
  <si>
    <t>Abracadeira em aco para amarracao de eletrodutos, tipo D, com 1 1/2" e parafuso de fixacao</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</si>
  <si>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</si>
  <si>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</si>
  <si>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</si>
  <si>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</si>
  <si>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QUANTIDADE</t>
  </si>
  <si>
    <t>CUSTO DIRETO</t>
  </si>
  <si>
    <t>BDI (%)</t>
  </si>
  <si>
    <t>PREÇO UNITÁRIO COM BDI</t>
  </si>
  <si>
    <t>hh</t>
  </si>
  <si>
    <t>Mestre de obras</t>
  </si>
  <si>
    <t>Planejamento físico-financeiro</t>
  </si>
  <si>
    <t>Projetos de segurança do trabalho</t>
  </si>
  <si>
    <t>SF-00015</t>
  </si>
  <si>
    <t>Locação de caçambas</t>
  </si>
  <si>
    <t>Retirada de entulhos</t>
  </si>
  <si>
    <t>m2 x mês</t>
  </si>
  <si>
    <t>m x mês</t>
  </si>
  <si>
    <t>SF-00405</t>
  </si>
  <si>
    <t>SF-00407</t>
  </si>
  <si>
    <t>SF-00409</t>
  </si>
  <si>
    <t>SF-00411</t>
  </si>
  <si>
    <t>SF-00414</t>
  </si>
  <si>
    <t>SF-00415</t>
  </si>
  <si>
    <t>SF-00416</t>
  </si>
  <si>
    <t>par</t>
  </si>
  <si>
    <t>SF-00443</t>
  </si>
  <si>
    <t>500 ml</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</si>
  <si>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</si>
  <si>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</si>
  <si>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</si>
  <si>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</si>
  <si>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</si>
  <si>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</si>
  <si>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</si>
  <si>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</si>
  <si>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</si>
  <si>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</si>
  <si>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</si>
  <si>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</si>
  <si>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</si>
  <si>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</si>
  <si>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</si>
  <si>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</si>
  <si>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</si>
  <si>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</si>
  <si>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</si>
  <si>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</si>
  <si>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</si>
  <si>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</si>
  <si>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</si>
  <si>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</si>
  <si>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</si>
  <si>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</si>
  <si>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</si>
  <si>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</si>
  <si>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</si>
  <si>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40 kg</t>
  </si>
  <si>
    <t>50 kg</t>
  </si>
  <si>
    <t>20 kg</t>
  </si>
  <si>
    <t>SF-00582</t>
  </si>
  <si>
    <t>SF-00583</t>
  </si>
  <si>
    <t>SF-00592</t>
  </si>
  <si>
    <t>Profissional</t>
  </si>
  <si>
    <t>SF-00718</t>
  </si>
  <si>
    <t>SF-00728</t>
  </si>
  <si>
    <t>SF-00737</t>
  </si>
  <si>
    <t>SF-00745</t>
  </si>
  <si>
    <t>SF-00746</t>
  </si>
  <si>
    <t>SF-00769</t>
  </si>
  <si>
    <t>SF-00770</t>
  </si>
  <si>
    <t>SF-00772</t>
  </si>
  <si>
    <t>SF-00814</t>
  </si>
  <si>
    <t>SF-00815</t>
  </si>
  <si>
    <t>SF-00828</t>
  </si>
  <si>
    <t>SF-00829</t>
  </si>
  <si>
    <t>SF-00840</t>
  </si>
  <si>
    <t>SF-00841</t>
  </si>
  <si>
    <t>SF-00847</t>
  </si>
  <si>
    <t>SF-00848</t>
  </si>
  <si>
    <t>m2 x km</t>
  </si>
  <si>
    <t>Escavação manual de valas</t>
  </si>
  <si>
    <t>Reaterro de vala com compactação mecanizada</t>
  </si>
  <si>
    <t>SF-00963</t>
  </si>
  <si>
    <t>SF-00969</t>
  </si>
  <si>
    <t>m3 x km</t>
  </si>
  <si>
    <t>Grama Batatais em placas de 40 x 40 cm</t>
  </si>
  <si>
    <t>SF-01032</t>
  </si>
  <si>
    <t>SF-01033</t>
  </si>
  <si>
    <t>SF-01034</t>
  </si>
  <si>
    <t>SF-01035</t>
  </si>
  <si>
    <t>SF-01036</t>
  </si>
  <si>
    <t>SF-01037</t>
  </si>
  <si>
    <t>SF-01038</t>
  </si>
  <si>
    <t>SF-01039</t>
  </si>
  <si>
    <t>SF-01040</t>
  </si>
  <si>
    <t>Placa de Concreto Pré-Moldado 15 Mpa</t>
  </si>
  <si>
    <t>Aterro de vala com areia média e compactação mecanizada</t>
  </si>
  <si>
    <t>Pavimentação com Asfalto Pré-Misturado a Frio (PMF)</t>
  </si>
  <si>
    <t>SF-01178</t>
  </si>
  <si>
    <t>SF-01184</t>
  </si>
  <si>
    <t>SF-01185</t>
  </si>
  <si>
    <t>SF-01201</t>
  </si>
  <si>
    <t>SF-01205</t>
  </si>
  <si>
    <t>SF-01206</t>
  </si>
  <si>
    <t>SF-01214</t>
  </si>
  <si>
    <t>SF-01219</t>
  </si>
  <si>
    <t>SF-01225</t>
  </si>
  <si>
    <t>SF-01226</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</si>
  <si>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</si>
  <si>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</si>
  <si>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</si>
  <si>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</si>
  <si>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</si>
  <si>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</si>
  <si>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</si>
  <si>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</si>
  <si>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</si>
  <si>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</si>
  <si>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</si>
  <si>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</si>
  <si>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</si>
  <si>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</si>
  <si>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</si>
  <si>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</si>
  <si>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</si>
  <si>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</si>
  <si>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</si>
  <si>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</si>
  <si>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</si>
  <si>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PERFURATRIZ HIDRÁULICA SOBRE CAMINHÃO COM TRADO CURTO ACOPLADO, PROFUNDIDADE MÁXIMA DE 20 M, DIÂMETRO MÁXIMO DE 1500 MM, POTÊNCIA INSTALADA DE 137 HP, MESA ROTATIVA COM TORQUE MÁXIMO DE 30 KNM - CHP DIURNO. AF_06/2015</t>
  </si>
  <si>
    <t>DESEMPENADEIRA DE CONCRETO, PESO DE 75KG, 4 PÁS, MOTOR A GASOLINA, POTÊNCIA 5,5 HP - CHP DIURNO. AF_09/2016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</si>
  <si>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</si>
  <si>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</si>
  <si>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</si>
  <si>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</si>
  <si>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PERFURATRIZ HIDRÁULICA SOBRE CAMINHÃO COM TRADO CURTO ACOPLADO, PROFUNDIDADE MÁXIMA DE 20 M, DIÂMETRO MÁXIMO DE 1500 MM, POTÊNCIA INSTALADA DE 137 HP, MESA ROTATIVA COM TORQUE MÁXIMO DE 30 KNM - CHI DIURNO. AF_06/2015</t>
  </si>
  <si>
    <t>MÁQUINA DEMARCADORA DE FAIXA DE TRÁFEGO À FRIO, AUTOPROPELIDA, POTÊNCIA 38 HP - CHI DIURNO. AF_07/2016</t>
  </si>
  <si>
    <t>FABRICAÇÃO DE FÔRMA PARA PILARES E ESTRUTURAS SIMILARES, EM MADEIRA SERRADA, E=25 MM. AF_12/2015</t>
  </si>
  <si>
    <t>ARMAÇÃO VERTICAL DE ALVENARIA ESTRUTURAL; DIÂMETRO DE 10,0 MM. AF_01/2015</t>
  </si>
  <si>
    <t>ARMAÇÃO DE CINTA DE ALVENARIA ESTRUTURAL; DIÂMETRO DE 10,0 MM. AF_01/2015</t>
  </si>
  <si>
    <t>ARMAÇÃO DE LAJE DE UMA ESTRUTURA CONVENCIONAL DE CONCRETO ARMADO EM UMA EDIFICAÇÃO TÉRREA OU SOBRADO UTILIZANDO AÇO CA-60 DE 5,0 MM - MONTAGEM. AF_12/2015</t>
  </si>
  <si>
    <t>CORTE E DOBRA DE AÇO CA-50, DIÂMETRO DE 16,0 MM, UTILIZADO EM ESTRUTURAS DIVERSAS, EXCETO LAJES. AF_12/2015</t>
  </si>
  <si>
    <t>CORTE E DOBRA DE AÇO CA-60, DIÂMETRO DE 5,0 MM, UTILIZADO EM LAJE. AF_12/2015</t>
  </si>
  <si>
    <t>CORTE E DOBRA DE AÇO CA-25, DIÂMETRO DE 16,0 MM. AF_12/2015</t>
  </si>
  <si>
    <t>CONCRETO FCK = 20MPA, TRAÇO 1:2,7:3 (CIMENTO/ AREIA MÉDIA/ BRITA 1)  - PREPARO MECÂNICO COM BETONEIRA 400 L. AF_07/2016</t>
  </si>
  <si>
    <t>CONCRETO FCK = 25MPA, TRAÇO 1:2,3:2,7 (CIMENTO/ AREIA MÉDIA/ BRITA 1)  - PREPARO MECÂNICO COM BETONEIRA 600 L. AF_07/2016</t>
  </si>
  <si>
    <t>CONCRETO FCK = 30MPA, TRAÇO 1:2,1:2,5 (CIMENTO/ AREIA MÉDIA/ BRITA 1)  - PREPARO MECÂNICO COM BETONEIRA 600 L. AF_07/2016</t>
  </si>
  <si>
    <t>PEÇA RETANGULAR PRÉ-MOLDADA, VOLUME DE CONCRETO DE 10 A 30 LITROS, TAXA DE AÇO APROXIMADA DE 30KG/M³. AF_01/2018</t>
  </si>
  <si>
    <t>PEÇA RETANGULAR PRÉ-MOLDADA, VOLUME DE CONCRETO DE 30 A 100 LITROS, TAXA DE AÇO APROXIMADA DE 30KG/M³. AF_01/2018</t>
  </si>
  <si>
    <t>LUVA DE EMENDA PARA ELETRODUTO, AÇO GALVANIZADO, DN 40 MM (1 1/2''), APARENTE, INSTALADA EM PAREDE - FORNECIMENTO E INSTALAÇÃO. AF_11/2016_P</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</si>
  <si>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</si>
  <si>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</si>
  <si>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</si>
  <si>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</si>
  <si>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CHAPISCO APLICADO EM ALVENARIAS E ESTRUTURAS DE CONCRETO INTERNAS, COM COLHER DE PEDREIRO.  ARGAMASSA TRAÇO 1:3 COM PREPARO EM BETONEIRA 400L. AF_06/2014</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</si>
  <si>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</si>
  <si>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</si>
  <si>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</si>
  <si>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</si>
  <si>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</si>
  <si>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</si>
  <si>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</si>
  <si>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MARCAÇÃO DE PONTOS EM GABARITO OU CAVALETE. AF_10/2018</t>
  </si>
  <si>
    <t>ASSENTADOR DE TUBOS COM ENCARGOS COMPLEMENTARES</t>
  </si>
  <si>
    <t>AUXILIAR DE TOPÓGRAFO COM ENCARGOS COMPLEMENTARES</t>
  </si>
  <si>
    <t>ELETROTÉCNICO COM ENCARGOS COMPLEMENTARES</t>
  </si>
  <si>
    <t>MARMORISTA/GRANITEIRO COM ENCARGOS COMPLEMENTARES</t>
  </si>
  <si>
    <t>SOLDADOR COM ENCARGOS COMPLEMENTARES</t>
  </si>
  <si>
    <t>VIDRACEIRO COM ENCARGOS COMPLEMENTARES</t>
  </si>
  <si>
    <t>AUXILIAR DE ESCRITORIO COM ENCARGOS COMPLEMENTARES</t>
  </si>
  <si>
    <t>DESENHISTA PROJETISTA COM ENCARGOS COMPLEMENTARES</t>
  </si>
  <si>
    <t>ENCARREGADO GERAL COM ENCARGOS COMPLEMENTARES</t>
  </si>
  <si>
    <t>TOPOGRAFO COM ENCARGOS COMPLEMENTARES</t>
  </si>
  <si>
    <t>ENGENHEIRO ELETRICISTA COM ENCARGOS COMPLEMENTARES</t>
  </si>
  <si>
    <t>AUXILIAR DE ALMOXARIFE COM ENCARGOS COMPLEMENTARES</t>
  </si>
  <si>
    <t>ACO CA-25, 10,0 MM, OU 12,5 MM, OU 16,0 MM, OU 20,0 MM, OU 25,0 MM, VERGALHAO</t>
  </si>
  <si>
    <t>ADESIVO ESTRUTURAL A BASE DE RESINA EPOXI, BICOMPONENTE, FLUIDO</t>
  </si>
  <si>
    <t>ADESIVO PARA TUBOS CPVC, *75* G</t>
  </si>
  <si>
    <t>ALICATE DE CRIMPAR RJ11, RJ12 E RJ45</t>
  </si>
  <si>
    <t>ARAME GALVANIZADO 16 BWG, D = 1,65MM (0,0166 KG/M)</t>
  </si>
  <si>
    <t>BRACO P/ LUMINARIA PUBLICA 1 X 1,50M ROMAGNOLE OU EQUIV</t>
  </si>
  <si>
    <t>BUCHA DE NYLON SEM ABA S6, COM PARAFUSO DE 4,20 X 40 MM EM ACO ZINCADO COM ROSCA SOBERBA, CABECA CHATA E FENDA PHILLIPS</t>
  </si>
  <si>
    <t>CABO DE COBRE NU 16 MM2 MEIO-DURO</t>
  </si>
  <si>
    <t>CABO DE COBRE NU 25 MM2 MEIO-DURO</t>
  </si>
  <si>
    <t>CABO DE COBRE NU 35 MM2 MEIO-DURO</t>
  </si>
  <si>
    <t>CABO DE COBRE NU 50 MM2 MEIO-DURO</t>
  </si>
  <si>
    <t>CABO DE COBRE NU 70 MM2 MEIO-DURO</t>
  </si>
  <si>
    <t>CAIXA DE PASSAGEM, EM PVC, DE 4" X 2", PARA ELETRODUTO FLEXIVEL CORRUGADO</t>
  </si>
  <si>
    <t>CAIXA DE PASSAGEM, EM PVC, DE 4" X 4", PARA ELETRODUTO FLEXIVEL CORRUGADO</t>
  </si>
  <si>
    <t>CANTONEIRA ALUMINIO ABAS IGUAIS 1 ", E = 3 /16 "</t>
  </si>
  <si>
    <t>CAPA PARA CHUVA EM PVC COM FORRO DE POLIESTER, COM CAPUZ (AMARELA OU AZUL)</t>
  </si>
  <si>
    <t>CHAPA DE ACO GALVANIZADA BITOLA GSG 16, E = 1,55 MM (12,40 KG/M2)</t>
  </si>
  <si>
    <t>CHAPA DE LAMINADO MELAMINICO, TEXTURIZADO, DE *1,25 X 3,08* M, E = 0,8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</si>
  <si>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</si>
  <si>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</si>
  <si>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</si>
  <si>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</si>
  <si>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</si>
  <si>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</si>
  <si>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</si>
  <si>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</si>
  <si>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</si>
  <si>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</si>
  <si>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</si>
  <si>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</si>
  <si>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T, PARA ELETRODUTO ROSCAVEL DE 2", COM TAMPA CEGA</t>
  </si>
  <si>
    <t>CONE DE SINALIZACAO EM PVC RIGIDO COM FAIXA REFLETIVA, H = 70 / 76 CM</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</si>
  <si>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</si>
  <si>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</si>
  <si>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</si>
  <si>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</si>
  <si>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</si>
  <si>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</si>
  <si>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</si>
  <si>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</si>
  <si>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</si>
  <si>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</si>
  <si>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</si>
  <si>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</si>
  <si>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</si>
  <si>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</si>
  <si>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</si>
  <si>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</si>
  <si>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</si>
  <si>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</si>
  <si>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</si>
  <si>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</si>
  <si>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</si>
  <si>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</si>
  <si>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</si>
  <si>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</si>
  <si>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</si>
  <si>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</si>
  <si>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</si>
  <si>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</si>
  <si>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</si>
  <si>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</si>
  <si>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</si>
  <si>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</si>
  <si>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</si>
  <si>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</si>
  <si>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</si>
  <si>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</si>
  <si>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</si>
  <si>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</si>
  <si>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</si>
  <si>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</si>
  <si>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</si>
  <si>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</si>
  <si>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ENDURECEDOR MINERAL DE BASE CIMENTICIA PARA PISO DE CONCRETO</t>
  </si>
  <si>
    <t>FITA DE PAPEL REFORCADA COM LAMINA DE METAL PARA REFORCO DE CANTOS DE CHAPA DE GESSO PARA DRYWALL</t>
  </si>
  <si>
    <t>FITA ISOLANTE ADESIVA ANTICHAMA, USO ATE 750 V, EM ROLO DE 19 MM X 5 M</t>
  </si>
  <si>
    <t>FUSIVEL DIAZED 35 A TAMANHO DIII, CAPACIDADE DE INTERRUPCAO DE 50 KA EM VCA E 8 KA EM VCC, TENSAO NOMIMNAL DE 500 V</t>
  </si>
  <si>
    <t>GEOTEXTIL NAO TECIDO AGULHADO DE FILAMENTOS CONTINUOS 100% POLIESTER, RESITENCIA A TRACAO = 31 KN/M</t>
  </si>
  <si>
    <t>LAMPADA FLUORESCENTE COMPACTA 2U BRANCA 15 W, BASE E27 (127/220 V)</t>
  </si>
  <si>
    <t>LUMINARIA DE LED PARA ILUMINACAO PUBLICA, DE 51 W ATE 67 W, INVOLUCRO EM ALUMINIO OU ACO INOX</t>
  </si>
  <si>
    <t>LUMINARIA DE LED PARA ILUMINACAO PUBLICA, DE 98 W ATE 137 W, INVOLUCRO EM ALUMINIO OU ACO INOX</t>
  </si>
  <si>
    <t>LUMINARIA PLAFON REDONDO COM VIDRO FOSCO DIAMETRO *30* CM, PARA 2 LAMPADAS, BASE E27, POTENCIA MAXIMA 40/60 W (NAO INCLUI LAMPADAS)</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</si>
  <si>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</si>
  <si>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</si>
  <si>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</si>
  <si>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</si>
  <si>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</si>
  <si>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</si>
  <si>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</si>
  <si>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</si>
  <si>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</si>
  <si>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</si>
  <si>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</si>
  <si>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</si>
  <si>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</si>
  <si>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</si>
  <si>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</si>
  <si>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MASSA PLASTICA PARA MARMORE/GRANITO</t>
  </si>
  <si>
    <t>PARA-RAIOS TIPO FRANKLIN 350 MM, EM LATAO CROMADO, DUAS DESCIDAS, PARA PROTECAO DE EDIFICACOES CONTRA DESCARGAS ATMOSFERICAS</t>
  </si>
  <si>
    <t>PINO DE ACO COM FURO, HASTE = 27 MM (ACAO DIRETA)</t>
  </si>
  <si>
    <t>PISO DE BORRACHA PASTILHADO EM PLACAS 50 X 50 CM, E = *3,5* MM, PARA COLA, PRETO</t>
  </si>
  <si>
    <t>PLACA/TAMPA CEGA EM LATAO ESCOVADO PARA CONDULETE EM LIGA DE ALUMINIO 4 X 4"</t>
  </si>
  <si>
    <t>PREGO DE ACO POLIDO COM CABECA DUPLA 17 X 27 (2 1/2 X 11)</t>
  </si>
  <si>
    <t>PREGO DE ACO POLIDO COM CABECA 17 X 27 (2 1/2 X 11)</t>
  </si>
  <si>
    <t>PREGO DE ACO POLIDO SEM CABECA 15 X 15 (1 1/4 X 13)</t>
  </si>
  <si>
    <t>PROTETOR SOLAR FPS 30, EMBALAGEM 2 LITROS</t>
  </si>
  <si>
    <t>PULSADOR CAMPAINHA 10A, 250V (APENAS MODULO)</t>
  </si>
  <si>
    <t>QUADRO DE DISTRIBUICAO COM BARRAMENTO TRIFASICO, DE SOBREPOR, EM CHAPA DE ACO GALVANIZADO, PARA 18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</si>
  <si>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</si>
  <si>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</si>
  <si>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</si>
  <si>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RODAPE DE MADEIRA MACICA CUMARU/IPE CHAMPANHE OU EQUIVALENTE DA REGIAO, *1,5 X 7 CM</t>
  </si>
  <si>
    <t>SENSOR DE PRESENCA BIVOLT COM FOTOCELULA PARA QUALQUER TIPO DE LAMPADA, POTENCIA MAXIMA *1000* W, USO EXTERNO</t>
  </si>
  <si>
    <t>SUPORTE MAO-FRANCESA EM ACO, ABAS IGUAIS 40 CM, CAPACIDADE MINIMA 70 KG, BRANCO</t>
  </si>
  <si>
    <t>TALABARTE DE SEGURANCA, 2 MOSQUETOES TRAVA DUPLA *53* MM DE ABERTURA, COM ABSORVEDOR DE ENERGIA</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</si>
  <si>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</si>
  <si>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</si>
  <si>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</si>
  <si>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</si>
  <si>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TE MISTURADOR DE TRANSICAO, CPVC, COM ROSCA, 22 MM X 3/4", PARA AGUA QUENTE</t>
  </si>
  <si>
    <t>TELA DE ACO SOLDADA GALVANIZADA/ZINCADA PARA ALVENARIA, FIO D = *1,20 A 1,70* MM, MALHA 15 X 15 MM, (C X L) *50 X 7,5* CM</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</si>
  <si>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</si>
  <si>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</si>
  <si>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</si>
  <si>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</si>
  <si>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TERMINAL A COMPRESSAO EM COBRE ESTANHADO PARA CABO 120 MM2, 1 FURO E 1 COMPRESSAO, PARA PARAFUSO DE FIXACAO M12</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</si>
  <si>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</si>
  <si>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</si>
  <si>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</si>
  <si>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</si>
  <si>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</si>
  <si>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</si>
  <si>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</si>
  <si>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</si>
  <si>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</si>
  <si>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TRAVA-QUEDAS EM ACO PARA CORDA DE 12 MM, EXTENSOR DE 25 X 300 MM, COM MOSQUETAO TIPO GANCHO TRAVA DUPLA</t>
  </si>
  <si>
    <t>TUBO ACO CARBONO SEM COSTURA 2", E= *3,91* MM, SCHEDULE 40, *5,43* KG/M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</si>
  <si>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</si>
  <si>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</si>
  <si>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</si>
  <si>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</si>
  <si>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</si>
  <si>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</si>
  <si>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</si>
  <si>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</si>
  <si>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SF-01235</t>
  </si>
  <si>
    <t>SF-01236</t>
  </si>
  <si>
    <t>SF-01240</t>
  </si>
  <si>
    <t>SF-01241</t>
  </si>
  <si>
    <t>SF-01242</t>
  </si>
  <si>
    <t>SF-01243</t>
  </si>
  <si>
    <t>SF-01244</t>
  </si>
  <si>
    <t>SF-01245</t>
  </si>
  <si>
    <t>SF-01246</t>
  </si>
  <si>
    <t>SF-01247</t>
  </si>
  <si>
    <t>SF-01248</t>
  </si>
  <si>
    <t>SF-01249</t>
  </si>
  <si>
    <t>SF-01250</t>
  </si>
  <si>
    <t>SF-01251</t>
  </si>
  <si>
    <t>SF-01252</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</si>
  <si>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</si>
  <si>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</si>
  <si>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</si>
  <si>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</si>
  <si>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</si>
  <si>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</si>
  <si>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</si>
  <si>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</si>
  <si>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</si>
  <si>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</si>
  <si>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</si>
  <si>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</si>
  <si>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</si>
  <si>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</si>
  <si>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</si>
  <si>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</si>
  <si>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</si>
  <si>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</si>
  <si>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</si>
  <si>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SF-01278</t>
  </si>
  <si>
    <t>SF-01279</t>
  </si>
  <si>
    <t>SF-01280</t>
  </si>
  <si>
    <t>SF-01281</t>
  </si>
  <si>
    <t>SF-01282</t>
  </si>
  <si>
    <t>SF-01283</t>
  </si>
  <si>
    <t>SF-01284</t>
  </si>
  <si>
    <t>SF-01285</t>
  </si>
  <si>
    <t>SF-01286</t>
  </si>
  <si>
    <t>SF-01287</t>
  </si>
  <si>
    <t>SF-01288</t>
  </si>
  <si>
    <t>SF-01289</t>
  </si>
  <si>
    <t>ARAME RECOZIDO 16 BWG, D = 1,65 MM (0,016 KG/M) OU 18 BWG, D = 1,25 MM (0,01 KG/M)</t>
  </si>
  <si>
    <t>ARGAMASSA COLANTE TIPO AC III E</t>
  </si>
  <si>
    <t>BLOCO DE CONCRETO ESTRUTURAL 14 X 19 X 34 CM, FBK 4,5 MPA (NBR 6136)</t>
  </si>
  <si>
    <t>BLOCO DE CONCRETO ESTRUTURAL 14 X 19 X 39 CM, FBK 4,5 MPA (NBR 6136)</t>
  </si>
  <si>
    <t>BLOCO DE CONCRETO ESTRUTURAL 19 X 19 X 39 CM, FBK 4,5 MPA (NBR 6136)</t>
  </si>
  <si>
    <t>CANALETA DE CONCRETO ESTRUTURAL 14 X 19 X 39 CM, FBK 4,5 MPA (NBR 6136)</t>
  </si>
  <si>
    <t>CANALETA DE CONCRETO 19 X 19 X 19 CM (CLASSE C - NBR 6136)</t>
  </si>
  <si>
    <t>MEIO BLOCO DE CONCRETO ESTRUTURAL 14 X 19 X 19 CM, FBK 4,5 MPA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</si>
  <si>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</si>
  <si>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</si>
  <si>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</si>
  <si>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</si>
  <si>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</si>
  <si>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</si>
  <si>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</si>
  <si>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</si>
  <si>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</si>
  <si>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</si>
  <si>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</si>
  <si>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</si>
  <si>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</si>
  <si>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</si>
  <si>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Rejunte cimenticio, qualquer cor</t>
  </si>
  <si>
    <t>Argamassa colante tipo AC III</t>
  </si>
  <si>
    <t>Argamassa colante AC II</t>
  </si>
  <si>
    <t>Rejunte epoxi, qualquer cor</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</si>
  <si>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</si>
  <si>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</si>
  <si>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</si>
  <si>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</si>
  <si>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</si>
  <si>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</si>
  <si>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</si>
  <si>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</si>
  <si>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</si>
  <si>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</si>
  <si>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</si>
  <si>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</si>
  <si>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</si>
  <si>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</si>
  <si>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</si>
  <si>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</si>
  <si>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</si>
  <si>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</si>
  <si>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</si>
  <si>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</si>
  <si>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</si>
  <si>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</si>
  <si>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</si>
  <si>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</si>
  <si>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</si>
  <si>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</si>
  <si>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</si>
  <si>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</si>
  <si>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</si>
  <si>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</si>
  <si>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</si>
  <si>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</si>
  <si>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</si>
  <si>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</si>
  <si>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</si>
  <si>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</si>
  <si>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</si>
  <si>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</si>
  <si>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</si>
  <si>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SF-01296</t>
  </si>
  <si>
    <t>SF-01310</t>
  </si>
  <si>
    <t>SF-01311</t>
  </si>
  <si>
    <t>SF-01312</t>
  </si>
  <si>
    <t>SF-01313</t>
  </si>
  <si>
    <t>SF-01314</t>
  </si>
  <si>
    <t>SF-01315</t>
  </si>
  <si>
    <t>SF-01316</t>
  </si>
  <si>
    <t>SF-01317</t>
  </si>
  <si>
    <t>SF-01318</t>
  </si>
  <si>
    <t>SF-01319</t>
  </si>
  <si>
    <t>SF-01325</t>
  </si>
  <si>
    <t>SF-01326</t>
  </si>
  <si>
    <t>SF-01327</t>
  </si>
  <si>
    <t>SF-01328</t>
  </si>
  <si>
    <t>SF-01329</t>
  </si>
  <si>
    <t>Válvula gaveta com flange DN 125 (5" NPS)</t>
  </si>
  <si>
    <t>SF-01331</t>
  </si>
  <si>
    <t>SF-01332</t>
  </si>
  <si>
    <t>SF-01333</t>
  </si>
  <si>
    <t>SF-01334</t>
  </si>
  <si>
    <t>SF-01335</t>
  </si>
  <si>
    <t>SF-01336</t>
  </si>
  <si>
    <t>SF-01339</t>
  </si>
  <si>
    <t>m²</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</si>
  <si>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</si>
  <si>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</si>
  <si>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</si>
  <si>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</si>
  <si>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</si>
  <si>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</si>
  <si>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</si>
  <si>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</si>
  <si>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</si>
  <si>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</si>
  <si>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</si>
  <si>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</si>
  <si>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</si>
  <si>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</si>
  <si>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</si>
  <si>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</si>
  <si>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</si>
  <si>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</si>
  <si>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</si>
  <si>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</si>
  <si>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</si>
  <si>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</si>
  <si>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BARRA DE FERRO CHATA, RETANGULAR (QUALQUER BITOLA)</t>
  </si>
  <si>
    <t>CAIBRO 5 X 5 CM EM PINUS, MISTA OU EQUIVALENTE DA REGIAO - BRUTA</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</si>
  <si>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</si>
  <si>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</si>
  <si>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</si>
  <si>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</si>
  <si>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</si>
  <si>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</si>
  <si>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</si>
  <si>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</si>
  <si>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</si>
  <si>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23* CM EM PINUS, MISTA OU EQUIVALENTE DA REGIAO - BRUTA</t>
  </si>
  <si>
    <t>TABUA *2,5 X 30 CM EM PINUS, MISTA OU EQUIVALENTE DA REGIAO - BRUTA</t>
  </si>
  <si>
    <t>SF-01342</t>
  </si>
  <si>
    <t>SF-01343</t>
  </si>
  <si>
    <t>PREÇO TOTAL</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</si>
  <si>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</si>
  <si>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</si>
  <si>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</si>
  <si>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</si>
  <si>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</si>
  <si>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</si>
  <si>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LOCACAO DE ANDAIME METALICO TUBULAR DE ENCAIXE, TIPO DE TORRE, COM LARGURA DE 1 ATE 1,5 M E ALTURA DE *1,00* M (INCLUSO SAPATAS FIXAS OU RODIZIOS)</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</si>
  <si>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</si>
  <si>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</si>
  <si>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</si>
  <si>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</si>
  <si>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</si>
  <si>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</si>
  <si>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</si>
  <si>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</si>
  <si>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PUXADOR TIPO ALCA, EM ZAMAC CROMADO, COM ROSETAS, COMPRIMENTO DE APROX *100* MM, PARA PORTAS E JANELAS DE MADEIRA, INCLUINDO PARAFUSOS</t>
  </si>
  <si>
    <t>TARJETA LIVRE / OCUPADO PARA PORTA DE BANHEIRO, CORPO EM ZAMAC E ESPELHO EM LATAO</t>
  </si>
  <si>
    <t>TINTA EPOXI BASE AGUA PREMIUM, BRANCA</t>
  </si>
  <si>
    <t>REDUCAO EXCENTRICA PVC, SERIE R, DN 150 X 100 MM, PARA ESGOTO OU AGUAS PLUVIAIS PREDIAIS</t>
  </si>
  <si>
    <t>TABUA NAO APARELHADA *2,5 X 30* CM, EM MACARANDUBA, ANGELIM OU EQUIVALENTE DA REGIAO - BRUTA</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</si>
  <si>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</si>
  <si>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</si>
  <si>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</si>
  <si>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</si>
  <si>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</si>
  <si>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MARTELO DEMOLIDOR ELÉTRICO, COM POTÊNCIA DE 2.000 W, 1.000 IMPACTOS POR MINUTO, PESO DE 30 KG - CHP DIURNO. AF_01/2021</t>
  </si>
  <si>
    <t>MARTELO DEMOLIDOR ELÉTRICO, COM POTÊNCIA DE 2.000 W, 1.000 IMPACTOS POR MINUTO, PESO DE 30 KG -  CHI DIURNO. AF_01/2021</t>
  </si>
  <si>
    <t>SF-01347</t>
  </si>
  <si>
    <t>SF-01348</t>
  </si>
  <si>
    <t>SF-01349</t>
  </si>
  <si>
    <t>SF-01350</t>
  </si>
  <si>
    <t>SF-01351</t>
  </si>
  <si>
    <t>SF-01352</t>
  </si>
  <si>
    <t>SF-01353</t>
  </si>
  <si>
    <t>SF-01354</t>
  </si>
  <si>
    <t>SF-01355</t>
  </si>
  <si>
    <t>SF-01356</t>
  </si>
  <si>
    <t>SF-01358</t>
  </si>
  <si>
    <t>SF-01359</t>
  </si>
  <si>
    <t>SF-01360</t>
  </si>
  <si>
    <t>SF-01361</t>
  </si>
  <si>
    <t>SF-01362</t>
  </si>
  <si>
    <t>SF-01363</t>
  </si>
  <si>
    <t>SF-01369</t>
  </si>
  <si>
    <t>SF-01370</t>
  </si>
  <si>
    <t>SF-01373</t>
  </si>
  <si>
    <t>SF-01375</t>
  </si>
  <si>
    <t>SF-01376</t>
  </si>
  <si>
    <t>SF-01377</t>
  </si>
  <si>
    <t>Poste curvo simples 8 metros</t>
  </si>
  <si>
    <t>Caixa de Passagem Subterrânea 300x300x500mm</t>
  </si>
  <si>
    <t>Cabo de cobre nu 50 mm²</t>
  </si>
  <si>
    <t>Haste de aterramento 3/4” x 3 m</t>
  </si>
  <si>
    <t>Eletroduto de aço galvanizado a fogo de 1”</t>
  </si>
  <si>
    <t>Eletroduto de aço galvanizado a fogo de 2”</t>
  </si>
  <si>
    <t>Eletroduto de aço galvanizado a fogo de 3”</t>
  </si>
  <si>
    <t>Luminária LED para poste 150W</t>
  </si>
  <si>
    <t>Braço para iluminação</t>
  </si>
  <si>
    <t>Suporte para luminária de poste quadruplo</t>
  </si>
  <si>
    <t>mês</t>
  </si>
  <si>
    <t>pct</t>
  </si>
  <si>
    <t>SF-01384</t>
  </si>
  <si>
    <t>SF-01386</t>
  </si>
  <si>
    <t>SF-01387</t>
  </si>
  <si>
    <t>SF-01388</t>
  </si>
  <si>
    <t>SF-01390</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</si>
  <si>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</si>
  <si>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</si>
  <si>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</si>
  <si>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</si>
  <si>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</si>
  <si>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</si>
  <si>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</si>
  <si>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</si>
  <si>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</si>
  <si>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</si>
  <si>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</si>
  <si>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</si>
  <si>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</si>
  <si>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</si>
  <si>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</si>
  <si>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</si>
  <si>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</si>
  <si>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</si>
  <si>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</si>
  <si>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</si>
  <si>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</si>
  <si>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</si>
  <si>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</si>
  <si>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</si>
  <si>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</si>
  <si>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</si>
  <si>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</si>
  <si>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</si>
  <si>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</si>
  <si>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</si>
  <si>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</si>
  <si>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</si>
  <si>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</si>
  <si>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</si>
  <si>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</si>
  <si>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</si>
  <si>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</si>
  <si>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</si>
  <si>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</si>
  <si>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</si>
  <si>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</si>
  <si>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</si>
  <si>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</si>
  <si>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</si>
  <si>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</si>
  <si>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</si>
  <si>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</si>
  <si>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</si>
  <si>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SF-01809</t>
  </si>
  <si>
    <t>SF-01810</t>
  </si>
  <si>
    <t>SF-01811</t>
  </si>
  <si>
    <t>SF-01812</t>
  </si>
  <si>
    <t>SF-01813</t>
  </si>
  <si>
    <t>SF-01814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</si>
  <si>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</si>
  <si>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</si>
  <si>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</si>
  <si>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</si>
  <si>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</si>
  <si>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</si>
  <si>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</si>
  <si>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</si>
  <si>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</si>
  <si>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</si>
  <si>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</si>
  <si>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</si>
  <si>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</si>
  <si>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</si>
  <si>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</si>
  <si>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</si>
  <si>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</si>
  <si>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</si>
  <si>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</si>
  <si>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</si>
  <si>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</si>
  <si>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</si>
  <si>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</si>
  <si>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</si>
  <si>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</si>
  <si>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</si>
  <si>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</si>
  <si>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</si>
  <si>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</si>
  <si>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</si>
  <si>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</si>
  <si>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</si>
  <si>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</si>
  <si>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</si>
  <si>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</si>
  <si>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</si>
  <si>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</si>
  <si>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</si>
  <si>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</si>
  <si>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</si>
  <si>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</si>
  <si>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</si>
  <si>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</si>
  <si>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</si>
  <si>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</si>
  <si>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</si>
  <si>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</si>
  <si>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</si>
  <si>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</si>
  <si>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</si>
  <si>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</si>
  <si>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</si>
  <si>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</si>
  <si>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</si>
  <si>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</si>
  <si>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</si>
  <si>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</si>
  <si>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</si>
  <si>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</si>
  <si>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</si>
  <si>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</si>
  <si>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</si>
  <si>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</si>
  <si>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</si>
  <si>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</si>
  <si>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SF-01916</t>
  </si>
  <si>
    <t>SF-01917</t>
  </si>
  <si>
    <t>SF-01918</t>
  </si>
  <si>
    <t>SF-01919</t>
  </si>
  <si>
    <t>SF-01921</t>
  </si>
  <si>
    <t>SF-01923</t>
  </si>
  <si>
    <t>SF-01925</t>
  </si>
  <si>
    <t>SF-01928</t>
  </si>
  <si>
    <t>SF-01944</t>
  </si>
  <si>
    <t>SF-01946</t>
  </si>
  <si>
    <t>SF-01948</t>
  </si>
  <si>
    <t>SF-01949</t>
  </si>
  <si>
    <t>SF-02076</t>
  </si>
  <si>
    <t>SF-02082</t>
  </si>
  <si>
    <t>SF-02083</t>
  </si>
  <si>
    <t>SF-02091</t>
  </si>
  <si>
    <t>SF-02094</t>
  </si>
  <si>
    <t>SF-02095</t>
  </si>
  <si>
    <t>SF-02099</t>
  </si>
  <si>
    <t>SF-02212</t>
  </si>
  <si>
    <t>SF-02213</t>
  </si>
  <si>
    <t>SF-02214</t>
  </si>
  <si>
    <t>SF-02250</t>
  </si>
  <si>
    <t>SF-02285</t>
  </si>
  <si>
    <t>SF-02290</t>
  </si>
  <si>
    <t>SF-02294</t>
  </si>
  <si>
    <t>SF-02310</t>
  </si>
  <si>
    <t>SF-02328</t>
  </si>
  <si>
    <t>SF-02329</t>
  </si>
  <si>
    <t>SF-02330</t>
  </si>
  <si>
    <t>SF-02363</t>
  </si>
  <si>
    <t>SF-02379</t>
  </si>
  <si>
    <t>SF-02389</t>
  </si>
  <si>
    <t>SF-02499</t>
  </si>
  <si>
    <t>SF-02588</t>
  </si>
  <si>
    <t>SF-02590</t>
  </si>
  <si>
    <t>SF-02591</t>
  </si>
  <si>
    <t>SF-02592</t>
  </si>
  <si>
    <t>SF-02593</t>
  </si>
  <si>
    <t>SF-02594</t>
  </si>
  <si>
    <t>SF-02595</t>
  </si>
  <si>
    <t>SF-02596</t>
  </si>
  <si>
    <t>SF-02597</t>
  </si>
  <si>
    <t>SF-02598</t>
  </si>
  <si>
    <t>SF-02599</t>
  </si>
  <si>
    <t>SF-02600</t>
  </si>
  <si>
    <t>SF-02601</t>
  </si>
  <si>
    <t>SF-02602</t>
  </si>
  <si>
    <t>SF-02603</t>
  </si>
  <si>
    <t>SF-02604</t>
  </si>
  <si>
    <t>SF-02606</t>
  </si>
  <si>
    <t>SF-02607</t>
  </si>
  <si>
    <t>SF-02608</t>
  </si>
  <si>
    <t>SF-02609</t>
  </si>
  <si>
    <t>SF-02610</t>
  </si>
  <si>
    <t>SF-02611</t>
  </si>
  <si>
    <t>SF-02612</t>
  </si>
  <si>
    <t>SF-02613</t>
  </si>
  <si>
    <t>SF-02614</t>
  </si>
  <si>
    <t>SF-02615</t>
  </si>
  <si>
    <t>SF-02617</t>
  </si>
  <si>
    <t>SF-02618</t>
  </si>
  <si>
    <t>cm3</t>
  </si>
  <si>
    <t>Lastro em concreto magro</t>
  </si>
  <si>
    <t>ELETRODUTO DE AÇO GALVANIZADO ELETROLÍTICO TIPO LEVE - ROSCA NBR 8133 - ESP. 1,06MM - 3/4"</t>
  </si>
  <si>
    <t>ELETRODUTO DE AÇO GALVANIZADO ELETROLÍTICO TIPO LEVE - ROSCA NBR 8133 - ESP. 1,06MM - 1"</t>
  </si>
  <si>
    <t>ELETRODUTO DE AÇO GALVANIZADO ELETROLÍTICO TIPO LEVE - ROSCA NBR 8133 - ESP. 1,06MM - 1 1/4"</t>
  </si>
  <si>
    <t>ELETRODUTO DE AÇO GALVANIZADO ELETROLÍTICO TIPO LEVE - ROSCA NBR 8133 - ESP. 1,06MM - 1 1/2"</t>
  </si>
  <si>
    <t>ELETRODUTO DE AÇO GALVANIZADO ELETROLÍTICO TIPO LEVE - ROSCA NBR 8133 - ESP. 1,50MM - 2"</t>
  </si>
  <si>
    <t>ELETRODUTO DE AÇO GALVANIZADO ELETROLÍTICO TIPO LEVE - ROSCA NBR 8133 - ESP. 1,50MM - 2 1/2"</t>
  </si>
  <si>
    <t>ELETRODUTO DE AÇO GALVANIZADO ELETROLÍTICO TIPO LEVE - ROSCA NBR 8133 - ESP. 1,50MM - 3"</t>
  </si>
  <si>
    <t>ELETRODUTO DE AÇO GALVANIZADO ELETROLÍTICO TIPO LEVE - ROSCA NBR 8133 - ESP. 1,50MM - 4"</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</si>
  <si>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</si>
  <si>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</si>
  <si>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</si>
  <si>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</si>
  <si>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</si>
  <si>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</si>
  <si>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</si>
  <si>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</si>
  <si>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</si>
  <si>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</si>
  <si>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CARTUCHO DE SOLDA EXOTÉRMICA N.º 90</t>
  </si>
  <si>
    <t>IGNEX - PALITO IGNITOR PARA SOLDA EXOTÉRMICA</t>
  </si>
  <si>
    <t>MOLDE P/ SOLDA TIPO "T" ATÉ 35mm²</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</si>
  <si>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</si>
  <si>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</si>
  <si>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</si>
  <si>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</si>
  <si>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Obs.2: Inclusão de composições Sinapi 100973 e 97914.</t>
  </si>
  <si>
    <t>Mola Hidráulica de piso universal para portas de batente e portas vai-e-vem em aço inoxidável. Ref.: DORMA, modelo BTS 75V/R, com eixo intercambiável tipo "B"</t>
  </si>
  <si>
    <t>Impermeabilizante para mola hidráulica. Ref: Dorma SealProtect</t>
  </si>
  <si>
    <t>Reator eletrônico 2x28W. Ref.: Philips EB228A26; Philips EL214-28A26; Intral REH-T5 2x28/127-220/50-60 (cod. 02475); MarGirus PB 2X28 AF2.</t>
  </si>
  <si>
    <t>Reator eletrônico 2x14W. Ref.: Philips EB214A26; Philips EL214-28A26; Lumicenter LEB. 214; MarGirus PB 2X14 AF2.</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</si>
  <si>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</si>
  <si>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</si>
  <si>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</si>
  <si>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</si>
  <si>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</si>
  <si>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</si>
  <si>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</si>
  <si>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</si>
  <si>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</si>
  <si>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</si>
  <si>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</si>
  <si>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</si>
  <si>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</si>
  <si>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Luminária de sobrepor T5 2x28W, ref:Osram LEDVANCE DAMP‐PROOF HOUSING Longa Dupla (7016392), Osram LEDVANCE DAMP‐PROOF SEM TUBO DUPLA (7012956), Philips TCW060 2x36, Ourolux Ourofort IP65 2X28/32/36/40W (01527/01528), Lumicenter FHT03‐S228</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</si>
  <si>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</si>
  <si>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</si>
  <si>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</si>
  <si>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</si>
  <si>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</si>
  <si>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Engenheiro Eletricista com encargos complementares</t>
  </si>
  <si>
    <t>Mão francesa metálica dupla, com dois perfis 38 mm x 38 mm, L = 800 mm</t>
  </si>
  <si>
    <t>Armadura de tela de aço CA-60 4,2mm</t>
  </si>
  <si>
    <t>Concreto preparado na obra C20 S50, controle "B", brita 1</t>
  </si>
  <si>
    <t>Forma para fundação com tábuas e sarrafos, 3 reaproveitamentos</t>
  </si>
  <si>
    <t>Lastro de brita 1 apiloado com soquete manual para regularização</t>
  </si>
  <si>
    <t>Grelha pré-moldada de concreto para canaleta 35 x 60 x 5 cm</t>
  </si>
  <si>
    <t>Furo em concreto com broca de widia, utilizando martele elétrico Ø 3/8" profundidade 10 cm</t>
  </si>
  <si>
    <t>POSTE CONICO CONTINUO EM ACO GALVANIZADO, RETO, BRACO SIMPLES, ENGASTADO,  H = 5 M</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</si>
  <si>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</si>
  <si>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</si>
  <si>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</si>
  <si>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</si>
  <si>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</si>
  <si>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</si>
  <si>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</si>
  <si>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</si>
  <si>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</si>
  <si>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</si>
  <si>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</si>
  <si>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</si>
  <si>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CONTRAPISO EM ARGAMASSA TRAÇO 1:4 (CIMENTO E AREIA), PREPARO MECÂNICO COM BETONEIRA 400 L, APLICADO EM ÁREAS SECAS SOBRE LAJE, ADERIDO, ACABAMENTO NÃO REFORÇADO, ESPESSURA 3CM. AF_07/2021</t>
  </si>
  <si>
    <t>SARRAFO NAO APARELHADO *2,5 X 10* CM, EM MACARANDUBA, ANGELIM OU EQUIVALENTE DA REGIAO - BRUTA</t>
  </si>
  <si>
    <t>TABUA NAO APARELHADA *2,5 X 20* CM, EM MACARANDUBA, ANGELIM OU EQUIVALENTE DA REGIAO - BRUTA</t>
  </si>
  <si>
    <t>FURO PARA TORNEIRA OU OUTROS ACESSORIOS EM BANCADA DE MARMORE/ GRANITO OU OUTRO TIPO DE PEDRA NATURAL</t>
  </si>
  <si>
    <t>ADESIVO ACRILICO DE BASE AQUOSA / COLA DE CONTATO</t>
  </si>
  <si>
    <t>ANEL DE VEDACAO, PVC FLEXIVEL, 100 MM, PARA SAIDA DE BACIA / VASO SANITARIO</t>
  </si>
  <si>
    <t>ADESIVO PLASTICO PARA PVC, FRASCO COM *850* GR</t>
  </si>
  <si>
    <t>SOLUCAO PREPARADORA / LIMPADORA PARA PVC, FRASCO COM 1000 CM3</t>
  </si>
  <si>
    <t>CAIXA SIFONADA, PVC, 150 X *185* X 75 MM, COM GRELHA QUADRADA, BRANCA</t>
  </si>
  <si>
    <t>PASTA LUBRIFICANTE PARA TUBOS E CONEXOES COM JUNTA ELASTICA, EMBALAGEM DE *400* GR (USO EM PVC, ACO, POLIETILENO E OUTROS)</t>
  </si>
  <si>
    <t>CAIXA SIFONADA PVC, 250 X 230 X 75 MM, COM TAMPA CEGA QUADRADA, BRANCA</t>
  </si>
  <si>
    <t>RALO SECO CONICO, PVC, 100 X 40 MM, COM GRELHA REDONDA BRANCA</t>
  </si>
  <si>
    <t>BACIA SANITARIA (VASO) CONVENCIONAL, DE LOUCA BRANCA, SIFAO APARENTE, SAIDA VERTICAL (SEM ASSENTO)</t>
  </si>
  <si>
    <t>LAVATORIO DE LOUCA BRANCA, SUSPENSO (SEM COLUNA), DIMENSOES *40 X 30* CM</t>
  </si>
  <si>
    <t>MICTORIO INDICUDUAL, SIFONADO, LOUCA BRANCA, SEM COMPLEMENTOS</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</si>
  <si>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</si>
  <si>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</si>
  <si>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</si>
  <si>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</si>
  <si>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</si>
  <si>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BACIA SANITARIA (VASO) CONVENCIONAL PARA PCD, SEM FURO FRONTAL, DE LOUCA BRANCA (SEM ASSENTO)</t>
  </si>
  <si>
    <t>ELETRODUTO/DUTO PEAD FLEXIVEL PAREDE SIMPLES, CORRUGACAO HELICOIDAL, COR PRETA, SEM ROSCA, DE 3", PARA CABEAMENTO SUBTERRANEO (NBR 15715)</t>
  </si>
  <si>
    <t>TINTA ACRILICA A BASE DE SOLVENTE, PARA SINALIZACAO HORIZONTAL VIARIA (NBR 11862)</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</si>
  <si>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</si>
  <si>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</si>
  <si>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</si>
  <si>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CONDULETE DE ALUMINIO TIPO E, PARA ELETRODUTO ROSCAVEL DE 1 1/4", COM TAMPA CEGA</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</si>
  <si>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</si>
  <si>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</si>
  <si>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</si>
  <si>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TELA DE ACO SOLDADA GALVANIZADA/ZINCADA PARA ALVENARIA, FIO D = *1,20 A 1,70* MM, MALHA 15 X 15 MM, (C X L) *50 X 12* CM</t>
  </si>
  <si>
    <t>MEIO-FIO OU GUIA DE CONCRETO PRE-MOLDADO, TIPO CHAPEU PARA BOCA DE LOBO, DIMENSOES *1,20* X 0,15 X 0,30 M</t>
  </si>
  <si>
    <t>SARRAFO NAO APARELHADO *2,5 X 7* CM, EM MACARANDUBA, ANGELIM OU EQUIVALENTE DA REGIAO - BRUTA</t>
  </si>
  <si>
    <t>CAIBRO NAO APARELHADO *7,5 X 7,5* CM, EM MACARANDUBA, ANGELIM OU EQUIVALENTE DA REGIAO - BRUTA</t>
  </si>
  <si>
    <t>ABRACADEIRA EM ACO PARA AMARRACAO DE ELETRODUTOS, TIPO D, COM 1/2" E PARAFUSO DE FIXACAO</t>
  </si>
  <si>
    <t>BATENTE / PORTAL / ADUELA / MARCO EM MADEIRA MACICA COM REBAIXO, E = *3* CM, L = *14* CM, PARA PORTAS DE GIRO DE *60 CM A 120* CM X *210* CM, CEDRINHO / ANGELIM COMERCIAL / TAURI / CURUPIXA / PEROBA / CUMARU OU EQUIVALENTE DA REGIAO (NAO INCLUI ALIZARES)</t>
  </si>
  <si>
    <t>ARGAMASSA COLANTE TIPO AC III</t>
  </si>
  <si>
    <t>PISO TATIL DE ALERTA OU DIRECIONAL, DE BORRACHA, COLORIDO, 25 X 25 CM, E = 12 MM, PARA ARGAMASSA</t>
  </si>
  <si>
    <t>PISO EM GRANILITE, MARMORITE OU GRANITINA, AGREGADO COR PRETO, CINZA, PALHA OU BRANCO, E= *8* MM (INCLUSO EXECUCAO)</t>
  </si>
  <si>
    <t>SELADOR ACRILICO OPACO PREMIUM INTERIOR/EXTERIOR</t>
  </si>
  <si>
    <t>FITA CREPE ROLO DE 25 MM X 50 M</t>
  </si>
  <si>
    <t>DILUENTE EPOXI</t>
  </si>
  <si>
    <t>MICROESFERAS DE VIDRO PARA SINALIZACAO HORIZONTAL VIARIA, TIPO II-A (DROP-ON) - NBR 16184</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</si>
  <si>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</si>
  <si>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</si>
  <si>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</si>
  <si>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SF-02678</t>
  </si>
  <si>
    <t>SF-02679</t>
  </si>
  <si>
    <t>SF-02680</t>
  </si>
  <si>
    <t>SF-02681</t>
  </si>
  <si>
    <t>SF-02682</t>
  </si>
  <si>
    <t>SF-02689</t>
  </si>
  <si>
    <t>SF-02690</t>
  </si>
  <si>
    <t>CHAPA DE MDF BRANCO LISO 1 FACE, E = 18 MM, DE *2,75 X 1,85* M</t>
  </si>
  <si>
    <t>CHUMBADOR DE ACO, DIAMETRO 5/8", COMPRIMENTO 6", COM PORCA</t>
  </si>
  <si>
    <t>DILUENTE AGUARRAS</t>
  </si>
  <si>
    <t>DISJUNTOR TIPO DIN/IEC, TRIPOLAR DE 10 ATE 50A</t>
  </si>
  <si>
    <t>MASTRO SIMPLES GALVANIZADO DIAMETRO NOMINAL 2"</t>
  </si>
  <si>
    <t>PRIMER EPOXI / EPOXIDICO</t>
  </si>
  <si>
    <t>TERMINAL A COMPRESSAO EM COBRE ESTANHADO PARA CABO 10 MM2, 1 FURO E 1 COMPRESSAO, PARA PARAFUSO DE FIXACAO M6</t>
  </si>
  <si>
    <t>TUBO ACO CARBONO SEM COSTURA 2 1/2", E = 5,16 MM, SCHEDULE 40 (8,62 KG/M)</t>
  </si>
  <si>
    <t>VALVULA DE ESCOAMENTO PARA TANQUE, EM METAL CROMADO, 1.1/2 ", SEM LADRAO, COM TAMPAO PLASTICO</t>
  </si>
  <si>
    <t>VIDRO LISO INCOLOR 4MM - SEM COLOCACAO</t>
  </si>
  <si>
    <t>ARMAÇÃO VERTICAL DE ALVENARIA ESTRUTURAL; DIÂMETRO DE 10,0 MM. AF_09/2021</t>
  </si>
  <si>
    <t>ARMAÇÃO DE CINTA DE ALVENARIA ESTRUTURAL; DIÂMETRO DE 10,0 MM. AF_09/2021</t>
  </si>
  <si>
    <t>MONTAGEM DE ARMADURA DE ESTACAS, DIÂMETRO = 16,0 MM. AF_09/2021</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</si>
  <si>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</si>
  <si>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</si>
  <si>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</si>
  <si>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</si>
  <si>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</si>
  <si>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</si>
  <si>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</si>
  <si>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</si>
  <si>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</si>
  <si>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</si>
  <si>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</si>
  <si>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</si>
  <si>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COMPENSADO NAVAL - CHAPA/PAINEL EM MADEIRA COMPENSADA PRENSADA, DE 2200 X 1600 MM, E = 20 MM</t>
  </si>
  <si>
    <t>SF-02691</t>
  </si>
  <si>
    <t>SF-02692</t>
  </si>
  <si>
    <t>SF-02701</t>
  </si>
  <si>
    <t>SF-02702</t>
  </si>
  <si>
    <t>SF-02703</t>
  </si>
  <si>
    <t>SF-02704</t>
  </si>
  <si>
    <t>SF-02705</t>
  </si>
  <si>
    <t>SF-02709</t>
  </si>
  <si>
    <t>SF-02710</t>
  </si>
  <si>
    <t>SF-02717</t>
  </si>
  <si>
    <t>SF-02719</t>
  </si>
  <si>
    <t>SF-02720</t>
  </si>
  <si>
    <t>SF-02724</t>
  </si>
  <si>
    <t>SF-02730</t>
  </si>
  <si>
    <t>SF-02731</t>
  </si>
  <si>
    <t>SF-02735</t>
  </si>
  <si>
    <t>SF-02737</t>
  </si>
  <si>
    <t>SF-02739</t>
  </si>
  <si>
    <t>SF-02742</t>
  </si>
  <si>
    <t>SF-02743</t>
  </si>
  <si>
    <t>SF-02745</t>
  </si>
  <si>
    <t>SF-02747</t>
  </si>
  <si>
    <t>SF-02748</t>
  </si>
  <si>
    <t>BLOCO CERAMICO / TIJOLO VAZADO PARA ALVENARIA DE VEDACAO, FUROS NA VERTICAL,, 9 X 19 X 39 CM (NBR 15270)</t>
  </si>
  <si>
    <t>BLOCO CERAMICO / TIJOLO VAZADO PARA ALVENARIA DE VEDACAO, 8 FUROS NA HORIZONTAL, DE 9 X 19 X 19 CM (L XA X C)</t>
  </si>
  <si>
    <t>CHAPA/PAINEL DE MADEIRA COMPENSADA PLASTIFICADA (MADEIRITE PLASTIFICADO) PARA FORMA DE CONCRETO, DE 2200 x 1100 MM, E = *17* MM</t>
  </si>
  <si>
    <t>CHAPA/PAINEL DE MADEIRA COMPENSADA RESINADA (MADEIRITE RESINADO ROSA) PARA FORMA DE CONCRETO, DE 2200 x 1100 MM, E = 17 MM</t>
  </si>
  <si>
    <t>GUARNICAO / MOLDURA / ARREMATE DE ACABAMENTO PARA ESQUADRIA, EM ALUMINIO PERFIL 25, ACABAMENTO ANODIZADO BRANCO OU BRILHANTE, PARA 1 FACE</t>
  </si>
  <si>
    <t>JANELA MAXIM AR, EM ALUMINIO PERFIL 25, 60 X 80 CM (A X L), ACABAMENTO BRANCO OU BRILHANTE, BATENTE DE 4 A 5 CM, COM VIDRO, SEM GUARNICAO/ALIZAR</t>
  </si>
  <si>
    <t>MASSA PREMIUM PARA TEXTURA LISA DE BASE ACRILICA, USO INTERNO E EXTERNO</t>
  </si>
  <si>
    <t>RESINA ACRILICA PREMIUM BASE AGUA - COR BRANCA</t>
  </si>
  <si>
    <t>TINTA LATEX ACRILICA PREMIUM, COR BRANCO FOSCO</t>
  </si>
  <si>
    <t>ANEL BORRACHA PARA TUBO ESGOTO PREDIAL, DN 75 MM (NBR 5688)</t>
  </si>
  <si>
    <t>ELETRODUTO/DUTO PEAD FLEXIVEL PAREDE SIMPLES, CORRUGACAO HELICOIDAL, COR PRETA, SEM ROSCA, DE 1 1/4", PARA CABEAMENTO SUBTERRANEO (NBR 15715)</t>
  </si>
  <si>
    <t>LIXA EM FOLHA PARA PAREDE OU MADEIRA, NUMERO 120, COR VERMELHA</t>
  </si>
  <si>
    <t>MASSA ACRILICA PARA SUPERFICIES INTERNAS E EXTERNAS</t>
  </si>
  <si>
    <t>MASSA CORRIDA PARA SUPERFICIES DE AMBIENTES INTERNOS</t>
  </si>
  <si>
    <t>PLACA DE OBRA (PARA CONSTRUCAO CIVIL) EM CHAPA GALVANIZADA *N. 22*, ADESIVADA, DE *2,4 X 1,2* M (SEM POSTES PARA FIXACAO)</t>
  </si>
  <si>
    <t>Caixa hermética para CFTV</t>
  </si>
  <si>
    <t>POSTE CONICO CONTINUO EM ACO GALVANIZADO, RETO, H = 4 M</t>
  </si>
  <si>
    <t>ALVENARIA DE VEDAÇÃO DE BLOCOS CERÂMICOS FURADOS NA VERTICAL DE 9X19X39 CM (ESPESSURA 9 CM) E ARGAMASSA DE ASSENTAMENTO COM PREPARO EM BETONEIRA. AF_12/2021</t>
  </si>
  <si>
    <t>POLIESTIRENO EXPANDIDO/EPS (ISOPOR), TIPO 2F, BLOCO</t>
  </si>
  <si>
    <t>*Considerando distância Brasília-Sâo Paulo = 1.030 km</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</si>
  <si>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</si>
  <si>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</si>
  <si>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</si>
  <si>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</si>
  <si>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</si>
  <si>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</si>
  <si>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</si>
  <si>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</si>
  <si>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</si>
  <si>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</si>
  <si>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</si>
  <si>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</si>
  <si>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</si>
  <si>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</si>
  <si>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</si>
  <si>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</si>
  <si>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</si>
  <si>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</si>
  <si>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</si>
  <si>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</si>
  <si>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</si>
  <si>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</si>
  <si>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</si>
  <si>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</si>
  <si>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</si>
  <si>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</si>
  <si>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</si>
  <si>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</si>
  <si>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</si>
  <si>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</si>
  <si>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</si>
  <si>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</si>
  <si>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</si>
  <si>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</si>
  <si>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</si>
  <si>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</si>
  <si>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</si>
  <si>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</si>
  <si>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</si>
  <si>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</si>
  <si>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</si>
  <si>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</si>
  <si>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</si>
  <si>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</si>
  <si>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</si>
  <si>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</si>
  <si>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</si>
  <si>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</si>
  <si>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</si>
  <si>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</si>
  <si>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</si>
  <si>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</si>
  <si>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</si>
  <si>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</si>
  <si>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</si>
  <si>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</si>
  <si>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</si>
  <si>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</si>
  <si>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</si>
  <si>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</si>
  <si>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</si>
  <si>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</si>
  <si>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</si>
  <si>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</si>
  <si>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SF-02896</t>
  </si>
  <si>
    <t>SF-02897</t>
  </si>
  <si>
    <t>SF-02898</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</si>
  <si>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</si>
  <si>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</si>
  <si>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</si>
  <si>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</si>
  <si>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</si>
  <si>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</si>
  <si>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</si>
  <si>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</si>
  <si>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</si>
  <si>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</si>
  <si>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</si>
  <si>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</si>
  <si>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</si>
  <si>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</si>
  <si>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</si>
  <si>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</si>
  <si>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</si>
  <si>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</si>
  <si>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</si>
  <si>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</si>
  <si>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</si>
  <si>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</si>
  <si>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SF-02934</t>
  </si>
  <si>
    <t>SF-02935</t>
  </si>
  <si>
    <t>SF-02940</t>
  </si>
  <si>
    <t>SF-02941</t>
  </si>
  <si>
    <t>SF-02943</t>
  </si>
  <si>
    <t>SF-02970</t>
  </si>
  <si>
    <t>SF-02973</t>
  </si>
  <si>
    <t>SF-02974</t>
  </si>
  <si>
    <t>SF-02975</t>
  </si>
  <si>
    <t>SF-02976</t>
  </si>
  <si>
    <t>SF-02977</t>
  </si>
  <si>
    <t>SF-02979</t>
  </si>
  <si>
    <t>SF-02980</t>
  </si>
  <si>
    <t>SF-02985</t>
  </si>
  <si>
    <t>SF-02986</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</si>
  <si>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</si>
  <si>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</si>
  <si>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</si>
  <si>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</si>
  <si>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</si>
  <si>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</si>
  <si>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</si>
  <si>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</si>
  <si>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</si>
  <si>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</si>
  <si>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</si>
  <si>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</si>
  <si>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</si>
  <si>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</si>
  <si>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</si>
  <si>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</si>
  <si>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</si>
  <si>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</si>
  <si>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</si>
  <si>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</si>
  <si>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</si>
  <si>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</si>
  <si>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</si>
  <si>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</si>
  <si>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</si>
  <si>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</si>
  <si>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</si>
  <si>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</si>
  <si>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</si>
  <si>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</si>
  <si>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</si>
  <si>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</si>
  <si>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</si>
  <si>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</si>
  <si>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</si>
  <si>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</si>
  <si>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</si>
  <si>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</si>
  <si>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</si>
  <si>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</si>
  <si>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</si>
  <si>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</si>
  <si>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</si>
  <si>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</si>
  <si>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</si>
  <si>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</si>
  <si>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</si>
  <si>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</si>
  <si>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</si>
  <si>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</si>
  <si>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</si>
  <si>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</si>
  <si>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</si>
  <si>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</si>
  <si>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</si>
  <si>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</si>
  <si>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</si>
  <si>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</si>
  <si>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</si>
  <si>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</si>
  <si>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</si>
  <si>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SF-03127</t>
  </si>
  <si>
    <t>SF-03131</t>
  </si>
  <si>
    <t>SF-03132</t>
  </si>
  <si>
    <t>SF-03159</t>
  </si>
  <si>
    <t>SF-03167</t>
  </si>
  <si>
    <t>SF-03180</t>
  </si>
  <si>
    <t>ABRACADEIRA EM ACO PARA AMARRACAO DE ELETRODUTOS, TIPO D, COM 3" E PARAFUSO DE FIXACAO</t>
  </si>
  <si>
    <t>ACOPLAMENTO DE CONDUTOR PLUVIAL, EM PVC, DIAMETRO ENTRE 80 E 100 MM, PARA DRENAGEM PREDIAL</t>
  </si>
  <si>
    <t>ADAPTADOR PVC SOLDAVEL CURTO COM BOLSA E ROSCA, 60 MM X 2", PARA AGUA FRIA</t>
  </si>
  <si>
    <t>ADAPTADOR PVC SOLDAVEL, COM FLANGE E ANEL DE VEDACAO, 25 MM X 3/4", PARA CAIXA D'AGUA</t>
  </si>
  <si>
    <t>ADAPTADOR PVC SOLDAVEL, COM FLANGES E ANEL DE VEDACAO, 60 MM X 2", PARA CAIXA D' AGUA</t>
  </si>
  <si>
    <t>ADAPTADOR PVC SOLDAVEL, COM FLANGES LIVRES, 85 MM X 3", PARA CAIXA D' AGUA</t>
  </si>
  <si>
    <t>ALICATE DE CORTE DIAGONAL 6 " COM ISOLAMENTO</t>
  </si>
  <si>
    <t>ANEL BORRACHA PARA TUBO ESGOTO PREDIAL, DN 100 MM (NBR 5688)</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</si>
  <si>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</si>
  <si>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</si>
  <si>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ASSENTO SANITARIO DE PLASTICO, TIPO CONVENCIONAL</t>
  </si>
  <si>
    <t>BARRA DE APOIO RETA, EM ACO INOX POLIDO, COMPRIMENTO 70CM, DIAMETRO MINIMO 3 CM</t>
  </si>
  <si>
    <t>BARRA DE APOIO RETA, EM ACO INOX POLIDO, COMPRIMENTO 80CM, DIAMETRO MINIMO 3 CM</t>
  </si>
  <si>
    <t>BLOCO DE CONCRETO ESTRUTURAL 19 X 19 X 39 CM, FBK 8 MPA (NBR 6136)</t>
  </si>
  <si>
    <t>BLOCO DE VEDACAO DE CONCRETO 19 X 19 X 39 CM (CLASSE C - NBR 6136)</t>
  </si>
  <si>
    <t>BOLSA DE LIGACAO EM PVC FLEXIVEL PARA VASO SANITARIO 1.1/2 " (40 MM)</t>
  </si>
  <si>
    <t>BOTA DE PVC PRETA, CANO MEDIO, SEM FORRO</t>
  </si>
  <si>
    <t>BRACO / CANO PARA CHUVEIRO ELETRICO, EM ALUMINIO, 30 CM X 1/2 "</t>
  </si>
  <si>
    <t>BUCHA DE REDUCAO DE FERRO GALVANIZADO, COM ROSCA BSP, DE 3" X 2 1/2"</t>
  </si>
  <si>
    <t>BUCHA DE REDUCAO, CPVC, SOLDAVEL, 28 X 22 MM, PARA AGUA QUENTE</t>
  </si>
  <si>
    <t>CAIXA D'AGUA EM POLIETILENO 1000 LITROS, COM TAMPA</t>
  </si>
  <si>
    <t>CAIXA DE DESCARGA DE PLASTICO EXTERNA, DE *9* L, PUXADOR FIO DE NYLON, NAO INCLUSO CANO, BOLSA, ENGATE</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</si>
  <si>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</si>
  <si>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</si>
  <si>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CALHA QUADRADA DE CHAPA DE ACO GALVANIZADA NUM 24, CORTE 50 CM</t>
  </si>
  <si>
    <t>CANOPLA ACABAMENTO CROMADO PARA INSTALACAO DE SPRINKLER, SOB FORRO, 15 MM</t>
  </si>
  <si>
    <t>CAP PVC, SOLDAVEL, 60 MM, PARA AGUA FRIA PREDIAL</t>
  </si>
  <si>
    <t>CARRINHO DE MAO DE ACO CAPACIDADE 50 A 60 L, PNEU COM CAMARA</t>
  </si>
  <si>
    <t>CHUMBADOR, DIAMETRO 1/4" COM PARAFUSO 1/4" X 40 MM</t>
  </si>
  <si>
    <t>CONDULETE DE ALUMINIO TIPO LR, PARA ELETRODUTO ROSCAVEL DE 1 1/2", COM TAMPA CEGA</t>
  </si>
  <si>
    <t>CONDUTOR PLUVIAL, PVC, CIRCULAR, DIAMETRO ENTRE 80 E 100 MM, PARA DRENAGEM PREDIAL</t>
  </si>
  <si>
    <t>CONECTOR BRONZE/LATAO (REF 603) SEM ANEL DE SOLDA, BOLSA X ROSCA F, 22 MM X 3/4"</t>
  </si>
  <si>
    <t>COTOVELO 90 GRAUS DE FERRO GALVANIZADO, COM ROSCA BSP MACHO/FEMEA, DE 1 1/2"</t>
  </si>
  <si>
    <t>CUBA ACO INOX (AISI 304) DE EMBUTIR COM VALVULA 3 1/2 ", DE *40 X 34 X 12* CM</t>
  </si>
  <si>
    <t>CURVA DE PVC, 90 GRAUS, SERIE R, DN 100 MM, PARA ESGOTO OU AGUAS PLUVIAIS PREDIAIS</t>
  </si>
  <si>
    <t>CURVA PVC LONGA 45 GRAUS, 100 MM, PARA ESGOTO PREDIAL</t>
  </si>
  <si>
    <t>CURVA 90 GRAUS DE FERRO GALVANIZADO, COM ROSCA BSP FEMEA, DE 2"</t>
  </si>
  <si>
    <t>CURVA 90 GRAUS DE FERRO GALVANIZADO, COM ROSCA BSP FEMEA, DE 3"</t>
  </si>
  <si>
    <t>DESEMPENADEIRA DE ACO LISA 12 X *25* CM COM CABO FECHADO DE MADEIRA</t>
  </si>
  <si>
    <t>DESEMPENADEIRA PLASTICA LISA *14 X 27* CM</t>
  </si>
  <si>
    <t>ENXADA ESTREITA *25 X 23* CM COM CABO</t>
  </si>
  <si>
    <t>ESCADA DUPLA DE ABRIR EM ALUMINIO, MODELO PINTOR, 8 DEGRAUS</t>
  </si>
  <si>
    <t>ESPATULA DE ACO INOX COM CABO DE MADEIRA, LARGURA 8 CM</t>
  </si>
  <si>
    <t>ESQUADRO DE ACO 12 " (300 MM), CABO DE ALUMINIO</t>
  </si>
  <si>
    <t>FITA METALICA PERFURADA, L = 17 MM, ROLO DE 30 M, CARGA RECOMENDADA = *19* KGF</t>
  </si>
  <si>
    <t>INSTALADOR DE TUBULACOES (TUBOS/EQUIPAMENTOS)</t>
  </si>
  <si>
    <t>JOELHO CPVC, SOLDAVEL, 45 GRAUS, 22 MM, PARA AGUA QUENTE</t>
  </si>
  <si>
    <t>JOELHO CPVC, SOLDAVEL, 45 GRAUS, 28 MM, PARA AGUA QUENTE</t>
  </si>
  <si>
    <t>JOELHO CPVC, SOLDAVEL, 90 GRAUS, 22 MM, PARA AGUA QUENTE</t>
  </si>
  <si>
    <t>JOELHO CPVC, SOLDAVEL, 90 GRAUS, 28 MM, PARA AGUA QUENTE</t>
  </si>
  <si>
    <t>JOELHO PVC, SOLDAVEL, PB, 45 GRAUS, DN 50 MM, PARA ESGOTO PREDIAL</t>
  </si>
  <si>
    <t>JOELHO PVC, SOLDAVEL, 90 GRAUS, 60 MM, PARA AGUA FRIA PREDIAL</t>
  </si>
  <si>
    <t>JOELHO, PVC SOLDAVEL, 45 GRAUS, 60 MM, PARA AGUA FRIA PREDIAL</t>
  </si>
  <si>
    <t>JUNCAO SIMPLES, PVC SERIE R, DN 75 X 75 MM, PARA ESGOTO OU AGUAS PLUVIAIS PREDIAIS</t>
  </si>
  <si>
    <t>LUVA CPVC, SOLDAVEL, 22 MM, PARA AGUA QUENTE PREDIAL</t>
  </si>
  <si>
    <t>LUVA CPVC, SOLDAVEL, 28 MM, PARA AGUA QUENTE PREDIAL</t>
  </si>
  <si>
    <t>LUVA DE CORRER, PVC SERIE R, 100 MM, PARA ESGOTO OU AGUAS PLUVIAIS PREDIAIS</t>
  </si>
  <si>
    <t>LUVA DE TRANSICAO, CPVC, 22 MM X 1/2", PARA AGUA QUENTE</t>
  </si>
  <si>
    <t>LUVA PVC SOLDAVEL, 60 MM, PARA AGUA FRIA PREDIAL</t>
  </si>
  <si>
    <t>MANGUEIRA CRISTAL PARA NIVEL, LISA, PVC TRANSPARENTE, 5/16" X1 MM</t>
  </si>
  <si>
    <t>MANGUEIRA DE INCENDIO, TIPO 2, DE 2 1/2", COMPRIMENTO = 15 M, TECIDO EM FIO DE POLIESTER E TUBO INTERNO EM BORRACHA SINTETICA, COM UNIOES ENGATE RAPIDO</t>
  </si>
  <si>
    <t>MANOMETRO COM CAIXA EM ACO PINTADO, ESCALA *10* KGF/CM2 (*10* BAR), DIAMETRO NOMINAL DE *63* MM, CONEXAO DE 1/4"</t>
  </si>
  <si>
    <t>MANOMETRO COM CAIXA EM ACO PINTADO, ESCALA *10* KGF/CM2 (*10* BAR), DIAMETRO NOMINAL DE 100 MM, CONEXAO DE 1/2"</t>
  </si>
  <si>
    <t>MANTA ASFALTICA ELASTOMERICA EM POLIESTER ALUMINIZADA 3 MM, TIPO III, CLASSE B (NBR 9952)</t>
  </si>
  <si>
    <t>MEIO BLOCO DE VEDACAO DE CONCRETO 9 X 19 X 19 CM (CLASSE C - NBR 6136)</t>
  </si>
  <si>
    <t>MISTURADOR METALICO, BASE PARA CHUVEIRO/BANHEIRA, 1/2 " OU 3/4 ", SOLDAVEL OU ROSCAVEL (NAO INCLUI ACABAMENTOS)</t>
  </si>
  <si>
    <t>NIPLE DE FERRO GALVANIZADO, COM ROSCA BSP, DE 2 1/2"</t>
  </si>
  <si>
    <t>NIPLE DE FERRO GALVANIZADO, COM ROSCA BSP, DE 2"</t>
  </si>
  <si>
    <t>NIPLE DE FERRO GALVANIZADO, COM ROSCA BSP, DE 3"</t>
  </si>
  <si>
    <t>OLEO DIESEL COMBUSTIVEL COMUM</t>
  </si>
  <si>
    <t>PLACA DE SINALIZACAO DE SEGURANCA CONTRA INCENDIO, FOTOLUMINESCENTE, RETANGULAR, *13 X 26* CM, EM PVC *2* MM ANTI-CHAMAS (SIMBOLOS, CORES E PICTOGRAMAS CONFORME NBR 16820)</t>
  </si>
  <si>
    <t>PLUG OU BUJAO DE FERRO GALVANIZADO, DE 4"</t>
  </si>
  <si>
    <t>PRUMO DE CENTRO EM ACO *400* G</t>
  </si>
  <si>
    <t>PRUMO DE PAREDE EM ACO 700 A 750 G</t>
  </si>
  <si>
    <t>RALO FOFO SEMIESFERICO, 100 MM, PARA LAJES/ CALHAS</t>
  </si>
  <si>
    <t>REGISTRO DE ESFERA, PVC, COM VOLANTE, VS, ROSCAVEL, DN 1 1/2", COM CORPO DIVIDIDO</t>
  </si>
  <si>
    <t>REGISTRO DE ESFERA, PVC, COM VOLANTE, VS, ROSCAVEL, DN 1/2", COM CORPO DIVIDIDO</t>
  </si>
  <si>
    <t>REGISTRO DE ESFERA, PVC, COM VOLANTE, VS, SOLDAVEL, DN 60 MM, COM CORPO DIVIDIDO</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</si>
  <si>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</si>
  <si>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</si>
  <si>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</si>
  <si>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</si>
  <si>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</si>
  <si>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</si>
  <si>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</si>
  <si>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</si>
  <si>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</si>
  <si>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</si>
  <si>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</si>
  <si>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</si>
  <si>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REGUA DE ALUMINIO PARA PEDREIRO 2 X 1 "</t>
  </si>
  <si>
    <t>REJUNTE CIMENTICIO, QUALQUER COR</t>
  </si>
  <si>
    <t>SIFAO EM METAL CROMADO PARA TANQUE, 1.1/4 X 1.1/2 "</t>
  </si>
  <si>
    <t>SPRINKLER TIPO PENDENTE, 68 GRAUS CELSIUS (BULBO VERMELHO), ACABAMENTO CROMADO, 1/2" - 15 MM</t>
  </si>
  <si>
    <t>TALHA MANUAL DE CORRENTE, CAPACIDADE DE 2 T COM ELEVACAO DE 3 M</t>
  </si>
  <si>
    <t>TALHADEIRA COM PUNHO DE PROTECAO *20 X 250* MM</t>
  </si>
  <si>
    <t>TE CPVC, SOLDAVEL, 90 GRAUS, 22 MM, PARA AGUA QUENTE PREDIAL</t>
  </si>
  <si>
    <t>TE CPVC, SOLDAVEL, 90 GRAUS, 28 MM, PARA AGUA QUENTE PREDIAL</t>
  </si>
  <si>
    <t>TE DE COBRE (REF 611) SEM ANEL DE SOLDA, BOLSA X BOLSA X BOLSA, 22 MM</t>
  </si>
  <si>
    <t>TE DE FERRO GALVANIZADO, DE 1 1/2"</t>
  </si>
  <si>
    <t>TE DE FERRO GALVANIZADO, DE 1/2"</t>
  </si>
  <si>
    <t>TE DE FERRO GALVANIZADO, DE 2 1/2"</t>
  </si>
  <si>
    <t>TE DE FERRO GALVANIZADO, DE 2"</t>
  </si>
  <si>
    <t>TE DE REDUCAO DE FERRO GALVANIZADO, COM ROSCA BSP, DE 2" X 1 1/2"</t>
  </si>
  <si>
    <t>TE SOLDAVEL, PVC, 90 GRAUS, 60 MM, PARA AGUA FRIA PREDIAL (NBR 5648)</t>
  </si>
  <si>
    <t>TE 45 GRAUS DE FERRO GALVANIZADO, COM ROSCA BSP, DE 2 1/2"</t>
  </si>
  <si>
    <t>TE 45 GRAUS DE FERRO GALVANIZADO, COM ROSCA BSP, DE 2"</t>
  </si>
  <si>
    <t>TE 45 GRAUS DE FERRO GALVANIZADO, COM ROSCA BSP, DE 3"</t>
  </si>
  <si>
    <t>TELA DE ACO SOLDADA GALVANIZADA/ZINCADA PARA ALVENARIA, FIO D = *1,24 MM, MALHA 25 X 25 MM</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</si>
  <si>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</si>
  <si>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</si>
  <si>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</si>
  <si>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</si>
  <si>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</si>
  <si>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</si>
  <si>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</si>
  <si>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</si>
  <si>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METALICA CROMADA DE MESA, PARA LAVATORIO, TEMPORIZADA PRESSAO FECHAMENTO AUTOMATICO, BICA BAIXA</t>
  </si>
  <si>
    <t>TORNEIRA METALICA CROMADA PARA JARDIM / TANQUE, COM BICO PLASTICO, CANO LONGO, DE PAREDE, PADRAO POPULAR / USO GERAL , 1/2 " OU 3/4 " (REF 1153 / 1130)</t>
  </si>
  <si>
    <t>TUBO COLETOR DE ESGOTO PVC, JEI, DN 300 MM (NBR 7362)</t>
  </si>
  <si>
    <t>TUBO DE COBRE CLASSE "E", DN = 104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</si>
  <si>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</si>
  <si>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</si>
  <si>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</si>
  <si>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</si>
  <si>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PVC SERIE NORMAL, DN 50 MM, PARA ESGOTO PREDIAL (NBR 5688)</t>
  </si>
  <si>
    <t>TUBO PVC SERIE NORMAL, DN 75 MM, PARA ESGOTO PREDIAL (NBR 5688)</t>
  </si>
  <si>
    <t>TUBO PVC, ROSCAVEL, 1", AGUA FRIA PREDIAL</t>
  </si>
  <si>
    <t>TUBO PVC, ROSCAVEL, 3", AGUA FRIA PREDIAL</t>
  </si>
  <si>
    <t>TUBO PVC, SOLDAVEL, DN 100 MM, AGUA FRIA (NBR-5648)</t>
  </si>
  <si>
    <t>TUBO PVC, SOLDAVEL, DN 20 MM, AGUA FRIA (NBR-5648)</t>
  </si>
  <si>
    <t>TUBO PVC, SOLDAVEL, DN 25 MM, AGUA FRIA (NBR-5648)</t>
  </si>
  <si>
    <t>TUBO PVC, SOLDAVEL, DN 32 MM, AGUA FRIA (NBR-5648)</t>
  </si>
  <si>
    <t>TUBO PVC, SOLDAVEL, DN 40 MM, AGUA FRIA (NBR-5648)</t>
  </si>
  <si>
    <t>TUBO PVC, SOLDAVEL, DN 60 MM, AGUA FRIA (NBR-5648)</t>
  </si>
  <si>
    <t>TUBO PVC, SOLDAVEL, DN 75 MM, AGUA FRIA (NBR-5648)</t>
  </si>
  <si>
    <t>TUBO PVC, SOLDAVEL, DN 85 MM, AGUA FRIA (NBR-5648)</t>
  </si>
  <si>
    <t>UNIAO DE FERRO GALVANIZADO, COM ASSENTO CONICO DE BRONZE, DE 1 1/4"</t>
  </si>
  <si>
    <t>UNIAO DE FERRO GALVANIZADO, COM ROSCA BSP, COM ASSENTO PLANO, DE 1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</si>
  <si>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</si>
  <si>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</si>
  <si>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</si>
  <si>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4"</t>
  </si>
  <si>
    <t>UNIAO, CPVC, SOLDAVEL, 22 MM, PARA AGUA QUENTE PREDIAL</t>
  </si>
  <si>
    <t>UNIAO, CPVC, SOLDAVEL, 28 MM, PARA AGUA QUENTE PREDIAL</t>
  </si>
  <si>
    <t>VALVULA DE DESCARGA EM METAL CROMADO PARA MICTORIO COM ACIONAMENTO POR PRESSAO E FECHAMENTO AUTOMATICO</t>
  </si>
  <si>
    <t>VALVULA DE ESFERA BRUTA EM BRONZE, BITOLA 2 " (REF 1552-B)</t>
  </si>
  <si>
    <t>VALVULA DE ESFERA BRUTA EM BRONZE, BITOLA 3/4 " (REF 1552-B)</t>
  </si>
  <si>
    <t>VALVULA DE RETENCAO DE BRONZE, PE COM CRIVOS, EXTREMIDADE COM ROSCA, DE 1", PARA FUNDO DE POCO</t>
  </si>
  <si>
    <t>VALVULA DE RETENCAO DE BRONZE, PE COM CRIVOS, EXTREMIDADE COM ROSCA, DE 2", PARA FUNDO DE POCO</t>
  </si>
  <si>
    <t>VALVULA DE RETENCAO HORIZONTAL, DE BRONZE (PN-25), 2", 400 PSI, TAMPA DE PORCA DE UNIAO, EXTREMIDADES COM ROSCA</t>
  </si>
  <si>
    <t>VALVULA DE RETENCAO HORIZONTAL, DE BRONZE (PN-25), 3/4", 400 PSI, TAMPA DE PORCA DE UNIAO,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</si>
  <si>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</si>
  <si>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</si>
  <si>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</si>
  <si>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</si>
  <si>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</si>
  <si>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</si>
  <si>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ACETILENO (RECARGA DE GAS ACETILENO PARA CILINDRO DE CONJUNTO OXICORTE GRANDE) NAO INCLUI TROCA/MANUTENCAO DO CILINDRO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</si>
  <si>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</si>
  <si>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</si>
  <si>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</si>
  <si>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</si>
  <si>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</si>
  <si>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400 X 600 MM (COM INSCRICAO EM RELEVO DO TIPO DE REDE)</t>
  </si>
  <si>
    <t>LANÇAMENTO COM USO DE BALDES, ADENSAMENTO E ACABAMENTO DE CONCRETO EM ESTRUTURAS. AF_02/2022</t>
  </si>
  <si>
    <t>CAIXA DE GORDURA EM PVC, DIAMETRO MINIMO 300 MM, DIAMETRO DE SAIDA 100 MM, CAPACIDADE APROXIMADA 18 LITROS, COM TAMPA E CESTO</t>
  </si>
  <si>
    <t>POSTE CONICO CONTINUO EM ACO GALVANIZADO, RETO, FLANGEADO, H = 3 M, DIAMETRO INFERIOR = *95* MM</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</si>
  <si>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</si>
  <si>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</si>
  <si>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</si>
  <si>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</si>
  <si>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</si>
  <si>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</si>
  <si>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</si>
  <si>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</si>
  <si>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ROSCAVEL, 1 1/2", AGUA FRIA PREDIAL</t>
  </si>
  <si>
    <t>TUBO PVC, ROSCAVEL, 2 1/2", AGUA FRIA PREDIAL</t>
  </si>
  <si>
    <t>TUBO PVC, ROSCAVEL, 2", PARA AGUA FRIA PREDIAL</t>
  </si>
  <si>
    <t>TUBO PVC SERIE NORMAL, DN 150 MM, PARA ESGOTO PREDIAL (NBR 5688)</t>
  </si>
  <si>
    <t>TUBO PVC SERIE NORMAL, DN 40 MM, PARA ESGOTO PREDIAL (NBR 5688)</t>
  </si>
  <si>
    <t>TUBO PVC ROSCAVEL, 3/4", AGUA FRIA PREDIAL</t>
  </si>
  <si>
    <t>TUBO PVC, ROSCAVEL, 4", AGUA FRIA PREDIAL</t>
  </si>
  <si>
    <t>TUBO PVC, ROSCAVEL, 6", AGUA FRIA PREDIAL</t>
  </si>
  <si>
    <t>LUVA PVC, ROSCAVEL, 1 1/2", AGUA FRIA PREDIAL</t>
  </si>
  <si>
    <t>LUVA PVC, ROSCAVEL, 2", AGUA FRIA PREDIAL</t>
  </si>
  <si>
    <t>UNIAO PVC, SOLDAVEL, 60 MM, PARA AGUA FRIA PREDIAL</t>
  </si>
  <si>
    <t>UNIAO PVC, SOLDAVEL, 85 MM, PARA AGUA FRIA PREDIAL</t>
  </si>
  <si>
    <t>TUBO ACO GALVANIZADO COM COSTURA, CLASSE LEVE, DN 40 MM ( 1 1/2"), E = 3,00 MM, *3,48* KG/M (NBR 5580)</t>
  </si>
  <si>
    <t>Grelha para retorno de ar com lâminas fixas e registro, 225 mm x 225 mm</t>
  </si>
  <si>
    <t>Fluido de arrefecimento para motor MTU 16V4000</t>
  </si>
  <si>
    <t>litro</t>
  </si>
  <si>
    <t>Fluido de arrefecimento para motor Cummins NTA 855</t>
  </si>
  <si>
    <t>Fluido de arrefecimento para motor Mercedes-Benz OM 447 LA</t>
  </si>
  <si>
    <t>SF-03203</t>
  </si>
  <si>
    <t>SF-03206</t>
  </si>
  <si>
    <t>SF-03207</t>
  </si>
  <si>
    <t>SF-03214</t>
  </si>
  <si>
    <t>SF-03215</t>
  </si>
  <si>
    <t>SF-03217</t>
  </si>
  <si>
    <t>SF-03220</t>
  </si>
  <si>
    <t>SF-03221</t>
  </si>
  <si>
    <t>SF-03222</t>
  </si>
  <si>
    <t>SF-03223</t>
  </si>
  <si>
    <t>25 kg</t>
  </si>
  <si>
    <t>100 L</t>
  </si>
  <si>
    <t>Bloco de concreto tipo canaleta 19 x 19 x 39 cm</t>
  </si>
  <si>
    <t>Vermiculita expandida</t>
  </si>
  <si>
    <t>FIBRA DE POLIPROPILENO P/ CONCRETO DOSADO EM CENTRAL FILAMENTOS - TECNOLOGIA "CRACKSTOP"</t>
  </si>
  <si>
    <t>BLOCO DE VEDACAO TIPO CANALETA DE CONCRETO 19 X 19 X 39 CM (CLASSE C - NBR 6136)</t>
  </si>
  <si>
    <t>SF-03225</t>
  </si>
  <si>
    <t>SF-03229</t>
  </si>
  <si>
    <t>SF-03230</t>
  </si>
  <si>
    <t>SF-03231</t>
  </si>
  <si>
    <t>SF-03232</t>
  </si>
  <si>
    <t>SF-03235</t>
  </si>
  <si>
    <t>SF-03238</t>
  </si>
  <si>
    <t>SF-03242</t>
  </si>
  <si>
    <t>SF-03243</t>
  </si>
  <si>
    <t>SF-03244</t>
  </si>
  <si>
    <t>SF-03245</t>
  </si>
  <si>
    <t>SF-03246</t>
  </si>
  <si>
    <t>SF-03247</t>
  </si>
  <si>
    <t>SF-03248</t>
  </si>
  <si>
    <t>SF-03249</t>
  </si>
  <si>
    <t>SF-03250</t>
  </si>
  <si>
    <t>SF-03251</t>
  </si>
  <si>
    <t>SF-03252</t>
  </si>
  <si>
    <t>SF-03253</t>
  </si>
  <si>
    <t>SF-03254</t>
  </si>
  <si>
    <t>SF-03255</t>
  </si>
  <si>
    <t>SF-03256</t>
  </si>
  <si>
    <t>SF-03257</t>
  </si>
  <si>
    <t>SF-03258</t>
  </si>
  <si>
    <t>SF-03259</t>
  </si>
  <si>
    <t>Adaptador fixo rosca macho PEX gás Ø 26 mm x 3/4</t>
  </si>
  <si>
    <t>Luva redução PEX gás Ø 26 mm x 20 mm</t>
  </si>
  <si>
    <t>Tê rosca fêmea PEX gás Ø 26 mm x 3/4"</t>
  </si>
  <si>
    <t>Água destilada/desmineralizada/desionizada/ultrafiltrada</t>
  </si>
  <si>
    <t>Lâmina de madeira - freijó</t>
  </si>
  <si>
    <t>CHUMBADOR DE ACO, 1" X 600 MM, PARA POSTES DE ACO COM BASE, INCLUSO PORCA E ARRUELA</t>
  </si>
  <si>
    <t>ELETRODUTO/DUTO PEAD FLEXIVEL PAREDE SIMPLES, CORRUGACAO HELICOIDAL, COR PRETA, SEM ROSCA, DE 1 1/2", PARA CABEAMENTO SUBTERRANEO (NBR 15715)</t>
  </si>
  <si>
    <t>ELETRODUTO/DUTO PEAD FLEXIVEL PAREDE SIMPLES, CORRUGACAO HELICOIDAL, COR PRETA, SEM ROSCA, DE 4", PARA CABEAMENTO SUBTERRANEO (NBR 15715)</t>
  </si>
  <si>
    <t>LUMINARIA DE LED PARA ILUMINACAO PUBLICA, DE 138 W ATE 180 W, INVOLUCRO EM ALUMINIO OU ACO INOX</t>
  </si>
  <si>
    <t>LUMINARIA DE LED PARA ILUMINACAO PUBLICA, DE 181 W ATE 239 W, INVOLUCRO EM ALUMINIO OU ACO INOX</t>
  </si>
  <si>
    <t>POSTE DE CONCRETO ARMADO DE SECAO CIRCULAR, EXTENSAO DE 9,00 M, RESISTENCIA DE 200 A 300 DAN, TIPO C-14</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</si>
  <si>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</si>
  <si>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</si>
  <si>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</si>
  <si>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</si>
  <si>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</si>
  <si>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</si>
  <si>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</si>
  <si>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</si>
  <si>
    <t>PASTILHA CERAMICA/PORCELANA, REVEST INT/EXT E PISCINA, CORES BRANCA OU FRIAS, SOLIDAS, SEM MESCLAGEM/MISTURA, ACABAMENTO LISO *2,5 X 2,5* CM</t>
  </si>
  <si>
    <t>Suporte para luminária de poste triplo</t>
  </si>
  <si>
    <t>Remoção de poste de iluminação</t>
  </si>
  <si>
    <t>Remoção de braço de iluminação</t>
  </si>
  <si>
    <t>Cabo 3x10mm²</t>
  </si>
  <si>
    <t>Luminária LED para poste 230W</t>
  </si>
  <si>
    <t>Projeto Executivo de Iluminação Viária</t>
  </si>
  <si>
    <t>SUPORTE PARA 3 PÉTALAS PARA LUMINÁRIA DE ILUMINAÇÃO PÚBLICA</t>
  </si>
  <si>
    <t>Cabo de cobre multipolar, classe 5, isolação em EPR, 0,6/1 kV, 3x10,0mm² resistente a chama, livre de halogênios</t>
  </si>
  <si>
    <t>Eletroduto rígido roscável de aço galvanizado a fogo de 1”, tipo pesado</t>
  </si>
  <si>
    <t>Eletroduto rígido roscável de aço galvanizado a fogo de 1 1/2”, tipo pesado</t>
  </si>
  <si>
    <t>Quadro elétrico tipo TTA completo, para uso externo, com 11 disjuntores terminais, contemplando disjuntores, DPS, DR, etc., conforme especificação</t>
  </si>
  <si>
    <t>Quadro elétrico tipo TTA completo com 11 disjuntores terminais, contemplando disjuntores, DPS, DR, etc., conforme especificação</t>
  </si>
  <si>
    <t>Quadro elétrico tipo TTA completo com 06 disjuntores terminais, contemplando disjuntores, DPS, DR, etc., conforme especificação</t>
  </si>
  <si>
    <t>Quadro elétrico tipo TTA completo com 30 disjuntores terminais, contemplando disjuntores, DPS, DR, etc., conforme especificação</t>
  </si>
  <si>
    <t>Eletroduto rígido roscável de aço galvanizado a fogo de 3”, tipo pesado</t>
  </si>
  <si>
    <t>Eletroduto rígido roscável de aço galvanizado a fogo de 2”, tipo pesado</t>
  </si>
  <si>
    <t>Cabo de cobre multipolar, classe 5, isolação em EPR, 0,6/1 kV, 3x6,0mm² resistente a chama, livre de halogênios</t>
  </si>
  <si>
    <t>SUPORTE PARA 1 PÉTALA PARA LUMINÁRIA DE ILUMINAÇÃO PÚBLICA</t>
  </si>
  <si>
    <t>SUPORTE PARA 4 PÉTALAS PARA LUMINÁRIA DE ILUMINAÇÃO PÚBLICA</t>
  </si>
  <si>
    <t>Adequação da iluminação viária da SEGRAF</t>
  </si>
  <si>
    <t>Data: Agosto de 2022</t>
  </si>
  <si>
    <t>ETAPA 1</t>
  </si>
  <si>
    <t>ETAPA 2</t>
  </si>
  <si>
    <t>Engenheiro(a) júnior</t>
  </si>
  <si>
    <t>m³</t>
  </si>
  <si>
    <t>Poste de Concreto Circular L=12m - Fornecimento e instalacao</t>
  </si>
  <si>
    <t>Poste de Concreto Circular L=9m - Fornecimento e instalacao</t>
  </si>
  <si>
    <t>Cabo 3x6mm²</t>
  </si>
  <si>
    <t>Condutor 6 mm² - fornecimento e instalação</t>
  </si>
  <si>
    <t>Condutor 10mm² - fornecimento e instalação</t>
  </si>
  <si>
    <t>Condutor 16 mm² - fornecimento e instalação</t>
  </si>
  <si>
    <t>Condutor 35 mm² - fornecimento e instalação</t>
  </si>
  <si>
    <t>Fornecimento e instalação de quadro elétrico tipo PTTA/TTA para uso ao tempo</t>
  </si>
  <si>
    <t>Eletroduto PEAD 1 1/2”(40mm) – fornecimento e instalação</t>
  </si>
  <si>
    <t>Eletroduto PEAD 2” (50mm) – fornecimento e instalação</t>
  </si>
  <si>
    <t>Eletroduto PEAD 3” (75mm) – fornecimento e instalação</t>
  </si>
  <si>
    <t>Eletroduto PEAD 4”(100mm) – fornecimento e instalação</t>
  </si>
  <si>
    <t>Eletroduto de aço galvanizado de 1 1/2” – fornecimento e instalação</t>
  </si>
  <si>
    <t>POSTE DE CONCRETO ARMADO DE SECAO CIRCULAR, EXTENSAO DE 12,00 M, RESISTENCIA DE 200 DAN, TIPO C-14</t>
  </si>
  <si>
    <t>LUVA DE AÇO GALVANIZADO PARA ELETRODUTO Ø 20 MM - 3/4"</t>
  </si>
  <si>
    <t>LUVA DE AÇO GALVANIZADO PARA ELETRODUTO Ø 25 MM - 1"</t>
  </si>
  <si>
    <t>LUVA DE AÇO GALVANIZADO PARA ELETRODUTO Ø 32 MM - 1 1/4"</t>
  </si>
  <si>
    <t>LUVA DE AÇO GALVANIZADO PARA ELETRODUTO Ø 40 MM - 1 1/2"</t>
  </si>
  <si>
    <t>un x mês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</si>
</sst>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R$&quot;\ * #,##0.00_-;\-&quot;R$&quot;\ * #,##0.00_-;_-&quot;R$&quot;\ * &quot;-&quot;??_-;_-@_-"/>
    <numFmt numFmtId="43" formatCode="_-* #,##0.00_-;\-* #,##0.00_-;_-* &quot;-&quot;??_-;_-@_-"/>
    <numFmt numFmtId="164" formatCode="_-&quot;R$&quot;* #,##0.00_-;\-&quot;R$&quot;* #,##0.00_-;_-&quot;R$&quot;* &quot;-&quot;??_-;_-@_-"/>
    <numFmt numFmtId="165" formatCode="_(* #,##0.00_);_(* \(#,##0.00\);_(* \-??_);_(@_)"/>
    <numFmt numFmtId="166" formatCode="_(&quot;R$&quot;* #,##0.00_);_(&quot;R$&quot;* \(#,##0.00\);_(&quot;R$&quot;* &quot;-&quot;??_);_(@_)"/>
    <numFmt numFmtId="167" formatCode="0.0000"/>
    <numFmt numFmtId="168" formatCode="#,##0.0000"/>
    <numFmt numFmtId="169" formatCode="_(* #,##0.00_);_(* \(#,##0.00\);_(* &quot;-&quot;??_);_(@_)"/>
    <numFmt numFmtId="170" formatCode="#,##0.0000000"/>
    <numFmt numFmtId="171" formatCode="&quot;Data-base SINAPI&quot;\ mm/yyyy"/>
    <numFmt numFmtId="172" formatCode="#,##0.00;;"/>
    <numFmt numFmtId="173" formatCode="#,##0;;"/>
    <numFmt numFmtId="174" formatCode="&quot;R$&quot;\ #,##0.00;[Red]&quot;R$&quot;\ #,##0.00"/>
    <numFmt numFmtId="175" formatCode="_([$R$ -416]* #,##0.00_);_([$R$ -416]* \(#,##0.00\);_([$R$ -416]* &quot;-&quot;??_);_(@_)"/>
  </numFmts>
  <fonts count="33"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
      <b/>
      <u/>
      <sz val="11"/>
      <color theme="10"/>
      <name val="Calibri"/>
      <family val="2"/>
      <scheme val="minor"/>
    </font>
    <font>
      <u/>
      <sz val="10"/>
      <color indexed="12"/>
      <name val="Arial"/>
      <family val="2"/>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33">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s>
  <cellStyleXfs count="5427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5" fontId="2" fillId="0" borderId="0" applyFont="0" applyFill="0" applyAlignment="0" applyProtection="0"/>
    <xf numFmtId="166" fontId="2"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 fillId="0" borderId="0"/>
    <xf numFmtId="0" fontId="32" fillId="0" borderId="0" applyNumberFormat="0" applyFill="0" applyBorder="0" applyAlignment="0" applyProtection="0">
      <alignment vertical="top"/>
      <protection locked="0"/>
    </xf>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175" fontId="2" fillId="0" borderId="0"/>
    <xf numFmtId="0" fontId="2" fillId="0" borderId="0"/>
    <xf numFmtId="0" fontId="2" fillId="0" borderId="0">
      <protection locked="0"/>
    </xf>
    <xf numFmtId="175"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 fillId="0" borderId="0">
      <protection locked="0"/>
    </xf>
    <xf numFmtId="0" fontId="2" fillId="0" borderId="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251">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xf numFmtId="0" fontId="0" fillId="0" borderId="0" xfId="0" applyAlignment="1">
      <alignment wrapText="1"/>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20" fillId="0" borderId="0" xfId="0" applyFont="1" applyAlignment="1">
      <alignment vertical="center" wrapText="1"/>
    </xf>
    <xf numFmtId="167"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14" xfId="0" applyFont="1" applyFill="1" applyBorder="1" applyAlignment="1">
      <alignment horizontal="center" vertical="center" wrapText="1"/>
    </xf>
    <xf numFmtId="0" fontId="17" fillId="4" borderId="15" xfId="0" applyFont="1" applyFill="1" applyBorder="1" applyAlignment="1">
      <alignment horizontal="center" vertical="center" wrapText="1"/>
    </xf>
    <xf numFmtId="167" fontId="17" fillId="4" borderId="15" xfId="0" applyNumberFormat="1" applyFont="1" applyFill="1" applyBorder="1" applyAlignment="1">
      <alignment horizontal="center" vertical="center" wrapText="1"/>
    </xf>
    <xf numFmtId="0" fontId="17" fillId="4" borderId="16" xfId="0" applyFont="1" applyFill="1" applyBorder="1" applyAlignment="1">
      <alignment horizontal="center" vertical="center" wrapText="1"/>
    </xf>
    <xf numFmtId="0" fontId="17" fillId="0" borderId="17" xfId="0" applyFont="1" applyBorder="1" applyAlignment="1">
      <alignment horizontal="center" vertical="center" wrapText="1"/>
    </xf>
    <xf numFmtId="2" fontId="22" fillId="4" borderId="15" xfId="0" applyNumberFormat="1" applyFont="1" applyFill="1" applyBorder="1" applyAlignment="1">
      <alignment horizontal="center" vertical="center" wrapText="1"/>
    </xf>
    <xf numFmtId="0" fontId="3" fillId="0" borderId="13" xfId="3" applyFont="1" applyBorder="1" applyAlignment="1">
      <alignment horizontal="center" vertical="center" wrapText="1"/>
    </xf>
    <xf numFmtId="167" fontId="3" fillId="0" borderId="13" xfId="3" applyNumberFormat="1" applyFont="1" applyBorder="1" applyAlignment="1">
      <alignment vertical="center" wrapText="1"/>
    </xf>
    <xf numFmtId="0" fontId="3" fillId="0" borderId="13" xfId="3" applyFont="1" applyBorder="1" applyAlignment="1">
      <alignment vertical="center" wrapText="1"/>
    </xf>
    <xf numFmtId="0" fontId="3" fillId="0" borderId="9" xfId="3" applyFont="1" applyBorder="1" applyAlignment="1">
      <alignment vertical="center" wrapText="1"/>
    </xf>
    <xf numFmtId="0" fontId="3" fillId="0" borderId="0" xfId="3" applyFont="1" applyAlignment="1">
      <alignment vertical="center" wrapText="1"/>
    </xf>
    <xf numFmtId="166"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6" fontId="2" fillId="0" borderId="0" xfId="5" applyFont="1" applyBorder="1" applyAlignment="1" applyProtection="1">
      <alignment horizontal="center" vertical="center" wrapText="1"/>
    </xf>
    <xf numFmtId="166" fontId="2" fillId="0" borderId="21"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6" fontId="7" fillId="5" borderId="21" xfId="5" applyFont="1" applyFill="1" applyBorder="1" applyAlignment="1" applyProtection="1">
      <alignment horizontal="center" vertical="center" wrapText="1"/>
    </xf>
    <xf numFmtId="166" fontId="7" fillId="0" borderId="0" xfId="5" applyFont="1" applyFill="1" applyBorder="1" applyAlignment="1" applyProtection="1">
      <alignment horizontal="center" vertical="center" wrapText="1"/>
    </xf>
    <xf numFmtId="0" fontId="3" fillId="0" borderId="8" xfId="3" applyFont="1" applyBorder="1" applyAlignment="1">
      <alignment horizontal="center" vertical="center" wrapText="1"/>
    </xf>
    <xf numFmtId="166" fontId="3" fillId="0" borderId="13" xfId="3" applyNumberFormat="1" applyFont="1" applyBorder="1" applyAlignment="1">
      <alignment vertical="center" wrapText="1"/>
    </xf>
    <xf numFmtId="166" fontId="2" fillId="0" borderId="0" xfId="5" applyFont="1" applyFill="1" applyBorder="1" applyAlignment="1" applyProtection="1">
      <alignment vertical="center" wrapText="1"/>
    </xf>
    <xf numFmtId="166" fontId="7" fillId="0" borderId="21" xfId="5" applyFont="1" applyFill="1" applyBorder="1" applyAlignment="1" applyProtection="1">
      <alignment horizontal="center" vertical="center" wrapText="1"/>
    </xf>
    <xf numFmtId="166" fontId="3" fillId="0" borderId="21" xfId="5" applyFont="1" applyFill="1" applyBorder="1" applyAlignment="1" applyProtection="1">
      <alignment horizontal="center" vertical="center" wrapText="1"/>
    </xf>
    <xf numFmtId="166" fontId="3" fillId="0" borderId="0" xfId="5" applyFont="1" applyFill="1" applyBorder="1" applyAlignment="1" applyProtection="1">
      <alignment horizontal="center" vertical="center" wrapText="1"/>
    </xf>
    <xf numFmtId="169" fontId="2" fillId="0" borderId="0" xfId="0" applyNumberFormat="1" applyFont="1" applyAlignment="1">
      <alignment horizontal="center" vertical="center" wrapText="1"/>
    </xf>
    <xf numFmtId="0" fontId="3" fillId="0" borderId="0" xfId="0" applyFont="1" applyAlignment="1">
      <alignment horizontal="center" vertical="center" wrapText="1"/>
    </xf>
    <xf numFmtId="166" fontId="3" fillId="0" borderId="13"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166" fontId="2" fillId="0" borderId="0" xfId="5" applyFont="1" applyBorder="1" applyAlignment="1" applyProtection="1">
      <alignment horizontal="center" vertical="center"/>
    </xf>
    <xf numFmtId="0" fontId="2" fillId="0" borderId="7" xfId="0" applyFont="1" applyBorder="1" applyAlignment="1">
      <alignment horizontal="center" vertical="center" wrapText="1"/>
    </xf>
    <xf numFmtId="166" fontId="5" fillId="0" borderId="21" xfId="5" applyFont="1" applyBorder="1" applyAlignment="1" applyProtection="1">
      <alignment horizontal="center" vertical="center" wrapText="1"/>
    </xf>
    <xf numFmtId="166" fontId="5" fillId="0" borderId="0" xfId="5" applyFont="1" applyFill="1" applyBorder="1" applyAlignment="1" applyProtection="1">
      <alignment horizontal="center" vertical="center" wrapText="1"/>
    </xf>
    <xf numFmtId="0" fontId="3" fillId="0" borderId="0" xfId="0" applyFont="1" applyAlignment="1">
      <alignment vertical="center" wrapText="1"/>
    </xf>
    <xf numFmtId="167" fontId="3" fillId="0" borderId="0" xfId="0" applyNumberFormat="1" applyFont="1" applyAlignment="1">
      <alignment vertical="center" wrapText="1"/>
    </xf>
    <xf numFmtId="166" fontId="3" fillId="0" borderId="0" xfId="0" applyNumberFormat="1" applyFont="1" applyAlignment="1">
      <alignment vertical="center" wrapText="1"/>
    </xf>
    <xf numFmtId="0" fontId="3" fillId="0" borderId="21" xfId="0" applyFont="1" applyBorder="1" applyAlignment="1">
      <alignment vertical="center" wrapText="1"/>
    </xf>
    <xf numFmtId="0" fontId="2" fillId="0" borderId="21" xfId="0" applyFont="1" applyBorder="1"/>
    <xf numFmtId="4" fontId="2" fillId="0" borderId="21"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7" fontId="2" fillId="0" borderId="7" xfId="0" applyNumberFormat="1" applyFont="1" applyBorder="1" applyAlignment="1">
      <alignment horizontal="center" vertical="center" wrapText="1"/>
    </xf>
    <xf numFmtId="166" fontId="2" fillId="0" borderId="7" xfId="5" applyFont="1" applyFill="1" applyBorder="1" applyAlignment="1" applyProtection="1">
      <alignment horizontal="center" vertical="center" wrapText="1"/>
    </xf>
    <xf numFmtId="166" fontId="2" fillId="0" borderId="7" xfId="5" applyFont="1" applyBorder="1" applyAlignment="1" applyProtection="1">
      <alignment horizontal="center" vertical="center" wrapText="1"/>
    </xf>
    <xf numFmtId="166" fontId="2" fillId="0" borderId="23" xfId="5" applyFont="1" applyFill="1" applyBorder="1" applyAlignment="1" applyProtection="1">
      <alignment horizontal="center" vertical="center" wrapText="1"/>
    </xf>
    <xf numFmtId="167" fontId="3" fillId="0" borderId="7" xfId="3" applyNumberFormat="1" applyFont="1" applyBorder="1" applyAlignment="1">
      <alignment vertical="center" wrapText="1"/>
    </xf>
    <xf numFmtId="0" fontId="3" fillId="0" borderId="7" xfId="3" applyFont="1" applyBorder="1" applyAlignment="1">
      <alignment vertical="center" wrapText="1"/>
    </xf>
    <xf numFmtId="0" fontId="3" fillId="0" borderId="23" xfId="3" applyFont="1" applyBorder="1" applyAlignment="1">
      <alignment vertical="center" wrapText="1"/>
    </xf>
    <xf numFmtId="166" fontId="2" fillId="0" borderId="21" xfId="5" applyFont="1" applyBorder="1" applyAlignment="1" applyProtection="1">
      <alignment horizontal="center" vertical="center"/>
    </xf>
    <xf numFmtId="166" fontId="2" fillId="0" borderId="0" xfId="5" applyFont="1" applyFill="1" applyBorder="1" applyAlignment="1" applyProtection="1">
      <alignment horizontal="center" vertical="center"/>
    </xf>
    <xf numFmtId="166" fontId="2" fillId="0" borderId="0" xfId="0" applyNumberFormat="1" applyFont="1" applyAlignment="1">
      <alignment horizontal="center" vertical="center" wrapText="1"/>
    </xf>
    <xf numFmtId="166" fontId="2" fillId="0" borderId="7" xfId="5" applyFont="1" applyBorder="1" applyAlignment="1" applyProtection="1">
      <alignment horizontal="center" vertical="center"/>
    </xf>
    <xf numFmtId="166" fontId="2" fillId="0" borderId="23" xfId="5" applyFont="1" applyBorder="1" applyAlignment="1" applyProtection="1">
      <alignment horizontal="center" vertical="center"/>
    </xf>
    <xf numFmtId="0" fontId="3" fillId="0" borderId="13" xfId="3" applyFont="1" applyBorder="1" applyAlignment="1">
      <alignment horizontal="center" vertical="center"/>
    </xf>
    <xf numFmtId="0" fontId="2" fillId="0" borderId="0" xfId="3" applyAlignment="1">
      <alignment vertical="center"/>
    </xf>
    <xf numFmtId="0" fontId="2" fillId="0" borderId="7" xfId="0" applyFont="1" applyBorder="1" applyAlignment="1">
      <alignment horizontal="center" vertical="center"/>
    </xf>
    <xf numFmtId="0" fontId="10"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0" fontId="24" fillId="0" borderId="7" xfId="0" applyFont="1" applyBorder="1" applyAlignment="1">
      <alignment vertical="center" wrapText="1"/>
    </xf>
    <xf numFmtId="0" fontId="25" fillId="0" borderId="7" xfId="0" applyFont="1" applyBorder="1" applyAlignment="1">
      <alignment vertical="center" wrapText="1"/>
    </xf>
    <xf numFmtId="0" fontId="25" fillId="0" borderId="0" xfId="0" applyFont="1" applyAlignment="1">
      <alignment vertical="center" wrapText="1"/>
    </xf>
    <xf numFmtId="168" fontId="24" fillId="0" borderId="7" xfId="0" applyNumberFormat="1" applyFont="1" applyBorder="1" applyAlignment="1">
      <alignment vertical="center" wrapText="1"/>
    </xf>
    <xf numFmtId="168" fontId="22" fillId="4" borderId="15" xfId="0" applyNumberFormat="1" applyFont="1" applyFill="1" applyBorder="1" applyAlignment="1">
      <alignment horizontal="center" vertical="center" wrapText="1"/>
    </xf>
    <xf numFmtId="0" fontId="3" fillId="0" borderId="7" xfId="3" applyFont="1" applyBorder="1" applyAlignment="1">
      <alignment horizontal="center" vertical="center" wrapText="1"/>
    </xf>
    <xf numFmtId="170" fontId="3" fillId="0" borderId="7" xfId="3" applyNumberFormat="1" applyFont="1" applyBorder="1" applyAlignment="1">
      <alignment vertical="center" wrapText="1"/>
    </xf>
    <xf numFmtId="170" fontId="2" fillId="0" borderId="0" xfId="3" applyNumberFormat="1" applyAlignment="1">
      <alignment vertical="center" wrapText="1"/>
    </xf>
    <xf numFmtId="170" fontId="2" fillId="0" borderId="0" xfId="0" applyNumberFormat="1" applyFont="1" applyAlignment="1">
      <alignment horizontal="center" vertical="center" wrapText="1"/>
    </xf>
    <xf numFmtId="170" fontId="3" fillId="0" borderId="13" xfId="3" applyNumberFormat="1" applyFont="1" applyBorder="1" applyAlignment="1">
      <alignment vertical="center" wrapText="1"/>
    </xf>
    <xf numFmtId="166" fontId="0" fillId="0" borderId="0" xfId="0" applyNumberFormat="1"/>
    <xf numFmtId="170" fontId="2" fillId="0" borderId="7" xfId="0" applyNumberFormat="1" applyFont="1" applyBorder="1" applyAlignment="1">
      <alignment horizontal="center" vertical="center" wrapText="1"/>
    </xf>
    <xf numFmtId="166" fontId="0" fillId="0" borderId="0" xfId="0" applyNumberFormat="1" applyAlignment="1">
      <alignment horizontal="center" vertical="center"/>
    </xf>
    <xf numFmtId="166" fontId="2" fillId="0" borderId="0" xfId="5" applyFont="1" applyFill="1" applyBorder="1" applyAlignment="1">
      <alignment vertical="center" wrapText="1"/>
    </xf>
    <xf numFmtId="166" fontId="2" fillId="0" borderId="0" xfId="5" applyFont="1" applyFill="1" applyBorder="1" applyAlignment="1">
      <alignment horizontal="center" vertical="center" wrapText="1"/>
    </xf>
    <xf numFmtId="166" fontId="0" fillId="0" borderId="0" xfId="0" applyNumberFormat="1" applyProtection="1">
      <protection locked="0"/>
    </xf>
    <xf numFmtId="166" fontId="2" fillId="0" borderId="21" xfId="5"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3" fillId="0" borderId="7" xfId="0" applyFont="1" applyBorder="1" applyAlignment="1">
      <alignment horizontal="center" vertical="center" wrapText="1"/>
    </xf>
    <xf numFmtId="0" fontId="10" fillId="4" borderId="0" xfId="0" applyFont="1" applyFill="1" applyAlignment="1" applyProtection="1">
      <alignment horizontal="centerContinuous" vertical="center"/>
      <protection locked="0"/>
    </xf>
    <xf numFmtId="0" fontId="13" fillId="4" borderId="0" xfId="0" applyFont="1" applyFill="1" applyAlignment="1" applyProtection="1">
      <alignment horizontal="centerContinuous" vertical="center"/>
      <protection locked="0"/>
    </xf>
    <xf numFmtId="0" fontId="26" fillId="6" borderId="0" xfId="0" applyFont="1" applyFill="1" applyAlignment="1" applyProtection="1">
      <alignment horizontal="centerContinuous" vertical="center" wrapText="1"/>
      <protection locked="0"/>
    </xf>
    <xf numFmtId="0" fontId="27" fillId="6" borderId="7" xfId="0" applyFont="1" applyFill="1" applyBorder="1" applyAlignment="1" applyProtection="1">
      <alignment horizontal="center" vertical="center" wrapText="1"/>
      <protection locked="0"/>
    </xf>
    <xf numFmtId="0" fontId="27" fillId="6" borderId="7" xfId="0" applyFont="1" applyFill="1" applyBorder="1" applyAlignment="1" applyProtection="1">
      <alignment vertical="center" wrapText="1"/>
      <protection locked="0"/>
    </xf>
    <xf numFmtId="171" fontId="27" fillId="6" borderId="7" xfId="0" applyNumberFormat="1" applyFont="1" applyFill="1" applyBorder="1" applyAlignment="1" applyProtection="1">
      <alignment horizontal="centerContinuous" vertical="center" wrapText="1"/>
      <protection locked="0"/>
    </xf>
    <xf numFmtId="0" fontId="27" fillId="6" borderId="7" xfId="0" applyFont="1" applyFill="1" applyBorder="1" applyAlignment="1" applyProtection="1">
      <alignment horizontal="centerContinuous"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4" borderId="0" xfId="0" applyFont="1" applyFill="1" applyAlignment="1" applyProtection="1">
      <alignment horizontal="centerContinuous" vertical="center" wrapText="1"/>
      <protection locked="0"/>
    </xf>
    <xf numFmtId="0" fontId="13" fillId="4" borderId="0" xfId="0" applyFont="1" applyFill="1" applyAlignment="1" applyProtection="1">
      <alignment horizontal="centerContinuous" vertical="center" wrapText="1"/>
      <protection locked="0"/>
    </xf>
    <xf numFmtId="0" fontId="18" fillId="6" borderId="7"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12" xfId="0" applyNumberFormat="1" applyFont="1" applyBorder="1" applyAlignment="1" applyProtection="1">
      <alignment horizontal="center" vertical="center"/>
      <protection locked="0"/>
    </xf>
    <xf numFmtId="0" fontId="25" fillId="0" borderId="7" xfId="0" applyFont="1" applyBorder="1" applyAlignment="1">
      <alignment vertical="center"/>
    </xf>
    <xf numFmtId="0" fontId="17" fillId="4" borderId="5" xfId="0" applyFont="1" applyFill="1" applyBorder="1" applyAlignment="1">
      <alignment horizontal="center" vertical="center"/>
    </xf>
    <xf numFmtId="169" fontId="2" fillId="0" borderId="0" xfId="0" applyNumberFormat="1" applyFont="1" applyAlignment="1">
      <alignment horizontal="center" vertical="center"/>
    </xf>
    <xf numFmtId="0" fontId="10" fillId="4" borderId="0" xfId="0" applyFont="1" applyFill="1" applyAlignment="1" applyProtection="1">
      <alignment horizontal="centerContinuous" vertical="center" wrapText="1"/>
    </xf>
    <xf numFmtId="166" fontId="2" fillId="0" borderId="11" xfId="5" applyFont="1" applyFill="1" applyBorder="1" applyAlignment="1" applyProtection="1">
      <alignment vertical="center" wrapText="1"/>
    </xf>
    <xf numFmtId="166" fontId="2" fillId="0" borderId="11" xfId="5" applyFont="1" applyFill="1" applyBorder="1" applyAlignment="1" applyProtection="1">
      <alignment horizontal="right" vertical="center" wrapText="1"/>
    </xf>
    <xf numFmtId="10" fontId="2" fillId="0" borderId="11" xfId="2" applyNumberFormat="1" applyFont="1" applyFill="1" applyBorder="1" applyAlignment="1" applyProtection="1">
      <alignment horizontal="center" vertical="center" wrapText="1"/>
    </xf>
    <xf numFmtId="166" fontId="2" fillId="0" borderId="11" xfId="5" applyFont="1" applyFill="1" applyBorder="1" applyAlignment="1" applyProtection="1">
      <alignment horizontal="center" vertical="center" wrapText="1"/>
    </xf>
    <xf numFmtId="172" fontId="28" fillId="2" borderId="25" xfId="0" applyNumberFormat="1" applyFont="1" applyFill="1" applyBorder="1" applyAlignment="1" applyProtection="1">
      <alignment horizontal="center" wrapText="1"/>
    </xf>
    <xf numFmtId="172" fontId="28" fillId="2" borderId="8" xfId="0" applyNumberFormat="1" applyFont="1" applyFill="1" applyBorder="1" applyAlignment="1" applyProtection="1">
      <alignment horizontal="center" wrapText="1"/>
    </xf>
    <xf numFmtId="10" fontId="28" fillId="2" borderId="25" xfId="2" applyNumberFormat="1" applyFont="1" applyFill="1" applyBorder="1" applyAlignment="1" applyProtection="1">
      <alignment wrapText="1"/>
    </xf>
    <xf numFmtId="173" fontId="28" fillId="2" borderId="24" xfId="0" applyNumberFormat="1" applyFont="1" applyFill="1" applyBorder="1" applyAlignment="1" applyProtection="1">
      <alignment horizontal="center"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6" fillId="0" borderId="8"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3" fillId="0" borderId="0" xfId="6" applyNumberFormat="1" applyFont="1" applyFill="1" applyBorder="1" applyAlignment="1" applyProtection="1">
      <alignment horizontal="center" vertical="center" wrapText="1"/>
    </xf>
    <xf numFmtId="0" fontId="23" fillId="0" borderId="0" xfId="6" applyFont="1" applyBorder="1" applyAlignment="1" applyProtection="1">
      <alignment wrapText="1"/>
    </xf>
    <xf numFmtId="2" fontId="30" fillId="4" borderId="0" xfId="5" applyNumberFormat="1" applyFont="1" applyFill="1" applyBorder="1" applyAlignment="1" applyProtection="1">
      <alignment horizontal="center" vertical="center" wrapText="1"/>
    </xf>
    <xf numFmtId="168" fontId="30" fillId="4" borderId="0" xfId="5" applyNumberFormat="1" applyFont="1" applyFill="1" applyBorder="1" applyAlignment="1" applyProtection="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xf>
    <xf numFmtId="170" fontId="2" fillId="0" borderId="0" xfId="0" applyNumberFormat="1" applyFont="1" applyBorder="1" applyAlignment="1">
      <alignment horizontal="center" vertical="center" wrapText="1"/>
    </xf>
    <xf numFmtId="0" fontId="2" fillId="0" borderId="0" xfId="3" applyBorder="1" applyAlignment="1">
      <alignment vertical="center" wrapText="1"/>
    </xf>
    <xf numFmtId="167" fontId="2" fillId="0" borderId="0" xfId="3" applyNumberFormat="1" applyBorder="1" applyAlignment="1">
      <alignment vertical="center" wrapText="1"/>
    </xf>
    <xf numFmtId="0" fontId="2" fillId="0" borderId="0" xfId="0" applyFont="1" applyBorder="1" applyAlignment="1">
      <alignment horizontal="center" vertical="center" wrapText="1"/>
    </xf>
    <xf numFmtId="167" fontId="2" fillId="0" borderId="0" xfId="0" applyNumberFormat="1" applyFont="1" applyBorder="1" applyAlignment="1">
      <alignment horizontal="center" vertical="center" wrapText="1"/>
    </xf>
    <xf numFmtId="169" fontId="2" fillId="0" borderId="0" xfId="0" applyNumberFormat="1" applyFont="1" applyBorder="1" applyAlignment="1">
      <alignment horizontal="center" vertical="center" wrapText="1"/>
    </xf>
    <xf numFmtId="169" fontId="2" fillId="0" borderId="7" xfId="0" applyNumberFormat="1" applyFont="1" applyBorder="1" applyAlignment="1">
      <alignment horizontal="center" vertical="center" wrapText="1"/>
    </xf>
    <xf numFmtId="0" fontId="3" fillId="0" borderId="22" xfId="3" applyFont="1" applyBorder="1" applyAlignment="1">
      <alignment horizontal="center" vertical="center" wrapText="1"/>
    </xf>
    <xf numFmtId="0" fontId="2" fillId="0" borderId="0" xfId="3" applyFont="1" applyAlignment="1">
      <alignment vertical="center" wrapText="1"/>
    </xf>
    <xf numFmtId="167" fontId="2" fillId="0" borderId="0" xfId="3" applyNumberFormat="1" applyFont="1" applyAlignment="1">
      <alignment vertical="center" wrapText="1"/>
    </xf>
    <xf numFmtId="0" fontId="2" fillId="0" borderId="0" xfId="3" applyFont="1" applyBorder="1" applyAlignment="1">
      <alignment vertical="center" wrapText="1"/>
    </xf>
    <xf numFmtId="167" fontId="2" fillId="0" borderId="0" xfId="3" applyNumberFormat="1" applyFont="1" applyBorder="1" applyAlignment="1">
      <alignment vertical="center" wrapText="1"/>
    </xf>
    <xf numFmtId="0" fontId="2" fillId="0" borderId="0" xfId="0" applyFont="1" applyFill="1" applyAlignment="1">
      <alignment horizontal="center" vertical="center" wrapText="1"/>
    </xf>
    <xf numFmtId="0" fontId="3" fillId="0" borderId="22" xfId="3" applyFont="1" applyBorder="1" applyAlignment="1">
      <alignment horizontal="center" vertical="center" wrapText="1"/>
    </xf>
    <xf numFmtId="0" fontId="20" fillId="0" borderId="0" xfId="0" applyFont="1" applyAlignment="1">
      <alignment vertical="center"/>
    </xf>
    <xf numFmtId="0" fontId="17" fillId="4" borderId="15" xfId="0" applyFont="1" applyFill="1" applyBorder="1" applyAlignment="1">
      <alignment horizontal="center" vertical="center"/>
    </xf>
    <xf numFmtId="0" fontId="31" fillId="0" borderId="0" xfId="6" applyFont="1" applyAlignment="1">
      <alignment horizontal="center" vertical="center" wrapText="1"/>
    </xf>
    <xf numFmtId="0" fontId="2" fillId="0" borderId="0" xfId="0" applyFont="1" applyFill="1" applyBorder="1" applyAlignment="1">
      <alignment horizontal="center" vertical="center" wrapText="1"/>
    </xf>
    <xf numFmtId="170" fontId="2" fillId="0" borderId="0" xfId="3" applyNumberFormat="1" applyBorder="1" applyAlignment="1">
      <alignment vertical="center" wrapText="1"/>
    </xf>
    <xf numFmtId="0" fontId="2" fillId="0" borderId="7" xfId="0" applyFont="1" applyBorder="1" applyAlignment="1">
      <alignment wrapText="1"/>
    </xf>
    <xf numFmtId="166" fontId="3" fillId="0" borderId="23" xfId="5" applyFont="1" applyFill="1" applyBorder="1" applyAlignment="1" applyProtection="1">
      <alignment horizontal="center" vertical="center" wrapText="1"/>
    </xf>
    <xf numFmtId="3" fontId="3" fillId="0" borderId="19" xfId="3" applyNumberFormat="1" applyFont="1" applyBorder="1" applyAlignment="1">
      <alignment horizontal="center" vertical="center"/>
    </xf>
    <xf numFmtId="3" fontId="3" fillId="0" borderId="18" xfId="3" applyNumberFormat="1" applyFont="1" applyBorder="1" applyAlignment="1">
      <alignment horizontal="center" vertical="center"/>
    </xf>
    <xf numFmtId="3" fontId="3" fillId="0" borderId="22" xfId="3" applyNumberFormat="1" applyFont="1" applyBorder="1" applyAlignment="1">
      <alignment horizontal="center" vertical="center"/>
    </xf>
    <xf numFmtId="166" fontId="0" fillId="0" borderId="0" xfId="0" applyNumberFormat="1" applyBorder="1"/>
    <xf numFmtId="0" fontId="2" fillId="0" borderId="0" xfId="0" applyFont="1" applyBorder="1" applyAlignment="1">
      <alignment wrapText="1"/>
    </xf>
    <xf numFmtId="0" fontId="0" fillId="0" borderId="0" xfId="0"/>
    <xf numFmtId="0" fontId="3" fillId="0" borderId="22" xfId="3" applyFont="1" applyBorder="1" applyAlignment="1">
      <alignment horizontal="center" vertical="center" wrapText="1"/>
    </xf>
    <xf numFmtId="0" fontId="3" fillId="0" borderId="7" xfId="3" applyFont="1" applyBorder="1" applyAlignment="1">
      <alignment horizontal="center" vertical="center"/>
    </xf>
    <xf numFmtId="166" fontId="3" fillId="0" borderId="7" xfId="3" applyNumberFormat="1" applyFont="1" applyBorder="1" applyAlignment="1">
      <alignment vertical="center" wrapText="1"/>
    </xf>
    <xf numFmtId="0" fontId="2" fillId="0" borderId="0" xfId="3" applyBorder="1" applyAlignment="1">
      <alignment vertical="center"/>
    </xf>
    <xf numFmtId="0" fontId="3" fillId="0" borderId="20" xfId="3" applyFont="1" applyBorder="1" applyAlignment="1">
      <alignment horizontal="center" vertical="center" wrapText="1"/>
    </xf>
    <xf numFmtId="0" fontId="3" fillId="0" borderId="0" xfId="3" applyFont="1" applyAlignment="1">
      <alignment horizontal="center" vertical="center" wrapText="1"/>
    </xf>
    <xf numFmtId="0" fontId="3" fillId="0" borderId="7" xfId="3" applyFont="1" applyBorder="1" applyAlignment="1">
      <alignment horizontal="center" vertical="center" wrapText="1"/>
    </xf>
    <xf numFmtId="0" fontId="17" fillId="4" borderId="4" xfId="0" applyFont="1" applyFill="1" applyBorder="1" applyAlignment="1" applyProtection="1">
      <alignment horizontal="center" vertical="center" wrapText="1"/>
    </xf>
    <xf numFmtId="0" fontId="17" fillId="4" borderId="5" xfId="0" applyFont="1" applyFill="1" applyBorder="1" applyAlignment="1" applyProtection="1">
      <alignment horizontal="center" vertical="center" wrapText="1"/>
    </xf>
    <xf numFmtId="2" fontId="17" fillId="4" borderId="5" xfId="1" applyNumberFormat="1" applyFont="1" applyFill="1" applyBorder="1" applyAlignment="1" applyProtection="1">
      <alignment horizontal="center" vertical="center" wrapText="1"/>
    </xf>
    <xf numFmtId="43" fontId="17" fillId="4" borderId="5" xfId="1" applyFont="1" applyFill="1" applyBorder="1" applyAlignment="1" applyProtection="1">
      <alignment horizontal="center" vertical="center" wrapText="1"/>
    </xf>
    <xf numFmtId="0" fontId="0" fillId="0" borderId="0" xfId="0" applyProtection="1"/>
    <xf numFmtId="3" fontId="2" fillId="0" borderId="10" xfId="4" applyNumberFormat="1" applyFont="1" applyFill="1" applyBorder="1" applyAlignment="1" applyProtection="1">
      <alignment horizontal="center" vertical="center" wrapText="1"/>
    </xf>
    <xf numFmtId="49" fontId="2" fillId="0" borderId="11" xfId="4" applyNumberFormat="1" applyFont="1" applyFill="1" applyBorder="1" applyAlignment="1" applyProtection="1">
      <alignment horizontal="left" vertical="center" wrapText="1"/>
    </xf>
    <xf numFmtId="4" fontId="2" fillId="0" borderId="11" xfId="4" applyNumberFormat="1" applyFont="1" applyFill="1" applyBorder="1" applyAlignment="1" applyProtection="1">
      <alignment horizontal="center" vertical="center" wrapText="1"/>
    </xf>
    <xf numFmtId="0" fontId="2" fillId="0" borderId="11" xfId="4" applyNumberFormat="1" applyFont="1" applyFill="1" applyBorder="1" applyAlignment="1" applyProtection="1">
      <alignment horizontal="left" vertical="center" wrapText="1"/>
    </xf>
    <xf numFmtId="172" fontId="21" fillId="2" borderId="24" xfId="0" applyNumberFormat="1" applyFont="1" applyFill="1" applyBorder="1" applyAlignment="1" applyProtection="1">
      <alignment vertical="center" wrapText="1"/>
    </xf>
    <xf numFmtId="49" fontId="21" fillId="2" borderId="25" xfId="0" applyNumberFormat="1" applyFont="1" applyFill="1" applyBorder="1" applyAlignment="1" applyProtection="1">
      <alignment vertical="center" wrapText="1"/>
    </xf>
    <xf numFmtId="172" fontId="21" fillId="2" borderId="25" xfId="0" applyNumberFormat="1" applyFont="1" applyFill="1" applyBorder="1" applyAlignment="1" applyProtection="1">
      <alignment vertical="center" wrapText="1"/>
    </xf>
    <xf numFmtId="172" fontId="28" fillId="2" borderId="25" xfId="0" applyNumberFormat="1" applyFont="1" applyFill="1" applyBorder="1" applyAlignment="1" applyProtection="1">
      <alignment vertical="center" wrapText="1"/>
    </xf>
    <xf numFmtId="10" fontId="2" fillId="2" borderId="26" xfId="2" applyNumberFormat="1" applyFont="1" applyFill="1" applyBorder="1" applyAlignment="1" applyProtection="1">
      <alignment horizontal="center" vertical="center" wrapText="1"/>
    </xf>
    <xf numFmtId="166" fontId="2" fillId="2" borderId="26" xfId="5" applyFont="1" applyFill="1" applyBorder="1" applyAlignment="1" applyProtection="1">
      <alignment horizontal="center" vertical="center" wrapText="1"/>
    </xf>
    <xf numFmtId="172" fontId="28" fillId="2" borderId="25" xfId="0" applyNumberFormat="1" applyFont="1" applyFill="1" applyBorder="1" applyAlignment="1" applyProtection="1">
      <alignment wrapText="1"/>
    </xf>
    <xf numFmtId="172" fontId="28" fillId="2" borderId="25" xfId="0" applyNumberFormat="1" applyFont="1" applyFill="1" applyBorder="1" applyAlignment="1" applyProtection="1">
      <alignment horizontal="centerContinuous" wrapText="1"/>
    </xf>
    <xf numFmtId="172" fontId="28" fillId="2" borderId="8" xfId="0" applyNumberFormat="1" applyFont="1" applyFill="1" applyBorder="1" applyAlignment="1" applyProtection="1">
      <alignment wrapText="1"/>
    </xf>
    <xf numFmtId="172" fontId="28" fillId="2" borderId="13" xfId="0" applyNumberFormat="1" applyFont="1" applyFill="1" applyBorder="1" applyAlignment="1" applyProtection="1">
      <alignment wrapText="1"/>
    </xf>
    <xf numFmtId="172" fontId="28" fillId="2" borderId="13" xfId="0" applyNumberFormat="1" applyFont="1" applyFill="1" applyBorder="1" applyAlignment="1" applyProtection="1">
      <alignment horizontal="centerContinuous" wrapText="1"/>
    </xf>
    <xf numFmtId="172" fontId="28" fillId="2" borderId="8" xfId="0" applyNumberFormat="1" applyFont="1" applyFill="1" applyBorder="1" applyAlignment="1" applyProtection="1">
      <alignment horizontal="centerContinuous" wrapText="1"/>
    </xf>
    <xf numFmtId="166" fontId="2" fillId="0" borderId="11" xfId="5" applyFont="1" applyFill="1" applyBorder="1" applyAlignment="1" applyProtection="1">
      <alignment vertical="center" wrapText="1"/>
      <protection locked="0"/>
    </xf>
    <xf numFmtId="43" fontId="17" fillId="4" borderId="6" xfId="1" applyFont="1" applyFill="1" applyBorder="1" applyAlignment="1" applyProtection="1">
      <alignment horizontal="center" vertical="center" wrapText="1"/>
    </xf>
    <xf numFmtId="166" fontId="2" fillId="0" borderId="12" xfId="5" applyFont="1" applyFill="1" applyBorder="1" applyAlignment="1" applyProtection="1">
      <alignment horizontal="right" vertical="center" wrapText="1"/>
    </xf>
    <xf numFmtId="166" fontId="2" fillId="2" borderId="21" xfId="5" applyFont="1" applyFill="1" applyBorder="1" applyAlignment="1" applyProtection="1">
      <alignment horizontal="right" vertical="center" wrapText="1"/>
    </xf>
    <xf numFmtId="174" fontId="28" fillId="2" borderId="21" xfId="1" applyNumberFormat="1" applyFont="1" applyFill="1" applyBorder="1" applyAlignment="1" applyProtection="1">
      <alignment horizontal="right" wrapText="1"/>
    </xf>
    <xf numFmtId="174" fontId="28" fillId="2" borderId="23" xfId="1" applyNumberFormat="1" applyFont="1" applyFill="1" applyBorder="1" applyAlignment="1" applyProtection="1">
      <alignment horizontal="right" wrapText="1"/>
    </xf>
    <xf numFmtId="0" fontId="17" fillId="4" borderId="8" xfId="0" applyFont="1" applyFill="1" applyBorder="1" applyAlignment="1" applyProtection="1">
      <alignment horizontal="centerContinuous" vertical="center"/>
    </xf>
    <xf numFmtId="0" fontId="17" fillId="4" borderId="9" xfId="0" applyFont="1" applyFill="1" applyBorder="1" applyAlignment="1" applyProtection="1">
      <alignment horizontal="centerContinuous" vertical="center"/>
    </xf>
    <xf numFmtId="0" fontId="29" fillId="0" borderId="28" xfId="0" applyFont="1" applyBorder="1" applyAlignment="1" applyProtection="1">
      <alignment horizontal="center" vertical="center"/>
    </xf>
    <xf numFmtId="0" fontId="27" fillId="0" borderId="0" xfId="0" applyFont="1" applyAlignment="1" applyProtection="1">
      <alignment horizontal="center" vertical="center"/>
    </xf>
    <xf numFmtId="0" fontId="21" fillId="0" borderId="30" xfId="0" applyFont="1" applyBorder="1" applyAlignment="1" applyProtection="1">
      <alignment horizontal="center" vertical="center"/>
    </xf>
    <xf numFmtId="0" fontId="11" fillId="0" borderId="12" xfId="0" applyFont="1" applyBorder="1" applyAlignment="1" applyProtection="1">
      <alignment horizontal="center" vertical="center"/>
    </xf>
    <xf numFmtId="0" fontId="22" fillId="0" borderId="10" xfId="0" applyFont="1" applyBorder="1" applyAlignment="1" applyProtection="1">
      <alignment horizontal="center" vertical="center"/>
    </xf>
    <xf numFmtId="0" fontId="2" fillId="0" borderId="21" xfId="0" applyFont="1" applyBorder="1" applyAlignment="1" applyProtection="1">
      <alignment vertical="center"/>
    </xf>
    <xf numFmtId="0" fontId="2" fillId="0" borderId="0" xfId="0" applyFont="1" applyAlignment="1" applyProtection="1">
      <alignment horizontal="center" vertical="center"/>
    </xf>
    <xf numFmtId="0" fontId="3" fillId="4" borderId="24" xfId="0" applyFont="1" applyFill="1" applyBorder="1" applyAlignment="1" applyProtection="1">
      <alignment horizontal="center" vertical="center" wrapText="1"/>
    </xf>
    <xf numFmtId="10" fontId="3" fillId="4" borderId="32" xfId="0" applyNumberFormat="1" applyFont="1" applyFill="1" applyBorder="1" applyAlignment="1" applyProtection="1">
      <alignment horizontal="center" vertical="center"/>
    </xf>
    <xf numFmtId="0" fontId="3" fillId="4" borderId="22" xfId="0" applyFont="1" applyFill="1" applyBorder="1" applyAlignment="1" applyProtection="1">
      <alignment horizontal="center"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Alignment="1" applyProtection="1">
      <alignment horizontal="center"/>
    </xf>
    <xf numFmtId="0" fontId="13" fillId="4" borderId="0" xfId="0" applyFont="1" applyFill="1" applyAlignment="1">
      <alignment horizontal="center" vertical="center" wrapText="1"/>
    </xf>
    <xf numFmtId="0" fontId="10" fillId="4" borderId="0" xfId="0" applyFont="1" applyFill="1" applyAlignment="1">
      <alignment horizontal="center" vertical="center"/>
    </xf>
    <xf numFmtId="3" fontId="3" fillId="0" borderId="19" xfId="3" applyNumberFormat="1" applyFont="1" applyBorder="1" applyAlignment="1">
      <alignment horizontal="center" vertical="center"/>
    </xf>
    <xf numFmtId="0" fontId="3" fillId="0" borderId="18" xfId="3" applyFont="1" applyBorder="1" applyAlignment="1">
      <alignment horizontal="center" vertical="center"/>
    </xf>
    <xf numFmtId="0" fontId="3" fillId="0" borderId="20" xfId="3" applyFont="1" applyBorder="1" applyAlignment="1">
      <alignment horizontal="center" vertical="center" wrapText="1"/>
    </xf>
    <xf numFmtId="0" fontId="3" fillId="0" borderId="0" xfId="3" applyFont="1" applyAlignment="1">
      <alignment horizontal="center" vertical="center" wrapText="1"/>
    </xf>
    <xf numFmtId="0" fontId="3" fillId="0" borderId="7" xfId="3" applyFont="1" applyBorder="1" applyAlignment="1">
      <alignment horizontal="center" vertical="center" wrapText="1"/>
    </xf>
    <xf numFmtId="3" fontId="3" fillId="0" borderId="18" xfId="3" applyNumberFormat="1" applyFont="1" applyBorder="1" applyAlignment="1">
      <alignment horizontal="center" vertical="center"/>
    </xf>
    <xf numFmtId="3" fontId="3" fillId="0" borderId="22" xfId="3" applyNumberFormat="1" applyFont="1" applyBorder="1" applyAlignment="1">
      <alignment horizontal="center" vertical="center"/>
    </xf>
    <xf numFmtId="0" fontId="3" fillId="0" borderId="22" xfId="3" applyFont="1" applyBorder="1" applyAlignment="1">
      <alignment horizontal="center" vertical="center"/>
    </xf>
    <xf numFmtId="3" fontId="3" fillId="0" borderId="19" xfId="3" applyNumberFormat="1" applyFont="1" applyFill="1" applyBorder="1" applyAlignment="1">
      <alignment horizontal="center" vertical="center"/>
    </xf>
    <xf numFmtId="0" fontId="3" fillId="0" borderId="18" xfId="3" applyFont="1" applyFill="1" applyBorder="1" applyAlignment="1">
      <alignment horizontal="center" vertical="center"/>
    </xf>
    <xf numFmtId="0" fontId="3" fillId="0" borderId="22" xfId="3" applyFont="1" applyFill="1" applyBorder="1" applyAlignment="1">
      <alignment horizontal="center" vertical="center"/>
    </xf>
    <xf numFmtId="0" fontId="3" fillId="3" borderId="20" xfId="3" applyFont="1" applyFill="1" applyBorder="1" applyAlignment="1">
      <alignment horizontal="center" vertical="center" wrapText="1"/>
    </xf>
    <xf numFmtId="0" fontId="3" fillId="3" borderId="0" xfId="3" applyFont="1" applyFill="1" applyAlignment="1">
      <alignment horizontal="center" vertical="center" wrapText="1"/>
    </xf>
    <xf numFmtId="0" fontId="3" fillId="3" borderId="7" xfId="3" applyFont="1" applyFill="1" applyBorder="1" applyAlignment="1">
      <alignment horizontal="center" vertical="center" wrapText="1"/>
    </xf>
    <xf numFmtId="3" fontId="3" fillId="0" borderId="18" xfId="3" applyNumberFormat="1" applyFont="1" applyFill="1" applyBorder="1" applyAlignment="1">
      <alignment horizontal="center" vertical="center"/>
    </xf>
    <xf numFmtId="3" fontId="3" fillId="0" borderId="22" xfId="3" applyNumberFormat="1" applyFont="1" applyFill="1" applyBorder="1" applyAlignment="1">
      <alignment horizontal="center" vertical="center"/>
    </xf>
    <xf numFmtId="3" fontId="3" fillId="0" borderId="19" xfId="3" applyNumberFormat="1" applyFont="1" applyBorder="1" applyAlignment="1">
      <alignment horizontal="center" vertical="center" wrapText="1"/>
    </xf>
    <xf numFmtId="0" fontId="3" fillId="0" borderId="18" xfId="3" applyFont="1" applyBorder="1" applyAlignment="1">
      <alignment horizontal="center" vertical="center" wrapText="1"/>
    </xf>
    <xf numFmtId="3" fontId="3" fillId="3" borderId="19" xfId="3" applyNumberFormat="1" applyFont="1" applyFill="1" applyBorder="1" applyAlignment="1">
      <alignment horizontal="center" vertical="center"/>
    </xf>
    <xf numFmtId="0" fontId="3" fillId="3" borderId="18" xfId="3" applyFont="1" applyFill="1" applyBorder="1" applyAlignment="1">
      <alignment horizontal="center" vertical="center"/>
    </xf>
    <xf numFmtId="0" fontId="3" fillId="3" borderId="22" xfId="3" applyFont="1" applyFill="1" applyBorder="1" applyAlignment="1">
      <alignment horizontal="center" vertical="center"/>
    </xf>
    <xf numFmtId="0" fontId="15" fillId="0" borderId="0" xfId="0" applyFont="1" applyAlignment="1">
      <alignment horizontal="center" vertical="center" wrapText="1"/>
    </xf>
    <xf numFmtId="0" fontId="3" fillId="0" borderId="19" xfId="3" applyFont="1" applyBorder="1" applyAlignment="1">
      <alignment horizontal="center" vertical="center" wrapText="1"/>
    </xf>
    <xf numFmtId="0" fontId="3" fillId="0" borderId="22" xfId="3" applyFont="1" applyBorder="1" applyAlignment="1">
      <alignment horizontal="center" vertical="center" wrapText="1"/>
    </xf>
    <xf numFmtId="3" fontId="3" fillId="0" borderId="3" xfId="4" applyNumberFormat="1" applyFont="1" applyFill="1" applyBorder="1" applyAlignment="1" applyProtection="1">
      <alignment horizontal="left" vertical="center" wrapText="1"/>
    </xf>
    <xf numFmtId="3" fontId="3" fillId="0" borderId="1" xfId="4" applyNumberFormat="1" applyFont="1" applyFill="1" applyBorder="1" applyAlignment="1" applyProtection="1">
      <alignment horizontal="left" vertical="center" wrapText="1"/>
    </xf>
    <xf numFmtId="3" fontId="3" fillId="0" borderId="2" xfId="4" applyNumberFormat="1" applyFont="1" applyFill="1" applyBorder="1" applyAlignment="1" applyProtection="1">
      <alignment horizontal="left" vertical="center" wrapText="1"/>
    </xf>
    <xf numFmtId="0" fontId="11" fillId="0" borderId="27" xfId="0" applyFont="1" applyBorder="1" applyAlignment="1" applyProtection="1">
      <alignment horizontal="center" vertical="center" wrapText="1"/>
    </xf>
    <xf numFmtId="0" fontId="11" fillId="0" borderId="29" xfId="0" applyFont="1" applyBorder="1" applyAlignment="1" applyProtection="1">
      <alignment horizontal="center" vertical="center" wrapText="1"/>
    </xf>
    <xf numFmtId="0" fontId="11" fillId="0" borderId="31" xfId="0" applyFont="1" applyBorder="1" applyAlignment="1" applyProtection="1">
      <alignment horizontal="center" vertical="center" wrapText="1"/>
    </xf>
    <xf numFmtId="0" fontId="16" fillId="0" borderId="0" xfId="0" applyFont="1" applyAlignment="1" applyProtection="1">
      <alignment horizontal="left"/>
    </xf>
  </cellXfs>
  <cellStyles count="54277">
    <cellStyle name="Cancel" xfId="34"/>
    <cellStyle name="Hiperlink" xfId="6" builtinId="8"/>
    <cellStyle name="Hiperlink 2" xfId="17"/>
    <cellStyle name="Moeda 10" xfId="29211"/>
    <cellStyle name="Moeda 11" xfId="4200"/>
    <cellStyle name="Moeda 12" xfId="13"/>
    <cellStyle name="Moeda 2" xfId="5"/>
    <cellStyle name="Moeda 2 2" xfId="8"/>
    <cellStyle name="Moeda 2 2 2" xfId="29212"/>
    <cellStyle name="Moeda 2 2 3" xfId="14"/>
    <cellStyle name="Moeda 2 2 4 3 3 2" xfId="7993"/>
    <cellStyle name="Moeda 2 2 4 3 3 2 2" xfId="14382"/>
    <cellStyle name="Moeda 2 2 4 3 3 3" xfId="6292"/>
    <cellStyle name="Moeda 2 2 4 3 3 4" xfId="12681"/>
    <cellStyle name="Moeda 2 2 4 3 4" xfId="6076"/>
    <cellStyle name="Moeda 2 2 4 3 4 2" xfId="7776"/>
    <cellStyle name="Moeda 2 2 4 3 4 2 2" xfId="14165"/>
    <cellStyle name="Moeda 2 2 4 3 4 3" xfId="12464"/>
    <cellStyle name="Moeda 2 2 4 3 5" xfId="6401"/>
    <cellStyle name="Moeda 2 2 4 3 5 2" xfId="12790"/>
    <cellStyle name="Moeda 2 2 4 3 6" xfId="4698"/>
    <cellStyle name="Moeda 2 2 4 3 7" xfId="11089"/>
    <cellStyle name="Moeda 2 2 4 4" xfId="4307"/>
    <cellStyle name="Moeda 2 2 4 4 2" xfId="7708"/>
    <cellStyle name="Moeda 2 2 4 4 2 2" xfId="14097"/>
    <cellStyle name="Moeda 2 2 4 4 3" xfId="6008"/>
    <cellStyle name="Moeda 2 2 4 4 4" xfId="12396"/>
    <cellStyle name="Moeda 2 2 4 5" xfId="4415"/>
    <cellStyle name="Moeda 2 2 4 5 2" xfId="7817"/>
    <cellStyle name="Moeda 2 2 4 5 2 2" xfId="14206"/>
    <cellStyle name="Moeda 2 2 4 5 3" xfId="6117"/>
    <cellStyle name="Moeda 2 2 4 5 4" xfId="12505"/>
    <cellStyle name="Moeda 2 2 4 6" xfId="4523"/>
    <cellStyle name="Moeda 2 2 4 6 2" xfId="7925"/>
    <cellStyle name="Moeda 2 2 4 6 2 2" xfId="14314"/>
    <cellStyle name="Moeda 2 2 4 6 3" xfId="6224"/>
    <cellStyle name="Moeda 2 2 4 6 4" xfId="12613"/>
    <cellStyle name="Moeda 2 2 4 7" xfId="5931"/>
    <cellStyle name="Moeda 2 2 4 7 2" xfId="7631"/>
    <cellStyle name="Moeda 2 2 4 7 2 2" xfId="14020"/>
    <cellStyle name="Moeda 2 2 4 7 3" xfId="12319"/>
    <cellStyle name="Moeda 2 2 4 8" xfId="6333"/>
    <cellStyle name="Moeda 2 2 4 8 2" xfId="12722"/>
    <cellStyle name="Moeda 2 2 4 9" xfId="8025"/>
    <cellStyle name="Moeda 2 2 4 9 2" xfId="14414"/>
    <cellStyle name="Moeda 2 2 5" xfId="4215"/>
    <cellStyle name="Moeda 2 2 5 2" xfId="4291"/>
    <cellStyle name="Moeda 2 2 5 2 2" xfId="7692"/>
    <cellStyle name="Moeda 2 2 5 2 2 2" xfId="14081"/>
    <cellStyle name="Moeda 2 2 5 2 3" xfId="5992"/>
    <cellStyle name="Moeda 2 2 5 2 4" xfId="12380"/>
    <cellStyle name="Moeda 2 2 5 3" xfId="4399"/>
    <cellStyle name="Moeda 2 2 5 3 2" xfId="7801"/>
    <cellStyle name="Moeda 2 2 5 3 2 2" xfId="14190"/>
    <cellStyle name="Moeda 2 2 5 3 3" xfId="6101"/>
    <cellStyle name="Moeda 2 2 5 3 4" xfId="12489"/>
    <cellStyle name="Moeda 2 2 5 4" xfId="4507"/>
    <cellStyle name="Moeda 2 2 5 4 2" xfId="7909"/>
    <cellStyle name="Moeda 2 2 5 4 2 2" xfId="14298"/>
    <cellStyle name="Moeda 2 2 5 4 3" xfId="6208"/>
    <cellStyle name="Moeda 2 2 5 4 4" xfId="12597"/>
    <cellStyle name="Moeda 2 2 5 5" xfId="5916"/>
    <cellStyle name="Moeda 2 2 5 5 2" xfId="7615"/>
    <cellStyle name="Moeda 2 2 5 5 2 2" xfId="14004"/>
    <cellStyle name="Moeda 2 2 5 5 3" xfId="12303"/>
    <cellStyle name="Moeda 2 2 5 6" xfId="6317"/>
    <cellStyle name="Moeda 2 2 5 6 2" xfId="12706"/>
    <cellStyle name="Moeda 2 2 5 7" xfId="4615"/>
    <cellStyle name="Moeda 2 2 5 8" xfId="11006"/>
    <cellStyle name="Moeda 2 2 6" xfId="4250"/>
    <cellStyle name="Moeda 2 2 6 2" xfId="4327"/>
    <cellStyle name="Moeda 2 2 6 2 2" xfId="7728"/>
    <cellStyle name="Moeda 2 2 6 2 2 2" xfId="14117"/>
    <cellStyle name="Moeda 2 2 6 2 3" xfId="6028"/>
    <cellStyle name="Moeda 2 2 6 2 4" xfId="12416"/>
    <cellStyle name="Moeda 2 2 6 3" xfId="4435"/>
    <cellStyle name="Moeda 2 2 6 3 2" xfId="7837"/>
    <cellStyle name="Moeda 2 2 6 3 2 2" xfId="14226"/>
    <cellStyle name="Moeda 2 2 6 3 3" xfId="6137"/>
    <cellStyle name="Moeda 2 2 6 3 4" xfId="12525"/>
    <cellStyle name="Moeda 2 2 6 4" xfId="4543"/>
    <cellStyle name="Moeda 2 2 6 4 2" xfId="7945"/>
    <cellStyle name="Moeda 2 2 6 4 2 2" xfId="14334"/>
    <cellStyle name="Moeda 2 2 6 4 3" xfId="6244"/>
    <cellStyle name="Moeda 2 2 6 4 4" xfId="12633"/>
    <cellStyle name="Moeda 2 2 6 5" xfId="5951"/>
    <cellStyle name="Moeda 2 2 6 5 2" xfId="7651"/>
    <cellStyle name="Moeda 2 2 6 5 2 2" xfId="14040"/>
    <cellStyle name="Moeda 2 2 6 5 3" xfId="12339"/>
    <cellStyle name="Moeda 2 2 6 6" xfId="6353"/>
    <cellStyle name="Moeda 2 2 6 6 2" xfId="12742"/>
    <cellStyle name="Moeda 2 2 6 7" xfId="4650"/>
    <cellStyle name="Moeda 2 2 6 8" xfId="11041"/>
    <cellStyle name="Moeda 2 2 7" xfId="4359"/>
    <cellStyle name="Moeda 2 2 7 2" xfId="4467"/>
    <cellStyle name="Moeda 2 2 7 2 2" xfId="7869"/>
    <cellStyle name="Moeda 2 2 7 2 2 2" xfId="14258"/>
    <cellStyle name="Moeda 2 2 7 2 3" xfId="6168"/>
    <cellStyle name="Moeda 2 2 7 2 4" xfId="12557"/>
    <cellStyle name="Moeda 2 2 7 3" xfId="4575"/>
    <cellStyle name="Moeda 2 2 7 3 2" xfId="7977"/>
    <cellStyle name="Moeda 2 2 7 3 2 2" xfId="14366"/>
    <cellStyle name="Moeda 2 2 7 3 3" xfId="6276"/>
    <cellStyle name="Moeda 2 2 7 3 4" xfId="12665"/>
    <cellStyle name="Moeda 2 2 7 4" xfId="6060"/>
    <cellStyle name="Moeda 2 2 7 4 2" xfId="7760"/>
    <cellStyle name="Moeda 2 2 7 4 2 2" xfId="14149"/>
    <cellStyle name="Moeda 2 2 7 4 3" xfId="12448"/>
    <cellStyle name="Moeda 2 2 7 5" xfId="6385"/>
    <cellStyle name="Moeda 2 2 7 5 2" xfId="12774"/>
    <cellStyle name="Moeda 2 2 7 6" xfId="4682"/>
    <cellStyle name="Moeda 2 2 7 7" xfId="11073"/>
    <cellStyle name="Moeda 2 2 8" xfId="4771"/>
    <cellStyle name="Moeda 2 2 8 2" xfId="6472"/>
    <cellStyle name="Moeda 2 2 8 2 2" xfId="12861"/>
    <cellStyle name="Moeda 2 2 8 3" xfId="11160"/>
    <cellStyle name="Moeda 2 2 9" xfId="8009"/>
    <cellStyle name="Moeda 2 2 9 2" xfId="14398"/>
    <cellStyle name="Moeda 2 3" xfId="308"/>
    <cellStyle name="Moeda 2 3 10" xfId="4605"/>
    <cellStyle name="Moeda 2 3 11" xfId="10996"/>
    <cellStyle name="Moeda 2 3 2" xfId="2005"/>
    <cellStyle name="Moeda 2 3 2 2" xfId="4245"/>
    <cellStyle name="Moeda 2 3 2 2 2" xfId="7646"/>
    <cellStyle name="Moeda 2 3 2 2 2 2" xfId="14035"/>
    <cellStyle name="Moeda 2 3 2 2 3" xfId="5946"/>
    <cellStyle name="Moeda 2 3 2 2 4" xfId="12334"/>
    <cellStyle name="Moeda 2 3 2 3" xfId="4322"/>
    <cellStyle name="Moeda 2 3 2 3 2" xfId="7723"/>
    <cellStyle name="Moeda 2 3 2 3 2 2" xfId="14112"/>
    <cellStyle name="Moeda 2 3 2 3 3" xfId="6023"/>
    <cellStyle name="Moeda 2 3 2 3 4" xfId="12411"/>
    <cellStyle name="Moeda 2 3 2 4" xfId="4430"/>
    <cellStyle name="Moeda 2 3 2 4 2" xfId="7832"/>
    <cellStyle name="Moeda 2 3 2 4 2 2" xfId="14221"/>
    <cellStyle name="Moeda 2 3 2 4 3" xfId="6132"/>
    <cellStyle name="Moeda 2 3 2 4 4" xfId="12520"/>
    <cellStyle name="Moeda 2 3 2 5" xfId="4538"/>
    <cellStyle name="Moeda 2 3 2 5 2" xfId="7940"/>
    <cellStyle name="Moeda 2 3 2 5 2 2" xfId="14329"/>
    <cellStyle name="Moeda 2 3 2 5 3" xfId="6239"/>
    <cellStyle name="Moeda 2 3 2 5 4" xfId="12628"/>
    <cellStyle name="Moeda 2 3 2 6" xfId="5292"/>
    <cellStyle name="Moeda 2 3 2 6 2" xfId="6991"/>
    <cellStyle name="Moeda 2 3 2 6 2 2" xfId="13380"/>
    <cellStyle name="Moeda 2 3 2 6 3" xfId="11679"/>
    <cellStyle name="Moeda 2 3 2 7" xfId="6348"/>
    <cellStyle name="Moeda 2 3 2 7 2" xfId="12737"/>
    <cellStyle name="Moeda 2 3 2 8" xfId="4645"/>
    <cellStyle name="Moeda 2 3 2 9" xfId="11036"/>
    <cellStyle name="Moeda 2 3 3" xfId="4209"/>
    <cellStyle name="Moeda 2 3 3 2" xfId="4285"/>
    <cellStyle name="Moeda 2 3 3 2 2" xfId="7686"/>
    <cellStyle name="Moeda 2 3 3 2 2 2" xfId="14075"/>
    <cellStyle name="Moeda 2 3 3 2 3" xfId="5986"/>
    <cellStyle name="Moeda 2 3 3 2 4" xfId="12374"/>
    <cellStyle name="Moeda 2 3 3 3" xfId="4393"/>
    <cellStyle name="Moeda 2 3 3 3 2" xfId="7795"/>
    <cellStyle name="Moeda 2 3 3 3 2 2" xfId="14184"/>
    <cellStyle name="Moeda 2 3 3 3 3" xfId="6095"/>
    <cellStyle name="Moeda 2 3 3 3 4" xfId="12483"/>
    <cellStyle name="Moeda 2 3 3 4" xfId="4501"/>
    <cellStyle name="Moeda 2 3 3 4 2" xfId="7903"/>
    <cellStyle name="Moeda 2 3 3 4 2 2" xfId="14292"/>
    <cellStyle name="Moeda 2 3 3 4 3" xfId="6202"/>
    <cellStyle name="Moeda 2 3 3 4 4" xfId="12591"/>
    <cellStyle name="Moeda 2 3 3 5" xfId="5910"/>
    <cellStyle name="Moeda 2 3 3 5 2" xfId="7609"/>
    <cellStyle name="Moeda 2 3 3 5 2 2" xfId="13998"/>
    <cellStyle name="Moeda 2 3 3 5 3" xfId="12297"/>
    <cellStyle name="Moeda 2 3 3 6" xfId="6311"/>
    <cellStyle name="Moeda 2 3 3 6 2" xfId="12700"/>
    <cellStyle name="Moeda 2 3 3 7" xfId="4609"/>
    <cellStyle name="Moeda 2 3 3 8" xfId="11000"/>
    <cellStyle name="Moeda 2 3 4" xfId="4203"/>
    <cellStyle name="Moeda 2 3 4 2" xfId="7605"/>
    <cellStyle name="Moeda 2 3 4 2 2" xfId="13994"/>
    <cellStyle name="Moeda 2 3 4 3" xfId="5906"/>
    <cellStyle name="Moeda 2 3 4 4" xfId="12293"/>
    <cellStyle name="Moeda 2 3 5" xfId="4281"/>
    <cellStyle name="Moeda 2 3 5 2" xfId="7682"/>
    <cellStyle name="Moeda 2 3 5 2 2" xfId="14071"/>
    <cellStyle name="Moeda 2 3 5 3" xfId="5982"/>
    <cellStyle name="Moeda 2 3 5 4" xfId="12370"/>
    <cellStyle name="Moeda 2 3 6" xfId="4389"/>
    <cellStyle name="Moeda 2 3 6 2" xfId="7791"/>
    <cellStyle name="Moeda 2 3 6 2 2" xfId="14180"/>
    <cellStyle name="Moeda 2 3 6 3" xfId="6091"/>
    <cellStyle name="Moeda 2 3 6 4" xfId="12479"/>
    <cellStyle name="Moeda 2 3 7" xfId="4497"/>
    <cellStyle name="Moeda 2 3 7 2" xfId="7899"/>
    <cellStyle name="Moeda 2 3 7 2 2" xfId="14288"/>
    <cellStyle name="Moeda 2 3 7 3" xfId="6198"/>
    <cellStyle name="Moeda 2 3 7 4" xfId="12587"/>
    <cellStyle name="Moeda 2 3 8" xfId="4802"/>
    <cellStyle name="Moeda 2 3 8 2" xfId="6503"/>
    <cellStyle name="Moeda 2 3 8 2 2" xfId="12892"/>
    <cellStyle name="Moeda 2 3 8 3" xfId="11191"/>
    <cellStyle name="Moeda 2 3 9" xfId="6307"/>
    <cellStyle name="Moeda 2 3 9 2" xfId="12696"/>
    <cellStyle name="Moeda 2 4" xfId="656"/>
    <cellStyle name="Moeda 2 4 2" xfId="8270"/>
    <cellStyle name="Moeda 2 4 2 2" xfId="26484"/>
    <cellStyle name="Moeda 2 4 2 2 2" xfId="51551"/>
    <cellStyle name="Moeda 2 4 2 3" xfId="20570"/>
    <cellStyle name="Moeda 2 4 2 3 2" xfId="45637"/>
    <cellStyle name="Moeda 2 4 2 4" xfId="33815"/>
    <cellStyle name="Moeda 2 4 3" xfId="23527"/>
    <cellStyle name="Moeda 2 4 3 2" xfId="48594"/>
    <cellStyle name="Moeda 2 4 4" xfId="17613"/>
    <cellStyle name="Moeda 2 4 4 2" xfId="42680"/>
    <cellStyle name="Moeda 2 4 5" xfId="29388"/>
    <cellStyle name="Moeda 2 5" xfId="29210"/>
    <cellStyle name="Moeda 3" xfId="9"/>
    <cellStyle name="Moeda 3 10" xfId="4282"/>
    <cellStyle name="Moeda 3 10 2" xfId="7683"/>
    <cellStyle name="Moeda 3 10 2 2" xfId="14072"/>
    <cellStyle name="Moeda 3 10 3" xfId="5983"/>
    <cellStyle name="Moeda 3 10 4" xfId="12371"/>
    <cellStyle name="Moeda 3 11" xfId="4390"/>
    <cellStyle name="Moeda 3 11 2" xfId="7792"/>
    <cellStyle name="Moeda 3 11 2 2" xfId="14181"/>
    <cellStyle name="Moeda 3 11 3" xfId="6092"/>
    <cellStyle name="Moeda 3 11 4" xfId="12480"/>
    <cellStyle name="Moeda 3 12" xfId="4498"/>
    <cellStyle name="Moeda 3 12 2" xfId="7900"/>
    <cellStyle name="Moeda 3 12 2 2" xfId="14289"/>
    <cellStyle name="Moeda 3 12 3" xfId="6199"/>
    <cellStyle name="Moeda 3 12 4" xfId="12588"/>
    <cellStyle name="Moeda 3 13" xfId="4742"/>
    <cellStyle name="Moeda 3 13 2" xfId="6443"/>
    <cellStyle name="Moeda 3 13 2 2" xfId="12832"/>
    <cellStyle name="Moeda 3 13 3" xfId="11131"/>
    <cellStyle name="Moeda 3 14" xfId="6308"/>
    <cellStyle name="Moeda 3 14 2" xfId="12697"/>
    <cellStyle name="Moeda 3 15" xfId="8010"/>
    <cellStyle name="Moeda 3 15 2" xfId="14399"/>
    <cellStyle name="Moeda 3 16" xfId="4606"/>
    <cellStyle name="Moeda 3 17" xfId="10997"/>
    <cellStyle name="Moeda 3 18" xfId="29213"/>
    <cellStyle name="Moeda 3 19" xfId="121"/>
    <cellStyle name="Moeda 3 2" xfId="214"/>
    <cellStyle name="Moeda 3 2 10" xfId="8015"/>
    <cellStyle name="Moeda 3 2 10 2" xfId="14404"/>
    <cellStyle name="Moeda 3 2 11" xfId="4621"/>
    <cellStyle name="Moeda 3 2 12" xfId="11012"/>
    <cellStyle name="Moeda 3 2 2" xfId="2007"/>
    <cellStyle name="Moeda 3 2 2 10" xfId="4636"/>
    <cellStyle name="Moeda 3 2 2 11" xfId="11027"/>
    <cellStyle name="Moeda 3 2 2 2" xfId="4271"/>
    <cellStyle name="Moeda 3 2 2 2 2" xfId="4348"/>
    <cellStyle name="Moeda 3 2 2 2 2 2" xfId="7749"/>
    <cellStyle name="Moeda 3 2 2 2 2 2 2" xfId="14138"/>
    <cellStyle name="Moeda 3 2 2 2 2 3" xfId="6049"/>
    <cellStyle name="Moeda 3 2 2 2 2 4" xfId="12437"/>
    <cellStyle name="Moeda 3 2 2 2 3" xfId="4456"/>
    <cellStyle name="Moeda 3 2 2 2 3 2" xfId="7858"/>
    <cellStyle name="Moeda 3 2 2 2 3 2 2" xfId="14247"/>
    <cellStyle name="Moeda 3 2 2 2 3 3" xfId="6158"/>
    <cellStyle name="Moeda 3 2 2 2 3 4" xfId="12546"/>
    <cellStyle name="Moeda 3 2 2 2 4" xfId="4564"/>
    <cellStyle name="Moeda 3 2 2 2 4 2" xfId="7966"/>
    <cellStyle name="Moeda 3 2 2 2 4 2 2" xfId="14355"/>
    <cellStyle name="Moeda 3 2 2 2 4 3" xfId="6265"/>
    <cellStyle name="Moeda 3 2 2 2 4 4" xfId="12654"/>
    <cellStyle name="Moeda 3 2 2 2 5" xfId="5972"/>
    <cellStyle name="Moeda 3 2 2 2 5 2" xfId="7672"/>
    <cellStyle name="Moeda 3 2 2 2 5 2 2" xfId="14061"/>
    <cellStyle name="Moeda 3 2 2 2 5 3" xfId="12360"/>
    <cellStyle name="Moeda 3 2 2 2 6" xfId="6374"/>
    <cellStyle name="Moeda 3 2 2 2 6 2" xfId="12763"/>
    <cellStyle name="Moeda 3 2 2 2 7" xfId="4671"/>
    <cellStyle name="Moeda 3 2 2 2 8" xfId="11062"/>
    <cellStyle name="Moeda 3 2 2 3" xfId="4236"/>
    <cellStyle name="Moeda 3 2 2 3 2" xfId="4380"/>
    <cellStyle name="Moeda 3 2 2 3 2 2" xfId="7782"/>
    <cellStyle name="Moeda 3 2 2 3 2 2 2" xfId="14171"/>
    <cellStyle name="Moeda 3 2 2 3 2 3" xfId="6082"/>
    <cellStyle name="Moeda 3 2 2 3 2 4" xfId="12470"/>
    <cellStyle name="Moeda 3 2 2 3 3" xfId="4488"/>
    <cellStyle name="Moeda 3 2 2 3 3 2" xfId="7890"/>
    <cellStyle name="Moeda 3 2 2 3 3 2 2" xfId="14279"/>
    <cellStyle name="Moeda 3 2 2 3 3 3" xfId="6189"/>
    <cellStyle name="Moeda 3 2 2 3 3 4" xfId="12578"/>
    <cellStyle name="Moeda 3 2 2 3 4" xfId="4596"/>
    <cellStyle name="Moeda 3 2 2 3 4 2" xfId="7999"/>
    <cellStyle name="Moeda 3 2 2 3 4 2 2" xfId="14388"/>
    <cellStyle name="Moeda 3 2 2 3 4 3" xfId="6298"/>
    <cellStyle name="Moeda 3 2 2 3 4 4" xfId="12687"/>
    <cellStyle name="Moeda 3 2 2 3 5" xfId="5937"/>
    <cellStyle name="Moeda 3 2 2 3 5 2" xfId="7637"/>
    <cellStyle name="Moeda 3 2 2 3 5 2 2" xfId="14026"/>
    <cellStyle name="Moeda 3 2 2 3 5 3" xfId="12325"/>
    <cellStyle name="Moeda 3 2 2 3 6" xfId="6407"/>
    <cellStyle name="Moeda 3 2 2 3 6 2" xfId="12796"/>
    <cellStyle name="Moeda 3 2 2 3 7" xfId="4704"/>
    <cellStyle name="Moeda 3 2 2 3 8" xfId="11095"/>
    <cellStyle name="Moeda 3 2 2 4" xfId="4313"/>
    <cellStyle name="Moeda 3 2 2 4 2" xfId="7714"/>
    <cellStyle name="Moeda 3 2 2 4 2 2" xfId="14103"/>
    <cellStyle name="Moeda 3 2 2 4 3" xfId="6014"/>
    <cellStyle name="Moeda 3 2 2 4 4" xfId="12402"/>
    <cellStyle name="Moeda 3 2 2 5" xfId="4421"/>
    <cellStyle name="Moeda 3 2 2 5 2" xfId="7823"/>
    <cellStyle name="Moeda 3 2 2 5 2 2" xfId="14212"/>
    <cellStyle name="Moeda 3 2 2 5 3" xfId="6123"/>
    <cellStyle name="Moeda 3 2 2 5 4" xfId="12511"/>
    <cellStyle name="Moeda 3 2 2 6" xfId="4529"/>
    <cellStyle name="Moeda 3 2 2 6 2" xfId="7931"/>
    <cellStyle name="Moeda 3 2 2 6 2 2" xfId="14320"/>
    <cellStyle name="Moeda 3 2 2 6 3" xfId="6230"/>
    <cellStyle name="Moeda 3 2 2 6 4" xfId="12619"/>
    <cellStyle name="Moeda 3 2 2 7" xfId="5294"/>
    <cellStyle name="Moeda 3 2 2 7 2" xfId="6993"/>
    <cellStyle name="Moeda 3 2 2 7 2 2" xfId="13382"/>
    <cellStyle name="Moeda 3 2 2 7 3" xfId="11681"/>
    <cellStyle name="Moeda 3 2 2 8" xfId="6339"/>
    <cellStyle name="Moeda 3 2 2 8 2" xfId="12728"/>
    <cellStyle name="Moeda 3 2 2 9" xfId="8031"/>
    <cellStyle name="Moeda 3 2 2 9 2" xfId="14420"/>
    <cellStyle name="Moeda 3 2 3" xfId="4256"/>
    <cellStyle name="Moeda 3 2 3 2" xfId="4333"/>
    <cellStyle name="Moeda 3 2 3 2 2" xfId="7734"/>
    <cellStyle name="Moeda 3 2 3 2 2 2" xfId="14123"/>
    <cellStyle name="Moeda 3 2 3 2 3" xfId="6034"/>
    <cellStyle name="Moeda 3 2 3 2 4" xfId="12422"/>
    <cellStyle name="Moeda 3 2 3 3" xfId="4441"/>
    <cellStyle name="Moeda 3 2 3 3 2" xfId="7843"/>
    <cellStyle name="Moeda 3 2 3 3 2 2" xfId="14232"/>
    <cellStyle name="Moeda 3 2 3 3 3" xfId="6143"/>
    <cellStyle name="Moeda 3 2 3 3 4" xfId="12531"/>
    <cellStyle name="Moeda 3 2 3 4" xfId="4549"/>
    <cellStyle name="Moeda 3 2 3 4 2" xfId="7951"/>
    <cellStyle name="Moeda 3 2 3 4 2 2" xfId="14340"/>
    <cellStyle name="Moeda 3 2 3 4 3" xfId="6250"/>
    <cellStyle name="Moeda 3 2 3 4 4" xfId="12639"/>
    <cellStyle name="Moeda 3 2 3 5" xfId="5957"/>
    <cellStyle name="Moeda 3 2 3 5 2" xfId="7657"/>
    <cellStyle name="Moeda 3 2 3 5 2 2" xfId="14046"/>
    <cellStyle name="Moeda 3 2 3 5 3" xfId="12345"/>
    <cellStyle name="Moeda 3 2 3 6" xfId="6359"/>
    <cellStyle name="Moeda 3 2 3 6 2" xfId="12748"/>
    <cellStyle name="Moeda 3 2 3 7" xfId="4656"/>
    <cellStyle name="Moeda 3 2 3 8" xfId="11047"/>
    <cellStyle name="Moeda 3 2 4" xfId="4221"/>
    <cellStyle name="Moeda 3 2 4 2" xfId="4365"/>
    <cellStyle name="Moeda 3 2 4 2 2" xfId="7766"/>
    <cellStyle name="Moeda 3 2 4 2 2 2" xfId="14155"/>
    <cellStyle name="Moeda 3 2 4 2 3" xfId="6066"/>
    <cellStyle name="Moeda 3 2 4 2 4" xfId="12454"/>
    <cellStyle name="Moeda 3 2 4 3" xfId="4473"/>
    <cellStyle name="Moeda 3 2 4 3 2" xfId="7875"/>
    <cellStyle name="Moeda 3 2 4 3 2 2" xfId="14264"/>
    <cellStyle name="Moeda 3 2 4 3 3" xfId="6174"/>
    <cellStyle name="Moeda 3 2 4 3 4" xfId="12563"/>
    <cellStyle name="Moeda 3 2 4 4" xfId="4581"/>
    <cellStyle name="Moeda 3 2 4 4 2" xfId="7983"/>
    <cellStyle name="Moeda 3 2 4 4 2 2" xfId="14372"/>
    <cellStyle name="Moeda 3 2 4 4 3" xfId="6282"/>
    <cellStyle name="Moeda 3 2 4 4 4" xfId="12671"/>
    <cellStyle name="Moeda 3 2 4 5" xfId="5921"/>
    <cellStyle name="Moeda 3 2 4 5 2" xfId="7621"/>
    <cellStyle name="Moeda 3 2 4 5 2 2" xfId="14010"/>
    <cellStyle name="Moeda 3 2 4 5 3" xfId="12309"/>
    <cellStyle name="Moeda 3 2 4 6" xfId="6391"/>
    <cellStyle name="Moeda 3 2 4 6 2" xfId="12780"/>
    <cellStyle name="Moeda 3 2 4 7" xfId="4688"/>
    <cellStyle name="Moeda 3 2 4 8" xfId="11079"/>
    <cellStyle name="Moeda 3 2 5" xfId="4297"/>
    <cellStyle name="Moeda 3 2 5 2" xfId="7698"/>
    <cellStyle name="Moeda 3 2 5 2 2" xfId="14087"/>
    <cellStyle name="Moeda 3 2 5 3" xfId="5998"/>
    <cellStyle name="Moeda 3 2 5 4" xfId="12386"/>
    <cellStyle name="Moeda 3 2 6" xfId="4405"/>
    <cellStyle name="Moeda 3 2 6 2" xfId="7807"/>
    <cellStyle name="Moeda 3 2 6 2 2" xfId="14196"/>
    <cellStyle name="Moeda 3 2 6 3" xfId="6107"/>
    <cellStyle name="Moeda 3 2 6 4" xfId="12495"/>
    <cellStyle name="Moeda 3 2 7" xfId="4513"/>
    <cellStyle name="Moeda 3 2 7 2" xfId="7915"/>
    <cellStyle name="Moeda 3 2 7 2 2" xfId="14304"/>
    <cellStyle name="Moeda 3 2 7 3" xfId="6214"/>
    <cellStyle name="Moeda 3 2 7 4" xfId="12603"/>
    <cellStyle name="Moeda 3 2 8" xfId="4773"/>
    <cellStyle name="Moeda 3 2 8 2" xfId="6474"/>
    <cellStyle name="Moeda 3 2 8 2 2" xfId="12863"/>
    <cellStyle name="Moeda 3 2 8 3" xfId="11162"/>
    <cellStyle name="Moeda 3 2 9" xfId="6323"/>
    <cellStyle name="Moeda 3 2 9 2" xfId="12712"/>
    <cellStyle name="Moeda 3 20" xfId="15"/>
    <cellStyle name="Moeda 3 3" xfId="310"/>
    <cellStyle name="Moeda 3 3 10" xfId="8020"/>
    <cellStyle name="Moeda 3 3 10 2" xfId="14409"/>
    <cellStyle name="Moeda 3 3 11" xfId="4626"/>
    <cellStyle name="Moeda 3 3 12" xfId="11017"/>
    <cellStyle name="Moeda 3 3 2" xfId="4241"/>
    <cellStyle name="Moeda 3 3 2 10" xfId="4641"/>
    <cellStyle name="Moeda 3 3 2 11" xfId="11032"/>
    <cellStyle name="Moeda 3 3 2 2" xfId="4276"/>
    <cellStyle name="Moeda 3 3 2 2 2" xfId="4353"/>
    <cellStyle name="Moeda 3 3 2 2 2 2" xfId="7754"/>
    <cellStyle name="Moeda 3 3 2 2 2 2 2" xfId="14143"/>
    <cellStyle name="Moeda 3 3 2 2 2 3" xfId="6054"/>
    <cellStyle name="Moeda 3 3 2 2 2 4" xfId="12442"/>
    <cellStyle name="Moeda 3 3 2 2 3" xfId="4461"/>
    <cellStyle name="Moeda 3 3 2 2 3 2" xfId="7863"/>
    <cellStyle name="Moeda 3 3 2 2 3 2 2" xfId="14252"/>
    <cellStyle name="Moeda 3 3 2 2 3 4" xfId="12551"/>
    <cellStyle name="Moeda 3 3 2 2 4" xfId="4569"/>
    <cellStyle name="Moeda 3 3 2 2 4 2" xfId="7971"/>
    <cellStyle name="Moeda 3 3 2 2 4 2 2" xfId="14360"/>
    <cellStyle name="Moeda 3 3 2 2 4 3" xfId="6270"/>
    <cellStyle name="Moeda 3 3 2 2 4 4" xfId="12659"/>
    <cellStyle name="Moeda 3 3 2 2 5" xfId="5977"/>
    <cellStyle name="Moeda 3 3 2 2 5 2" xfId="7677"/>
    <cellStyle name="Moeda 3 3 2 2 5 2 2" xfId="14066"/>
    <cellStyle name="Moeda 3 3 2 2 5 3" xfId="12365"/>
    <cellStyle name="Moeda 3 3 2 2 6" xfId="6379"/>
    <cellStyle name="Moeda 3 3 2 2 6 2" xfId="12768"/>
    <cellStyle name="Moeda 3 3 2 2 7" xfId="4676"/>
    <cellStyle name="Moeda 3 3 2 2 8" xfId="11067"/>
    <cellStyle name="Moeda 3 3 2 3" xfId="4385"/>
    <cellStyle name="Moeda 3 3 2 3 2" xfId="4493"/>
    <cellStyle name="Moeda 3 3 2 3 2 2" xfId="7895"/>
    <cellStyle name="Moeda 3 3 2 3 2 2 2" xfId="14284"/>
    <cellStyle name="Moeda 3 3 2 3 2 3" xfId="6194"/>
    <cellStyle name="Moeda 3 3 2 3 2 4" xfId="12583"/>
    <cellStyle name="Moeda 3 3 2 3 3" xfId="4601"/>
    <cellStyle name="Moeda 3 3 2 3 3 2" xfId="8004"/>
    <cellStyle name="Moeda 3 3 2 3 3 2 2" xfId="14393"/>
    <cellStyle name="Moeda 3 3 2 3 3 3" xfId="6303"/>
    <cellStyle name="Moeda 3 3 2 3 3 4" xfId="12692"/>
    <cellStyle name="Moeda 3 3 2 3 4" xfId="6087"/>
    <cellStyle name="Moeda 3 3 2 3 4 2" xfId="7787"/>
    <cellStyle name="Moeda 3 3 2 3 4 2 2" xfId="14176"/>
    <cellStyle name="Moeda 3 3 2 3 4 3" xfId="12475"/>
    <cellStyle name="Moeda 3 3 2 3 5" xfId="6412"/>
    <cellStyle name="Moeda 3 3 2 3 5 2" xfId="12801"/>
    <cellStyle name="Moeda 3 3 2 3 6" xfId="4709"/>
    <cellStyle name="Moeda 3 3 2 3 7" xfId="11100"/>
    <cellStyle name="Moeda 3 3 2 4" xfId="4318"/>
    <cellStyle name="Moeda 3 3 2 4 2" xfId="7719"/>
    <cellStyle name="Moeda 3 3 2 4 2 2" xfId="14108"/>
    <cellStyle name="Moeda 3 3 2 4 3" xfId="6019"/>
    <cellStyle name="Moeda 3 3 2 4 4" xfId="12407"/>
    <cellStyle name="Moeda 3 3 2 5" xfId="4426"/>
    <cellStyle name="Moeda 3 3 2 5 2" xfId="7828"/>
    <cellStyle name="Moeda 3 3 2 5 2 2" xfId="14217"/>
    <cellStyle name="Moeda 3 3 2 5 3" xfId="6128"/>
    <cellStyle name="Moeda 3 3 2 5 4" xfId="12516"/>
    <cellStyle name="Moeda 3 3 2 6" xfId="4534"/>
    <cellStyle name="Moeda 3 3 2 6 2" xfId="7936"/>
    <cellStyle name="Moeda 3 3 2 6 2 2" xfId="14325"/>
    <cellStyle name="Moeda 3 3 2 6 3" xfId="6235"/>
    <cellStyle name="Moeda 3 3 2 6 4" xfId="12624"/>
    <cellStyle name="Moeda 3 3 2 7" xfId="5942"/>
    <cellStyle name="Moeda 3 3 2 7 2" xfId="7642"/>
    <cellStyle name="Moeda 3 3 2 7 2 2" xfId="14031"/>
    <cellStyle name="Moeda 3 3 2 7 3" xfId="12330"/>
    <cellStyle name="Moeda 3 3 2 8" xfId="6344"/>
    <cellStyle name="Moeda 3 3 2 8 2" xfId="12733"/>
    <cellStyle name="Moeda 3 3 2 9" xfId="8036"/>
    <cellStyle name="Moeda 3 3 2 9 2" xfId="14425"/>
    <cellStyle name="Moeda 3 3 3" xfId="4261"/>
    <cellStyle name="Moeda 3 3 3 2" xfId="4338"/>
    <cellStyle name="Moeda 3 3 3 2 2" xfId="7739"/>
    <cellStyle name="Moeda 3 3 3 2 2 2" xfId="14128"/>
    <cellStyle name="Moeda 3 3 3 2 3" xfId="6039"/>
    <cellStyle name="Moeda 3 3 3 2 4" xfId="12427"/>
    <cellStyle name="Moeda 3 3 3 3" xfId="4446"/>
    <cellStyle name="Moeda 3 3 3 3 2" xfId="7848"/>
    <cellStyle name="Moeda 3 3 3 3 2 2" xfId="14237"/>
    <cellStyle name="Moeda 3 3 3 3 3" xfId="6148"/>
    <cellStyle name="Moeda 3 3 3 3 4" xfId="12536"/>
    <cellStyle name="Moeda 3 3 3 4" xfId="4554"/>
    <cellStyle name="Moeda 3 3 3 4 2" xfId="7956"/>
    <cellStyle name="Moeda 3 3 3 4 2 2" xfId="14345"/>
    <cellStyle name="Moeda 3 3 3 4 3" xfId="6255"/>
    <cellStyle name="Moeda 3 3 3 4 4" xfId="12644"/>
    <cellStyle name="Moeda 3 3 3 5" xfId="5962"/>
    <cellStyle name="Moeda 3 3 3 5 2" xfId="7662"/>
    <cellStyle name="Moeda 3 3 3 5 2 2" xfId="14051"/>
    <cellStyle name="Moeda 3 3 3 5 3" xfId="12350"/>
    <cellStyle name="Moeda 3 3 3 6" xfId="6364"/>
    <cellStyle name="Moeda 3 3 3 6 2" xfId="12753"/>
    <cellStyle name="Moeda 3 3 3 7" xfId="4661"/>
    <cellStyle name="Moeda 3 3 3 8" xfId="11052"/>
    <cellStyle name="Moeda 3 3 4" xfId="4226"/>
    <cellStyle name="Moeda 3 3 4 2" xfId="4370"/>
    <cellStyle name="Moeda 3 3 4 2 2" xfId="7771"/>
    <cellStyle name="Moeda 3 3 4 2 2 2" xfId="14160"/>
    <cellStyle name="Moeda 3 3 4 2 3" xfId="6071"/>
    <cellStyle name="Moeda 3 3 4 2 4" xfId="12459"/>
    <cellStyle name="Moeda 3 3 4 3" xfId="4478"/>
    <cellStyle name="Moeda 3 3 4 3 2" xfId="7880"/>
    <cellStyle name="Moeda 3 3 4 3 2 2" xfId="14269"/>
    <cellStyle name="Moeda 3 3 4 3 3" xfId="6179"/>
    <cellStyle name="Moeda 3 3 4 3 4" xfId="12568"/>
    <cellStyle name="Moeda 3 3 4 4" xfId="4586"/>
    <cellStyle name="Moeda 3 3 4 4 2" xfId="7988"/>
    <cellStyle name="Moeda 3 3 4 4 2 2" xfId="14377"/>
    <cellStyle name="Moeda 3 3 4 4 3" xfId="6287"/>
    <cellStyle name="Moeda 3 3 4 4 4" xfId="12676"/>
    <cellStyle name="Moeda 3 3 4 5" xfId="5926"/>
    <cellStyle name="Moeda 3 3 4 5 2" xfId="7626"/>
    <cellStyle name="Moeda 3 3 4 5 2 2" xfId="14015"/>
    <cellStyle name="Moeda 3 3 4 5 3" xfId="12314"/>
    <cellStyle name="Moeda 3 3 4 6" xfId="6396"/>
    <cellStyle name="Moeda 3 3 4 6 2" xfId="12785"/>
    <cellStyle name="Moeda 3 3 4 7" xfId="4693"/>
    <cellStyle name="Moeda 3 3 4 8" xfId="11084"/>
    <cellStyle name="Moeda 3 3 5" xfId="4302"/>
    <cellStyle name="Moeda 3 3 5 2" xfId="7703"/>
    <cellStyle name="Moeda 3 3 5 2 2" xfId="14092"/>
    <cellStyle name="Moeda 3 3 5 3" xfId="6003"/>
    <cellStyle name="Moeda 3 3 5 4" xfId="12391"/>
    <cellStyle name="Moeda 3 3 6" xfId="4410"/>
    <cellStyle name="Moeda 3 3 6 2" xfId="7812"/>
    <cellStyle name="Moeda 3 3 6 2 2" xfId="14201"/>
    <cellStyle name="Moeda 3 3 6 3" xfId="6112"/>
    <cellStyle name="Moeda 3 3 6 4" xfId="12500"/>
    <cellStyle name="Moeda 3 3 7" xfId="4518"/>
    <cellStyle name="Moeda 3 3 7 2" xfId="7920"/>
    <cellStyle name="Moeda 3 3 7 2 2" xfId="14309"/>
    <cellStyle name="Moeda 3 3 7 3" xfId="6219"/>
    <cellStyle name="Moeda 3 3 7 4" xfId="12608"/>
    <cellStyle name="Moeda 3 3 8" xfId="4804"/>
    <cellStyle name="Moeda 3 3 8 2" xfId="6505"/>
    <cellStyle name="Moeda 3 3 8 2 2" xfId="12894"/>
    <cellStyle name="Moeda 3 3 8 3" xfId="11193"/>
    <cellStyle name="Moeda 3 3 9" xfId="6328"/>
    <cellStyle name="Moeda 3 3 9 2" xfId="12717"/>
    <cellStyle name="Moeda 3 4" xfId="657"/>
    <cellStyle name="Moeda 3 4 10" xfId="4631"/>
    <cellStyle name="Moeda 3 4 11" xfId="11022"/>
    <cellStyle name="Moeda 3 4 12" xfId="29389"/>
    <cellStyle name="Moeda 3 4 2" xfId="4266"/>
    <cellStyle name="Moeda 3 4 2 2" xfId="4343"/>
    <cellStyle name="Moeda 3 4 2 2 2" xfId="7744"/>
    <cellStyle name="Moeda 3 4 2 2 2 2" xfId="14133"/>
    <cellStyle name="Moeda 3 4 2 2 3" xfId="6044"/>
    <cellStyle name="Moeda 3 4 2 2 4" xfId="12432"/>
    <cellStyle name="Moeda 3 4 2 3" xfId="4451"/>
    <cellStyle name="Moeda 3 4 2 3 2" xfId="7853"/>
    <cellStyle name="Moeda 3 4 2 3 2 2" xfId="14242"/>
    <cellStyle name="Moeda 3 4 2 3 3" xfId="6153"/>
    <cellStyle name="Moeda 3 4 2 3 4" xfId="12541"/>
    <cellStyle name="Moeda 3 4 2 4" xfId="4559"/>
    <cellStyle name="Moeda 3 4 2 4 2" xfId="7961"/>
    <cellStyle name="Moeda 3 4 2 4 2 2" xfId="14350"/>
    <cellStyle name="Moeda 3 4 2 4 3" xfId="6260"/>
    <cellStyle name="Moeda 3 4 2 4 4" xfId="12649"/>
    <cellStyle name="Moeda 3 4 2 5" xfId="5967"/>
    <cellStyle name="Moeda 3 4 2 5 2" xfId="7667"/>
    <cellStyle name="Moeda 3 4 2 5 2 2" xfId="14056"/>
    <cellStyle name="Moeda 3 4 2 5 3" xfId="12355"/>
    <cellStyle name="Moeda 3 4 2 6" xfId="6369"/>
    <cellStyle name="Moeda 3 4 2 6 2" xfId="12758"/>
    <cellStyle name="Moeda 3 4 2 7" xfId="4666"/>
    <cellStyle name="Moeda 3 4 2 8" xfId="11057"/>
    <cellStyle name="Moeda 3 4 3" xfId="4231"/>
    <cellStyle name="Moeda 3 4 3 2" xfId="4375"/>
    <cellStyle name="Moeda 3 4 3 2 2" xfId="7777"/>
    <cellStyle name="Moeda 3 4 3 2 2 2" xfId="14166"/>
    <cellStyle name="Moeda 3 4 3 2 3" xfId="6077"/>
    <cellStyle name="Moeda 3 4 3 2 4" xfId="12465"/>
    <cellStyle name="Moeda 3 4 3 3" xfId="4483"/>
    <cellStyle name="Moeda 3 4 3 3 2" xfId="7885"/>
    <cellStyle name="Moeda 3 4 3 3 2 2" xfId="14274"/>
    <cellStyle name="Moeda 3 4 3 3 3" xfId="6184"/>
    <cellStyle name="Moeda 3 4 3 3 4" xfId="12573"/>
    <cellStyle name="Moeda 3 4 3 4" xfId="4591"/>
    <cellStyle name="Moeda 3 4 3 4 2" xfId="7994"/>
    <cellStyle name="Moeda 3 4 3 4 2 2" xfId="14383"/>
    <cellStyle name="Moeda 3 4 3 4 3" xfId="6293"/>
    <cellStyle name="Moeda 3 4 3 4 4" xfId="12682"/>
    <cellStyle name="Moeda 3 4 3 5" xfId="5932"/>
    <cellStyle name="Moeda 3 4 3 5 2" xfId="7632"/>
    <cellStyle name="Moeda 3 4 3 5 2 2" xfId="14021"/>
    <cellStyle name="Moeda 3 4 3 5 3" xfId="12320"/>
    <cellStyle name="Moeda 3 4 3 6" xfId="6402"/>
    <cellStyle name="Moeda 3 4 3 6 2" xfId="12791"/>
    <cellStyle name="Moeda 3 4 3 7" xfId="4699"/>
    <cellStyle name="Moeda 3 4 3 8" xfId="11090"/>
    <cellStyle name="Moeda 3 4 4" xfId="4308"/>
    <cellStyle name="Moeda 3 4 4 2" xfId="7709"/>
    <cellStyle name="Moeda 3 4 4 2 2" xfId="14098"/>
    <cellStyle name="Moeda 3 4 4 3" xfId="6009"/>
    <cellStyle name="Moeda 3 4 4 4" xfId="12397"/>
    <cellStyle name="Moeda 3 4 5" xfId="4416"/>
    <cellStyle name="Moeda 3 4 5 2" xfId="7818"/>
    <cellStyle name="Moeda 3 4 5 2 2" xfId="14207"/>
    <cellStyle name="Moeda 3 4 5 3" xfId="6118"/>
    <cellStyle name="Moeda 3 4 5 4" xfId="12506"/>
    <cellStyle name="Moeda 3 4 6" xfId="4524"/>
    <cellStyle name="Moeda 3 4 6 2" xfId="7926"/>
    <cellStyle name="Moeda 3 4 6 2 2" xfId="14315"/>
    <cellStyle name="Moeda 3 4 6 3" xfId="6225"/>
    <cellStyle name="Moeda 3 4 6 4" xfId="12614"/>
    <cellStyle name="Moeda 3 4 7" xfId="4893"/>
    <cellStyle name="Moeda 3 4 7 2" xfId="8271"/>
    <cellStyle name="Moeda 3 4 7 2 2" xfId="26485"/>
    <cellStyle name="Moeda 3 4 7 2 2 2" xfId="51552"/>
    <cellStyle name="Moeda 3 4 7 2 3" xfId="20571"/>
    <cellStyle name="Moeda 3 4 7 2 3 2" xfId="45638"/>
    <cellStyle name="Moeda 3 4 7 2 4" xfId="33816"/>
    <cellStyle name="Moeda 3 4 7 3" xfId="23528"/>
    <cellStyle name="Moeda 3 4 7 3 2" xfId="48595"/>
    <cellStyle name="Moeda 3 4 7 4" xfId="17614"/>
    <cellStyle name="Moeda 3 4 7 4 2" xfId="42681"/>
    <cellStyle name="Moeda 3 4 7 5" xfId="30859"/>
    <cellStyle name="Moeda 3 4 8" xfId="6334"/>
    <cellStyle name="Moeda 3 4 8 2" xfId="12723"/>
    <cellStyle name="Moeda 3 4 9" xfId="8026"/>
    <cellStyle name="Moeda 3 4 9 2" xfId="14415"/>
    <cellStyle name="Moeda 3 5" xfId="4216"/>
    <cellStyle name="Moeda 3 5 2" xfId="4292"/>
    <cellStyle name="Moeda 3 5 2 2" xfId="7693"/>
    <cellStyle name="Moeda 3 5 2 2 2" xfId="14082"/>
    <cellStyle name="Moeda 3 5 2 3" xfId="5993"/>
    <cellStyle name="Moeda 3 5 2 4" xfId="12381"/>
    <cellStyle name="Moeda 3 5 3" xfId="4400"/>
    <cellStyle name="Moeda 3 5 3 2" xfId="7802"/>
    <cellStyle name="Moeda 3 5 3 2 2" xfId="14191"/>
    <cellStyle name="Moeda 3 5 3 3" xfId="6102"/>
    <cellStyle name="Moeda 3 5 3 4" xfId="12490"/>
    <cellStyle name="Moeda 3 5 4" xfId="4508"/>
    <cellStyle name="Moeda 3 5 4 2" xfId="7910"/>
    <cellStyle name="Moeda 3 5 4 2 2" xfId="14299"/>
    <cellStyle name="Moeda 3 5 4 3" xfId="6209"/>
    <cellStyle name="Moeda 3 5 4 4" xfId="12598"/>
    <cellStyle name="Moeda 3 5 5" xfId="5917"/>
    <cellStyle name="Moeda 3 5 5 2" xfId="7616"/>
    <cellStyle name="Moeda 3 5 5 2 2" xfId="14005"/>
    <cellStyle name="Moeda 3 5 5 3" xfId="12304"/>
    <cellStyle name="Moeda 3 5 6" xfId="6318"/>
    <cellStyle name="Moeda 3 5 6 2" xfId="12707"/>
    <cellStyle name="Moeda 3 5 7" xfId="4616"/>
    <cellStyle name="Moeda 3 5 8" xfId="11007"/>
    <cellStyle name="Moeda 3 6" xfId="4246"/>
    <cellStyle name="Moeda 3 6 2" xfId="4323"/>
    <cellStyle name="Moeda 3 6 2 2" xfId="7724"/>
    <cellStyle name="Moeda 3 6 2 2 2" xfId="14113"/>
    <cellStyle name="Moeda 3 6 2 3" xfId="6024"/>
    <cellStyle name="Moeda 3 6 2 4" xfId="12412"/>
    <cellStyle name="Moeda 3 6 3" xfId="4431"/>
    <cellStyle name="Moeda 3 6 3 2" xfId="7833"/>
    <cellStyle name="Moeda 3 6 3 2 2" xfId="14222"/>
    <cellStyle name="Moeda 3 6 3 3" xfId="6133"/>
    <cellStyle name="Moeda 3 6 3 4" xfId="12521"/>
    <cellStyle name="Moeda 3 6 4" xfId="4539"/>
    <cellStyle name="Moeda 3 6 4 2" xfId="7941"/>
    <cellStyle name="Moeda 3 6 4 2 2" xfId="14330"/>
    <cellStyle name="Moeda 3 6 4 3" xfId="6240"/>
    <cellStyle name="Moeda 3 6 4 4" xfId="12629"/>
    <cellStyle name="Moeda 3 6 5" xfId="5947"/>
    <cellStyle name="Moeda 3 6 5 2" xfId="7647"/>
    <cellStyle name="Moeda 3 6 5 2 2" xfId="14036"/>
    <cellStyle name="Moeda 3 6 5 3" xfId="12335"/>
    <cellStyle name="Moeda 3 6 6" xfId="6349"/>
    <cellStyle name="Moeda 3 6 6 2" xfId="12738"/>
    <cellStyle name="Moeda 3 6 7" xfId="4646"/>
    <cellStyle name="Moeda 3 6 8" xfId="11037"/>
    <cellStyle name="Moeda 3 7" xfId="4210"/>
    <cellStyle name="Moeda 3 7 2" xfId="4286"/>
    <cellStyle name="Moeda 3 7 2 2" xfId="7687"/>
    <cellStyle name="Moeda 3 7 2 2 2" xfId="14076"/>
    <cellStyle name="Moeda 3 7 2 3" xfId="5987"/>
    <cellStyle name="Moeda 3 7 2 4" xfId="12375"/>
    <cellStyle name="Moeda 3 7 3" xfId="4394"/>
    <cellStyle name="Moeda 3 7 3 2" xfId="7796"/>
    <cellStyle name="Moeda 3 7 3 2 2" xfId="14185"/>
    <cellStyle name="Moeda 3 7 3 3" xfId="6096"/>
    <cellStyle name="Moeda 3 7 3 4" xfId="12484"/>
    <cellStyle name="Moeda 3 7 4" xfId="4502"/>
    <cellStyle name="Moeda 3 7 4 2" xfId="7904"/>
    <cellStyle name="Moeda 3 7 4 2 2" xfId="14293"/>
    <cellStyle name="Moeda 3 7 4 3" xfId="6203"/>
    <cellStyle name="Moeda 3 7 4 4" xfId="12592"/>
    <cellStyle name="Moeda 3 7 5" xfId="5911"/>
    <cellStyle name="Moeda 3 7 5 2" xfId="7610"/>
    <cellStyle name="Moeda 3 7 5 2 2" xfId="13999"/>
    <cellStyle name="Moeda 3 7 5 3" xfId="12298"/>
    <cellStyle name="Moeda 3 7 6" xfId="6312"/>
    <cellStyle name="Moeda 3 7 6 2" xfId="12701"/>
    <cellStyle name="Moeda 3 7 7" xfId="4610"/>
    <cellStyle name="Moeda 3 7 8" xfId="11001"/>
    <cellStyle name="Moeda 3 8" xfId="4251"/>
    <cellStyle name="Moeda 3 8 2" xfId="4328"/>
    <cellStyle name="Moeda 3 8 2 2" xfId="7729"/>
    <cellStyle name="Moeda 3 8 2 2 2" xfId="14118"/>
    <cellStyle name="Moeda 3 8 2 3" xfId="6029"/>
    <cellStyle name="Moeda 3 8 2 4" xfId="12417"/>
    <cellStyle name="Moeda 3 8 3" xfId="4436"/>
    <cellStyle name="Moeda 3 8 3 2" xfId="7838"/>
    <cellStyle name="Moeda 3 8 3 2 2" xfId="14227"/>
    <cellStyle name="Moeda 3 8 3 3" xfId="6138"/>
    <cellStyle name="Moeda 3 8 3 4" xfId="12526"/>
    <cellStyle name="Moeda 3 8 4" xfId="4544"/>
    <cellStyle name="Moeda 3 8 4 2" xfId="7946"/>
    <cellStyle name="Moeda 3 8 4 2 2" xfId="14335"/>
    <cellStyle name="Moeda 3 8 4 3" xfId="6245"/>
    <cellStyle name="Moeda 3 8 4 4" xfId="12634"/>
    <cellStyle name="Moeda 3 8 5" xfId="5952"/>
    <cellStyle name="Moeda 3 8 5 2" xfId="7652"/>
    <cellStyle name="Moeda 3 8 5 2 2" xfId="14041"/>
    <cellStyle name="Moeda 3 8 5 3" xfId="12340"/>
    <cellStyle name="Moeda 3 8 6" xfId="6354"/>
    <cellStyle name="Moeda 3 8 6 2" xfId="12743"/>
    <cellStyle name="Moeda 3 8 7" xfId="4651"/>
    <cellStyle name="Moeda 3 8 8" xfId="11042"/>
    <cellStyle name="Moeda 3 9" xfId="4204"/>
    <cellStyle name="Moeda 3 9 2" xfId="4360"/>
    <cellStyle name="Moeda 3 9 2 2" xfId="7761"/>
    <cellStyle name="Moeda 3 9 2 2 2" xfId="14150"/>
    <cellStyle name="Moeda 3 9 2 3" xfId="6061"/>
    <cellStyle name="Moeda 3 9 2 4" xfId="12449"/>
    <cellStyle name="Moeda 3 9 3" xfId="4468"/>
    <cellStyle name="Moeda 3 9 3 2" xfId="7870"/>
    <cellStyle name="Moeda 3 9 3 2 2" xfId="14259"/>
    <cellStyle name="Moeda 3 9 3 3" xfId="6169"/>
    <cellStyle name="Moeda 3 9 3 4" xfId="12558"/>
    <cellStyle name="Moeda 3 9 4" xfId="4576"/>
    <cellStyle name="Moeda 3 9 4 2" xfId="7978"/>
    <cellStyle name="Moeda 3 9 4 2 2" xfId="14367"/>
    <cellStyle name="Moeda 3 9 4 3" xfId="6277"/>
    <cellStyle name="Moeda 3 9 4 4" xfId="12666"/>
    <cellStyle name="Moeda 3 9 5" xfId="5907"/>
    <cellStyle name="Moeda 3 9 5 2" xfId="7606"/>
    <cellStyle name="Moeda 3 9 5 2 2" xfId="13995"/>
    <cellStyle name="Moeda 3 9 5 3" xfId="12294"/>
    <cellStyle name="Moeda 3 9 6" xfId="6386"/>
    <cellStyle name="Moeda 3 9 6 2" xfId="12775"/>
    <cellStyle name="Moeda 3 9 7" xfId="4683"/>
    <cellStyle name="Moeda 3 9 8" xfId="11074"/>
    <cellStyle name="Moeda 4" xfId="11"/>
    <cellStyle name="Moeda 4 10" xfId="8013"/>
    <cellStyle name="Moeda 4 10 2" xfId="14402"/>
    <cellStyle name="Moeda 4 11" xfId="4619"/>
    <cellStyle name="Moeda 4 12" xfId="11010"/>
    <cellStyle name="Moeda 4 13" xfId="210"/>
    <cellStyle name="Moeda 4 2" xfId="2002"/>
    <cellStyle name="Moeda 4 2 10" xfId="4634"/>
    <cellStyle name="Moeda 4 2 11" xfId="11025"/>
    <cellStyle name="Moeda 4 2 2" xfId="4269"/>
    <cellStyle name="Moeda 4 2 2 2" xfId="4346"/>
    <cellStyle name="Moeda 4 2 2 2 2" xfId="7747"/>
    <cellStyle name="Moeda 4 2 2 2 2 2" xfId="14136"/>
    <cellStyle name="Moeda 4 2 2 2 3" xfId="6047"/>
    <cellStyle name="Moeda 4 2 2 2 4" xfId="12435"/>
    <cellStyle name="Moeda 4 2 2 3" xfId="4454"/>
    <cellStyle name="Moeda 4 2 2 3 2" xfId="7856"/>
    <cellStyle name="Moeda 4 2 2 3 2 2" xfId="14245"/>
    <cellStyle name="Moeda 4 2 2 3 3" xfId="6156"/>
    <cellStyle name="Moeda 4 2 2 3 4" xfId="12544"/>
    <cellStyle name="Moeda 4 2 2 4" xfId="4562"/>
    <cellStyle name="Moeda 4 2 2 4 2" xfId="7964"/>
    <cellStyle name="Moeda 4 2 2 4 2 2" xfId="14353"/>
    <cellStyle name="Moeda 4 2 2 4 3" xfId="6263"/>
    <cellStyle name="Moeda 4 2 2 4 4" xfId="12652"/>
    <cellStyle name="Moeda 4 2 2 5" xfId="5970"/>
    <cellStyle name="Moeda 4 2 2 5 2" xfId="7670"/>
    <cellStyle name="Moeda 4 2 2 5 2 2" xfId="14059"/>
    <cellStyle name="Moeda 4 2 2 5 3" xfId="12358"/>
    <cellStyle name="Moeda 4 2 2 6" xfId="6372"/>
    <cellStyle name="Moeda 4 2 2 6 2" xfId="12761"/>
    <cellStyle name="Moeda 4 2 2 7" xfId="4669"/>
    <cellStyle name="Moeda 4 2 2 8" xfId="11060"/>
    <cellStyle name="Moeda 4 2 3" xfId="4234"/>
    <cellStyle name="Moeda 4 2 3 2" xfId="4378"/>
    <cellStyle name="Moeda 4 2 3 2 2" xfId="7780"/>
    <cellStyle name="Moeda 4 2 3 2 2 2" xfId="14169"/>
    <cellStyle name="Moeda 4 2 3 2 3" xfId="6080"/>
    <cellStyle name="Moeda 4 2 3 2 4" xfId="12468"/>
    <cellStyle name="Moeda 4 2 3 3" xfId="4486"/>
    <cellStyle name="Moeda 4 2 3 3 2" xfId="7888"/>
    <cellStyle name="Moeda 4 2 3 3 2 2" xfId="14277"/>
    <cellStyle name="Moeda 4 2 3 3 3" xfId="6187"/>
    <cellStyle name="Moeda 4 2 3 3 4" xfId="12576"/>
    <cellStyle name="Moeda 4 2 3 4" xfId="4594"/>
    <cellStyle name="Moeda 4 2 3 4 2" xfId="7997"/>
    <cellStyle name="Moeda 4 2 3 4 2 2" xfId="14386"/>
    <cellStyle name="Moeda 4 2 3 4 3" xfId="6296"/>
    <cellStyle name="Moeda 4 2 3 4 4" xfId="12685"/>
    <cellStyle name="Moeda 4 2 3 5" xfId="5935"/>
    <cellStyle name="Moeda 4 2 3 5 2" xfId="7635"/>
    <cellStyle name="Moeda 4 2 3 5 2 2" xfId="14024"/>
    <cellStyle name="Moeda 4 2 3 5 3" xfId="12323"/>
    <cellStyle name="Moeda 4 2 3 6" xfId="6405"/>
    <cellStyle name="Moeda 4 2 3 6 2" xfId="12794"/>
    <cellStyle name="Moeda 4 2 3 7" xfId="4702"/>
    <cellStyle name="Moeda 4 2 3 8" xfId="11093"/>
    <cellStyle name="Moeda 4 2 4" xfId="4311"/>
    <cellStyle name="Moeda 4 2 4 2" xfId="7712"/>
    <cellStyle name="Moeda 4 2 4 2 2" xfId="14101"/>
    <cellStyle name="Moeda 4 2 4 3" xfId="6012"/>
    <cellStyle name="Moeda 4 2 4 4" xfId="12400"/>
    <cellStyle name="Moeda 4 2 5" xfId="4419"/>
    <cellStyle name="Moeda 4 2 5 2" xfId="7821"/>
    <cellStyle name="Moeda 4 2 5 2 2" xfId="14210"/>
    <cellStyle name="Moeda 4 2 5 3" xfId="6121"/>
    <cellStyle name="Moeda 4 2 5 4" xfId="12509"/>
    <cellStyle name="Moeda 4 2 6" xfId="4527"/>
    <cellStyle name="Moeda 4 2 6 2" xfId="7929"/>
    <cellStyle name="Moeda 4 2 6 2 2" xfId="14318"/>
    <cellStyle name="Moeda 4 2 6 3" xfId="6228"/>
    <cellStyle name="Moeda 4 2 6 4" xfId="12617"/>
    <cellStyle name="Moeda 4 2 7" xfId="5289"/>
    <cellStyle name="Moeda 4 2 7 2" xfId="6988"/>
    <cellStyle name="Moeda 4 2 7 2 2" xfId="13377"/>
    <cellStyle name="Moeda 4 2 7 3" xfId="11676"/>
    <cellStyle name="Moeda 4 2 8" xfId="6337"/>
    <cellStyle name="Moeda 4 2 8 2" xfId="12726"/>
    <cellStyle name="Moeda 4 2 9" xfId="8029"/>
    <cellStyle name="Moeda 4 2 9 2" xfId="14418"/>
    <cellStyle name="Moeda 4 3" xfId="4254"/>
    <cellStyle name="Moeda 4 3 2" xfId="4331"/>
    <cellStyle name="Moeda 4 3 2 2" xfId="7732"/>
    <cellStyle name="Moeda 4 3 2 2 2" xfId="14121"/>
    <cellStyle name="Moeda 4 3 2 3" xfId="6032"/>
    <cellStyle name="Moeda 4 3 2 4" xfId="12420"/>
    <cellStyle name="Moeda 4 3 3" xfId="4439"/>
    <cellStyle name="Moeda 4 3 3 2" xfId="7841"/>
    <cellStyle name="Moeda 4 3 3 2 2" xfId="14230"/>
    <cellStyle name="Moeda 4 3 3 3" xfId="6141"/>
    <cellStyle name="Moeda 4 3 3 4" xfId="12529"/>
    <cellStyle name="Moeda 4 3 4" xfId="4547"/>
    <cellStyle name="Moeda 4 3 4 2" xfId="7949"/>
    <cellStyle name="Moeda 4 3 4 2 2" xfId="14338"/>
    <cellStyle name="Moeda 4 3 4 3" xfId="6248"/>
    <cellStyle name="Moeda 4 3 4 4" xfId="12637"/>
    <cellStyle name="Moeda 4 3 5" xfId="5955"/>
    <cellStyle name="Moeda 4 3 5 2" xfId="7655"/>
    <cellStyle name="Moeda 4 3 5 2 2" xfId="14044"/>
    <cellStyle name="Moeda 4 3 5 3" xfId="12343"/>
    <cellStyle name="Moeda 4 3 6" xfId="6357"/>
    <cellStyle name="Moeda 4 3 6 2" xfId="12746"/>
    <cellStyle name="Moeda 4 3 7" xfId="4654"/>
    <cellStyle name="Moeda 4 3 8" xfId="11045"/>
    <cellStyle name="Moeda 4 4" xfId="4219"/>
    <cellStyle name="Moeda 4 4 2" xfId="4363"/>
    <cellStyle name="Moeda 4 4 2 2" xfId="7764"/>
    <cellStyle name="Moeda 4 4 2 2 2" xfId="14153"/>
    <cellStyle name="Moeda 4 4 2 3" xfId="6064"/>
    <cellStyle name="Moeda 4 4 2 4" xfId="12452"/>
    <cellStyle name="Moeda 4 4 3" xfId="4471"/>
    <cellStyle name="Moeda 4 4 3 2" xfId="7873"/>
    <cellStyle name="Moeda 4 4 3 2 2" xfId="14262"/>
    <cellStyle name="Moeda 4 4 3 3" xfId="6172"/>
    <cellStyle name="Moeda 4 4 3 4" xfId="12561"/>
    <cellStyle name="Moeda 4 4 4" xfId="4579"/>
    <cellStyle name="Moeda 4 4 4 2" xfId="7981"/>
    <cellStyle name="Moeda 4 4 4 2 2" xfId="14370"/>
    <cellStyle name="Moeda 4 4 4 3" xfId="6280"/>
    <cellStyle name="Moeda 4 4 4 4" xfId="12669"/>
    <cellStyle name="Moeda 4 4 5 2" xfId="7619"/>
    <cellStyle name="Moeda 4 4 5 2 2" xfId="14008"/>
    <cellStyle name="Moeda 4 4 5 3" xfId="12307"/>
    <cellStyle name="Moeda 4 4 6" xfId="6389"/>
    <cellStyle name="Moeda 4 4 6 2" xfId="12778"/>
    <cellStyle name="Moeda 4 4 7" xfId="4686"/>
    <cellStyle name="Moeda 4 4 8" xfId="11077"/>
    <cellStyle name="Moeda 4 5" xfId="4295"/>
    <cellStyle name="Moeda 4 5 2" xfId="7696"/>
    <cellStyle name="Moeda 4 5 2 2" xfId="14085"/>
    <cellStyle name="Moeda 4 5 3" xfId="5996"/>
    <cellStyle name="Moeda 4 5 4" xfId="12384"/>
    <cellStyle name="Moeda 4 6" xfId="4403"/>
    <cellStyle name="Moeda 4 6 2" xfId="7805"/>
    <cellStyle name="Moeda 4 6 2 2" xfId="14194"/>
    <cellStyle name="Moeda 4 6 3" xfId="6105"/>
    <cellStyle name="Moeda 4 6 4" xfId="12493"/>
    <cellStyle name="Moeda 4 7" xfId="4511"/>
    <cellStyle name="Moeda 4 7 2" xfId="7913"/>
    <cellStyle name="Moeda 4 7 2 2" xfId="14302"/>
    <cellStyle name="Moeda 4 7 3" xfId="6212"/>
    <cellStyle name="Moeda 4 7 4" xfId="12601"/>
    <cellStyle name="Moeda 4 8" xfId="4768"/>
    <cellStyle name="Moeda 4 8 2" xfId="6469"/>
    <cellStyle name="Moeda 4 8 2 2" xfId="12858"/>
    <cellStyle name="Moeda 4 8 3" xfId="11157"/>
    <cellStyle name="Moeda 4 9" xfId="6321"/>
    <cellStyle name="Moeda 4 9 2" xfId="12710"/>
    <cellStyle name="Moeda 5" xfId="116"/>
    <cellStyle name="Moeda 5 10" xfId="8018"/>
    <cellStyle name="Moeda 5 10 2" xfId="14407"/>
    <cellStyle name="Moeda 5 11" xfId="4624"/>
    <cellStyle name="Moeda 5 12" xfId="11015"/>
    <cellStyle name="Moeda 5 2" xfId="305"/>
    <cellStyle name="Moeda 5 2 10" xfId="4639"/>
    <cellStyle name="Moeda 5 2 11" xfId="11030"/>
    <cellStyle name="Moeda 5 2 2" xfId="4274"/>
    <cellStyle name="Moeda 5 2 2 2" xfId="4351"/>
    <cellStyle name="Moeda 5 2 2 2 2" xfId="7752"/>
    <cellStyle name="Moeda 5 2 2 2 2 2" xfId="14141"/>
    <cellStyle name="Moeda 5 2 2 2 3" xfId="6052"/>
    <cellStyle name="Moeda 5 2 2 2 4" xfId="12440"/>
    <cellStyle name="Moeda 5 2 2 3" xfId="4459"/>
    <cellStyle name="Moeda 5 2 2 3 2" xfId="7861"/>
    <cellStyle name="Moeda 5 2 2 3 2 2" xfId="14250"/>
    <cellStyle name="Moeda 5 2 2 3 3" xfId="6161"/>
    <cellStyle name="Moeda 5 2 2 3 4" xfId="12549"/>
    <cellStyle name="Moeda 5 2 2 4" xfId="4567"/>
    <cellStyle name="Moeda 5 2 2 4 2" xfId="7969"/>
    <cellStyle name="Moeda 5 2 2 4 2 2" xfId="14358"/>
    <cellStyle name="Moeda 5 2 2 4 3" xfId="6268"/>
    <cellStyle name="Moeda 5 2 2 4 4" xfId="12657"/>
    <cellStyle name="Moeda 5 2 2 5" xfId="5975"/>
    <cellStyle name="Moeda 5 2 2 5 2" xfId="7675"/>
    <cellStyle name="Moeda 5 2 2 5 2 2" xfId="14064"/>
    <cellStyle name="Moeda 5 2 2 5 3" xfId="12363"/>
    <cellStyle name="Moeda 5 2 2 6" xfId="6377"/>
    <cellStyle name="Moeda 5 2 2 6 2" xfId="12766"/>
    <cellStyle name="Moeda 5 2 2 7" xfId="4674"/>
    <cellStyle name="Moeda 5 2 2 8" xfId="11065"/>
    <cellStyle name="Moeda 5 2 3" xfId="4239"/>
    <cellStyle name="Moeda 5 2 3 2" xfId="4383"/>
    <cellStyle name="Moeda 5 2 3 2 2" xfId="7785"/>
    <cellStyle name="Moeda 5 2 3 2 2 2" xfId="14174"/>
    <cellStyle name="Moeda 5 2 3 2 3" xfId="6085"/>
    <cellStyle name="Moeda 5 2 3 2 4" xfId="12473"/>
    <cellStyle name="Moeda 5 2 3 3" xfId="4491"/>
    <cellStyle name="Moeda 5 2 3 3 2" xfId="7893"/>
    <cellStyle name="Moeda 5 2 3 3 2 2" xfId="14282"/>
    <cellStyle name="Moeda 5 2 3 3 3" xfId="6192"/>
    <cellStyle name="Moeda 5 2 3 3 4" xfId="12581"/>
    <cellStyle name="Moeda 5 2 3 4" xfId="4599"/>
    <cellStyle name="Moeda 5 2 3 4 2" xfId="8002"/>
    <cellStyle name="Moeda 5 2 3 4 2 2" xfId="14391"/>
    <cellStyle name="Moeda 5 2 3 4 3" xfId="6301"/>
    <cellStyle name="Moeda 5 2 3 4 4" xfId="12690"/>
    <cellStyle name="Moeda 5 2 3 5" xfId="5940"/>
    <cellStyle name="Moeda 5 2 3 5 2" xfId="7640"/>
    <cellStyle name="Moeda 5 2 3 5 2 2" xfId="14029"/>
    <cellStyle name="Moeda 5 2 3 5 3" xfId="12328"/>
    <cellStyle name="Moeda 5 2 3 6" xfId="6410"/>
    <cellStyle name="Moeda 5 2 3 6 2" xfId="12799"/>
    <cellStyle name="Moeda 5 2 3 7" xfId="4707"/>
    <cellStyle name="Moeda 5 2 3 8" xfId="11098"/>
    <cellStyle name="Moeda 5 2 4" xfId="4316"/>
    <cellStyle name="Moeda 5 2 4 2" xfId="7717"/>
    <cellStyle name="Moeda 5 2 4 2 2" xfId="14106"/>
    <cellStyle name="Moeda 5 2 4 3" xfId="6017"/>
    <cellStyle name="Moeda 5 2 4 4" xfId="12405"/>
    <cellStyle name="Moeda 5 2 5" xfId="4424"/>
    <cellStyle name="Moeda 5 2 5 2" xfId="7826"/>
    <cellStyle name="Moeda 5 2 5 2 2" xfId="14215"/>
    <cellStyle name="Moeda 5 2 5 3" xfId="6126"/>
    <cellStyle name="Moeda 5 2 5 4" xfId="12514"/>
    <cellStyle name="Moeda 5 2 6" xfId="4532"/>
    <cellStyle name="Moeda 5 2 6 2" xfId="7934"/>
    <cellStyle name="Moeda 5 2 6 2 2" xfId="14323"/>
    <cellStyle name="Moeda 5 2 6 3" xfId="6233"/>
    <cellStyle name="Moeda 5 2 6 4" xfId="12622"/>
    <cellStyle name="Moeda 5 2 7" xfId="4799"/>
    <cellStyle name="Moeda 5 2 7 2" xfId="6500"/>
    <cellStyle name="Moeda 5 2 7 2 2" xfId="12889"/>
    <cellStyle name="Moeda 5 2 7 3" xfId="11188"/>
    <cellStyle name="Moeda 5 2 8" xfId="6342"/>
    <cellStyle name="Moeda 5 2 8 2" xfId="12731"/>
    <cellStyle name="Moeda 5 2 9" xfId="8034"/>
    <cellStyle name="Moeda 5 2 9 2" xfId="14423"/>
    <cellStyle name="Moeda 5 3" xfId="398"/>
    <cellStyle name="Moeda 5 3 2" xfId="4259"/>
    <cellStyle name="Moeda 5 3 2 2" xfId="7660"/>
    <cellStyle name="Moeda 5 3 2 2 2" xfId="14049"/>
    <cellStyle name="Moeda 5 3 2 3" xfId="5960"/>
    <cellStyle name="Moeda 5 3 2 4" xfId="12348"/>
    <cellStyle name="Moeda 5 3 3" xfId="4336"/>
    <cellStyle name="Moeda 5 3 3 2" xfId="7737"/>
    <cellStyle name="Moeda 5 3 3 2 2" xfId="14126"/>
    <cellStyle name="Moeda 5 3 3 3" xfId="6037"/>
    <cellStyle name="Moeda 5 3 3 4" xfId="12425"/>
    <cellStyle name="Moeda 5 3 4" xfId="4444"/>
    <cellStyle name="Moeda 5 3 4 2" xfId="7846"/>
    <cellStyle name="Moeda 5 3 4 2 2" xfId="14235"/>
    <cellStyle name="Moeda 5 3 4 3" xfId="6146"/>
    <cellStyle name="Moeda 5 3 4 4" xfId="12534"/>
    <cellStyle name="Moeda 5 3 5" xfId="4552"/>
    <cellStyle name="Moeda 5 3 5 2" xfId="7954"/>
    <cellStyle name="Moeda 5 3 5 2 2" xfId="14343"/>
    <cellStyle name="Moeda 5 3 5 3" xfId="6253"/>
    <cellStyle name="Moeda 5 3 5 4" xfId="12642"/>
    <cellStyle name="Moeda 5 3 6" xfId="4827"/>
    <cellStyle name="Moeda 5 3 6 2" xfId="6528"/>
    <cellStyle name="Moeda 5 3 6 2 2" xfId="12917"/>
    <cellStyle name="Moeda 5 3 6 3" xfId="11216"/>
    <cellStyle name="Moeda 5 3 7" xfId="6362"/>
    <cellStyle name="Moeda 5 3 7 2" xfId="12751"/>
    <cellStyle name="Moeda 5 3 8" xfId="4659"/>
    <cellStyle name="Moeda 5 3 9" xfId="11050"/>
    <cellStyle name="Moeda 5 4" xfId="4224"/>
    <cellStyle name="Moeda 5 4 2" xfId="4368"/>
    <cellStyle name="Moeda 5 4 2 2" xfId="7769"/>
    <cellStyle name="Moeda 5 4 2 2 2" xfId="14158"/>
    <cellStyle name="Moeda 5 4 2 3" xfId="6069"/>
    <cellStyle name="Moeda 5 4 2 4" xfId="12457"/>
    <cellStyle name="Moeda 5 4 3" xfId="4476"/>
    <cellStyle name="Moeda 5 4 3 2" xfId="7878"/>
    <cellStyle name="Moeda 5 4 3 2 2" xfId="14267"/>
    <cellStyle name="Moeda 5 4 3 3" xfId="6177"/>
    <cellStyle name="Moeda 5 4 3 4" xfId="12566"/>
    <cellStyle name="Moeda 5 4 4" xfId="4584"/>
    <cellStyle name="Moeda 5 4 4 2" xfId="7986"/>
    <cellStyle name="Moeda 5 4 4 2 2" xfId="14375"/>
    <cellStyle name="Moeda 5 4 4 3" xfId="6285"/>
    <cellStyle name="Moeda 5 4 4 4" xfId="12674"/>
    <cellStyle name="Moeda 5 4 5" xfId="5924"/>
    <cellStyle name="Moeda 5 4 5 2" xfId="7624"/>
    <cellStyle name="Moeda 5 4 5 2 2" xfId="14013"/>
    <cellStyle name="Moeda 5 4 5 3" xfId="12312"/>
    <cellStyle name="Moeda 5 4 6" xfId="6394"/>
    <cellStyle name="Moeda 5 4 6 2" xfId="12783"/>
    <cellStyle name="Moeda 5 4 7" xfId="4691"/>
    <cellStyle name="Moeda 5 4 8" xfId="11082"/>
    <cellStyle name="Moeda 5 5" xfId="4300"/>
    <cellStyle name="Moeda 5 5 2" xfId="7701"/>
    <cellStyle name="Moeda 5 5 2 2" xfId="14090"/>
    <cellStyle name="Moeda 5 5 3" xfId="6001"/>
    <cellStyle name="Moeda 5 5 4" xfId="12389"/>
    <cellStyle name="Moeda 5 6" xfId="4408"/>
    <cellStyle name="Moeda 5 6 2" xfId="7810"/>
    <cellStyle name="Moeda 5 6 2 2" xfId="14199"/>
    <cellStyle name="Moeda 5 6 3" xfId="6110"/>
    <cellStyle name="Moeda 5 6 4" xfId="12498"/>
    <cellStyle name="Moeda 5 7" xfId="4516"/>
    <cellStyle name="Moeda 5 7 2" xfId="7918"/>
    <cellStyle name="Moeda 5 7 2 2" xfId="14307"/>
    <cellStyle name="Moeda 5 7 3" xfId="6217"/>
    <cellStyle name="Moeda 5 7 4" xfId="12606"/>
    <cellStyle name="Moeda 5 8" xfId="4738"/>
    <cellStyle name="Moeda 5 8 2" xfId="6440"/>
    <cellStyle name="Moeda 5 8 2 2" xfId="12829"/>
    <cellStyle name="Moeda 5 8 3" xfId="11128"/>
    <cellStyle name="Moeda 5 9" xfId="6326"/>
    <cellStyle name="Moeda 5 9 2" xfId="12715"/>
    <cellStyle name="Moeda 6" xfId="655"/>
    <cellStyle name="Moeda 6 10" xfId="4629"/>
    <cellStyle name="Moeda 6 11" xfId="11020"/>
    <cellStyle name="Moeda 6 12" xfId="29387"/>
    <cellStyle name="Moeda 6 2" xfId="4264"/>
    <cellStyle name="Moeda 6 2 2" xfId="4341"/>
    <cellStyle name="Moeda 6 2 2 2" xfId="7742"/>
    <cellStyle name="Moeda 6 2 2 2 2" xfId="14131"/>
    <cellStyle name="Moeda 6 2 2 3" xfId="6042"/>
    <cellStyle name="Moeda 6 2 2 4" xfId="12430"/>
    <cellStyle name="Moeda 6 2 3" xfId="4449"/>
    <cellStyle name="Moeda 6 2 3 2" xfId="7851"/>
    <cellStyle name="Moeda 6 2 3 2 2" xfId="14240"/>
    <cellStyle name="Moeda 6 2 3 3" xfId="6151"/>
    <cellStyle name="Moeda 6 2 3 4" xfId="12539"/>
    <cellStyle name="Moeda 6 2 4" xfId="4557"/>
    <cellStyle name="Moeda 6 2 4 2" xfId="7959"/>
    <cellStyle name="Moeda 6 2 4 2 2" xfId="14348"/>
    <cellStyle name="Moeda 6 2 4 3" xfId="6258"/>
    <cellStyle name="Moeda 6 2 4 4" xfId="12647"/>
    <cellStyle name="Moeda 6 2 5" xfId="5965"/>
    <cellStyle name="Moeda 6 2 5 2" xfId="7665"/>
    <cellStyle name="Moeda 6 2 5 2 2" xfId="14054"/>
    <cellStyle name="Moeda 6 2 5 3" xfId="12353"/>
    <cellStyle name="Moeda 6 2 6" xfId="6367"/>
    <cellStyle name="Moeda 6 2 6 2" xfId="12756"/>
    <cellStyle name="Moeda 6 2 7" xfId="4664"/>
    <cellStyle name="Moeda 6 2 8" xfId="11055"/>
    <cellStyle name="Moeda 6 3" xfId="4229"/>
    <cellStyle name="Moeda 6 3 2" xfId="4373"/>
    <cellStyle name="Moeda 6 3 2 2" xfId="7774"/>
    <cellStyle name="Moeda 6 3 2 2 2" xfId="14163"/>
    <cellStyle name="Moeda 6 3 2 3" xfId="6074"/>
    <cellStyle name="Moeda 6 3 2 4" xfId="12462"/>
    <cellStyle name="Moeda 6 3 3" xfId="4481"/>
    <cellStyle name="Moeda 6 3 3 2" xfId="7883"/>
    <cellStyle name="Moeda 6 3 3 2 2" xfId="14272"/>
    <cellStyle name="Moeda 6 3 3 3" xfId="6182"/>
    <cellStyle name="Moeda 6 3 3 4" xfId="12571"/>
    <cellStyle name="Moeda 6 3 4" xfId="4589"/>
    <cellStyle name="Moeda 6 3 4 2" xfId="7991"/>
    <cellStyle name="Moeda 6 3 4 2 2" xfId="14380"/>
    <cellStyle name="Moeda 6 3 4 3" xfId="6290"/>
    <cellStyle name="Moeda 6 3 4 4" xfId="12679"/>
    <cellStyle name="Moeda 6 3 5" xfId="5929"/>
    <cellStyle name="Moeda 6 3 5 2" xfId="7629"/>
    <cellStyle name="Moeda 6 3 5 2 2" xfId="14018"/>
    <cellStyle name="Moeda 6 3 5 3" xfId="12317"/>
    <cellStyle name="Moeda 6 3 6" xfId="6399"/>
    <cellStyle name="Moeda 6 3 6 2" xfId="12788"/>
    <cellStyle name="Moeda 6 3 7" xfId="4696"/>
    <cellStyle name="Moeda 6 3 8" xfId="11087"/>
    <cellStyle name="Moeda 6 4" xfId="4305"/>
    <cellStyle name="Moeda 6 4 2" xfId="7706"/>
    <cellStyle name="Moeda 6 4 2 2" xfId="14095"/>
    <cellStyle name="Moeda 6 4 3" xfId="6006"/>
    <cellStyle name="Moeda 6 4 4" xfId="12394"/>
    <cellStyle name="Moeda 6 5" xfId="4413"/>
    <cellStyle name="Moeda 6 5 2" xfId="7815"/>
    <cellStyle name="Moeda 6 5 2 2" xfId="14204"/>
    <cellStyle name="Moeda 6 5 3" xfId="6115"/>
    <cellStyle name="Moeda 6 5 4" xfId="12503"/>
    <cellStyle name="Moeda 6 6" xfId="4521"/>
    <cellStyle name="Moeda 6 6 2" xfId="7923"/>
    <cellStyle name="Moeda 6 6 2 2" xfId="14312"/>
    <cellStyle name="Moeda 6 6 3" xfId="6222"/>
    <cellStyle name="Moeda 6 6 4" xfId="12611"/>
    <cellStyle name="Moeda 6 7" xfId="4892"/>
    <cellStyle name="Moeda 6 7 2" xfId="8269"/>
    <cellStyle name="Moeda 6 7 2 2" xfId="26483"/>
    <cellStyle name="Moeda 6 7 2 2 2" xfId="51550"/>
    <cellStyle name="Moeda 6 7 2 3" xfId="20569"/>
    <cellStyle name="Moeda 6 7 2 3 2" xfId="45636"/>
    <cellStyle name="Moeda 6 7 2 4" xfId="33814"/>
    <cellStyle name="Moeda 6 7 3" xfId="23526"/>
    <cellStyle name="Moeda 6 7 3 2" xfId="48593"/>
    <cellStyle name="Moeda 6 7 4" xfId="17612"/>
    <cellStyle name="Moeda 6 7 4 2" xfId="42679"/>
    <cellStyle name="Moeda 6 7 5" xfId="30858"/>
    <cellStyle name="Moeda 6 8" xfId="6331"/>
    <cellStyle name="Moeda 6 8 2" xfId="12720"/>
    <cellStyle name="Moeda 6 9" xfId="8023"/>
    <cellStyle name="Moeda 6 9 2" xfId="14412"/>
    <cellStyle name="Moeda 7" xfId="4212"/>
    <cellStyle name="Moeda 7 2" xfId="4288"/>
    <cellStyle name="Moeda 7 2 2" xfId="7689"/>
    <cellStyle name="Moeda 7 2 2 2" xfId="14078"/>
    <cellStyle name="Moeda 7 2 3" xfId="5989"/>
    <cellStyle name="Moeda 7 2 4" xfId="12377"/>
    <cellStyle name="Moeda 7 3" xfId="4396"/>
    <cellStyle name="Moeda 7 3 2" xfId="7798"/>
    <cellStyle name="Moeda 7 3 2 2" xfId="14187"/>
    <cellStyle name="Moeda 7 3 3" xfId="6098"/>
    <cellStyle name="Moeda 7 3 4" xfId="12486"/>
    <cellStyle name="Moeda 7 4" xfId="4504"/>
    <cellStyle name="Moeda 7 4 2" xfId="7906"/>
    <cellStyle name="Moeda 7 4 2 2" xfId="14295"/>
    <cellStyle name="Moeda 7 4 3" xfId="6205"/>
    <cellStyle name="Moeda 7 4 4" xfId="12594"/>
    <cellStyle name="Moeda 7 5" xfId="5913"/>
    <cellStyle name="Moeda 7 5 2" xfId="7612"/>
    <cellStyle name="Moeda 7 5 2 2" xfId="14001"/>
    <cellStyle name="Moeda 7 5 3" xfId="12300"/>
    <cellStyle name="Moeda 7 6" xfId="6314"/>
    <cellStyle name="Moeda 7 6 2" xfId="12703"/>
    <cellStyle name="Moeda 7 7" xfId="4612"/>
    <cellStyle name="Moeda 7 8" xfId="11003"/>
    <cellStyle name="Moeda 8" xfId="4248"/>
    <cellStyle name="Moeda 8 2" xfId="4325"/>
    <cellStyle name="Moeda 8 2 2" xfId="7726"/>
    <cellStyle name="Moeda 8 2 2 2" xfId="14115"/>
    <cellStyle name="Moeda 8 2 3" xfId="6026"/>
    <cellStyle name="Moeda 8 2 4" xfId="12414"/>
    <cellStyle name="Moeda 8 3" xfId="4433"/>
    <cellStyle name="Moeda 8 3 2" xfId="7835"/>
    <cellStyle name="Moeda 8 3 2 2" xfId="14224"/>
    <cellStyle name="Moeda 8 3 3" xfId="6135"/>
    <cellStyle name="Moeda 8 3 4" xfId="12523"/>
    <cellStyle name="Moeda 8 4" xfId="4541"/>
    <cellStyle name="Moeda 8 4 2" xfId="7943"/>
    <cellStyle name="Moeda 8 4 2 2" xfId="14332"/>
    <cellStyle name="Moeda 8 4 3" xfId="6242"/>
    <cellStyle name="Moeda 8 4 4" xfId="12631"/>
    <cellStyle name="Moeda 8 5" xfId="5949"/>
    <cellStyle name="Moeda 8 5 2" xfId="7649"/>
    <cellStyle name="Moeda 8 5 2 2" xfId="14038"/>
    <cellStyle name="Moeda 8 5 3" xfId="12337"/>
    <cellStyle name="Moeda 8 6" xfId="6351"/>
    <cellStyle name="Moeda 8 6 2" xfId="12740"/>
    <cellStyle name="Moeda 8 7" xfId="4648"/>
    <cellStyle name="Moeda 8 8" xfId="11039"/>
    <cellStyle name="Moeda 9" xfId="4279"/>
    <cellStyle name="Moeda 9 2" xfId="4356"/>
    <cellStyle name="Moeda 9 2 2" xfId="7757"/>
    <cellStyle name="Moeda 9 2 2 2" xfId="14146"/>
    <cellStyle name="Moeda 9 2 3" xfId="6057"/>
    <cellStyle name="Moeda 9 2 4" xfId="12445"/>
    <cellStyle name="Moeda 9 3" xfId="4464"/>
    <cellStyle name="Moeda 9 3 2" xfId="7866"/>
    <cellStyle name="Moeda 9 3 2 2" xfId="14255"/>
    <cellStyle name="Moeda 9 3 3" xfId="6165"/>
    <cellStyle name="Moeda 9 3 4" xfId="12554"/>
    <cellStyle name="Moeda 9 4" xfId="4572"/>
    <cellStyle name="Moeda 9 4 2" xfId="7974"/>
    <cellStyle name="Moeda 9 4 2 2" xfId="14363"/>
    <cellStyle name="Moeda 9 4 3" xfId="6273"/>
    <cellStyle name="Moeda 9 4 4" xfId="12662"/>
    <cellStyle name="Moeda 9 5" xfId="5980"/>
    <cellStyle name="Moeda 9 5 2" xfId="7680"/>
    <cellStyle name="Moeda 9 5 2 2" xfId="14069"/>
    <cellStyle name="Moeda 9 5 3" xfId="12368"/>
    <cellStyle name="Moeda 9 6" xfId="6382"/>
    <cellStyle name="Moeda 9 6 2" xfId="12771"/>
    <cellStyle name="Moeda 9 7" xfId="4679"/>
    <cellStyle name="Moeda 9 8" xfId="11070"/>
    <cellStyle name="Normal" xfId="0" builtinId="0"/>
    <cellStyle name="Normal 2" xfId="16"/>
    <cellStyle name="Normal 2 2" xfId="22"/>
    <cellStyle name="Normal 2 2 2" xfId="23"/>
    <cellStyle name="Normal 2 2 3" xfId="4205"/>
    <cellStyle name="Normal 2 2 4" xfId="4713"/>
    <cellStyle name="Normal 2 3" xfId="24"/>
    <cellStyle name="Normal 2 4" xfId="119"/>
    <cellStyle name="Normal 2 4 2" xfId="4206"/>
    <cellStyle name="Normal 2 4 3" xfId="4740"/>
    <cellStyle name="Normal 3" xfId="25"/>
    <cellStyle name="Normal 4" xfId="26"/>
    <cellStyle name="Normal 4 10" xfId="84"/>
    <cellStyle name="Normal 4 10 10" xfId="2587"/>
    <cellStyle name="Normal 4 10 11" xfId="3114"/>
    <cellStyle name="Normal 4 10 12" xfId="3641"/>
    <cellStyle name="Normal 4 10 2" xfId="178"/>
    <cellStyle name="Normal 4 10 2 2" xfId="451"/>
    <cellStyle name="Normal 4 10 2 2 2" xfId="1970"/>
    <cellStyle name="Normal 4 10 2 2 3" xfId="2500"/>
    <cellStyle name="Normal 4 10 2 2 4" xfId="3027"/>
    <cellStyle name="Normal 4 10 2 2 5" xfId="3554"/>
    <cellStyle name="Normal 4 10 2 2 6" xfId="4081"/>
    <cellStyle name="Normal 4 10 2 3" xfId="924"/>
    <cellStyle name="Normal 4 10 2 4" xfId="1275"/>
    <cellStyle name="Normal 4 10 2 5" xfId="1710"/>
    <cellStyle name="Normal 4 10 2 6" xfId="2240"/>
    <cellStyle name="Normal 4 10 2 7" xfId="2767"/>
    <cellStyle name="Normal 4 10 2 8" xfId="3294"/>
    <cellStyle name="Normal 4 10 2 9" xfId="3821"/>
    <cellStyle name="Normal 4 10 3" xfId="273"/>
    <cellStyle name="Normal 4 10 3 2" xfId="536"/>
    <cellStyle name="Normal 4 10 3 3" xfId="833"/>
    <cellStyle name="Normal 4 10 3 4" xfId="1184"/>
    <cellStyle name="Normal 4 10 3 5" xfId="1619"/>
    <cellStyle name="Normal 4 10 3 6" xfId="2149"/>
    <cellStyle name="Normal 4 10 3 7" xfId="2676"/>
    <cellStyle name="Normal 4 10 3 8" xfId="3203"/>
    <cellStyle name="Normal 4 10 3 9" xfId="3730"/>
    <cellStyle name="Normal 4 10 4" xfId="366"/>
    <cellStyle name="Normal 4 10 4 2" xfId="1011"/>
    <cellStyle name="Normal 4 10 4 3" xfId="1362"/>
    <cellStyle name="Normal 4 10 4 4" xfId="1797"/>
    <cellStyle name="Normal 4 10 4 5" xfId="2327"/>
    <cellStyle name="Normal 4 10 4 6" xfId="2854"/>
    <cellStyle name="Normal 4 10 4 7" xfId="3381"/>
    <cellStyle name="Normal 4 10 4 8" xfId="3908"/>
    <cellStyle name="Normal 4 10 5" xfId="623"/>
    <cellStyle name="Normal 4 10 5 2" xfId="1446"/>
    <cellStyle name="Normal 4 10 5 3" xfId="1881"/>
    <cellStyle name="Normal 4 10 5 4" xfId="2411"/>
    <cellStyle name="Normal 4 10 5 5" xfId="2938"/>
    <cellStyle name="Normal 4 10 5 6" xfId="3465"/>
    <cellStyle name="Normal 4 10 5 7" xfId="3992"/>
    <cellStyle name="Normal 4 10 6" xfId="744"/>
    <cellStyle name="Normal 4 10 6 2" xfId="4168"/>
    <cellStyle name="Normal 4 10 7" xfId="1095"/>
    <cellStyle name="Normal 4 10 8" xfId="1530"/>
    <cellStyle name="Normal 4 10 9" xfId="2060"/>
    <cellStyle name="Normal 4 11" xfId="92"/>
    <cellStyle name="Normal 4 11 10" xfId="2595"/>
    <cellStyle name="Normal 4 11 11" xfId="3122"/>
    <cellStyle name="Normal 4 11 12" xfId="3649"/>
    <cellStyle name="Normal 4 11 2" xfId="186"/>
    <cellStyle name="Normal 4 11 2 2" xfId="459"/>
    <cellStyle name="Normal 4 11 2 2 2" xfId="1978"/>
    <cellStyle name="Normal 4 11 2 2 3" xfId="2508"/>
    <cellStyle name="Normal 4 11 2 2 4" xfId="3035"/>
    <cellStyle name="Normal 4 11 2 2 5" xfId="3562"/>
    <cellStyle name="Normal 4 11 2 2 6" xfId="4089"/>
    <cellStyle name="Normal 4 11 2 3" xfId="932"/>
    <cellStyle name="Normal 4 11 2 4" xfId="1283"/>
    <cellStyle name="Normal 4 11 2 5" xfId="1718"/>
    <cellStyle name="Normal 4 11 2 6" xfId="2248"/>
    <cellStyle name="Normal 4 11 2 7" xfId="2775"/>
    <cellStyle name="Normal 4 11 2 8" xfId="3302"/>
    <cellStyle name="Normal 4 11 2 9" xfId="3829"/>
    <cellStyle name="Normal 4 11 3" xfId="281"/>
    <cellStyle name="Normal 4 11 3 2" xfId="544"/>
    <cellStyle name="Normal 4 11 3 3" xfId="841"/>
    <cellStyle name="Normal 4 11 3 4" xfId="1192"/>
    <cellStyle name="Normal 4 11 3 5" xfId="1627"/>
    <cellStyle name="Normal 4 11 3 6" xfId="2157"/>
    <cellStyle name="Normal 4 11 3 7" xfId="2684"/>
    <cellStyle name="Normal 4 11 3 8" xfId="3211"/>
    <cellStyle name="Normal 4 11 3 9" xfId="3738"/>
    <cellStyle name="Normal 4 11 4" xfId="374"/>
    <cellStyle name="Normal 4 11 4 2" xfId="1019"/>
    <cellStyle name="Normal 4 11 4 3" xfId="1370"/>
    <cellStyle name="Normal 4 11 4 4" xfId="1805"/>
    <cellStyle name="Normal 4 11 4 5" xfId="2335"/>
    <cellStyle name="Normal 4 11 4 6" xfId="2862"/>
    <cellStyle name="Normal 4 11 4 7" xfId="3389"/>
    <cellStyle name="Normal 4 11 4 8" xfId="3916"/>
    <cellStyle name="Normal 4 11 5" xfId="631"/>
    <cellStyle name="Normal 4 11 5 2" xfId="1454"/>
    <cellStyle name="Normal 4 11 5 3" xfId="1889"/>
    <cellStyle name="Normal 4 11 5 4" xfId="2419"/>
    <cellStyle name="Normal 4 11 5 5" xfId="2946"/>
    <cellStyle name="Normal 4 11 5 6" xfId="3473"/>
    <cellStyle name="Normal 4 11 5 7" xfId="4000"/>
    <cellStyle name="Normal 4 11 6" xfId="752"/>
    <cellStyle name="Normal 4 11 6 2" xfId="4176"/>
    <cellStyle name="Normal 4 11 7" xfId="1103"/>
    <cellStyle name="Normal 4 11 8" xfId="1538"/>
    <cellStyle name="Normal 4 11 9" xfId="2068"/>
    <cellStyle name="Normal 4 12" xfId="100"/>
    <cellStyle name="Normal 4 12 10" xfId="2603"/>
    <cellStyle name="Normal 4 12 11" xfId="3130"/>
    <cellStyle name="Normal 4 12 12" xfId="3657"/>
    <cellStyle name="Normal 4 12 2" xfId="194"/>
    <cellStyle name="Normal 4 12 2 2" xfId="467"/>
    <cellStyle name="Normal 4 12 2 2 2" xfId="1986"/>
    <cellStyle name="Normal 4 12 2 2 3" xfId="2516"/>
    <cellStyle name="Normal 4 12 2 2 4" xfId="3043"/>
    <cellStyle name="Normal 4 12 2 2 5" xfId="3570"/>
    <cellStyle name="Normal 4 12 2 2 6" xfId="4097"/>
    <cellStyle name="Normal 4 12 2 3" xfId="940"/>
    <cellStyle name="Normal 4 12 2 4" xfId="1291"/>
    <cellStyle name="Normal 4 12 2 5" xfId="1726"/>
    <cellStyle name="Normal 4 12 2 6" xfId="2256"/>
    <cellStyle name="Normal 4 12 2 7" xfId="2783"/>
    <cellStyle name="Normal 4 12 2 8" xfId="3310"/>
    <cellStyle name="Normal 4 12 2 9" xfId="3837"/>
    <cellStyle name="Normal 4 12 3" xfId="289"/>
    <cellStyle name="Normal 4 12 3 2" xfId="552"/>
    <cellStyle name="Normal 4 12 3 3" xfId="849"/>
    <cellStyle name="Normal 4 12 3 4" xfId="1200"/>
    <cellStyle name="Normal 4 12 3 5" xfId="1635"/>
    <cellStyle name="Normal 4 12 3 6" xfId="2165"/>
    <cellStyle name="Normal 4 12 3 7" xfId="2692"/>
    <cellStyle name="Normal 4 12 3 8" xfId="3219"/>
    <cellStyle name="Normal 4 12 3 9" xfId="3746"/>
    <cellStyle name="Normal 4 12 4" xfId="382"/>
    <cellStyle name="Normal 4 12 4 2" xfId="1027"/>
    <cellStyle name="Normal 4 12 4 3" xfId="1378"/>
    <cellStyle name="Normal 4 12 4 4" xfId="1813"/>
    <cellStyle name="Normal 4 12 4 5" xfId="2343"/>
    <cellStyle name="Normal 4 12 4 6" xfId="2870"/>
    <cellStyle name="Normal 4 12 4 7" xfId="3397"/>
    <cellStyle name="Normal 4 12 4 8" xfId="3924"/>
    <cellStyle name="Normal 4 12 5" xfId="639"/>
    <cellStyle name="Normal 4 12 5 2" xfId="1462"/>
    <cellStyle name="Normal 4 12 5 3" xfId="1897"/>
    <cellStyle name="Normal 4 12 5 4" xfId="2427"/>
    <cellStyle name="Normal 4 12 5 5" xfId="2954"/>
    <cellStyle name="Normal 4 12 5 6" xfId="3481"/>
    <cellStyle name="Normal 4 12 5 7" xfId="4008"/>
    <cellStyle name="Normal 4 12 6" xfId="760"/>
    <cellStyle name="Normal 4 12 6 2" xfId="4184"/>
    <cellStyle name="Normal 4 12 7" xfId="1111"/>
    <cellStyle name="Normal 4 12 8" xfId="1546"/>
    <cellStyle name="Normal 4 12 9" xfId="2076"/>
    <cellStyle name="Normal 4 13" xfId="108"/>
    <cellStyle name="Normal 4 13 10" xfId="2611"/>
    <cellStyle name="Normal 4 13 11" xfId="3138"/>
    <cellStyle name="Normal 4 13 12" xfId="3665"/>
    <cellStyle name="Normal 4 13 2" xfId="202"/>
    <cellStyle name="Normal 4 13 2 2" xfId="475"/>
    <cellStyle name="Normal 4 13 2 2 2" xfId="1994"/>
    <cellStyle name="Normal 4 13 2 2 3" xfId="2524"/>
    <cellStyle name="Normal 4 13 2 2 4" xfId="3051"/>
    <cellStyle name="Normal 4 13 2 2 5" xfId="3578"/>
    <cellStyle name="Normal 4 13 2 2 6" xfId="4105"/>
    <cellStyle name="Normal 4 13 2 3" xfId="948"/>
    <cellStyle name="Normal 4 13 2 4" xfId="1299"/>
    <cellStyle name="Normal 4 13 2 5" xfId="1734"/>
    <cellStyle name="Normal 4 13 2 6" xfId="2264"/>
    <cellStyle name="Normal 4 13 2 7" xfId="2791"/>
    <cellStyle name="Normal 4 13 2 8" xfId="3318"/>
    <cellStyle name="Normal 4 13 2 9" xfId="3845"/>
    <cellStyle name="Normal 4 13 3" xfId="297"/>
    <cellStyle name="Normal 4 13 3 2" xfId="560"/>
    <cellStyle name="Normal 4 13 3 3" xfId="857"/>
    <cellStyle name="Normal 4 13 3 4" xfId="1208"/>
    <cellStyle name="Normal 4 13 3 5" xfId="1643"/>
    <cellStyle name="Normal 4 13 3 6" xfId="2173"/>
    <cellStyle name="Normal 4 13 3 7" xfId="2700"/>
    <cellStyle name="Normal 4 13 3 8" xfId="3227"/>
    <cellStyle name="Normal 4 13 3 9" xfId="3754"/>
    <cellStyle name="Normal 4 13 4" xfId="390"/>
    <cellStyle name="Normal 4 13 4 2" xfId="1035"/>
    <cellStyle name="Normal 4 13 4 3" xfId="1386"/>
    <cellStyle name="Normal 4 13 4 4" xfId="1821"/>
    <cellStyle name="Normal 4 13 4 5" xfId="2351"/>
    <cellStyle name="Normal 4 13 4 6" xfId="2878"/>
    <cellStyle name="Normal 4 13 4 7" xfId="3405"/>
    <cellStyle name="Normal 4 13 4 8" xfId="3932"/>
    <cellStyle name="Normal 4 13 5" xfId="647"/>
    <cellStyle name="Normal 4 13 5 2" xfId="1470"/>
    <cellStyle name="Normal 4 13 5 3" xfId="1905"/>
    <cellStyle name="Normal 4 13 5 4" xfId="2435"/>
    <cellStyle name="Normal 4 13 5 5" xfId="2962"/>
    <cellStyle name="Normal 4 13 5 6" xfId="3489"/>
    <cellStyle name="Normal 4 13 5 7" xfId="4016"/>
    <cellStyle name="Normal 4 13 6" xfId="768"/>
    <cellStyle name="Normal 4 13 6 2" xfId="4192"/>
    <cellStyle name="Normal 4 13 7" xfId="1119"/>
    <cellStyle name="Normal 4 13 8" xfId="1554"/>
    <cellStyle name="Normal 4 13 9" xfId="2084"/>
    <cellStyle name="Normal 4 14" xfId="40"/>
    <cellStyle name="Normal 4 14 10" xfId="2543"/>
    <cellStyle name="Normal 4 14 11" xfId="3070"/>
    <cellStyle name="Normal 4 14 12" xfId="3597"/>
    <cellStyle name="Normal 4 14 2" xfId="134"/>
    <cellStyle name="Normal 4 14 2 2" xfId="407"/>
    <cellStyle name="Normal 4 14 2 2 2" xfId="1926"/>
    <cellStyle name="Normal 4 14 2 2 3" xfId="2456"/>
    <cellStyle name="Normal 4 14 2 2 4" xfId="2983"/>
    <cellStyle name="Normal 4 14 2 2 5" xfId="3510"/>
    <cellStyle name="Normal 4 14 2 2 6" xfId="4037"/>
    <cellStyle name="Normal 4 14 2 3" xfId="880"/>
    <cellStyle name="Normal 4 14 2 4" xfId="1231"/>
    <cellStyle name="Normal 4 14 2 5" xfId="1666"/>
    <cellStyle name="Normal 4 14 2 6" xfId="2196"/>
    <cellStyle name="Normal 4 14 2 7" xfId="2723"/>
    <cellStyle name="Normal 4 14 2 8" xfId="3250"/>
    <cellStyle name="Normal 4 14 2 9" xfId="3777"/>
    <cellStyle name="Normal 4 14 3" xfId="229"/>
    <cellStyle name="Normal 4 14 3 2" xfId="492"/>
    <cellStyle name="Normal 4 14 3 3" xfId="789"/>
    <cellStyle name="Normal 4 14 3 4" xfId="1140"/>
    <cellStyle name="Normal 4 14 3 5" xfId="1575"/>
    <cellStyle name="Normal 4 14 3 6" xfId="2105"/>
    <cellStyle name="Normal 4 14 3 7" xfId="2632"/>
    <cellStyle name="Normal 4 14 3 8" xfId="3159"/>
    <cellStyle name="Normal 4 14 3 9" xfId="3686"/>
    <cellStyle name="Normal 4 14 4" xfId="322"/>
    <cellStyle name="Normal 4 14 4 2" xfId="967"/>
    <cellStyle name="Normal 4 14 4 3" xfId="1318"/>
    <cellStyle name="Normal 4 14 4 4" xfId="1753"/>
    <cellStyle name="Normal 4 14 4 5" xfId="2283"/>
    <cellStyle name="Normal 4 14 4 6" xfId="2810"/>
    <cellStyle name="Normal 4 14 4 7" xfId="3337"/>
    <cellStyle name="Normal 4 14 4 8" xfId="3864"/>
    <cellStyle name="Normal 4 14 5" xfId="579"/>
    <cellStyle name="Normal 4 14 5 2" xfId="1402"/>
    <cellStyle name="Normal 4 14 5 3" xfId="1837"/>
    <cellStyle name="Normal 4 14 5 4" xfId="2367"/>
    <cellStyle name="Normal 4 14 5 5" xfId="2894"/>
    <cellStyle name="Normal 4 14 5 6" xfId="3421"/>
    <cellStyle name="Normal 4 14 5 7" xfId="3948"/>
    <cellStyle name="Normal 4 14 6" xfId="700"/>
    <cellStyle name="Normal 4 14 6 2" xfId="4124"/>
    <cellStyle name="Normal 4 14 7" xfId="1051"/>
    <cellStyle name="Normal 4 14 8" xfId="1486"/>
    <cellStyle name="Normal 4 14 9" xfId="2016"/>
    <cellStyle name="Normal 4 15" xfId="112"/>
    <cellStyle name="Normal 4 15 10" xfId="2615"/>
    <cellStyle name="Normal 4 15 11" xfId="3142"/>
    <cellStyle name="Normal 4 15 12" xfId="3669"/>
    <cellStyle name="Normal 4 15 2" xfId="206"/>
    <cellStyle name="Normal 4 15 2 2" xfId="479"/>
    <cellStyle name="Normal 4 15 2 2 2" xfId="1998"/>
    <cellStyle name="Normal 4 15 2 2 3" xfId="2528"/>
    <cellStyle name="Normal 4 15 2 2 4" xfId="3055"/>
    <cellStyle name="Normal 4 15 2 2 5" xfId="3582"/>
    <cellStyle name="Normal 4 15 2 2 6" xfId="4109"/>
    <cellStyle name="Normal 4 15 2 3" xfId="952"/>
    <cellStyle name="Normal 4 15 2 4" xfId="1303"/>
    <cellStyle name="Normal 4 15 2 5" xfId="1738"/>
    <cellStyle name="Normal 4 15 2 6" xfId="2268"/>
    <cellStyle name="Normal 4 15 2 7" xfId="2795"/>
    <cellStyle name="Normal 4 15 2 8" xfId="3322"/>
    <cellStyle name="Normal 4 15 2 9" xfId="3849"/>
    <cellStyle name="Normal 4 15 3" xfId="301"/>
    <cellStyle name="Normal 4 15 3 2" xfId="564"/>
    <cellStyle name="Normal 4 15 3 3" xfId="861"/>
    <cellStyle name="Normal 4 15 3 4" xfId="1212"/>
    <cellStyle name="Normal 4 15 3 5" xfId="1647"/>
    <cellStyle name="Normal 4 15 3 6" xfId="2177"/>
    <cellStyle name="Normal 4 15 3 7" xfId="2704"/>
    <cellStyle name="Normal 4 15 3 8" xfId="3231"/>
    <cellStyle name="Normal 4 15 3 9" xfId="3758"/>
    <cellStyle name="Normal 4 15 4" xfId="394"/>
    <cellStyle name="Normal 4 15 4 2" xfId="1039"/>
    <cellStyle name="Normal 4 15 4 3" xfId="1390"/>
    <cellStyle name="Normal 4 15 4 4" xfId="1825"/>
    <cellStyle name="Normal 4 15 4 5" xfId="2355"/>
    <cellStyle name="Normal 4 15 4 6" xfId="2882"/>
    <cellStyle name="Normal 4 15 4 7" xfId="3409"/>
    <cellStyle name="Normal 4 15 4 8" xfId="3936"/>
    <cellStyle name="Normal 4 15 5" xfId="651"/>
    <cellStyle name="Normal 4 15 5 2" xfId="1474"/>
    <cellStyle name="Normal 4 15 5 3" xfId="1909"/>
    <cellStyle name="Normal 4 15 5 4" xfId="2439"/>
    <cellStyle name="Normal 4 15 5 5" xfId="2966"/>
    <cellStyle name="Normal 4 15 5 6" xfId="3493"/>
    <cellStyle name="Normal 4 15 5 7" xfId="4020"/>
    <cellStyle name="Normal 4 15 6" xfId="772"/>
    <cellStyle name="Normal 4 15 6 2" xfId="4196"/>
    <cellStyle name="Normal 4 15 7" xfId="1123"/>
    <cellStyle name="Normal 4 15 8" xfId="1558"/>
    <cellStyle name="Normal 4 15 9" xfId="2088"/>
    <cellStyle name="Normal 4 16" xfId="123"/>
    <cellStyle name="Normal 4 16 2" xfId="399"/>
    <cellStyle name="Normal 4 16 2 2" xfId="1915"/>
    <cellStyle name="Normal 4 16 2 3" xfId="2445"/>
    <cellStyle name="Normal 4 16 2 4" xfId="2972"/>
    <cellStyle name="Normal 4 16 2 5" xfId="3499"/>
    <cellStyle name="Normal 4 16 2 6" xfId="4026"/>
    <cellStyle name="Normal 4 16 3" xfId="869"/>
    <cellStyle name="Normal 4 16 4" xfId="1220"/>
    <cellStyle name="Normal 4 16 5" xfId="1655"/>
    <cellStyle name="Normal 4 16 6" xfId="2185"/>
    <cellStyle name="Normal 4 16 7" xfId="2712"/>
    <cellStyle name="Normal 4 16 8" xfId="3239"/>
    <cellStyle name="Normal 4 16 9" xfId="3766"/>
    <cellStyle name="Normal 4 17" xfId="218"/>
    <cellStyle name="Normal 4 17 2" xfId="484"/>
    <cellStyle name="Normal 4 17 3" xfId="778"/>
    <cellStyle name="Normal 4 17 4" xfId="1129"/>
    <cellStyle name="Normal 4 17 5" xfId="1564"/>
    <cellStyle name="Normal 4 17 6" xfId="2094"/>
    <cellStyle name="Normal 4 17 7" xfId="2621"/>
    <cellStyle name="Normal 4 17 8" xfId="3148"/>
    <cellStyle name="Normal 4 17 9" xfId="3675"/>
    <cellStyle name="Normal 4 18" xfId="314"/>
    <cellStyle name="Normal 4 18 2" xfId="959"/>
    <cellStyle name="Normal 4 18 3" xfId="1310"/>
    <cellStyle name="Normal 4 18 4" xfId="1745"/>
    <cellStyle name="Normal 4 18 5" xfId="2275"/>
    <cellStyle name="Normal 4 18 6" xfId="2802"/>
    <cellStyle name="Normal 4 18 7" xfId="3329"/>
    <cellStyle name="Normal 4 18 8" xfId="3856"/>
    <cellStyle name="Normal 4 19" xfId="571"/>
    <cellStyle name="Normal 4 19 2" xfId="1394"/>
    <cellStyle name="Normal 4 19 3" xfId="1829"/>
    <cellStyle name="Normal 4 19 4" xfId="2359"/>
    <cellStyle name="Normal 4 19 5" xfId="2886"/>
    <cellStyle name="Normal 4 19 6" xfId="3413"/>
    <cellStyle name="Normal 4 19 7" xfId="3940"/>
    <cellStyle name="Normal 4 2" xfId="36"/>
    <cellStyle name="Normal 4 2 10" xfId="318"/>
    <cellStyle name="Normal 4 2 10 2" xfId="963"/>
    <cellStyle name="Normal 4 2 10 3" xfId="1314"/>
    <cellStyle name="Normal 4 2 10 4" xfId="1749"/>
    <cellStyle name="Normal 4 2 10 5" xfId="2279"/>
    <cellStyle name="Normal 4 2 10 6" xfId="2806"/>
    <cellStyle name="Normal 4 2 10 7" xfId="3333"/>
    <cellStyle name="Normal 4 2 10 8" xfId="3860"/>
    <cellStyle name="Normal 4 2 11" xfId="575"/>
    <cellStyle name="Normal 4 2 11 2" xfId="1398"/>
    <cellStyle name="Normal 4 2 11 3" xfId="1833"/>
    <cellStyle name="Normal 4 2 11 4" xfId="2363"/>
    <cellStyle name="Normal 4 2 11 5" xfId="2890"/>
    <cellStyle name="Normal 4 2 11 6" xfId="3417"/>
    <cellStyle name="Normal 4 2 11 7" xfId="3944"/>
    <cellStyle name="Normal 4 2 12" xfId="696"/>
    <cellStyle name="Normal 4 2 12 2" xfId="4120"/>
    <cellStyle name="Normal 4 2 13" xfId="1047"/>
    <cellStyle name="Normal 4 2 14" xfId="1482"/>
    <cellStyle name="Normal 4 2 15" xfId="2012"/>
    <cellStyle name="Normal 4 2 16" xfId="2539"/>
    <cellStyle name="Normal 4 2 17" xfId="3066"/>
    <cellStyle name="Normal 4 2 18" xfId="3593"/>
    <cellStyle name="Normal 4 2 2" xfId="72"/>
    <cellStyle name="Normal 4 2 2 10" xfId="2575"/>
    <cellStyle name="Normal 4 2 2 11" xfId="3102"/>
    <cellStyle name="Normal 4 2 2 12" xfId="3629"/>
    <cellStyle name="Normal 4 2 2 2" xfId="166"/>
    <cellStyle name="Normal 4 2 2 2 2" xfId="439"/>
    <cellStyle name="Normal 4 2 2 2 2 2" xfId="1958"/>
    <cellStyle name="Normal 4 2 2 2 2 3" xfId="2488"/>
    <cellStyle name="Normal 4 2 2 2 2 4" xfId="3015"/>
    <cellStyle name="Normal 4 2 2 2 2 5" xfId="3542"/>
    <cellStyle name="Normal 4 2 2 2 2 6" xfId="4069"/>
    <cellStyle name="Normal 4 2 2 2 3" xfId="912"/>
    <cellStyle name="Normal 4 2 2 2 4" xfId="1263"/>
    <cellStyle name="Normal 4 2 2 2 5" xfId="1698"/>
    <cellStyle name="Normal 4 2 2 2 6" xfId="2228"/>
    <cellStyle name="Normal 4 2 2 2 7" xfId="2755"/>
    <cellStyle name="Normal 4 2 2 2 8" xfId="3282"/>
    <cellStyle name="Normal 4 2 2 2 9" xfId="3809"/>
    <cellStyle name="Normal 4 2 2 3" xfId="261"/>
    <cellStyle name="Normal 4 2 2 3 2" xfId="524"/>
    <cellStyle name="Normal 4 2 2 3 3" xfId="821"/>
    <cellStyle name="Normal 4 2 2 3 4" xfId="1172"/>
    <cellStyle name="Normal 4 2 2 3 5" xfId="1607"/>
    <cellStyle name="Normal 4 2 2 3 6" xfId="2137"/>
    <cellStyle name="Normal 4 2 2 3 7" xfId="2664"/>
    <cellStyle name="Normal 4 2 2 3 8" xfId="3191"/>
    <cellStyle name="Normal 4 2 2 3 9" xfId="3718"/>
    <cellStyle name="Normal 4 2 2 4" xfId="354"/>
    <cellStyle name="Normal 4 2 2 4 2" xfId="999"/>
    <cellStyle name="Normal 4 2 2 4 3" xfId="1350"/>
    <cellStyle name="Normal 4 2 2 4 4" xfId="1785"/>
    <cellStyle name="Normal 4 2 2 4 5" xfId="2315"/>
    <cellStyle name="Normal 4 2 2 4 6" xfId="2842"/>
    <cellStyle name="Normal 4 2 2 4 7" xfId="3369"/>
    <cellStyle name="Normal 4 2 2 4 8" xfId="3896"/>
    <cellStyle name="Normal 4 2 2 5" xfId="611"/>
    <cellStyle name="Normal 4 2 2 5 2" xfId="1434"/>
    <cellStyle name="Normal 4 2 2 5 3" xfId="1869"/>
    <cellStyle name="Normal 4 2 2 5 4" xfId="2399"/>
    <cellStyle name="Normal 4 2 2 5 5" xfId="2926"/>
    <cellStyle name="Normal 4 2 2 5 6" xfId="3453"/>
    <cellStyle name="Normal 4 2 2 5 7" xfId="3980"/>
    <cellStyle name="Normal 4 2 2 6" xfId="732"/>
    <cellStyle name="Normal 4 2 2 6 2" xfId="4156"/>
    <cellStyle name="Normal 4 2 2 7" xfId="1083"/>
    <cellStyle name="Normal 4 2 2 8" xfId="1518"/>
    <cellStyle name="Normal 4 2 2 9" xfId="2048"/>
    <cellStyle name="Normal 4 2 3" xfId="80"/>
    <cellStyle name="Normal 4 2 3 10" xfId="2583"/>
    <cellStyle name="Normal 4 2 3 11" xfId="3110"/>
    <cellStyle name="Normal 4 2 3 12" xfId="3637"/>
    <cellStyle name="Normal 4 2 3 2" xfId="174"/>
    <cellStyle name="Normal 4 2 3 2 2" xfId="447"/>
    <cellStyle name="Normal 4 2 3 2 2 2" xfId="1966"/>
    <cellStyle name="Normal 4 2 3 2 2 3" xfId="2496"/>
    <cellStyle name="Normal 4 2 3 2 2 4" xfId="3023"/>
    <cellStyle name="Normal 4 2 3 2 2 5" xfId="3550"/>
    <cellStyle name="Normal 4 2 3 2 2 6" xfId="4077"/>
    <cellStyle name="Normal 4 2 3 2 3" xfId="920"/>
    <cellStyle name="Normal 4 2 3 2 4" xfId="1271"/>
    <cellStyle name="Normal 4 2 3 2 5" xfId="1706"/>
    <cellStyle name="Normal 4 2 3 2 6" xfId="2236"/>
    <cellStyle name="Normal 4 2 3 2 7" xfId="2763"/>
    <cellStyle name="Normal 4 2 3 2 8" xfId="3290"/>
    <cellStyle name="Normal 4 2 3 2 9" xfId="3817"/>
    <cellStyle name="Normal 4 2 3 3" xfId="269"/>
    <cellStyle name="Normal 4 2 3 3 2" xfId="532"/>
    <cellStyle name="Normal 4 2 3 3 3" xfId="829"/>
    <cellStyle name="Normal 4 2 3 3 4" xfId="1180"/>
    <cellStyle name="Normal 4 2 3 3 5" xfId="1615"/>
    <cellStyle name="Normal 4 2 3 3 6" xfId="2145"/>
    <cellStyle name="Normal 4 2 3 3 7" xfId="2672"/>
    <cellStyle name="Normal 4 2 3 3 8" xfId="3199"/>
    <cellStyle name="Normal 4 2 3 3 9" xfId="3726"/>
    <cellStyle name="Normal 4 2 3 4" xfId="362"/>
    <cellStyle name="Normal 4 2 3 4 2" xfId="1007"/>
    <cellStyle name="Normal 4 2 3 4 3" xfId="1358"/>
    <cellStyle name="Normal 4 2 3 4 4" xfId="1793"/>
    <cellStyle name="Normal 4 2 3 4 5" xfId="2323"/>
    <cellStyle name="Normal 4 2 3 4 6" xfId="2850"/>
    <cellStyle name="Normal 4 2 3 4 7" xfId="3377"/>
    <cellStyle name="Normal 4 2 3 4 8" xfId="3904"/>
    <cellStyle name="Normal 4 2 3 5" xfId="619"/>
    <cellStyle name="Normal 4 2 3 5 2" xfId="1442"/>
    <cellStyle name="Normal 4 2 3 5 3" xfId="1877"/>
    <cellStyle name="Normal 4 2 3 5 4" xfId="2407"/>
    <cellStyle name="Normal 4 2 3 5 5" xfId="2934"/>
    <cellStyle name="Normal 4 2 3 5 6" xfId="3461"/>
    <cellStyle name="Normal 4 2 3 5 7" xfId="3988"/>
    <cellStyle name="Normal 4 2 3 6" xfId="740"/>
    <cellStyle name="Normal 4 2 3 6 2" xfId="4164"/>
    <cellStyle name="Normal 4 2 3 7" xfId="1091"/>
    <cellStyle name="Normal 4 2 3 8" xfId="1526"/>
    <cellStyle name="Normal 4 2 3 9" xfId="2056"/>
    <cellStyle name="Normal 4 2 4" xfId="88"/>
    <cellStyle name="Normal 4 2 4 10" xfId="2591"/>
    <cellStyle name="Normal 4 2 4 11" xfId="3118"/>
    <cellStyle name="Normal 4 2 4 12" xfId="3645"/>
    <cellStyle name="Normal 4 2 4 2" xfId="182"/>
    <cellStyle name="Normal 4 2 4 2 2" xfId="455"/>
    <cellStyle name="Normal 4 2 4 2 2 2" xfId="1974"/>
    <cellStyle name="Normal 4 2 4 2 2 3" xfId="2504"/>
    <cellStyle name="Normal 4 2 4 2 2 4" xfId="3031"/>
    <cellStyle name="Normal 4 2 4 2 2 5" xfId="3558"/>
    <cellStyle name="Normal 4 2 4 2 2 6" xfId="4085"/>
    <cellStyle name="Normal 4 2 4 2 3" xfId="928"/>
    <cellStyle name="Normal 4 2 4 2 4" xfId="1279"/>
    <cellStyle name="Normal 4 2 4 2 5" xfId="1714"/>
    <cellStyle name="Normal 4 2 4 2 6" xfId="2244"/>
    <cellStyle name="Normal 4 2 4 2 7" xfId="2771"/>
    <cellStyle name="Normal 4 2 4 2 8" xfId="3298"/>
    <cellStyle name="Normal 4 2 4 2 9" xfId="3825"/>
    <cellStyle name="Normal 4 2 4 3" xfId="277"/>
    <cellStyle name="Normal 4 2 4 3 2" xfId="540"/>
    <cellStyle name="Normal 4 2 4 3 3" xfId="837"/>
    <cellStyle name="Normal 4 2 4 3 4" xfId="1188"/>
    <cellStyle name="Normal 4 2 4 3 5" xfId="1623"/>
    <cellStyle name="Normal 4 2 4 3 6" xfId="2153"/>
    <cellStyle name="Normal 4 2 4 3 7" xfId="2680"/>
    <cellStyle name="Normal 4 2 4 3 8" xfId="3207"/>
    <cellStyle name="Normal 4 2 4 3 9" xfId="3734"/>
    <cellStyle name="Normal 4 2 4 4" xfId="370"/>
    <cellStyle name="Normal 4 2 4 4 2" xfId="1015"/>
    <cellStyle name="Normal 4 2 4 4 3" xfId="1366"/>
    <cellStyle name="Normal 4 2 4 4 4" xfId="1801"/>
    <cellStyle name="Normal 4 2 4 4 5" xfId="2331"/>
    <cellStyle name="Normal 4 2 4 4 6" xfId="2858"/>
    <cellStyle name="Normal 4 2 4 4 7" xfId="3385"/>
    <cellStyle name="Normal 4 2 4 4 8" xfId="3912"/>
    <cellStyle name="Normal 4 2 4 5" xfId="627"/>
    <cellStyle name="Normal 4 2 4 5 2" xfId="1450"/>
    <cellStyle name="Normal 4 2 4 5 3" xfId="1885"/>
    <cellStyle name="Normal 4 2 4 5 4" xfId="2415"/>
    <cellStyle name="Normal 4 2 4 5 5" xfId="2942"/>
    <cellStyle name="Normal 4 2 4 5 6" xfId="3469"/>
    <cellStyle name="Normal 4 2 4 5 7" xfId="3996"/>
    <cellStyle name="Normal 4 2 4 6" xfId="748"/>
    <cellStyle name="Normal 4 2 4 6 2" xfId="4172"/>
    <cellStyle name="Normal 4 2 4 7" xfId="1099"/>
    <cellStyle name="Normal 4 2 4 8" xfId="1534"/>
    <cellStyle name="Normal 4 2 4 9" xfId="2064"/>
    <cellStyle name="Normal 4 2 5" xfId="96"/>
    <cellStyle name="Normal 4 2 5 10" xfId="2599"/>
    <cellStyle name="Normal 4 2 5 11" xfId="3126"/>
    <cellStyle name="Normal 4 2 5 12" xfId="3653"/>
    <cellStyle name="Normal 4 2 5 2" xfId="190"/>
    <cellStyle name="Normal 4 2 5 2 2" xfId="463"/>
    <cellStyle name="Normal 4 2 5 2 2 2" xfId="1982"/>
    <cellStyle name="Normal 4 2 5 2 2 3" xfId="2512"/>
    <cellStyle name="Normal 4 2 5 2 2 4" xfId="3039"/>
    <cellStyle name="Normal 4 2 5 2 2 5" xfId="3566"/>
    <cellStyle name="Normal 4 2 5 2 2 6" xfId="4093"/>
    <cellStyle name="Normal 4 2 5 2 3" xfId="936"/>
    <cellStyle name="Normal 4 2 5 2 4" xfId="1287"/>
    <cellStyle name="Normal 4 2 5 2 5" xfId="1722"/>
    <cellStyle name="Normal 4 2 5 2 6" xfId="2252"/>
    <cellStyle name="Normal 4 2 5 2 7" xfId="2779"/>
    <cellStyle name="Normal 4 2 5 2 8" xfId="3306"/>
    <cellStyle name="Normal 4 2 5 2 9" xfId="3833"/>
    <cellStyle name="Normal 4 2 5 3" xfId="285"/>
    <cellStyle name="Normal 4 2 5 3 2" xfId="548"/>
    <cellStyle name="Normal 4 2 5 3 3" xfId="845"/>
    <cellStyle name="Normal 4 2 5 3 4" xfId="1196"/>
    <cellStyle name="Normal 4 2 5 3 5" xfId="1631"/>
    <cellStyle name="Normal 4 2 5 3 6" xfId="2161"/>
    <cellStyle name="Normal 4 2 5 3 7" xfId="2688"/>
    <cellStyle name="Normal 4 2 5 3 8" xfId="3215"/>
    <cellStyle name="Normal 4 2 5 3 9" xfId="3742"/>
    <cellStyle name="Normal 4 2 5 4" xfId="378"/>
    <cellStyle name="Normal 4 2 5 4 2" xfId="1023"/>
    <cellStyle name="Normal 4 2 5 4 3" xfId="1374"/>
    <cellStyle name="Normal 4 2 5 4 4" xfId="1809"/>
    <cellStyle name="Normal 4 2 5 4 5" xfId="2339"/>
    <cellStyle name="Normal 4 2 5 4 6" xfId="2866"/>
    <cellStyle name="Normal 4 2 5 4 7" xfId="3393"/>
    <cellStyle name="Normal 4 2 5 4 8" xfId="3920"/>
    <cellStyle name="Normal 4 2 5 5" xfId="635"/>
    <cellStyle name="Normal 4 2 5 5 2" xfId="1458"/>
    <cellStyle name="Normal 4 2 5 5 3" xfId="1893"/>
    <cellStyle name="Normal 4 2 5 5 4" xfId="2423"/>
    <cellStyle name="Normal 4 2 5 5 5" xfId="2950"/>
    <cellStyle name="Normal 4 2 5 5 6" xfId="3477"/>
    <cellStyle name="Normal 4 2 5 5 7" xfId="4004"/>
    <cellStyle name="Normal 4 2 5 6" xfId="756"/>
    <cellStyle name="Normal 4 2 5 6 2" xfId="4180"/>
    <cellStyle name="Normal 4 2 5 7" xfId="1107"/>
    <cellStyle name="Normal 4 2 5 8" xfId="1542"/>
    <cellStyle name="Normal 4 2 5 9" xfId="2072"/>
    <cellStyle name="Normal 4 2 6" xfId="104"/>
    <cellStyle name="Normal 4 2 6 10" xfId="2607"/>
    <cellStyle name="Normal 4 2 6 11" xfId="3134"/>
    <cellStyle name="Normal 4 2 6 12" xfId="3661"/>
    <cellStyle name="Normal 4 2 6 2" xfId="198"/>
    <cellStyle name="Normal 4 2 6 2 2" xfId="471"/>
    <cellStyle name="Normal 4 2 6 2 2 2" xfId="1990"/>
    <cellStyle name="Normal 4 2 6 2 2 3" xfId="2520"/>
    <cellStyle name="Normal 4 2 6 2 2 4" xfId="3047"/>
    <cellStyle name="Normal 4 2 6 2 2 5" xfId="3574"/>
    <cellStyle name="Normal 4 2 6 2 2 6" xfId="4101"/>
    <cellStyle name="Normal 4 2 6 2 3" xfId="944"/>
    <cellStyle name="Normal 4 2 6 2 4" xfId="1295"/>
    <cellStyle name="Normal 4 2 6 2 5" xfId="1730"/>
    <cellStyle name="Normal 4 2 6 2 6" xfId="2260"/>
    <cellStyle name="Normal 4 2 6 2 7" xfId="2787"/>
    <cellStyle name="Normal 4 2 6 2 8" xfId="3314"/>
    <cellStyle name="Normal 4 2 6 2 9" xfId="3841"/>
    <cellStyle name="Normal 4 2 6 3" xfId="293"/>
    <cellStyle name="Normal 4 2 6 3 2" xfId="556"/>
    <cellStyle name="Normal 4 2 6 3 3" xfId="853"/>
    <cellStyle name="Normal 4 2 6 3 4" xfId="1204"/>
    <cellStyle name="Normal 4 2 6 3 5" xfId="1639"/>
    <cellStyle name="Normal 4 2 6 3 6" xfId="2169"/>
    <cellStyle name="Normal 4 2 6 3 7" xfId="2696"/>
    <cellStyle name="Normal 4 2 6 3 8" xfId="3223"/>
    <cellStyle name="Normal 4 2 6 3 9" xfId="3750"/>
    <cellStyle name="Normal 4 2 6 4" xfId="386"/>
    <cellStyle name="Normal 4 2 6 4 2" xfId="1031"/>
    <cellStyle name="Normal 4 2 6 4 3" xfId="1382"/>
    <cellStyle name="Normal 4 2 6 4 4" xfId="1817"/>
    <cellStyle name="Normal 4 2 6 4 5" xfId="2347"/>
    <cellStyle name="Normal 4 2 6 4 6" xfId="2874"/>
    <cellStyle name="Normal 4 2 6 4 7" xfId="3401"/>
    <cellStyle name="Normal 4 2 6 4 8" xfId="3928"/>
    <cellStyle name="Normal 4 2 6 5" xfId="643"/>
    <cellStyle name="Normal 4 2 6 5 2" xfId="1466"/>
    <cellStyle name="Normal 4 2 6 5 3" xfId="1901"/>
    <cellStyle name="Normal 4 2 6 5 4" xfId="2431"/>
    <cellStyle name="Normal 4 2 6 5 5" xfId="2958"/>
    <cellStyle name="Normal 4 2 6 5 6" xfId="3485"/>
    <cellStyle name="Normal 4 2 6 5 7" xfId="4012"/>
    <cellStyle name="Normal 4 2 6 6" xfId="764"/>
    <cellStyle name="Normal 4 2 6 6 2" xfId="4188"/>
    <cellStyle name="Normal 4 2 6 7" xfId="1115"/>
    <cellStyle name="Normal 4 2 6 8" xfId="1550"/>
    <cellStyle name="Normal 4 2 6 9" xfId="2080"/>
    <cellStyle name="Normal 4 2 7" xfId="44"/>
    <cellStyle name="Normal 4 2 7 10" xfId="2547"/>
    <cellStyle name="Normal 4 2 7 11" xfId="3074"/>
    <cellStyle name="Normal 4 2 7 12" xfId="3601"/>
    <cellStyle name="Normal 4 2 7 2" xfId="138"/>
    <cellStyle name="Normal 4 2 7 2 2" xfId="411"/>
    <cellStyle name="Normal 4 2 7 2 2 2" xfId="1930"/>
    <cellStyle name="Normal 4 2 7 2 2 3" xfId="2460"/>
    <cellStyle name="Normal 4 2 7 2 2 4" xfId="2987"/>
    <cellStyle name="Normal 4 2 7 2 2 5" xfId="3514"/>
    <cellStyle name="Normal 4 2 7 2 2 6" xfId="4041"/>
    <cellStyle name="Normal 4 2 7 2 3" xfId="884"/>
    <cellStyle name="Normal 4 2 7 2 4" xfId="1235"/>
    <cellStyle name="Normal 4 2 7 2 5" xfId="1670"/>
    <cellStyle name="Normal 4 2 7 2 6" xfId="2200"/>
    <cellStyle name="Normal 4 2 7 2 7" xfId="2727"/>
    <cellStyle name="Normal 4 2 7 2 8" xfId="3254"/>
    <cellStyle name="Normal 4 2 7 2 9" xfId="3781"/>
    <cellStyle name="Normal 4 2 7 3" xfId="233"/>
    <cellStyle name="Normal 4 2 7 3 2" xfId="496"/>
    <cellStyle name="Normal 4 2 7 3 3" xfId="793"/>
    <cellStyle name="Normal 4 2 7 3 4" xfId="1144"/>
    <cellStyle name="Normal 4 2 7 3 5" xfId="1579"/>
    <cellStyle name="Normal 4 2 7 3 6" xfId="2109"/>
    <cellStyle name="Normal 4 2 7 3 7" xfId="2636"/>
    <cellStyle name="Normal 4 2 7 3 8" xfId="3163"/>
    <cellStyle name="Normal 4 2 7 3 9" xfId="3690"/>
    <cellStyle name="Normal 4 2 7 4" xfId="326"/>
    <cellStyle name="Normal 4 2 7 4 2" xfId="971"/>
    <cellStyle name="Normal 4 2 7 4 3" xfId="1322"/>
    <cellStyle name="Normal 4 2 7 4 4" xfId="1757"/>
    <cellStyle name="Normal 4 2 7 4 5" xfId="2287"/>
    <cellStyle name="Normal 4 2 7 4 6" xfId="2814"/>
    <cellStyle name="Normal 4 2 7 4 7" xfId="3341"/>
    <cellStyle name="Normal 4 2 7 4 8" xfId="3868"/>
    <cellStyle name="Normal 4 2 7 5" xfId="583"/>
    <cellStyle name="Normal 4 2 7 5 2" xfId="1406"/>
    <cellStyle name="Normal 4 2 7 5 3" xfId="1841"/>
    <cellStyle name="Normal 4 2 7 5 4" xfId="2371"/>
    <cellStyle name="Normal 4 2 7 5 5" xfId="2898"/>
    <cellStyle name="Normal 4 2 7 5 6" xfId="3425"/>
    <cellStyle name="Normal 4 2 7 5 7" xfId="3952"/>
    <cellStyle name="Normal 4 2 7 6" xfId="704"/>
    <cellStyle name="Normal 4 2 7 6 2" xfId="4128"/>
    <cellStyle name="Normal 4 2 7 7" xfId="1055"/>
    <cellStyle name="Normal 4 2 7 8" xfId="1490"/>
    <cellStyle name="Normal 4 2 7 9" xfId="2020"/>
    <cellStyle name="Normal 4 2 8" xfId="130"/>
    <cellStyle name="Normal 4 2 8 2" xfId="403"/>
    <cellStyle name="Normal 4 2 8 2 2" xfId="1922"/>
    <cellStyle name="Normal 4 2 8 2 3" xfId="2452"/>
    <cellStyle name="Normal 4 2 8 2 4" xfId="2979"/>
    <cellStyle name="Normal 4 2 8 2 5" xfId="3506"/>
    <cellStyle name="Normal 4 2 8 2 6" xfId="4033"/>
    <cellStyle name="Normal 4 2 8 3" xfId="876"/>
    <cellStyle name="Normal 4 2 8 4" xfId="1227"/>
    <cellStyle name="Normal 4 2 8 5" xfId="1662"/>
    <cellStyle name="Normal 4 2 8 6" xfId="2192"/>
    <cellStyle name="Normal 4 2 8 7" xfId="2719"/>
    <cellStyle name="Normal 4 2 8 8" xfId="3246"/>
    <cellStyle name="Normal 4 2 8 9" xfId="3773"/>
    <cellStyle name="Normal 4 2 9" xfId="225"/>
    <cellStyle name="Normal 4 2 9 2" xfId="488"/>
    <cellStyle name="Normal 4 2 9 3" xfId="785"/>
    <cellStyle name="Normal 4 2 9 4" xfId="1136"/>
    <cellStyle name="Normal 4 2 9 5" xfId="1571"/>
    <cellStyle name="Normal 4 2 9 6" xfId="2101"/>
    <cellStyle name="Normal 4 2 9 7" xfId="2628"/>
    <cellStyle name="Normal 4 2 9 8" xfId="3155"/>
    <cellStyle name="Normal 4 2 9 9" xfId="3682"/>
    <cellStyle name="Normal 4 20" xfId="692"/>
    <cellStyle name="Normal 4 20 2" xfId="4116"/>
    <cellStyle name="Normal 4 21" xfId="1043"/>
    <cellStyle name="Normal 4 22" xfId="1478"/>
    <cellStyle name="Normal 4 23" xfId="2008"/>
    <cellStyle name="Normal 4 24" xfId="2535"/>
    <cellStyle name="Normal 4 25" xfId="3062"/>
    <cellStyle name="Normal 4 26" xfId="3589"/>
    <cellStyle name="Normal 4 3" xfId="48"/>
    <cellStyle name="Normal 4 3 10" xfId="2551"/>
    <cellStyle name="Normal 4 3 11" xfId="3078"/>
    <cellStyle name="Normal 4 3 12" xfId="3605"/>
    <cellStyle name="Normal 4 3 2" xfId="142"/>
    <cellStyle name="Normal 4 3 2 2" xfId="415"/>
    <cellStyle name="Normal 4 3 2 2 2" xfId="1934"/>
    <cellStyle name="Normal 4 3 2 2 3" xfId="2464"/>
    <cellStyle name="Normal 4 3 2 2 4" xfId="2991"/>
    <cellStyle name="Normal 4 3 2 2 5" xfId="3518"/>
    <cellStyle name="Normal 4 3 2 2 6" xfId="4045"/>
    <cellStyle name="Normal 4 3 2 3" xfId="888"/>
    <cellStyle name="Normal 4 3 2 4" xfId="1239"/>
    <cellStyle name="Normal 4 3 2 5" xfId="1674"/>
    <cellStyle name="Normal 4 3 2 6" xfId="2204"/>
    <cellStyle name="Normal 4 3 2 7" xfId="2731"/>
    <cellStyle name="Normal 4 3 2 8" xfId="3258"/>
    <cellStyle name="Normal 4 3 2 9" xfId="3785"/>
    <cellStyle name="Normal 4 3 3" xfId="237"/>
    <cellStyle name="Normal 4 3 3 2" xfId="500"/>
    <cellStyle name="Normal 4 3 3 3" xfId="797"/>
    <cellStyle name="Normal 4 3 3 4" xfId="1148"/>
    <cellStyle name="Normal 4 3 3 5" xfId="1583"/>
    <cellStyle name="Normal 4 3 3 6" xfId="2113"/>
    <cellStyle name="Normal 4 3 3 7" xfId="2640"/>
    <cellStyle name="Normal 4 3 3 8" xfId="3167"/>
    <cellStyle name="Normal 4 3 3 9" xfId="3694"/>
    <cellStyle name="Normal 4 3 4" xfId="330"/>
    <cellStyle name="Normal 4 3 4 2" xfId="975"/>
    <cellStyle name="Normal 4 3 4 3" xfId="1326"/>
    <cellStyle name="Normal 4 3 4 4" xfId="1761"/>
    <cellStyle name="Normal 4 3 4 5" xfId="2291"/>
    <cellStyle name="Normal 4 3 4 6" xfId="2818"/>
    <cellStyle name="Normal 4 3 4 7" xfId="3345"/>
    <cellStyle name="Normal 4 3 4 8" xfId="3872"/>
    <cellStyle name="Normal 4 3 5" xfId="587"/>
    <cellStyle name="Normal 4 3 5 2" xfId="1410"/>
    <cellStyle name="Normal 4 3 5 3" xfId="1845"/>
    <cellStyle name="Normal 4 3 5 4" xfId="2375"/>
    <cellStyle name="Normal 4 3 5 5" xfId="2902"/>
    <cellStyle name="Normal 4 3 5 6" xfId="3429"/>
    <cellStyle name="Normal 4 3 5 7" xfId="3956"/>
    <cellStyle name="Normal 4 3 6" xfId="708"/>
    <cellStyle name="Normal 4 3 6 2" xfId="4132"/>
    <cellStyle name="Normal 4 3 7" xfId="1059"/>
    <cellStyle name="Normal 4 3 8" xfId="1494"/>
    <cellStyle name="Normal 4 3 9" xfId="2024"/>
    <cellStyle name="Normal 4 4" xfId="52"/>
    <cellStyle name="Normal 4 4 10" xfId="2555"/>
    <cellStyle name="Normal 4 4 11" xfId="3082"/>
    <cellStyle name="Normal 4 4 12" xfId="3609"/>
    <cellStyle name="Normal 4 4 2" xfId="146"/>
    <cellStyle name="Normal 4 4 2 2" xfId="419"/>
    <cellStyle name="Normal 4 4 2 2 2" xfId="1938"/>
    <cellStyle name="Normal 4 4 2 2 3" xfId="2468"/>
    <cellStyle name="Normal 4 4 2 2 4" xfId="2995"/>
    <cellStyle name="Normal 4 4 2 2 5" xfId="3522"/>
    <cellStyle name="Normal 4 4 2 2 6" xfId="4049"/>
    <cellStyle name="Normal 4 4 2 3" xfId="892"/>
    <cellStyle name="Normal 4 4 2 4" xfId="1243"/>
    <cellStyle name="Normal 4 4 2 5" xfId="1678"/>
    <cellStyle name="Normal 4 4 2 6" xfId="2208"/>
    <cellStyle name="Normal 4 4 2 7" xfId="2735"/>
    <cellStyle name="Normal 4 4 2 8" xfId="3262"/>
    <cellStyle name="Normal 4 4 2 9" xfId="3789"/>
    <cellStyle name="Normal 4 4 3" xfId="241"/>
    <cellStyle name="Normal 4 4 3 2" xfId="504"/>
    <cellStyle name="Normal 4 4 3 3" xfId="801"/>
    <cellStyle name="Normal 4 4 3 4" xfId="1152"/>
    <cellStyle name="Normal 4 4 3 5" xfId="1587"/>
    <cellStyle name="Normal 4 4 3 6" xfId="2117"/>
    <cellStyle name="Normal 4 4 3 7" xfId="2644"/>
    <cellStyle name="Normal 4 4 3 8" xfId="3171"/>
    <cellStyle name="Normal 4 4 3 9" xfId="3698"/>
    <cellStyle name="Normal 4 4 4" xfId="334"/>
    <cellStyle name="Normal 4 4 4 2" xfId="979"/>
    <cellStyle name="Normal 4 4 4 3" xfId="1330"/>
    <cellStyle name="Normal 4 4 4 4" xfId="1765"/>
    <cellStyle name="Normal 4 4 4 5" xfId="2295"/>
    <cellStyle name="Normal 4 4 4 6" xfId="2822"/>
    <cellStyle name="Normal 4 4 4 7" xfId="3349"/>
    <cellStyle name="Normal 4 4 4 8" xfId="3876"/>
    <cellStyle name="Normal 4 4 5" xfId="591"/>
    <cellStyle name="Normal 4 4 5 2" xfId="1414"/>
    <cellStyle name="Normal 4 4 5 3" xfId="1849"/>
    <cellStyle name="Normal 4 4 5 4" xfId="2379"/>
    <cellStyle name="Normal 4 4 5 5" xfId="2906"/>
    <cellStyle name="Normal 4 4 5 6" xfId="3433"/>
    <cellStyle name="Normal 4 4 5 7" xfId="3960"/>
    <cellStyle name="Normal 4 4 6" xfId="712"/>
    <cellStyle name="Normal 4 4 6 2" xfId="4136"/>
    <cellStyle name="Normal 4 4 7" xfId="1063"/>
    <cellStyle name="Normal 4 4 8" xfId="1498"/>
    <cellStyle name="Normal 4 4 9" xfId="2028"/>
    <cellStyle name="Normal 4 5" xfId="56"/>
    <cellStyle name="Normal 4 5 10" xfId="2559"/>
    <cellStyle name="Normal 4 5 11" xfId="3086"/>
    <cellStyle name="Normal 4 5 12" xfId="3613"/>
    <cellStyle name="Normal 4 5 2" xfId="150"/>
    <cellStyle name="Normal 4 5 2 2" xfId="423"/>
    <cellStyle name="Normal 4 5 2 2 2" xfId="1942"/>
    <cellStyle name="Normal 4 5 2 2 3" xfId="2472"/>
    <cellStyle name="Normal 4 5 2 2 4" xfId="2999"/>
    <cellStyle name="Normal 4 5 2 2 5" xfId="3526"/>
    <cellStyle name="Normal 4 5 2 2 6" xfId="4053"/>
    <cellStyle name="Normal 4 5 2 3" xfId="896"/>
    <cellStyle name="Normal 4 5 2 4" xfId="1247"/>
    <cellStyle name="Normal 4 5 2 5" xfId="1682"/>
    <cellStyle name="Normal 4 5 2 6" xfId="2212"/>
    <cellStyle name="Normal 4 5 2 7" xfId="2739"/>
    <cellStyle name="Normal 4 5 2 8" xfId="3266"/>
    <cellStyle name="Normal 4 5 2 9" xfId="3793"/>
    <cellStyle name="Normal 4 5 3" xfId="245"/>
    <cellStyle name="Normal 4 5 3 2" xfId="508"/>
    <cellStyle name="Normal 4 5 3 3" xfId="805"/>
    <cellStyle name="Normal 4 5 3 4" xfId="1156"/>
    <cellStyle name="Normal 4 5 3 5" xfId="1591"/>
    <cellStyle name="Normal 4 5 3 6" xfId="2121"/>
    <cellStyle name="Normal 4 5 3 7" xfId="2648"/>
    <cellStyle name="Normal 4 5 3 8" xfId="3175"/>
    <cellStyle name="Normal 4 5 3 9" xfId="3702"/>
    <cellStyle name="Normal 4 5 4" xfId="338"/>
    <cellStyle name="Normal 4 5 4 2" xfId="983"/>
    <cellStyle name="Normal 4 5 4 3" xfId="1334"/>
    <cellStyle name="Normal 4 5 4 4" xfId="1769"/>
    <cellStyle name="Normal 4 5 4 5" xfId="2299"/>
    <cellStyle name="Normal 4 5 4 6" xfId="2826"/>
    <cellStyle name="Normal 4 5 4 7" xfId="3353"/>
    <cellStyle name="Normal 4 5 4 8" xfId="3880"/>
    <cellStyle name="Normal 4 5 5" xfId="595"/>
    <cellStyle name="Normal 4 5 5 2" xfId="1418"/>
    <cellStyle name="Normal 4 5 5 3" xfId="1853"/>
    <cellStyle name="Normal 4 5 5 4" xfId="2383"/>
    <cellStyle name="Normal 4 5 5 5" xfId="2910"/>
    <cellStyle name="Normal 4 5 5 6" xfId="3437"/>
    <cellStyle name="Normal 4 5 5 7" xfId="3964"/>
    <cellStyle name="Normal 4 5 6" xfId="716"/>
    <cellStyle name="Normal 4 5 6 2" xfId="4140"/>
    <cellStyle name="Normal 4 5 7" xfId="1067"/>
    <cellStyle name="Normal 4 5 8" xfId="1502"/>
    <cellStyle name="Normal 4 5 9" xfId="2032"/>
    <cellStyle name="Normal 4 6" xfId="60"/>
    <cellStyle name="Normal 4 6 10" xfId="2563"/>
    <cellStyle name="Normal 4 6 11" xfId="3090"/>
    <cellStyle name="Normal 4 6 12" xfId="3617"/>
    <cellStyle name="Normal 4 6 2" xfId="154"/>
    <cellStyle name="Normal 4 6 2 2" xfId="427"/>
    <cellStyle name="Normal 4 6 2 2 2" xfId="1946"/>
    <cellStyle name="Normal 4 6 2 2 3" xfId="2476"/>
    <cellStyle name="Normal 4 6 2 2 4" xfId="3003"/>
    <cellStyle name="Normal 4 6 2 2 5" xfId="3530"/>
    <cellStyle name="Normal 4 6 2 2 6" xfId="4057"/>
    <cellStyle name="Normal 4 6 2 3" xfId="900"/>
    <cellStyle name="Normal 4 6 2 4" xfId="1251"/>
    <cellStyle name="Normal 4 6 2 5" xfId="1686"/>
    <cellStyle name="Normal 4 6 2 6" xfId="2216"/>
    <cellStyle name="Normal 4 6 2 7" xfId="2743"/>
    <cellStyle name="Normal 4 6 2 8" xfId="3270"/>
    <cellStyle name="Normal 4 6 2 9" xfId="3797"/>
    <cellStyle name="Normal 4 6 3" xfId="249"/>
    <cellStyle name="Normal 4 6 3 2" xfId="512"/>
    <cellStyle name="Normal 4 6 3 3" xfId="809"/>
    <cellStyle name="Normal 4 6 3 4" xfId="1160"/>
    <cellStyle name="Normal 4 6 3 5" xfId="1595"/>
    <cellStyle name="Normal 4 6 3 6" xfId="2125"/>
    <cellStyle name="Normal 4 6 3 7" xfId="2652"/>
    <cellStyle name="Normal 4 6 3 8" xfId="3179"/>
    <cellStyle name="Normal 4 6 3 9" xfId="3706"/>
    <cellStyle name="Normal 4 6 4" xfId="342"/>
    <cellStyle name="Normal 4 6 4 2" xfId="987"/>
    <cellStyle name="Normal 4 6 4 3" xfId="1338"/>
    <cellStyle name="Normal 4 6 4 4" xfId="1773"/>
    <cellStyle name="Normal 4 6 4 5" xfId="2303"/>
    <cellStyle name="Normal 4 6 4 6" xfId="2830"/>
    <cellStyle name="Normal 4 6 4 7" xfId="3357"/>
    <cellStyle name="Normal 4 6 4 8" xfId="3884"/>
    <cellStyle name="Normal 4 6 5" xfId="599"/>
    <cellStyle name="Normal 4 6 5 2" xfId="1422"/>
    <cellStyle name="Normal 4 6 5 3" xfId="1857"/>
    <cellStyle name="Normal 4 6 5 4" xfId="2387"/>
    <cellStyle name="Normal 4 6 5 5" xfId="2914"/>
    <cellStyle name="Normal 4 6 5 6" xfId="3441"/>
    <cellStyle name="Normal 4 6 5 7" xfId="3968"/>
    <cellStyle name="Normal 4 6 6" xfId="720"/>
    <cellStyle name="Normal 4 6 6 2" xfId="4144"/>
    <cellStyle name="Normal 4 6 7" xfId="1071"/>
    <cellStyle name="Normal 4 6 8" xfId="1506"/>
    <cellStyle name="Normal 4 6 9" xfId="2036"/>
    <cellStyle name="Normal 4 7" xfId="64"/>
    <cellStyle name="Normal 4 7 10" xfId="2567"/>
    <cellStyle name="Normal 4 7 11" xfId="3094"/>
    <cellStyle name="Normal 4 7 12" xfId="3621"/>
    <cellStyle name="Normal 4 7 2" xfId="158"/>
    <cellStyle name="Normal 4 7 2 2" xfId="431"/>
    <cellStyle name="Normal 4 7 2 2 2" xfId="1950"/>
    <cellStyle name="Normal 4 7 2 2 3" xfId="2480"/>
    <cellStyle name="Normal 4 7 2 2 4" xfId="3007"/>
    <cellStyle name="Normal 4 7 2 2 5" xfId="3534"/>
    <cellStyle name="Normal 4 7 2 2 6" xfId="4061"/>
    <cellStyle name="Normal 4 7 2 3" xfId="904"/>
    <cellStyle name="Normal 4 7 2 4" xfId="1255"/>
    <cellStyle name="Normal 4 7 2 5" xfId="1690"/>
    <cellStyle name="Normal 4 7 2 6" xfId="2220"/>
    <cellStyle name="Normal 4 7 2 7" xfId="2747"/>
    <cellStyle name="Normal 4 7 2 8" xfId="3274"/>
    <cellStyle name="Normal 4 7 2 9" xfId="3801"/>
    <cellStyle name="Normal 4 7 3" xfId="253"/>
    <cellStyle name="Normal 4 7 3 2" xfId="516"/>
    <cellStyle name="Normal 4 7 3 3" xfId="813"/>
    <cellStyle name="Normal 4 7 3 4" xfId="1164"/>
    <cellStyle name="Normal 4 7 3 5" xfId="1599"/>
    <cellStyle name="Normal 4 7 3 6" xfId="2129"/>
    <cellStyle name="Normal 4 7 3 7" xfId="2656"/>
    <cellStyle name="Normal 4 7 3 8" xfId="3183"/>
    <cellStyle name="Normal 4 7 3 9" xfId="3710"/>
    <cellStyle name="Normal 4 7 4" xfId="346"/>
    <cellStyle name="Normal 4 7 4 2" xfId="991"/>
    <cellStyle name="Normal 4 7 4 3" xfId="1342"/>
    <cellStyle name="Normal 4 7 4 4" xfId="1777"/>
    <cellStyle name="Normal 4 7 4 5" xfId="2307"/>
    <cellStyle name="Normal 4 7 4 6" xfId="2834"/>
    <cellStyle name="Normal 4 7 4 7" xfId="3361"/>
    <cellStyle name="Normal 4 7 4 8" xfId="3888"/>
    <cellStyle name="Normal 4 7 5" xfId="603"/>
    <cellStyle name="Normal 4 7 5 2" xfId="1426"/>
    <cellStyle name="Normal 4 7 5 3" xfId="1861"/>
    <cellStyle name="Normal 4 7 5 4" xfId="2391"/>
    <cellStyle name="Normal 4 7 5 5" xfId="2918"/>
    <cellStyle name="Normal 4 7 5 6" xfId="3445"/>
    <cellStyle name="Normal 4 7 5 7" xfId="3972"/>
    <cellStyle name="Normal 4 7 6" xfId="724"/>
    <cellStyle name="Normal 4 7 6 2" xfId="4148"/>
    <cellStyle name="Normal 4 7 7" xfId="1075"/>
    <cellStyle name="Normal 4 7 8" xfId="1510"/>
    <cellStyle name="Normal 4 7 9" xfId="2040"/>
    <cellStyle name="Normal 4 8" xfId="68"/>
    <cellStyle name="Normal 4 8 10" xfId="2571"/>
    <cellStyle name="Normal 4 8 11" xfId="3098"/>
    <cellStyle name="Normal 4 8 12" xfId="3625"/>
    <cellStyle name="Normal 4 8 2" xfId="162"/>
    <cellStyle name="Normal 4 8 2 2" xfId="435"/>
    <cellStyle name="Normal 4 8 2 2 2" xfId="1954"/>
    <cellStyle name="Normal 4 8 2 2 3" xfId="2484"/>
    <cellStyle name="Normal 4 8 2 2 4" xfId="3011"/>
    <cellStyle name="Normal 4 8 2 2 5" xfId="3538"/>
    <cellStyle name="Normal 4 8 2 2 6" xfId="4065"/>
    <cellStyle name="Normal 4 8 2 3" xfId="908"/>
    <cellStyle name="Normal 4 8 2 4" xfId="1259"/>
    <cellStyle name="Normal 4 8 2 5" xfId="1694"/>
    <cellStyle name="Normal 4 8 2 6" xfId="2224"/>
    <cellStyle name="Normal 4 8 2 7" xfId="2751"/>
    <cellStyle name="Normal 4 8 2 8" xfId="3278"/>
    <cellStyle name="Normal 4 8 2 9" xfId="3805"/>
    <cellStyle name="Normal 4 8 3" xfId="257"/>
    <cellStyle name="Normal 4 8 3 2" xfId="520"/>
    <cellStyle name="Normal 4 8 3 3" xfId="817"/>
    <cellStyle name="Normal 4 8 3 4" xfId="1168"/>
    <cellStyle name="Normal 4 8 3 5" xfId="1603"/>
    <cellStyle name="Normal 4 8 3 6" xfId="2133"/>
    <cellStyle name="Normal 4 8 3 7" xfId="2660"/>
    <cellStyle name="Normal 4 8 3 8" xfId="3187"/>
    <cellStyle name="Normal 4 8 3 9" xfId="3714"/>
    <cellStyle name="Normal 4 8 4" xfId="350"/>
    <cellStyle name="Normal 4 8 4 2" xfId="995"/>
    <cellStyle name="Normal 4 8 4 3" xfId="1346"/>
    <cellStyle name="Normal 4 8 4 4" xfId="1781"/>
    <cellStyle name="Normal 4 8 4 5" xfId="2311"/>
    <cellStyle name="Normal 4 8 4 6" xfId="2838"/>
    <cellStyle name="Normal 4 8 4 7" xfId="3365"/>
    <cellStyle name="Normal 4 8 4 8" xfId="3892"/>
    <cellStyle name="Normal 4 8 5" xfId="607"/>
    <cellStyle name="Normal 4 8 5 2" xfId="1430"/>
    <cellStyle name="Normal 4 8 5 3" xfId="1865"/>
    <cellStyle name="Normal 4 8 5 4" xfId="2395"/>
    <cellStyle name="Normal 4 8 5 5" xfId="2922"/>
    <cellStyle name="Normal 4 8 5 6" xfId="3449"/>
    <cellStyle name="Normal 4 8 5 7" xfId="3976"/>
    <cellStyle name="Normal 4 8 6" xfId="728"/>
    <cellStyle name="Normal 4 8 6 2" xfId="4152"/>
    <cellStyle name="Normal 4 8 7" xfId="1079"/>
    <cellStyle name="Normal 4 8 8" xfId="1514"/>
    <cellStyle name="Normal 4 8 9" xfId="2044"/>
    <cellStyle name="Normal 4 9" xfId="76"/>
    <cellStyle name="Normal 4 9 10" xfId="2579"/>
    <cellStyle name="Normal 4 9 11" xfId="3106"/>
    <cellStyle name="Normal 4 9 12" xfId="3633"/>
    <cellStyle name="Normal 4 9 2" xfId="170"/>
    <cellStyle name="Normal 4 9 2 2" xfId="443"/>
    <cellStyle name="Normal 4 9 2 2 2" xfId="1962"/>
    <cellStyle name="Normal 4 9 2 2 3" xfId="2492"/>
    <cellStyle name="Normal 4 9 2 2 4" xfId="3019"/>
    <cellStyle name="Normal 4 9 2 2 5" xfId="3546"/>
    <cellStyle name="Normal 4 9 2 2 6" xfId="4073"/>
    <cellStyle name="Normal 4 9 2 3" xfId="916"/>
    <cellStyle name="Normal 4 9 2 4" xfId="1267"/>
    <cellStyle name="Normal 4 9 2 5" xfId="1702"/>
    <cellStyle name="Normal 4 9 2 6" xfId="2232"/>
    <cellStyle name="Normal 4 9 2 7" xfId="2759"/>
    <cellStyle name="Normal 4 9 2 8" xfId="3286"/>
    <cellStyle name="Normal 4 9 2 9" xfId="3813"/>
    <cellStyle name="Normal 4 9 3" xfId="265"/>
    <cellStyle name="Normal 4 9 3 2" xfId="528"/>
    <cellStyle name="Normal 4 9 3 3" xfId="825"/>
    <cellStyle name="Normal 4 9 3 4" xfId="1176"/>
    <cellStyle name="Normal 4 9 3 5" xfId="1611"/>
    <cellStyle name="Normal 4 9 3 6" xfId="2141"/>
    <cellStyle name="Normal 4 9 3 7" xfId="2668"/>
    <cellStyle name="Normal 4 9 3 8" xfId="3195"/>
    <cellStyle name="Normal 4 9 3 9" xfId="3722"/>
    <cellStyle name="Normal 4 9 4" xfId="358"/>
    <cellStyle name="Normal 4 9 4 2" xfId="1003"/>
    <cellStyle name="Normal 4 9 4 3" xfId="1354"/>
    <cellStyle name="Normal 4 9 4 4" xfId="1789"/>
    <cellStyle name="Normal 4 9 4 5" xfId="2319"/>
    <cellStyle name="Normal 4 9 4 6" xfId="2846"/>
    <cellStyle name="Normal 4 9 4 7" xfId="3373"/>
    <cellStyle name="Normal 4 9 4 8" xfId="3900"/>
    <cellStyle name="Normal 4 9 5" xfId="615"/>
    <cellStyle name="Normal 4 9 5 2" xfId="1438"/>
    <cellStyle name="Normal 4 9 5 3" xfId="1873"/>
    <cellStyle name="Normal 4 9 5 4" xfId="2403"/>
    <cellStyle name="Normal 4 9 5 5" xfId="2930"/>
    <cellStyle name="Normal 4 9 5 6" xfId="3457"/>
    <cellStyle name="Normal 4 9 5 7" xfId="3984"/>
    <cellStyle name="Normal 4 9 6" xfId="736"/>
    <cellStyle name="Normal 4 9 6 2" xfId="4160"/>
    <cellStyle name="Normal 4 9 7" xfId="1087"/>
    <cellStyle name="Normal 4 9 8" xfId="1522"/>
    <cellStyle name="Normal 4 9 9" xfId="2052"/>
    <cellStyle name="Normal 5" xfId="35"/>
    <cellStyle name="Normal 5 10" xfId="87"/>
    <cellStyle name="Normal 5 10 10" xfId="2590"/>
    <cellStyle name="Normal 5 10 11" xfId="3117"/>
    <cellStyle name="Normal 5 10 12" xfId="3644"/>
    <cellStyle name="Normal 5 10 2" xfId="181"/>
    <cellStyle name="Normal 5 10 2 2" xfId="454"/>
    <cellStyle name="Normal 5 10 2 2 2" xfId="1973"/>
    <cellStyle name="Normal 5 10 2 2 3" xfId="2503"/>
    <cellStyle name="Normal 5 10 2 2 4" xfId="3030"/>
    <cellStyle name="Normal 5 10 2 2 5" xfId="3557"/>
    <cellStyle name="Normal 5 10 2 2 6" xfId="4084"/>
    <cellStyle name="Normal 5 10 2 3" xfId="927"/>
    <cellStyle name="Normal 5 10 2 4" xfId="1278"/>
    <cellStyle name="Normal 5 10 2 5" xfId="1713"/>
    <cellStyle name="Normal 5 10 2 6" xfId="2243"/>
    <cellStyle name="Normal 5 10 2 7" xfId="2770"/>
    <cellStyle name="Normal 5 10 2 8" xfId="3297"/>
    <cellStyle name="Normal 5 10 2 9" xfId="3824"/>
    <cellStyle name="Normal 5 10 3" xfId="276"/>
    <cellStyle name="Normal 5 10 3 2" xfId="539"/>
    <cellStyle name="Normal 5 10 3 3" xfId="836"/>
    <cellStyle name="Normal 5 10 3 4" xfId="1187"/>
    <cellStyle name="Normal 5 10 3 5" xfId="1622"/>
    <cellStyle name="Normal 5 10 3 6" xfId="2152"/>
    <cellStyle name="Normal 5 10 3 7" xfId="2679"/>
    <cellStyle name="Normal 5 10 3 8" xfId="3206"/>
    <cellStyle name="Normal 5 10 3 9" xfId="3733"/>
    <cellStyle name="Normal 5 10 4" xfId="369"/>
    <cellStyle name="Normal 5 10 4 2" xfId="1014"/>
    <cellStyle name="Normal 5 10 4 3" xfId="1365"/>
    <cellStyle name="Normal 5 10 4 4" xfId="1800"/>
    <cellStyle name="Normal 5 10 4 5" xfId="2330"/>
    <cellStyle name="Normal 5 10 4 6" xfId="2857"/>
    <cellStyle name="Normal 5 10 4 7" xfId="3384"/>
    <cellStyle name="Normal 5 10 4 8" xfId="3911"/>
    <cellStyle name="Normal 5 10 5" xfId="626"/>
    <cellStyle name="Normal 5 10 5 2" xfId="1449"/>
    <cellStyle name="Normal 5 10 5 3" xfId="1884"/>
    <cellStyle name="Normal 5 10 5 4" xfId="2414"/>
    <cellStyle name="Normal 5 10 5 5" xfId="2941"/>
    <cellStyle name="Normal 5 10 5 6" xfId="3468"/>
    <cellStyle name="Normal 5 10 5 7" xfId="3995"/>
    <cellStyle name="Normal 5 10 6" xfId="747"/>
    <cellStyle name="Normal 5 10 6 2" xfId="4171"/>
    <cellStyle name="Normal 5 10 7" xfId="1098"/>
    <cellStyle name="Normal 5 10 8" xfId="1533"/>
    <cellStyle name="Normal 5 10 9" xfId="2063"/>
    <cellStyle name="Normal 5 11" xfId="95"/>
    <cellStyle name="Normal 5 11 10" xfId="2598"/>
    <cellStyle name="Normal 5 11 11" xfId="3125"/>
    <cellStyle name="Normal 5 11 12" xfId="3652"/>
    <cellStyle name="Normal 5 11 2" xfId="189"/>
    <cellStyle name="Normal 5 11 2 2" xfId="462"/>
    <cellStyle name="Normal 5 11 2 2 2" xfId="1981"/>
    <cellStyle name="Normal 5 11 2 2 3" xfId="2511"/>
    <cellStyle name="Normal 5 11 2 2 4" xfId="3038"/>
    <cellStyle name="Normal 5 11 2 2 5" xfId="3565"/>
    <cellStyle name="Normal 5 11 2 2 6" xfId="4092"/>
    <cellStyle name="Normal 5 11 2 3" xfId="935"/>
    <cellStyle name="Normal 5 11 2 4" xfId="1286"/>
    <cellStyle name="Normal 5 11 2 5" xfId="1721"/>
    <cellStyle name="Normal 5 11 2 6" xfId="2251"/>
    <cellStyle name="Normal 5 11 2 7" xfId="2778"/>
    <cellStyle name="Normal 5 11 2 8" xfId="3305"/>
    <cellStyle name="Normal 5 11 2 9" xfId="3832"/>
    <cellStyle name="Normal 5 11 3" xfId="284"/>
    <cellStyle name="Normal 5 11 3 2" xfId="547"/>
    <cellStyle name="Normal 5 11 3 3" xfId="844"/>
    <cellStyle name="Normal 5 11 3 4" xfId="1195"/>
    <cellStyle name="Normal 5 11 3 5" xfId="1630"/>
    <cellStyle name="Normal 5 11 3 6" xfId="2160"/>
    <cellStyle name="Normal 5 11 3 7" xfId="2687"/>
    <cellStyle name="Normal 5 11 3 8" xfId="3214"/>
    <cellStyle name="Normal 5 11 3 9" xfId="3741"/>
    <cellStyle name="Normal 5 11 4" xfId="377"/>
    <cellStyle name="Normal 5 11 4 2" xfId="1022"/>
    <cellStyle name="Normal 5 11 4 3" xfId="1373"/>
    <cellStyle name="Normal 5 11 4 4" xfId="1808"/>
    <cellStyle name="Normal 5 11 4 5" xfId="2338"/>
    <cellStyle name="Normal 5 11 4 6" xfId="2865"/>
    <cellStyle name="Normal 5 11 4 7" xfId="3392"/>
    <cellStyle name="Normal 5 11 4 8" xfId="3919"/>
    <cellStyle name="Normal 5 11 5" xfId="634"/>
    <cellStyle name="Normal 5 11 5 2" xfId="1457"/>
    <cellStyle name="Normal 5 11 5 3" xfId="1892"/>
    <cellStyle name="Normal 5 11 5 4" xfId="2422"/>
    <cellStyle name="Normal 5 11 5 5" xfId="2949"/>
    <cellStyle name="Normal 5 11 5 6" xfId="3476"/>
    <cellStyle name="Normal 5 11 5 7" xfId="4003"/>
    <cellStyle name="Normal 5 11 6" xfId="755"/>
    <cellStyle name="Normal 5 11 6 2" xfId="4179"/>
    <cellStyle name="Normal 5 11 7" xfId="1106"/>
    <cellStyle name="Normal 5 11 8" xfId="1541"/>
    <cellStyle name="Normal 5 11 9" xfId="2071"/>
    <cellStyle name="Normal 5 12" xfId="103"/>
    <cellStyle name="Normal 5 12 10" xfId="2606"/>
    <cellStyle name="Normal 5 12 11" xfId="3133"/>
    <cellStyle name="Normal 5 12 12" xfId="3660"/>
    <cellStyle name="Normal 5 12 2" xfId="197"/>
    <cellStyle name="Normal 5 12 2 2" xfId="470"/>
    <cellStyle name="Normal 5 12 2 2 2" xfId="1989"/>
    <cellStyle name="Normal 5 12 2 2 3" xfId="2519"/>
    <cellStyle name="Normal 5 12 2 2 4" xfId="3046"/>
    <cellStyle name="Normal 5 12 2 2 5" xfId="3573"/>
    <cellStyle name="Normal 5 12 2 2 6" xfId="4100"/>
    <cellStyle name="Normal 5 12 2 3" xfId="943"/>
    <cellStyle name="Normal 5 12 2 4" xfId="1294"/>
    <cellStyle name="Normal 5 12 2 5" xfId="1729"/>
    <cellStyle name="Normal 5 12 2 6" xfId="2259"/>
    <cellStyle name="Normal 5 12 2 7" xfId="2786"/>
    <cellStyle name="Normal 5 12 2 8" xfId="3313"/>
    <cellStyle name="Normal 5 12 2 9" xfId="3840"/>
    <cellStyle name="Normal 5 12 3" xfId="292"/>
    <cellStyle name="Normal 5 12 3 2" xfId="555"/>
    <cellStyle name="Normal 5 12 3 3" xfId="852"/>
    <cellStyle name="Normal 5 12 3 4" xfId="1203"/>
    <cellStyle name="Normal 5 12 3 5" xfId="1638"/>
    <cellStyle name="Normal 5 12 3 6" xfId="2168"/>
    <cellStyle name="Normal 5 12 3 7" xfId="2695"/>
    <cellStyle name="Normal 5 12 3 8" xfId="3222"/>
    <cellStyle name="Normal 5 12 3 9" xfId="3749"/>
    <cellStyle name="Normal 5 12 4" xfId="385"/>
    <cellStyle name="Normal 5 12 4 2" xfId="1030"/>
    <cellStyle name="Normal 5 12 4 3" xfId="1381"/>
    <cellStyle name="Normal 5 12 4 4" xfId="1816"/>
    <cellStyle name="Normal 5 12 4 5" xfId="2346"/>
    <cellStyle name="Normal 5 12 4 6" xfId="2873"/>
    <cellStyle name="Normal 5 12 4 7" xfId="3400"/>
    <cellStyle name="Normal 5 12 4 8" xfId="3927"/>
    <cellStyle name="Normal 5 12 5" xfId="642"/>
    <cellStyle name="Normal 5 12 5 2" xfId="1465"/>
    <cellStyle name="Normal 5 12 5 3" xfId="1900"/>
    <cellStyle name="Normal 5 12 5 4" xfId="2430"/>
    <cellStyle name="Normal 5 12 5 5" xfId="2957"/>
    <cellStyle name="Normal 5 12 5 6" xfId="3484"/>
    <cellStyle name="Normal 5 12 5 7" xfId="4011"/>
    <cellStyle name="Normal 5 12 6" xfId="763"/>
    <cellStyle name="Normal 5 12 6 2" xfId="4187"/>
    <cellStyle name="Normal 5 12 7" xfId="1114"/>
    <cellStyle name="Normal 5 12 8" xfId="1549"/>
    <cellStyle name="Normal 5 12 9" xfId="2079"/>
    <cellStyle name="Normal 5 13" xfId="111"/>
    <cellStyle name="Normal 5 13 10" xfId="2614"/>
    <cellStyle name="Normal 5 13 11" xfId="3141"/>
    <cellStyle name="Normal 5 13 12" xfId="3668"/>
    <cellStyle name="Normal 5 13 2" xfId="205"/>
    <cellStyle name="Normal 5 13 2 2" xfId="478"/>
    <cellStyle name="Normal 5 13 2 2 2" xfId="1997"/>
    <cellStyle name="Normal 5 13 2 2 3" xfId="2527"/>
    <cellStyle name="Normal 5 13 2 2 4" xfId="3054"/>
    <cellStyle name="Normal 5 13 2 2 5" xfId="3581"/>
    <cellStyle name="Normal 5 13 2 2 6" xfId="4108"/>
    <cellStyle name="Normal 5 13 2 3" xfId="951"/>
    <cellStyle name="Normal 5 13 2 4" xfId="1302"/>
    <cellStyle name="Normal 5 13 2 5" xfId="1737"/>
    <cellStyle name="Normal 5 13 2 6" xfId="2267"/>
    <cellStyle name="Normal 5 13 2 7" xfId="2794"/>
    <cellStyle name="Normal 5 13 2 8" xfId="3321"/>
    <cellStyle name="Normal 5 13 2 9" xfId="3848"/>
    <cellStyle name="Normal 5 13 3" xfId="300"/>
    <cellStyle name="Normal 5 13 3 2" xfId="563"/>
    <cellStyle name="Normal 5 13 3 3" xfId="860"/>
    <cellStyle name="Normal 5 13 3 4" xfId="1211"/>
    <cellStyle name="Normal 5 13 3 5" xfId="1646"/>
    <cellStyle name="Normal 5 13 3 6" xfId="2176"/>
    <cellStyle name="Normal 5 13 3 7" xfId="2703"/>
    <cellStyle name="Normal 5 13 3 8" xfId="3230"/>
    <cellStyle name="Normal 5 13 3 9" xfId="3757"/>
    <cellStyle name="Normal 5 13 4" xfId="393"/>
    <cellStyle name="Normal 5 13 4 2" xfId="1038"/>
    <cellStyle name="Normal 5 13 4 3" xfId="1389"/>
    <cellStyle name="Normal 5 13 4 4" xfId="1824"/>
    <cellStyle name="Normal 5 13 4 5" xfId="2354"/>
    <cellStyle name="Normal 5 13 4 6" xfId="2881"/>
    <cellStyle name="Normal 5 13 4 7" xfId="3408"/>
    <cellStyle name="Normal 5 13 4 8" xfId="3935"/>
    <cellStyle name="Normal 5 13 5" xfId="650"/>
    <cellStyle name="Normal 5 13 5 2" xfId="1473"/>
    <cellStyle name="Normal 5 13 5 3" xfId="1908"/>
    <cellStyle name="Normal 5 13 5 4" xfId="2438"/>
    <cellStyle name="Normal 5 13 5 5" xfId="2965"/>
    <cellStyle name="Normal 5 13 5 6" xfId="3492"/>
    <cellStyle name="Normal 5 13 5 7" xfId="4019"/>
    <cellStyle name="Normal 5 13 6" xfId="771"/>
    <cellStyle name="Normal 5 13 6 2" xfId="4195"/>
    <cellStyle name="Normal 5 13 7" xfId="1122"/>
    <cellStyle name="Normal 5 13 8" xfId="1557"/>
    <cellStyle name="Normal 5 13 9" xfId="2087"/>
    <cellStyle name="Normal 5 14" xfId="43"/>
    <cellStyle name="Normal 5 14 10" xfId="2546"/>
    <cellStyle name="Normal 5 14 11" xfId="3073"/>
    <cellStyle name="Normal 5 14 12" xfId="3600"/>
    <cellStyle name="Normal 5 14 2" xfId="137"/>
    <cellStyle name="Normal 5 14 2 2" xfId="410"/>
    <cellStyle name="Normal 5 14 2 2 2" xfId="1929"/>
    <cellStyle name="Normal 5 14 2 2 3" xfId="2459"/>
    <cellStyle name="Normal 5 14 2 2 4" xfId="2986"/>
    <cellStyle name="Normal 5 14 2 2 5" xfId="3513"/>
    <cellStyle name="Normal 5 14 2 2 6" xfId="4040"/>
    <cellStyle name="Normal 5 14 2 3" xfId="883"/>
    <cellStyle name="Normal 5 14 2 4" xfId="1234"/>
    <cellStyle name="Normal 5 14 2 5" xfId="1669"/>
    <cellStyle name="Normal 5 14 2 6" xfId="2199"/>
    <cellStyle name="Normal 5 14 2 7" xfId="2726"/>
    <cellStyle name="Normal 5 14 2 8" xfId="3253"/>
    <cellStyle name="Normal 5 14 2 9" xfId="3780"/>
    <cellStyle name="Normal 5 14 3" xfId="232"/>
    <cellStyle name="Normal 5 14 3 2" xfId="495"/>
    <cellStyle name="Normal 5 14 3 3" xfId="792"/>
    <cellStyle name="Normal 5 14 3 4" xfId="1143"/>
    <cellStyle name="Normal 5 14 3 5" xfId="1578"/>
    <cellStyle name="Normal 5 14 3 6" xfId="2108"/>
    <cellStyle name="Normal 5 14 3 7" xfId="2635"/>
    <cellStyle name="Normal 5 14 3 8" xfId="3162"/>
    <cellStyle name="Normal 5 14 3 9" xfId="3689"/>
    <cellStyle name="Normal 5 14 4" xfId="325"/>
    <cellStyle name="Normal 5 14 4 2" xfId="970"/>
    <cellStyle name="Normal 5 14 4 3" xfId="1321"/>
    <cellStyle name="Normal 5 14 4 4" xfId="1756"/>
    <cellStyle name="Normal 5 14 4 5" xfId="2286"/>
    <cellStyle name="Normal 5 14 4 6" xfId="2813"/>
    <cellStyle name="Normal 5 14 4 7" xfId="3340"/>
    <cellStyle name="Normal 5 14 4 8" xfId="3867"/>
    <cellStyle name="Normal 5 14 5" xfId="582"/>
    <cellStyle name="Normal 5 14 5 2" xfId="1405"/>
    <cellStyle name="Normal 5 14 5 3" xfId="1840"/>
    <cellStyle name="Normal 5 14 5 4" xfId="2370"/>
    <cellStyle name="Normal 5 14 5 5" xfId="2897"/>
    <cellStyle name="Normal 5 14 5 6" xfId="3424"/>
    <cellStyle name="Normal 5 14 5 7" xfId="3951"/>
    <cellStyle name="Normal 5 14 6" xfId="703"/>
    <cellStyle name="Normal 5 14 6 2" xfId="4127"/>
    <cellStyle name="Normal 5 14 7" xfId="1054"/>
    <cellStyle name="Normal 5 14 8" xfId="1489"/>
    <cellStyle name="Normal 5 14 9" xfId="2019"/>
    <cellStyle name="Normal 5 15" xfId="115"/>
    <cellStyle name="Normal 5 15 10" xfId="2618"/>
    <cellStyle name="Normal 5 15 11" xfId="3145"/>
    <cellStyle name="Normal 5 15 12" xfId="3672"/>
    <cellStyle name="Normal 5 15 2" xfId="209"/>
    <cellStyle name="Normal 5 15 2 2" xfId="482"/>
    <cellStyle name="Normal 5 15 2 2 2" xfId="2001"/>
    <cellStyle name="Normal 5 15 2 2 3" xfId="2531"/>
    <cellStyle name="Normal 5 15 2 2 4" xfId="3058"/>
    <cellStyle name="Normal 5 15 2 2 5" xfId="3585"/>
    <cellStyle name="Normal 5 15 2 2 6" xfId="4112"/>
    <cellStyle name="Normal 5 15 2 3" xfId="955"/>
    <cellStyle name="Normal 5 15 2 4" xfId="1306"/>
    <cellStyle name="Normal 5 15 2 5" xfId="1741"/>
    <cellStyle name="Normal 5 15 2 6" xfId="2271"/>
    <cellStyle name="Normal 5 15 2 7" xfId="2798"/>
    <cellStyle name="Normal 5 15 2 8" xfId="3325"/>
    <cellStyle name="Normal 5 15 2 9" xfId="3852"/>
    <cellStyle name="Normal 5 15 3" xfId="304"/>
    <cellStyle name="Normal 5 15 3 2" xfId="567"/>
    <cellStyle name="Normal 5 15 3 3" xfId="864"/>
    <cellStyle name="Normal 5 15 3 4" xfId="1215"/>
    <cellStyle name="Normal 5 15 3 5" xfId="1650"/>
    <cellStyle name="Normal 5 15 3 6" xfId="2180"/>
    <cellStyle name="Normal 5 15 3 7" xfId="2707"/>
    <cellStyle name="Normal 5 15 3 8" xfId="3234"/>
    <cellStyle name="Normal 5 15 3 9" xfId="3761"/>
    <cellStyle name="Normal 5 15 4" xfId="397"/>
    <cellStyle name="Normal 5 15 4 2" xfId="1042"/>
    <cellStyle name="Normal 5 15 4 3" xfId="1393"/>
    <cellStyle name="Normal 5 15 4 4" xfId="1828"/>
    <cellStyle name="Normal 5 15 4 5" xfId="2358"/>
    <cellStyle name="Normal 5 15 4 6" xfId="2885"/>
    <cellStyle name="Normal 5 15 4 7" xfId="3412"/>
    <cellStyle name="Normal 5 15 4 8" xfId="3939"/>
    <cellStyle name="Normal 5 15 5" xfId="654"/>
    <cellStyle name="Normal 5 15 5 2" xfId="1477"/>
    <cellStyle name="Normal 5 15 5 3" xfId="1912"/>
    <cellStyle name="Normal 5 15 5 4" xfId="2442"/>
    <cellStyle name="Normal 5 15 5 5" xfId="2969"/>
    <cellStyle name="Normal 5 15 5 6" xfId="3496"/>
    <cellStyle name="Normal 5 15 5 7" xfId="4023"/>
    <cellStyle name="Normal 5 15 6" xfId="775"/>
    <cellStyle name="Normal 5 15 6 2" xfId="4199"/>
    <cellStyle name="Normal 5 15 7" xfId="1126"/>
    <cellStyle name="Normal 5 15 8" xfId="1561"/>
    <cellStyle name="Normal 5 15 9" xfId="2091"/>
    <cellStyle name="Normal 5 16" xfId="129"/>
    <cellStyle name="Normal 5 16 2" xfId="402"/>
    <cellStyle name="Normal 5 16 2 2" xfId="1921"/>
    <cellStyle name="Normal 5 16 2 3" xfId="2451"/>
    <cellStyle name="Normal 5 16 2 4" xfId="2978"/>
    <cellStyle name="Normal 5 16 2 5" xfId="3505"/>
    <cellStyle name="Normal 5 16 2 6" xfId="4032"/>
    <cellStyle name="Normal 5 16 3" xfId="875"/>
    <cellStyle name="Normal 5 16 4" xfId="1226"/>
    <cellStyle name="Normal 5 16 5" xfId="1661"/>
    <cellStyle name="Normal 5 16 6" xfId="2191"/>
    <cellStyle name="Normal 5 16 7" xfId="2718"/>
    <cellStyle name="Normal 5 16 8" xfId="3245"/>
    <cellStyle name="Normal 5 16 9" xfId="3772"/>
    <cellStyle name="Normal 5 17" xfId="224"/>
    <cellStyle name="Normal 5 17 2" xfId="487"/>
    <cellStyle name="Normal 5 17 3" xfId="784"/>
    <cellStyle name="Normal 5 17 4" xfId="1135"/>
    <cellStyle name="Normal 5 17 5" xfId="1570"/>
    <cellStyle name="Normal 5 17 6" xfId="2100"/>
    <cellStyle name="Normal 5 17 7" xfId="2627"/>
    <cellStyle name="Normal 5 17 8" xfId="3154"/>
    <cellStyle name="Normal 5 17 9" xfId="3681"/>
    <cellStyle name="Normal 5 18" xfId="317"/>
    <cellStyle name="Normal 5 18 2" xfId="962"/>
    <cellStyle name="Normal 5 18 3" xfId="1313"/>
    <cellStyle name="Normal 5 18 4" xfId="1748"/>
    <cellStyle name="Normal 5 18 5" xfId="2278"/>
    <cellStyle name="Normal 5 18 6" xfId="2805"/>
    <cellStyle name="Normal 5 18 7" xfId="3332"/>
    <cellStyle name="Normal 5 18 8" xfId="3859"/>
    <cellStyle name="Normal 5 19" xfId="574"/>
    <cellStyle name="Normal 5 19 2" xfId="1397"/>
    <cellStyle name="Normal 5 19 3" xfId="1832"/>
    <cellStyle name="Normal 5 19 4" xfId="2362"/>
    <cellStyle name="Normal 5 19 5" xfId="2889"/>
    <cellStyle name="Normal 5 19 6" xfId="3416"/>
    <cellStyle name="Normal 5 19 7" xfId="3943"/>
    <cellStyle name="Normal 5 2" xfId="39"/>
    <cellStyle name="Normal 5 2 10" xfId="321"/>
    <cellStyle name="Normal 5 2 10 2" xfId="966"/>
    <cellStyle name="Normal 5 2 10 3" xfId="1317"/>
    <cellStyle name="Normal 5 2 10 4" xfId="1752"/>
    <cellStyle name="Normal 5 2 10 5" xfId="2282"/>
    <cellStyle name="Normal 5 2 10 6" xfId="2809"/>
    <cellStyle name="Normal 5 2 10 7" xfId="3336"/>
    <cellStyle name="Normal 5 2 10 8" xfId="3863"/>
    <cellStyle name="Normal 5 2 11" xfId="578"/>
    <cellStyle name="Normal 5 2 11 2" xfId="1401"/>
    <cellStyle name="Normal 5 2 11 3" xfId="1836"/>
    <cellStyle name="Normal 5 2 11 4" xfId="2366"/>
    <cellStyle name="Normal 5 2 11 5" xfId="2893"/>
    <cellStyle name="Normal 5 2 11 6" xfId="3420"/>
    <cellStyle name="Normal 5 2 11 7" xfId="3947"/>
    <cellStyle name="Normal 5 2 12" xfId="699"/>
    <cellStyle name="Normal 5 2 12 2" xfId="4123"/>
    <cellStyle name="Normal 5 2 13" xfId="1050"/>
    <cellStyle name="Normal 5 2 14" xfId="1485"/>
    <cellStyle name="Normal 5 2 15" xfId="2015"/>
    <cellStyle name="Normal 5 2 16" xfId="2542"/>
    <cellStyle name="Normal 5 2 17" xfId="3069"/>
    <cellStyle name="Normal 5 2 18" xfId="3596"/>
    <cellStyle name="Normal 5 2 2" xfId="75"/>
    <cellStyle name="Normal 5 2 2 10" xfId="2578"/>
    <cellStyle name="Normal 5 2 2 11" xfId="3105"/>
    <cellStyle name="Normal 5 2 2 12" xfId="3632"/>
    <cellStyle name="Normal 5 2 2 2" xfId="169"/>
    <cellStyle name="Normal 5 2 2 2 2" xfId="442"/>
    <cellStyle name="Normal 5 2 2 2 2 2" xfId="1961"/>
    <cellStyle name="Normal 5 2 2 2 2 3" xfId="2491"/>
    <cellStyle name="Normal 5 2 2 2 2 4" xfId="3018"/>
    <cellStyle name="Normal 5 2 2 2 2 5" xfId="3545"/>
    <cellStyle name="Normal 5 2 2 2 2 6" xfId="4072"/>
    <cellStyle name="Normal 5 2 2 2 3" xfId="915"/>
    <cellStyle name="Normal 5 2 2 2 4" xfId="1266"/>
    <cellStyle name="Normal 5 2 2 2 5" xfId="1701"/>
    <cellStyle name="Normal 5 2 2 2 6" xfId="2231"/>
    <cellStyle name="Normal 5 2 2 2 7" xfId="2758"/>
    <cellStyle name="Normal 5 2 2 2 8" xfId="3285"/>
    <cellStyle name="Normal 5 2 2 2 9" xfId="3812"/>
    <cellStyle name="Normal 5 2 2 3" xfId="264"/>
    <cellStyle name="Normal 5 2 2 3 2" xfId="527"/>
    <cellStyle name="Normal 5 2 2 3 3" xfId="824"/>
    <cellStyle name="Normal 5 2 2 3 4" xfId="1175"/>
    <cellStyle name="Normal 5 2 2 3 5" xfId="1610"/>
    <cellStyle name="Normal 5 2 2 3 6" xfId="2140"/>
    <cellStyle name="Normal 5 2 2 3 7" xfId="2667"/>
    <cellStyle name="Normal 5 2 2 3 8" xfId="3194"/>
    <cellStyle name="Normal 5 2 2 3 9" xfId="3721"/>
    <cellStyle name="Normal 5 2 2 4" xfId="357"/>
    <cellStyle name="Normal 5 2 2 4 2" xfId="1002"/>
    <cellStyle name="Normal 5 2 2 4 3" xfId="1353"/>
    <cellStyle name="Normal 5 2 2 4 4" xfId="1788"/>
    <cellStyle name="Normal 5 2 2 4 5" xfId="2318"/>
    <cellStyle name="Normal 5 2 2 4 6" xfId="2845"/>
    <cellStyle name="Normal 5 2 2 4 7" xfId="3372"/>
    <cellStyle name="Normal 5 2 2 4 8" xfId="3899"/>
    <cellStyle name="Normal 5 2 2 5" xfId="614"/>
    <cellStyle name="Normal 5 2 2 5 2" xfId="1437"/>
    <cellStyle name="Normal 5 2 2 5 3" xfId="1872"/>
    <cellStyle name="Normal 5 2 2 5 4" xfId="2402"/>
    <cellStyle name="Normal 5 2 2 5 5" xfId="2929"/>
    <cellStyle name="Normal 5 2 2 5 6" xfId="3456"/>
    <cellStyle name="Normal 5 2 2 5 7" xfId="3983"/>
    <cellStyle name="Normal 5 2 2 6" xfId="735"/>
    <cellStyle name="Normal 5 2 2 6 2" xfId="4159"/>
    <cellStyle name="Normal 5 2 2 7" xfId="1086"/>
    <cellStyle name="Normal 5 2 2 8" xfId="1521"/>
    <cellStyle name="Normal 5 2 2 9" xfId="2051"/>
    <cellStyle name="Normal 5 2 3" xfId="83"/>
    <cellStyle name="Normal 5 2 3 10" xfId="2586"/>
    <cellStyle name="Normal 5 2 3 11" xfId="3113"/>
    <cellStyle name="Normal 5 2 3 12" xfId="3640"/>
    <cellStyle name="Normal 5 2 3 2" xfId="177"/>
    <cellStyle name="Normal 5 2 3 2 2" xfId="450"/>
    <cellStyle name="Normal 5 2 3 2 2 2" xfId="1969"/>
    <cellStyle name="Normal 5 2 3 2 2 3" xfId="2499"/>
    <cellStyle name="Normal 5 2 3 2 2 4" xfId="3026"/>
    <cellStyle name="Normal 5 2 3 2 2 5" xfId="3553"/>
    <cellStyle name="Normal 5 2 3 2 2 6" xfId="4080"/>
    <cellStyle name="Normal 5 2 3 2 3" xfId="923"/>
    <cellStyle name="Normal 5 2 3 2 4" xfId="1274"/>
    <cellStyle name="Normal 5 2 3 2 5" xfId="1709"/>
    <cellStyle name="Normal 5 2 3 2 6" xfId="2239"/>
    <cellStyle name="Normal 5 2 3 2 7" xfId="2766"/>
    <cellStyle name="Normal 5 2 3 2 8" xfId="3293"/>
    <cellStyle name="Normal 5 2 3 2 9" xfId="3820"/>
    <cellStyle name="Normal 5 2 3 3" xfId="272"/>
    <cellStyle name="Normal 5 2 3 3 2" xfId="535"/>
    <cellStyle name="Normal 5 2 3 3 3" xfId="832"/>
    <cellStyle name="Normal 5 2 3 3 4" xfId="1183"/>
    <cellStyle name="Normal 5 2 3 3 5" xfId="1618"/>
    <cellStyle name="Normal 5 2 3 3 6" xfId="2148"/>
    <cellStyle name="Normal 5 2 3 3 7" xfId="2675"/>
    <cellStyle name="Normal 5 2 3 3 8" xfId="3202"/>
    <cellStyle name="Normal 5 2 3 3 9" xfId="3729"/>
    <cellStyle name="Normal 5 2 3 4" xfId="365"/>
    <cellStyle name="Normal 5 2 3 4 2" xfId="1010"/>
    <cellStyle name="Normal 5 2 3 4 3" xfId="1361"/>
    <cellStyle name="Normal 5 2 3 4 4" xfId="1796"/>
    <cellStyle name="Normal 5 2 3 4 5" xfId="2326"/>
    <cellStyle name="Normal 5 2 3 4 6" xfId="2853"/>
    <cellStyle name="Normal 5 2 3 4 7" xfId="3380"/>
    <cellStyle name="Normal 5 2 3 4 8" xfId="3907"/>
    <cellStyle name="Normal 5 2 3 5" xfId="622"/>
    <cellStyle name="Normal 5 2 3 5 2" xfId="1445"/>
    <cellStyle name="Normal 5 2 3 5 3" xfId="1880"/>
    <cellStyle name="Normal 5 2 3 5 4" xfId="2410"/>
    <cellStyle name="Normal 5 2 3 5 5" xfId="2937"/>
    <cellStyle name="Normal 5 2 3 5 6" xfId="3464"/>
    <cellStyle name="Normal 5 2 3 5 7" xfId="3991"/>
    <cellStyle name="Normal 5 2 3 6" xfId="743"/>
    <cellStyle name="Normal 5 2 3 6 2" xfId="4167"/>
    <cellStyle name="Normal 5 2 3 7" xfId="1094"/>
    <cellStyle name="Normal 5 2 3 8" xfId="1529"/>
    <cellStyle name="Normal 5 2 3 9" xfId="2059"/>
    <cellStyle name="Normal 5 2 4" xfId="91"/>
    <cellStyle name="Normal 5 2 4 10" xfId="2594"/>
    <cellStyle name="Normal 5 2 4 11" xfId="3121"/>
    <cellStyle name="Normal 5 2 4 12" xfId="3648"/>
    <cellStyle name="Normal 5 2 4 2" xfId="185"/>
    <cellStyle name="Normal 5 2 4 2 2" xfId="458"/>
    <cellStyle name="Normal 5 2 4 2 2 2" xfId="1977"/>
    <cellStyle name="Normal 5 2 4 2 2 3" xfId="2507"/>
    <cellStyle name="Normal 5 2 4 2 2 4" xfId="3034"/>
    <cellStyle name="Normal 5 2 4 2 2 5" xfId="3561"/>
    <cellStyle name="Normal 5 2 4 2 2 6" xfId="4088"/>
    <cellStyle name="Normal 5 2 4 2 3" xfId="931"/>
    <cellStyle name="Normal 5 2 4 2 4" xfId="1282"/>
    <cellStyle name="Normal 5 2 4 2 5" xfId="1717"/>
    <cellStyle name="Normal 5 2 4 2 6" xfId="2247"/>
    <cellStyle name="Normal 5 2 4 2 7" xfId="2774"/>
    <cellStyle name="Normal 5 2 4 2 8" xfId="3301"/>
    <cellStyle name="Normal 5 2 4 2 9" xfId="3828"/>
    <cellStyle name="Normal 5 2 4 3" xfId="280"/>
    <cellStyle name="Normal 5 2 4 3 2" xfId="543"/>
    <cellStyle name="Normal 5 2 4 3 3" xfId="840"/>
    <cellStyle name="Normal 5 2 4 3 4" xfId="1191"/>
    <cellStyle name="Normal 5 2 4 3 5" xfId="1626"/>
    <cellStyle name="Normal 5 2 4 3 6" xfId="2156"/>
    <cellStyle name="Normal 5 2 4 3 7" xfId="2683"/>
    <cellStyle name="Normal 5 2 4 3 8" xfId="3210"/>
    <cellStyle name="Normal 5 2 4 3 9" xfId="3737"/>
    <cellStyle name="Normal 5 2 4 4" xfId="373"/>
    <cellStyle name="Normal 5 2 4 4 2" xfId="1018"/>
    <cellStyle name="Normal 5 2 4 4 3" xfId="1369"/>
    <cellStyle name="Normal 5 2 4 4 4" xfId="1804"/>
    <cellStyle name="Normal 5 2 4 4 5" xfId="2334"/>
    <cellStyle name="Normal 5 2 4 4 6" xfId="2861"/>
    <cellStyle name="Normal 5 2 4 4 7" xfId="3388"/>
    <cellStyle name="Normal 5 2 4 4 8" xfId="3915"/>
    <cellStyle name="Normal 5 2 4 5" xfId="630"/>
    <cellStyle name="Normal 5 2 4 5 2" xfId="1453"/>
    <cellStyle name="Normal 5 2 4 5 3" xfId="1888"/>
    <cellStyle name="Normal 5 2 4 5 4" xfId="2418"/>
    <cellStyle name="Normal 5 2 4 5 5" xfId="2945"/>
    <cellStyle name="Normal 5 2 4 5 6" xfId="3472"/>
    <cellStyle name="Normal 5 2 4 5 7" xfId="3999"/>
    <cellStyle name="Normal 5 2 4 6" xfId="751"/>
    <cellStyle name="Normal 5 2 4 6 2" xfId="4175"/>
    <cellStyle name="Normal 5 2 4 7" xfId="1102"/>
    <cellStyle name="Normal 5 2 4 8" xfId="1537"/>
    <cellStyle name="Normal 5 2 4 9" xfId="2067"/>
    <cellStyle name="Normal 5 2 5" xfId="99"/>
    <cellStyle name="Normal 5 2 5 10" xfId="2602"/>
    <cellStyle name="Normal 5 2 5 11" xfId="3129"/>
    <cellStyle name="Normal 5 2 5 12" xfId="3656"/>
    <cellStyle name="Normal 5 2 5 2" xfId="193"/>
    <cellStyle name="Normal 5 2 5 2 2" xfId="466"/>
    <cellStyle name="Normal 5 2 5 2 2 2" xfId="1985"/>
    <cellStyle name="Normal 5 2 5 2 2 3" xfId="2515"/>
    <cellStyle name="Normal 5 2 5 2 2 4" xfId="3042"/>
    <cellStyle name="Normal 5 2 5 2 2 5" xfId="3569"/>
    <cellStyle name="Normal 5 2 5 2 2 6" xfId="4096"/>
    <cellStyle name="Normal 5 2 5 2 3" xfId="939"/>
    <cellStyle name="Normal 5 2 5 2 4" xfId="1290"/>
    <cellStyle name="Normal 5 2 5 2 5" xfId="1725"/>
    <cellStyle name="Normal 5 2 5 2 6" xfId="2255"/>
    <cellStyle name="Normal 5 2 5 2 7" xfId="2782"/>
    <cellStyle name="Normal 5 2 5 2 8" xfId="3309"/>
    <cellStyle name="Normal 5 2 5 2 9" xfId="3836"/>
    <cellStyle name="Normal 5 2 5 3" xfId="288"/>
    <cellStyle name="Normal 5 2 5 3 2" xfId="551"/>
    <cellStyle name="Normal 5 2 5 3 3" xfId="848"/>
    <cellStyle name="Normal 5 2 5 3 4" xfId="1199"/>
    <cellStyle name="Normal 5 2 5 3 5" xfId="1634"/>
    <cellStyle name="Normal 5 2 5 3 6" xfId="2164"/>
    <cellStyle name="Normal 5 2 5 3 7" xfId="2691"/>
    <cellStyle name="Normal 5 2 5 3 8" xfId="3218"/>
    <cellStyle name="Normal 5 2 5 3 9" xfId="3745"/>
    <cellStyle name="Normal 5 2 5 4" xfId="381"/>
    <cellStyle name="Normal 5 2 5 4 2" xfId="1026"/>
    <cellStyle name="Normal 5 2 5 4 3" xfId="1377"/>
    <cellStyle name="Normal 5 2 5 4 4" xfId="1812"/>
    <cellStyle name="Normal 5 2 5 4 5" xfId="2342"/>
    <cellStyle name="Normal 5 2 5 4 6" xfId="2869"/>
    <cellStyle name="Normal 5 2 5 4 7" xfId="3396"/>
    <cellStyle name="Normal 5 2 5 4 8" xfId="3923"/>
    <cellStyle name="Normal 5 2 5 5" xfId="638"/>
    <cellStyle name="Normal 5 2 5 5 2" xfId="1461"/>
    <cellStyle name="Normal 5 2 5 5 3" xfId="1896"/>
    <cellStyle name="Normal 5 2 5 5 4" xfId="2426"/>
    <cellStyle name="Normal 5 2 5 5 5" xfId="2953"/>
    <cellStyle name="Normal 5 2 5 5 6" xfId="3480"/>
    <cellStyle name="Normal 5 2 5 5 7" xfId="4007"/>
    <cellStyle name="Normal 5 2 5 6" xfId="759"/>
    <cellStyle name="Normal 5 2 5 6 2" xfId="4183"/>
    <cellStyle name="Normal 5 2 5 7" xfId="1110"/>
    <cellStyle name="Normal 5 2 5 8" xfId="1545"/>
    <cellStyle name="Normal 5 2 5 9" xfId="2075"/>
    <cellStyle name="Normal 5 2 6" xfId="107"/>
    <cellStyle name="Normal 5 2 6 10" xfId="2610"/>
    <cellStyle name="Normal 5 2 6 11" xfId="3137"/>
    <cellStyle name="Normal 5 2 6 12" xfId="3664"/>
    <cellStyle name="Normal 5 2 6 2" xfId="201"/>
    <cellStyle name="Normal 5 2 6 2 2" xfId="474"/>
    <cellStyle name="Normal 5 2 6 2 2 2" xfId="1993"/>
    <cellStyle name="Normal 5 2 6 2 2 3" xfId="2523"/>
    <cellStyle name="Normal 5 2 6 2 2 4" xfId="3050"/>
    <cellStyle name="Normal 5 2 6 2 2 5" xfId="3577"/>
    <cellStyle name="Normal 5 2 6 2 2 6" xfId="4104"/>
    <cellStyle name="Normal 5 2 6 2 3" xfId="947"/>
    <cellStyle name="Normal 5 2 6 2 4" xfId="1298"/>
    <cellStyle name="Normal 5 2 6 2 5" xfId="1733"/>
    <cellStyle name="Normal 5 2 6 2 6" xfId="2263"/>
    <cellStyle name="Normal 5 2 6 2 7" xfId="2790"/>
    <cellStyle name="Normal 5 2 6 2 8" xfId="3317"/>
    <cellStyle name="Normal 5 2 6 2 9" xfId="3844"/>
    <cellStyle name="Normal 5 2 6 3" xfId="296"/>
    <cellStyle name="Normal 5 2 6 3 2" xfId="559"/>
    <cellStyle name="Normal 5 2 6 3 3" xfId="856"/>
    <cellStyle name="Normal 5 2 6 3 4" xfId="1207"/>
    <cellStyle name="Normal 5 2 6 3 5" xfId="1642"/>
    <cellStyle name="Normal 5 2 6 3 6" xfId="2172"/>
    <cellStyle name="Normal 5 2 6 3 7" xfId="2699"/>
    <cellStyle name="Normal 5 2 6 3 8" xfId="3226"/>
    <cellStyle name="Normal 5 2 6 3 9" xfId="3753"/>
    <cellStyle name="Normal 5 2 6 4" xfId="389"/>
    <cellStyle name="Normal 5 2 6 4 2" xfId="1034"/>
    <cellStyle name="Normal 5 2 6 4 3" xfId="1385"/>
    <cellStyle name="Normal 5 2 6 4 4" xfId="1820"/>
    <cellStyle name="Normal 5 2 6 4 5" xfId="2350"/>
    <cellStyle name="Normal 5 2 6 4 6" xfId="2877"/>
    <cellStyle name="Normal 5 2 6 4 7" xfId="3404"/>
    <cellStyle name="Normal 5 2 6 4 8" xfId="3931"/>
    <cellStyle name="Normal 5 2 6 5" xfId="646"/>
    <cellStyle name="Normal 5 2 6 5 2" xfId="1469"/>
    <cellStyle name="Normal 5 2 6 5 3" xfId="1904"/>
    <cellStyle name="Normal 5 2 6 5 4" xfId="2434"/>
    <cellStyle name="Normal 5 2 6 5 5" xfId="2961"/>
    <cellStyle name="Normal 5 2 6 5 6" xfId="3488"/>
    <cellStyle name="Normal 5 2 6 5 7" xfId="4015"/>
    <cellStyle name="Normal 5 2 6 6" xfId="767"/>
    <cellStyle name="Normal 5 2 6 6 2" xfId="4191"/>
    <cellStyle name="Normal 5 2 6 7" xfId="1118"/>
    <cellStyle name="Normal 5 2 6 8" xfId="1553"/>
    <cellStyle name="Normal 5 2 6 9" xfId="2083"/>
    <cellStyle name="Normal 5 2 7" xfId="47"/>
    <cellStyle name="Normal 5 2 7 10" xfId="2550"/>
    <cellStyle name="Normal 5 2 7 11" xfId="3077"/>
    <cellStyle name="Normal 5 2 7 12" xfId="3604"/>
    <cellStyle name="Normal 5 2 7 2" xfId="141"/>
    <cellStyle name="Normal 5 2 7 2 2" xfId="414"/>
    <cellStyle name="Normal 5 2 7 2 2 2" xfId="1933"/>
    <cellStyle name="Normal 5 2 7 2 2 3" xfId="2463"/>
    <cellStyle name="Normal 5 2 7 2 2 4" xfId="2990"/>
    <cellStyle name="Normal 5 2 7 2 2 5" xfId="3517"/>
    <cellStyle name="Normal 5 2 7 2 2 6" xfId="4044"/>
    <cellStyle name="Normal 5 2 7 2 3" xfId="887"/>
    <cellStyle name="Normal 5 2 7 2 4" xfId="1238"/>
    <cellStyle name="Normal 5 2 7 2 5" xfId="1673"/>
    <cellStyle name="Normal 5 2 7 2 6" xfId="2203"/>
    <cellStyle name="Normal 5 2 7 2 7" xfId="2730"/>
    <cellStyle name="Normal 5 2 7 2 8" xfId="3257"/>
    <cellStyle name="Normal 5 2 7 2 9" xfId="3784"/>
    <cellStyle name="Normal 5 2 7 3" xfId="236"/>
    <cellStyle name="Normal 5 2 7 3 2" xfId="499"/>
    <cellStyle name="Normal 5 2 7 3 3" xfId="796"/>
    <cellStyle name="Normal 5 2 7 3 4" xfId="1147"/>
    <cellStyle name="Normal 5 2 7 3 5" xfId="1582"/>
    <cellStyle name="Normal 5 2 7 3 6" xfId="2112"/>
    <cellStyle name="Normal 5 2 7 3 7" xfId="2639"/>
    <cellStyle name="Normal 5 2 7 3 8" xfId="3166"/>
    <cellStyle name="Normal 5 2 7 3 9" xfId="3693"/>
    <cellStyle name="Normal 5 2 7 4" xfId="329"/>
    <cellStyle name="Normal 5 2 7 4 2" xfId="974"/>
    <cellStyle name="Normal 5 2 7 4 3" xfId="1325"/>
    <cellStyle name="Normal 5 2 7 4 4" xfId="1760"/>
    <cellStyle name="Normal 5 2 7 4 5" xfId="2290"/>
    <cellStyle name="Normal 5 2 7 4 6" xfId="2817"/>
    <cellStyle name="Normal 5 2 7 4 7" xfId="3344"/>
    <cellStyle name="Normal 5 2 7 4 8" xfId="3871"/>
    <cellStyle name="Normal 5 2 7 5" xfId="586"/>
    <cellStyle name="Normal 5 2 7 5 2" xfId="1409"/>
    <cellStyle name="Normal 5 2 7 5 3" xfId="1844"/>
    <cellStyle name="Normal 5 2 7 5 4" xfId="2374"/>
    <cellStyle name="Normal 5 2 7 5 5" xfId="2901"/>
    <cellStyle name="Normal 5 2 7 5 6" xfId="3428"/>
    <cellStyle name="Normal 5 2 7 5 7" xfId="3955"/>
    <cellStyle name="Normal 5 2 7 6" xfId="707"/>
    <cellStyle name="Normal 5 2 7 6 2" xfId="4131"/>
    <cellStyle name="Normal 5 2 7 7" xfId="1058"/>
    <cellStyle name="Normal 5 2 7 8" xfId="1493"/>
    <cellStyle name="Normal 5 2 7 9" xfId="2023"/>
    <cellStyle name="Normal 5 2 8" xfId="133"/>
    <cellStyle name="Normal 5 2 8 2" xfId="406"/>
    <cellStyle name="Normal 5 2 8 2 2" xfId="1925"/>
    <cellStyle name="Normal 5 2 8 2 3" xfId="2455"/>
    <cellStyle name="Normal 5 2 8 2 4" xfId="2982"/>
    <cellStyle name="Normal 5 2 8 2 5" xfId="3509"/>
    <cellStyle name="Normal 5 2 8 2 6" xfId="4036"/>
    <cellStyle name="Normal 5 2 8 3" xfId="879"/>
    <cellStyle name="Normal 5 2 8 4" xfId="1230"/>
    <cellStyle name="Normal 5 2 8 5" xfId="1665"/>
    <cellStyle name="Normal 5 2 8 6" xfId="2195"/>
    <cellStyle name="Normal 5 2 8 7" xfId="2722"/>
    <cellStyle name="Normal 5 2 8 8" xfId="3249"/>
    <cellStyle name="Normal 5 2 8 9" xfId="3776"/>
    <cellStyle name="Normal 5 2 9" xfId="228"/>
    <cellStyle name="Normal 5 2 9 2" xfId="491"/>
    <cellStyle name="Normal 5 2 9 3" xfId="788"/>
    <cellStyle name="Normal 5 2 9 4" xfId="1139"/>
    <cellStyle name="Normal 5 2 9 5" xfId="1574"/>
    <cellStyle name="Normal 5 2 9 6" xfId="2104"/>
    <cellStyle name="Normal 5 2 9 7" xfId="2631"/>
    <cellStyle name="Normal 5 2 9 8" xfId="3158"/>
    <cellStyle name="Normal 5 2 9 9" xfId="3685"/>
    <cellStyle name="Normal 5 20" xfId="695"/>
    <cellStyle name="Normal 5 20 2" xfId="4119"/>
    <cellStyle name="Normal 5 21" xfId="1046"/>
    <cellStyle name="Normal 5 22" xfId="1481"/>
    <cellStyle name="Normal 5 23" xfId="2011"/>
    <cellStyle name="Normal 5 24" xfId="2538"/>
    <cellStyle name="Normal 5 25" xfId="3065"/>
    <cellStyle name="Normal 5 26" xfId="3592"/>
    <cellStyle name="Normal 5 3" xfId="51"/>
    <cellStyle name="Normal 5 3 10" xfId="2554"/>
    <cellStyle name="Normal 5 3 11" xfId="3081"/>
    <cellStyle name="Normal 5 3 12" xfId="3608"/>
    <cellStyle name="Normal 5 3 2" xfId="145"/>
    <cellStyle name="Normal 5 3 2 2" xfId="418"/>
    <cellStyle name="Normal 5 3 2 2 2" xfId="1937"/>
    <cellStyle name="Normal 5 3 2 2 3" xfId="2467"/>
    <cellStyle name="Normal 5 3 2 2 4" xfId="2994"/>
    <cellStyle name="Normal 5 3 2 2 5" xfId="3521"/>
    <cellStyle name="Normal 5 3 2 2 6" xfId="4048"/>
    <cellStyle name="Normal 5 3 2 3" xfId="891"/>
    <cellStyle name="Normal 5 3 2 4" xfId="1242"/>
    <cellStyle name="Normal 5 3 2 5" xfId="1677"/>
    <cellStyle name="Normal 5 3 2 6" xfId="2207"/>
    <cellStyle name="Normal 5 3 2 7" xfId="2734"/>
    <cellStyle name="Normal 5 3 2 8" xfId="3261"/>
    <cellStyle name="Normal 5 3 2 9" xfId="3788"/>
    <cellStyle name="Normal 5 3 3" xfId="240"/>
    <cellStyle name="Normal 5 3 3 2" xfId="503"/>
    <cellStyle name="Normal 5 3 3 3" xfId="800"/>
    <cellStyle name="Normal 5 3 3 4" xfId="1151"/>
    <cellStyle name="Normal 5 3 3 5" xfId="1586"/>
    <cellStyle name="Normal 5 3 3 6" xfId="2116"/>
    <cellStyle name="Normal 5 3 3 7" xfId="2643"/>
    <cellStyle name="Normal 5 3 3 8" xfId="3170"/>
    <cellStyle name="Normal 5 3 3 9" xfId="3697"/>
    <cellStyle name="Normal 5 3 4" xfId="333"/>
    <cellStyle name="Normal 5 3 4 2" xfId="978"/>
    <cellStyle name="Normal 5 3 4 3" xfId="1329"/>
    <cellStyle name="Normal 5 3 4 4" xfId="1764"/>
    <cellStyle name="Normal 5 3 4 5" xfId="2294"/>
    <cellStyle name="Normal 5 3 4 6" xfId="2821"/>
    <cellStyle name="Normal 5 3 4 7" xfId="3348"/>
    <cellStyle name="Normal 5 3 4 8" xfId="3875"/>
    <cellStyle name="Normal 5 3 5" xfId="590"/>
    <cellStyle name="Normal 5 3 5 2" xfId="1413"/>
    <cellStyle name="Normal 5 3 5 3" xfId="1848"/>
    <cellStyle name="Normal 5 3 5 4" xfId="2378"/>
    <cellStyle name="Normal 5 3 5 5" xfId="2905"/>
    <cellStyle name="Normal 5 3 5 6" xfId="3432"/>
    <cellStyle name="Normal 5 3 5 7" xfId="3959"/>
    <cellStyle name="Normal 5 3 6" xfId="711"/>
    <cellStyle name="Normal 5 3 6 2" xfId="4135"/>
    <cellStyle name="Normal 5 3 7" xfId="1062"/>
    <cellStyle name="Normal 5 3 8" xfId="1497"/>
    <cellStyle name="Normal 5 3 9" xfId="2027"/>
    <cellStyle name="Normal 5 4" xfId="55"/>
    <cellStyle name="Normal 5 4 10" xfId="2558"/>
    <cellStyle name="Normal 5 4 11" xfId="3085"/>
    <cellStyle name="Normal 5 4 12" xfId="3612"/>
    <cellStyle name="Normal 5 4 2" xfId="149"/>
    <cellStyle name="Normal 5 4 2 2" xfId="422"/>
    <cellStyle name="Normal 5 4 2 2 2" xfId="1941"/>
    <cellStyle name="Normal 5 4 2 2 3" xfId="2471"/>
    <cellStyle name="Normal 5 4 2 2 4" xfId="2998"/>
    <cellStyle name="Normal 5 4 2 2 5" xfId="3525"/>
    <cellStyle name="Normal 5 4 2 2 6" xfId="4052"/>
    <cellStyle name="Normal 5 4 2 3" xfId="895"/>
    <cellStyle name="Normal 5 4 2 4" xfId="1246"/>
    <cellStyle name="Normal 5 4 2 5" xfId="1681"/>
    <cellStyle name="Normal 5 4 2 6" xfId="2211"/>
    <cellStyle name="Normal 5 4 2 7" xfId="2738"/>
    <cellStyle name="Normal 5 4 2 8" xfId="3265"/>
    <cellStyle name="Normal 5 4 2 9" xfId="3792"/>
    <cellStyle name="Normal 5 4 3" xfId="244"/>
    <cellStyle name="Normal 5 4 3 2" xfId="507"/>
    <cellStyle name="Normal 5 4 3 3" xfId="804"/>
    <cellStyle name="Normal 5 4 3 4" xfId="1155"/>
    <cellStyle name="Normal 5 4 3 5" xfId="1590"/>
    <cellStyle name="Normal 5 4 3 6" xfId="2120"/>
    <cellStyle name="Normal 5 4 3 7" xfId="2647"/>
    <cellStyle name="Normal 5 4 3 8" xfId="3174"/>
    <cellStyle name="Normal 5 4 3 9" xfId="3701"/>
    <cellStyle name="Normal 5 4 4" xfId="337"/>
    <cellStyle name="Normal 5 4 4 2" xfId="982"/>
    <cellStyle name="Normal 5 4 4 3" xfId="1333"/>
    <cellStyle name="Normal 5 4 4 4" xfId="1768"/>
    <cellStyle name="Normal 5 4 4 5" xfId="2298"/>
    <cellStyle name="Normal 5 4 4 6" xfId="2825"/>
    <cellStyle name="Normal 5 4 4 7" xfId="3352"/>
    <cellStyle name="Normal 5 4 4 8" xfId="3879"/>
    <cellStyle name="Normal 5 4 5" xfId="594"/>
    <cellStyle name="Normal 5 4 5 2" xfId="1417"/>
    <cellStyle name="Normal 5 4 5 3" xfId="1852"/>
    <cellStyle name="Normal 5 4 5 4" xfId="2382"/>
    <cellStyle name="Normal 5 4 5 5" xfId="2909"/>
    <cellStyle name="Normal 5 4 5 6" xfId="3436"/>
    <cellStyle name="Normal 5 4 5 7" xfId="3963"/>
    <cellStyle name="Normal 5 4 6" xfId="715"/>
    <cellStyle name="Normal 5 4 6 2" xfId="4139"/>
    <cellStyle name="Normal 5 4 7" xfId="1066"/>
    <cellStyle name="Normal 5 4 8" xfId="1501"/>
    <cellStyle name="Normal 5 4 9" xfId="2031"/>
    <cellStyle name="Normal 5 5" xfId="59"/>
    <cellStyle name="Normal 5 5 10" xfId="2562"/>
    <cellStyle name="Normal 5 5 11" xfId="3089"/>
    <cellStyle name="Normal 5 5 12" xfId="3616"/>
    <cellStyle name="Normal 5 5 2" xfId="153"/>
    <cellStyle name="Normal 5 5 2 2" xfId="426"/>
    <cellStyle name="Normal 5 5 2 2 2" xfId="1945"/>
    <cellStyle name="Normal 5 5 2 2 3" xfId="2475"/>
    <cellStyle name="Normal 5 5 2 2 4" xfId="3002"/>
    <cellStyle name="Normal 5 5 2 2 5" xfId="3529"/>
    <cellStyle name="Normal 5 5 2 2 6" xfId="4056"/>
    <cellStyle name="Normal 5 5 2 3" xfId="899"/>
    <cellStyle name="Normal 5 5 2 4" xfId="1250"/>
    <cellStyle name="Normal 5 5 2 5" xfId="1685"/>
    <cellStyle name="Normal 5 5 2 6" xfId="2215"/>
    <cellStyle name="Normal 5 5 2 7" xfId="2742"/>
    <cellStyle name="Normal 5 5 2 8" xfId="3269"/>
    <cellStyle name="Normal 5 5 2 9" xfId="3796"/>
    <cellStyle name="Normal 5 5 3" xfId="248"/>
    <cellStyle name="Normal 5 5 3 2" xfId="511"/>
    <cellStyle name="Normal 5 5 3 3" xfId="808"/>
    <cellStyle name="Normal 5 5 3 4" xfId="1159"/>
    <cellStyle name="Normal 5 5 3 5" xfId="1594"/>
    <cellStyle name="Normal 5 5 3 6" xfId="2124"/>
    <cellStyle name="Normal 5 5 3 7" xfId="2651"/>
    <cellStyle name="Normal 5 5 3 8" xfId="3178"/>
    <cellStyle name="Normal 5 5 3 9" xfId="3705"/>
    <cellStyle name="Normal 5 5 4" xfId="341"/>
    <cellStyle name="Normal 5 5 4 2" xfId="986"/>
    <cellStyle name="Normal 5 5 4 3" xfId="1337"/>
    <cellStyle name="Normal 5 5 4 4" xfId="1772"/>
    <cellStyle name="Normal 5 5 4 5" xfId="2302"/>
    <cellStyle name="Normal 5 5 4 6" xfId="2829"/>
    <cellStyle name="Normal 5 5 4 7" xfId="3356"/>
    <cellStyle name="Normal 5 5 4 8" xfId="3883"/>
    <cellStyle name="Normal 5 5 5" xfId="598"/>
    <cellStyle name="Normal 5 5 5 2" xfId="1421"/>
    <cellStyle name="Normal 5 5 5 3" xfId="1856"/>
    <cellStyle name="Normal 5 5 5 4" xfId="2386"/>
    <cellStyle name="Normal 5 5 5 5" xfId="2913"/>
    <cellStyle name="Normal 5 5 5 6" xfId="3440"/>
    <cellStyle name="Normal 5 5 5 7" xfId="3967"/>
    <cellStyle name="Normal 5 5 6" xfId="719"/>
    <cellStyle name="Normal 5 5 6 2" xfId="4143"/>
    <cellStyle name="Normal 5 5 7" xfId="1070"/>
    <cellStyle name="Normal 5 5 8" xfId="1505"/>
    <cellStyle name="Normal 5 5 9" xfId="2035"/>
    <cellStyle name="Normal 5 6" xfId="63"/>
    <cellStyle name="Normal 5 6 10" xfId="2566"/>
    <cellStyle name="Normal 5 6 11" xfId="3093"/>
    <cellStyle name="Normal 5 6 12" xfId="3620"/>
    <cellStyle name="Normal 5 6 2" xfId="157"/>
    <cellStyle name="Normal 5 6 2 2" xfId="430"/>
    <cellStyle name="Normal 5 6 2 2 2" xfId="1949"/>
    <cellStyle name="Normal 5 6 2 2 3" xfId="2479"/>
    <cellStyle name="Normal 5 6 2 2 4" xfId="3006"/>
    <cellStyle name="Normal 5 6 2 2 5" xfId="3533"/>
    <cellStyle name="Normal 5 6 2 2 6" xfId="4060"/>
    <cellStyle name="Normal 5 6 2 3" xfId="903"/>
    <cellStyle name="Normal 5 6 2 4" xfId="1254"/>
    <cellStyle name="Normal 5 6 2 5" xfId="1689"/>
    <cellStyle name="Normal 5 6 2 6" xfId="2219"/>
    <cellStyle name="Normal 5 6 2 7" xfId="2746"/>
    <cellStyle name="Normal 5 6 2 8" xfId="3273"/>
    <cellStyle name="Normal 5 6 2 9" xfId="3800"/>
    <cellStyle name="Normal 5 6 3" xfId="252"/>
    <cellStyle name="Normal 5 6 3 2" xfId="515"/>
    <cellStyle name="Normal 5 6 3 3" xfId="812"/>
    <cellStyle name="Normal 5 6 3 4" xfId="1163"/>
    <cellStyle name="Normal 5 6 3 5" xfId="1598"/>
    <cellStyle name="Normal 5 6 3 6" xfId="2128"/>
    <cellStyle name="Normal 5 6 3 7" xfId="2655"/>
    <cellStyle name="Normal 5 6 3 8" xfId="3182"/>
    <cellStyle name="Normal 5 6 3 9" xfId="3709"/>
    <cellStyle name="Normal 5 6 4" xfId="345"/>
    <cellStyle name="Normal 5 6 4 2" xfId="990"/>
    <cellStyle name="Normal 5 6 4 3" xfId="1341"/>
    <cellStyle name="Normal 5 6 4 4" xfId="1776"/>
    <cellStyle name="Normal 5 6 4 5" xfId="2306"/>
    <cellStyle name="Normal 5 6 4 6" xfId="2833"/>
    <cellStyle name="Normal 5 6 4 7" xfId="3360"/>
    <cellStyle name="Normal 5 6 4 8" xfId="3887"/>
    <cellStyle name="Normal 5 6 5" xfId="602"/>
    <cellStyle name="Normal 5 6 5 2" xfId="1425"/>
    <cellStyle name="Normal 5 6 5 3" xfId="1860"/>
    <cellStyle name="Normal 5 6 5 4" xfId="2390"/>
    <cellStyle name="Normal 5 6 5 5" xfId="2917"/>
    <cellStyle name="Normal 5 6 5 6" xfId="3444"/>
    <cellStyle name="Normal 5 6 5 7" xfId="3971"/>
    <cellStyle name="Normal 5 6 6" xfId="723"/>
    <cellStyle name="Normal 5 6 6 2" xfId="4147"/>
    <cellStyle name="Normal 5 6 7" xfId="1074"/>
    <cellStyle name="Normal 5 6 8" xfId="1509"/>
    <cellStyle name="Normal 5 6 9" xfId="2039"/>
    <cellStyle name="Normal 5 7" xfId="67"/>
    <cellStyle name="Normal 5 7 10" xfId="2570"/>
    <cellStyle name="Normal 5 7 11" xfId="3097"/>
    <cellStyle name="Normal 5 7 12" xfId="3624"/>
    <cellStyle name="Normal 5 7 2" xfId="161"/>
    <cellStyle name="Normal 5 7 2 2" xfId="434"/>
    <cellStyle name="Normal 5 7 2 2 2" xfId="1953"/>
    <cellStyle name="Normal 5 7 2 2 3" xfId="2483"/>
    <cellStyle name="Normal 5 7 2 2 4" xfId="3010"/>
    <cellStyle name="Normal 5 7 2 2 5" xfId="3537"/>
    <cellStyle name="Normal 5 7 2 2 6" xfId="4064"/>
    <cellStyle name="Normal 5 7 2 3" xfId="907"/>
    <cellStyle name="Normal 5 7 2 4" xfId="1258"/>
    <cellStyle name="Normal 5 7 2 5" xfId="1693"/>
    <cellStyle name="Normal 5 7 2 6" xfId="2223"/>
    <cellStyle name="Normal 5 7 2 7" xfId="2750"/>
    <cellStyle name="Normal 5 7 2 8" xfId="3277"/>
    <cellStyle name="Normal 5 7 2 9" xfId="3804"/>
    <cellStyle name="Normal 5 7 3" xfId="256"/>
    <cellStyle name="Normal 5 7 3 2" xfId="519"/>
    <cellStyle name="Normal 5 7 3 3" xfId="816"/>
    <cellStyle name="Normal 5 7 3 4" xfId="1167"/>
    <cellStyle name="Normal 5 7 3 5" xfId="1602"/>
    <cellStyle name="Normal 5 7 3 6" xfId="2132"/>
    <cellStyle name="Normal 5 7 3 7" xfId="2659"/>
    <cellStyle name="Normal 5 7 3 8" xfId="3186"/>
    <cellStyle name="Normal 5 7 3 9" xfId="3713"/>
    <cellStyle name="Normal 5 7 4" xfId="349"/>
    <cellStyle name="Normal 5 7 4 2" xfId="994"/>
    <cellStyle name="Normal 5 7 4 3" xfId="1345"/>
    <cellStyle name="Normal 5 7 4 4" xfId="1780"/>
    <cellStyle name="Normal 5 7 4 5" xfId="2310"/>
    <cellStyle name="Normal 5 7 4 6" xfId="2837"/>
    <cellStyle name="Normal 5 7 4 7" xfId="3364"/>
    <cellStyle name="Normal 5 7 4 8" xfId="3891"/>
    <cellStyle name="Normal 5 7 5" xfId="606"/>
    <cellStyle name="Normal 5 7 5 2" xfId="1429"/>
    <cellStyle name="Normal 5 7 5 3" xfId="1864"/>
    <cellStyle name="Normal 5 7 5 4" xfId="2394"/>
    <cellStyle name="Normal 5 7 5 5" xfId="2921"/>
    <cellStyle name="Normal 5 7 5 6" xfId="3448"/>
    <cellStyle name="Normal 5 7 5 7" xfId="3975"/>
    <cellStyle name="Normal 5 7 6" xfId="727"/>
    <cellStyle name="Normal 5 7 6 2" xfId="4151"/>
    <cellStyle name="Normal 5 7 7" xfId="1078"/>
    <cellStyle name="Normal 5 7 8" xfId="1513"/>
    <cellStyle name="Normal 5 7 9" xfId="2043"/>
    <cellStyle name="Normal 5 8" xfId="71"/>
    <cellStyle name="Normal 5 8 10" xfId="2574"/>
    <cellStyle name="Normal 5 8 11" xfId="3101"/>
    <cellStyle name="Normal 5 8 12" xfId="3628"/>
    <cellStyle name="Normal 5 8 2" xfId="165"/>
    <cellStyle name="Normal 5 8 2 2" xfId="438"/>
    <cellStyle name="Normal 5 8 2 2 2" xfId="1957"/>
    <cellStyle name="Normal 5 8 2 2 3" xfId="2487"/>
    <cellStyle name="Normal 5 8 2 2 4" xfId="3014"/>
    <cellStyle name="Normal 5 8 2 2 5" xfId="3541"/>
    <cellStyle name="Normal 5 8 2 2 6" xfId="4068"/>
    <cellStyle name="Normal 5 8 2 3" xfId="911"/>
    <cellStyle name="Normal 5 8 2 4" xfId="1262"/>
    <cellStyle name="Normal 5 8 2 5" xfId="1697"/>
    <cellStyle name="Normal 5 8 2 6" xfId="2227"/>
    <cellStyle name="Normal 5 8 2 7" xfId="2754"/>
    <cellStyle name="Normal 5 8 2 8" xfId="3281"/>
    <cellStyle name="Normal 5 8 2 9" xfId="3808"/>
    <cellStyle name="Normal 5 8 3" xfId="260"/>
    <cellStyle name="Normal 5 8 3 2" xfId="523"/>
    <cellStyle name="Normal 5 8 3 3" xfId="820"/>
    <cellStyle name="Normal 5 8 3 4" xfId="1171"/>
    <cellStyle name="Normal 5 8 3 5" xfId="1606"/>
    <cellStyle name="Normal 5 8 3 6" xfId="2136"/>
    <cellStyle name="Normal 5 8 3 7" xfId="2663"/>
    <cellStyle name="Normal 5 8 3 8" xfId="3190"/>
    <cellStyle name="Normal 5 8 3 9" xfId="3717"/>
    <cellStyle name="Normal 5 8 4" xfId="353"/>
    <cellStyle name="Normal 5 8 4 2" xfId="998"/>
    <cellStyle name="Normal 5 8 4 3" xfId="1349"/>
    <cellStyle name="Normal 5 8 4 4" xfId="1784"/>
    <cellStyle name="Normal 5 8 4 5" xfId="2314"/>
    <cellStyle name="Normal 5 8 4 6" xfId="2841"/>
    <cellStyle name="Normal 5 8 4 7" xfId="3368"/>
    <cellStyle name="Normal 5 8 4 8" xfId="3895"/>
    <cellStyle name="Normal 5 8 5" xfId="610"/>
    <cellStyle name="Normal 5 8 5 2" xfId="1433"/>
    <cellStyle name="Normal 5 8 5 3" xfId="1868"/>
    <cellStyle name="Normal 5 8 5 4" xfId="2398"/>
    <cellStyle name="Normal 5 8 5 5" xfId="2925"/>
    <cellStyle name="Normal 5 8 5 6" xfId="3452"/>
    <cellStyle name="Normal 5 8 5 7" xfId="3979"/>
    <cellStyle name="Normal 5 8 6" xfId="731"/>
    <cellStyle name="Normal 5 8 6 2" xfId="4155"/>
    <cellStyle name="Normal 5 8 7" xfId="1082"/>
    <cellStyle name="Normal 5 8 8" xfId="1517"/>
    <cellStyle name="Normal 5 8 9" xfId="2047"/>
    <cellStyle name="Normal 5 9" xfId="79"/>
    <cellStyle name="Normal 5 9 10" xfId="2582"/>
    <cellStyle name="Normal 5 9 11" xfId="3109"/>
    <cellStyle name="Normal 5 9 12" xfId="3636"/>
    <cellStyle name="Normal 5 9 2" xfId="173"/>
    <cellStyle name="Normal 5 9 2 2" xfId="446"/>
    <cellStyle name="Normal 5 9 2 2 2" xfId="1965"/>
    <cellStyle name="Normal 5 9 2 2 3" xfId="2495"/>
    <cellStyle name="Normal 5 9 2 2 4" xfId="3022"/>
    <cellStyle name="Normal 5 9 2 2 5" xfId="3549"/>
    <cellStyle name="Normal 5 9 2 2 6" xfId="4076"/>
    <cellStyle name="Normal 5 9 2 3" xfId="919"/>
    <cellStyle name="Normal 5 9 2 4" xfId="1270"/>
    <cellStyle name="Normal 5 9 2 5" xfId="1705"/>
    <cellStyle name="Normal 5 9 2 6" xfId="2235"/>
    <cellStyle name="Normal 5 9 2 7" xfId="2762"/>
    <cellStyle name="Normal 5 9 2 8" xfId="3289"/>
    <cellStyle name="Normal 5 9 2 9" xfId="3816"/>
    <cellStyle name="Normal 5 9 3" xfId="268"/>
    <cellStyle name="Normal 5 9 3 2" xfId="531"/>
    <cellStyle name="Normal 5 9 3 3" xfId="828"/>
    <cellStyle name="Normal 5 9 3 4" xfId="1179"/>
    <cellStyle name="Normal 5 9 3 5" xfId="1614"/>
    <cellStyle name="Normal 5 9 3 6" xfId="2144"/>
    <cellStyle name="Normal 5 9 3 7" xfId="2671"/>
    <cellStyle name="Normal 5 9 3 8" xfId="3198"/>
    <cellStyle name="Normal 5 9 3 9" xfId="3725"/>
    <cellStyle name="Normal 5 9 4" xfId="361"/>
    <cellStyle name="Normal 5 9 4 2" xfId="1006"/>
    <cellStyle name="Normal 5 9 4 3" xfId="1357"/>
    <cellStyle name="Normal 5 9 4 4" xfId="1792"/>
    <cellStyle name="Normal 5 9 4 5" xfId="2322"/>
    <cellStyle name="Normal 5 9 4 6" xfId="2849"/>
    <cellStyle name="Normal 5 9 4 7" xfId="3376"/>
    <cellStyle name="Normal 5 9 4 8" xfId="3903"/>
    <cellStyle name="Normal 5 9 5" xfId="618"/>
    <cellStyle name="Normal 5 9 5 2" xfId="1441"/>
    <cellStyle name="Normal 5 9 5 3" xfId="1876"/>
    <cellStyle name="Normal 5 9 5 4" xfId="2406"/>
    <cellStyle name="Normal 5 9 5 5" xfId="2933"/>
    <cellStyle name="Normal 5 9 5 6" xfId="3460"/>
    <cellStyle name="Normal 5 9 5 7" xfId="3987"/>
    <cellStyle name="Normal 5 9 6" xfId="739"/>
    <cellStyle name="Normal 5 9 6 2" xfId="4163"/>
    <cellStyle name="Normal 5 9 7" xfId="1090"/>
    <cellStyle name="Normal 5 9 8" xfId="1525"/>
    <cellStyle name="Normal 5 9 9" xfId="2055"/>
    <cellStyle name="Normal 6" xfId="18"/>
    <cellStyle name="Normal 6 2" xfId="216"/>
    <cellStyle name="Normal 6 2 2" xfId="1913"/>
    <cellStyle name="Normal 6 2 3" xfId="2443"/>
    <cellStyle name="Normal 6 2 4" xfId="2970"/>
    <cellStyle name="Normal 6 2 5" xfId="3497"/>
    <cellStyle name="Normal 6 2 6" xfId="4024"/>
    <cellStyle name="Normal 6 3" xfId="312"/>
    <cellStyle name="Normal 7" xfId="215"/>
    <cellStyle name="Normal 7 2" xfId="483"/>
    <cellStyle name="Normal 7 3" xfId="776"/>
    <cellStyle name="Normal 7 4" xfId="1127"/>
    <cellStyle name="Normal 7 5" xfId="1562"/>
    <cellStyle name="Normal 7 6" xfId="2092"/>
    <cellStyle name="Normal 7 7" xfId="2619"/>
    <cellStyle name="Normal 7 8" xfId="3146"/>
    <cellStyle name="Normal 7 9" xfId="3673"/>
    <cellStyle name="Normal 8" xfId="311"/>
    <cellStyle name="Normal 8 2" xfId="568"/>
    <cellStyle name="Normal_Composições" xfId="3"/>
    <cellStyle name="Porcentagem" xfId="2" builtinId="5"/>
    <cellStyle name="Porcentagem 2" xfId="21"/>
    <cellStyle name="Porcentagem 2 2" xfId="27"/>
    <cellStyle name="Porcentagem 3" xfId="28"/>
    <cellStyle name="Porcentagem 4" xfId="29"/>
    <cellStyle name="Porcentagem 4 10" xfId="85"/>
    <cellStyle name="Porcentagem 4 10 10" xfId="2588"/>
    <cellStyle name="Porcentagem 4 10 11" xfId="3115"/>
    <cellStyle name="Porcentagem 4 10 12" xfId="3642"/>
    <cellStyle name="Porcentagem 4 10 2" xfId="179"/>
    <cellStyle name="Porcentagem 4 10 2 2" xfId="452"/>
    <cellStyle name="Porcentagem 4 10 2 2 2" xfId="1971"/>
    <cellStyle name="Porcentagem 4 10 2 2 3" xfId="2501"/>
    <cellStyle name="Porcentagem 4 10 2 2 4" xfId="3028"/>
    <cellStyle name="Porcentagem 4 10 2 2 5" xfId="3555"/>
    <cellStyle name="Porcentagem 4 10 2 2 6" xfId="4082"/>
    <cellStyle name="Porcentagem 4 10 2 3" xfId="925"/>
    <cellStyle name="Porcentagem 4 10 2 4" xfId="1276"/>
    <cellStyle name="Porcentagem 4 10 2 5" xfId="1711"/>
    <cellStyle name="Porcentagem 4 10 2 6" xfId="2241"/>
    <cellStyle name="Porcentagem 4 10 2 7" xfId="2768"/>
    <cellStyle name="Porcentagem 4 10 2 8" xfId="3295"/>
    <cellStyle name="Porcentagem 4 10 2 9" xfId="3822"/>
    <cellStyle name="Porcentagem 4 10 3" xfId="274"/>
    <cellStyle name="Porcentagem 4 10 3 2" xfId="537"/>
    <cellStyle name="Porcentagem 4 10 3 3" xfId="834"/>
    <cellStyle name="Porcentagem 4 10 3 4" xfId="1185"/>
    <cellStyle name="Porcentagem 4 10 3 5" xfId="1620"/>
    <cellStyle name="Porcentagem 4 10 3 6" xfId="2150"/>
    <cellStyle name="Porcentagem 4 10 3 7" xfId="2677"/>
    <cellStyle name="Porcentagem 4 10 3 8" xfId="3204"/>
    <cellStyle name="Porcentagem 4 10 3 9" xfId="3731"/>
    <cellStyle name="Porcentagem 4 10 4" xfId="367"/>
    <cellStyle name="Porcentagem 4 10 4 2" xfId="1012"/>
    <cellStyle name="Porcentagem 4 10 4 3" xfId="1363"/>
    <cellStyle name="Porcentagem 4 10 4 4" xfId="1798"/>
    <cellStyle name="Porcentagem 4 10 4 5" xfId="2328"/>
    <cellStyle name="Porcentagem 4 10 4 6" xfId="2855"/>
    <cellStyle name="Porcentagem 4 10 4 7" xfId="3382"/>
    <cellStyle name="Porcentagem 4 10 4 8" xfId="3909"/>
    <cellStyle name="Porcentagem 4 10 5" xfId="624"/>
    <cellStyle name="Porcentagem 4 10 5 2" xfId="1447"/>
    <cellStyle name="Porcentagem 4 10 5 3" xfId="1882"/>
    <cellStyle name="Porcentagem 4 10 5 4" xfId="2412"/>
    <cellStyle name="Porcentagem 4 10 5 5" xfId="2939"/>
    <cellStyle name="Porcentagem 4 10 5 6" xfId="3466"/>
    <cellStyle name="Porcentagem 4 10 5 7" xfId="3993"/>
    <cellStyle name="Porcentagem 4 10 6" xfId="745"/>
    <cellStyle name="Porcentagem 4 10 6 2" xfId="4169"/>
    <cellStyle name="Porcentagem 4 10 7" xfId="1096"/>
    <cellStyle name="Porcentagem 4 10 8" xfId="1531"/>
    <cellStyle name="Porcentagem 4 10 9" xfId="2061"/>
    <cellStyle name="Porcentagem 4 11" xfId="93"/>
    <cellStyle name="Porcentagem 4 11 10" xfId="2596"/>
    <cellStyle name="Porcentagem 4 11 11" xfId="3123"/>
    <cellStyle name="Porcentagem 4 11 12" xfId="3650"/>
    <cellStyle name="Porcentagem 4 11 2" xfId="187"/>
    <cellStyle name="Porcentagem 4 11 2 2" xfId="460"/>
    <cellStyle name="Porcentagem 4 11 2 2 2" xfId="1979"/>
    <cellStyle name="Porcentagem 4 11 2 2 3" xfId="2509"/>
    <cellStyle name="Porcentagem 4 11 2 2 4" xfId="3036"/>
    <cellStyle name="Porcentagem 4 11 2 2 5" xfId="3563"/>
    <cellStyle name="Porcentagem 4 11 2 2 6" xfId="4090"/>
    <cellStyle name="Porcentagem 4 11 2 3" xfId="933"/>
    <cellStyle name="Porcentagem 4 11 2 4" xfId="1284"/>
    <cellStyle name="Porcentagem 4 11 2 5" xfId="1719"/>
    <cellStyle name="Porcentagem 4 11 2 6" xfId="2249"/>
    <cellStyle name="Porcentagem 4 11 2 7" xfId="2776"/>
    <cellStyle name="Porcentagem 4 11 2 8" xfId="3303"/>
    <cellStyle name="Porcentagem 4 11 2 9" xfId="3830"/>
    <cellStyle name="Porcentagem 4 11 3" xfId="282"/>
    <cellStyle name="Porcentagem 4 11 3 2" xfId="545"/>
    <cellStyle name="Porcentagem 4 11 3 3" xfId="842"/>
    <cellStyle name="Porcentagem 4 11 3 4" xfId="1193"/>
    <cellStyle name="Porcentagem 4 11 3 5" xfId="1628"/>
    <cellStyle name="Porcentagem 4 11 3 6" xfId="2158"/>
    <cellStyle name="Porcentagem 4 11 3 7" xfId="2685"/>
    <cellStyle name="Porcentagem 4 11 3 8" xfId="3212"/>
    <cellStyle name="Porcentagem 4 11 3 9" xfId="3739"/>
    <cellStyle name="Porcentagem 4 11 4" xfId="375"/>
    <cellStyle name="Porcentagem 4 11 4 2" xfId="1020"/>
    <cellStyle name="Porcentagem 4 11 4 3" xfId="1371"/>
    <cellStyle name="Porcentagem 4 11 4 4" xfId="1806"/>
    <cellStyle name="Porcentagem 4 11 4 5" xfId="2336"/>
    <cellStyle name="Porcentagem 4 11 4 6" xfId="2863"/>
    <cellStyle name="Porcentagem 4 11 4 7" xfId="3390"/>
    <cellStyle name="Porcentagem 4 11 4 8" xfId="3917"/>
    <cellStyle name="Porcentagem 4 11 5" xfId="632"/>
    <cellStyle name="Porcentagem 4 11 5 2" xfId="1455"/>
    <cellStyle name="Porcentagem 4 11 5 3" xfId="1890"/>
    <cellStyle name="Porcentagem 4 11 5 4" xfId="2420"/>
    <cellStyle name="Porcentagem 4 11 5 5" xfId="2947"/>
    <cellStyle name="Porcentagem 4 11 5 6" xfId="3474"/>
    <cellStyle name="Porcentagem 4 11 5 7" xfId="4001"/>
    <cellStyle name="Porcentagem 4 11 6" xfId="753"/>
    <cellStyle name="Porcentagem 4 11 6 2" xfId="4177"/>
    <cellStyle name="Porcentagem 4 11 7" xfId="1104"/>
    <cellStyle name="Porcentagem 4 11 8" xfId="1539"/>
    <cellStyle name="Porcentagem 4 11 9" xfId="2069"/>
    <cellStyle name="Porcentagem 4 12" xfId="101"/>
    <cellStyle name="Porcentagem 4 12 10" xfId="2604"/>
    <cellStyle name="Porcentagem 4 12 11" xfId="3131"/>
    <cellStyle name="Porcentagem 4 12 12" xfId="3658"/>
    <cellStyle name="Porcentagem 4 12 2" xfId="195"/>
    <cellStyle name="Porcentagem 4 12 2 2" xfId="468"/>
    <cellStyle name="Porcentagem 4 12 2 2 2" xfId="1987"/>
    <cellStyle name="Porcentagem 4 12 2 2 3" xfId="2517"/>
    <cellStyle name="Porcentagem 4 12 2 2 4" xfId="3044"/>
    <cellStyle name="Porcentagem 4 12 2 2 5" xfId="3571"/>
    <cellStyle name="Porcentagem 4 12 2 2 6" xfId="4098"/>
    <cellStyle name="Porcentagem 4 12 2 3" xfId="941"/>
    <cellStyle name="Porcentagem 4 12 2 4" xfId="1292"/>
    <cellStyle name="Porcentagem 4 12 2 5" xfId="1727"/>
    <cellStyle name="Porcentagem 4 12 2 6" xfId="2257"/>
    <cellStyle name="Porcentagem 4 12 2 7" xfId="2784"/>
    <cellStyle name="Porcentagem 4 12 2 8" xfId="3311"/>
    <cellStyle name="Porcentagem 4 12 2 9" xfId="3838"/>
    <cellStyle name="Porcentagem 4 12 3" xfId="290"/>
    <cellStyle name="Porcentagem 4 12 3 2" xfId="553"/>
    <cellStyle name="Porcentagem 4 12 3 3" xfId="850"/>
    <cellStyle name="Porcentagem 4 12 3 4" xfId="1201"/>
    <cellStyle name="Porcentagem 4 12 3 5" xfId="1636"/>
    <cellStyle name="Porcentagem 4 12 3 6" xfId="2166"/>
    <cellStyle name="Porcentagem 4 12 3 7" xfId="2693"/>
    <cellStyle name="Porcentagem 4 12 3 8" xfId="3220"/>
    <cellStyle name="Porcentagem 4 12 3 9" xfId="3747"/>
    <cellStyle name="Porcentagem 4 12 4" xfId="383"/>
    <cellStyle name="Porcentagem 4 12 4 2" xfId="1028"/>
    <cellStyle name="Porcentagem 4 12 4 3" xfId="1379"/>
    <cellStyle name="Porcentagem 4 12 4 4" xfId="1814"/>
    <cellStyle name="Porcentagem 4 12 4 5" xfId="2344"/>
    <cellStyle name="Porcentagem 4 12 4 6" xfId="2871"/>
    <cellStyle name="Porcentagem 4 12 4 7" xfId="3398"/>
    <cellStyle name="Porcentagem 4 12 4 8" xfId="3925"/>
    <cellStyle name="Porcentagem 4 12 5" xfId="640"/>
    <cellStyle name="Porcentagem 4 12 5 2" xfId="1463"/>
    <cellStyle name="Porcentagem 4 12 5 3" xfId="1898"/>
    <cellStyle name="Porcentagem 4 12 5 4" xfId="2428"/>
    <cellStyle name="Porcentagem 4 12 5 5" xfId="2955"/>
    <cellStyle name="Porcentagem 4 12 5 6" xfId="3482"/>
    <cellStyle name="Porcentagem 4 12 5 7" xfId="4009"/>
    <cellStyle name="Porcentagem 4 12 6" xfId="761"/>
    <cellStyle name="Porcentagem 4 12 6 2" xfId="4185"/>
    <cellStyle name="Porcentagem 4 12 7" xfId="1112"/>
    <cellStyle name="Porcentagem 4 12 8" xfId="1547"/>
    <cellStyle name="Porcentagem 4 12 9" xfId="2077"/>
    <cellStyle name="Porcentagem 4 13" xfId="109"/>
    <cellStyle name="Porcentagem 4 13 10" xfId="2612"/>
    <cellStyle name="Porcentagem 4 13 11" xfId="3139"/>
    <cellStyle name="Porcentagem 4 13 12" xfId="3666"/>
    <cellStyle name="Porcentagem 4 13 2" xfId="203"/>
    <cellStyle name="Porcentagem 4 13 2 2" xfId="476"/>
    <cellStyle name="Porcentagem 4 13 2 2 2" xfId="1995"/>
    <cellStyle name="Porcentagem 4 13 2 2 3" xfId="2525"/>
    <cellStyle name="Porcentagem 4 13 2 2 4" xfId="3052"/>
    <cellStyle name="Porcentagem 4 13 2 2 5" xfId="3579"/>
    <cellStyle name="Porcentagem 4 13 2 2 6" xfId="4106"/>
    <cellStyle name="Porcentagem 4 13 2 3" xfId="949"/>
    <cellStyle name="Porcentagem 4 13 2 4" xfId="1300"/>
    <cellStyle name="Porcentagem 4 13 2 5" xfId="1735"/>
    <cellStyle name="Porcentagem 4 13 2 6" xfId="2265"/>
    <cellStyle name="Porcentagem 4 13 2 7" xfId="2792"/>
    <cellStyle name="Porcentagem 4 13 2 8" xfId="3319"/>
    <cellStyle name="Porcentagem 4 13 2 9" xfId="3846"/>
    <cellStyle name="Porcentagem 4 13 3" xfId="298"/>
    <cellStyle name="Porcentagem 4 13 3 2" xfId="561"/>
    <cellStyle name="Porcentagem 4 13 3 3" xfId="858"/>
    <cellStyle name="Porcentagem 4 13 3 4" xfId="1209"/>
    <cellStyle name="Porcentagem 4 13 3 5" xfId="1644"/>
    <cellStyle name="Porcentagem 4 13 3 6" xfId="2174"/>
    <cellStyle name="Porcentagem 4 13 3 7" xfId="2701"/>
    <cellStyle name="Porcentagem 4 13 3 8" xfId="3228"/>
    <cellStyle name="Porcentagem 4 13 3 9" xfId="3755"/>
    <cellStyle name="Porcentagem 4 13 4" xfId="391"/>
    <cellStyle name="Porcentagem 4 13 4 2" xfId="1036"/>
    <cellStyle name="Porcentagem 4 13 4 3" xfId="1387"/>
    <cellStyle name="Porcentagem 4 13 4 4" xfId="1822"/>
    <cellStyle name="Porcentagem 4 13 4 5" xfId="2352"/>
    <cellStyle name="Porcentagem 4 13 4 6" xfId="2879"/>
    <cellStyle name="Porcentagem 4 13 4 7" xfId="3406"/>
    <cellStyle name="Porcentagem 4 13 4 8" xfId="3933"/>
    <cellStyle name="Porcentagem 4 13 5" xfId="648"/>
    <cellStyle name="Porcentagem 4 13 5 2" xfId="1471"/>
    <cellStyle name="Porcentagem 4 13 5 3" xfId="1906"/>
    <cellStyle name="Porcentagem 4 13 5 4" xfId="2436"/>
    <cellStyle name="Porcentagem 4 13 5 5" xfId="2963"/>
    <cellStyle name="Porcentagem 4 13 5 6" xfId="3490"/>
    <cellStyle name="Porcentagem 4 13 5 7" xfId="4017"/>
    <cellStyle name="Porcentagem 4 13 6" xfId="769"/>
    <cellStyle name="Porcentagem 4 13 6 2" xfId="4193"/>
    <cellStyle name="Porcentagem 4 13 7" xfId="1120"/>
    <cellStyle name="Porcentagem 4 13 8" xfId="1555"/>
    <cellStyle name="Porcentagem 4 13 9" xfId="2085"/>
    <cellStyle name="Porcentagem 4 14" xfId="41"/>
    <cellStyle name="Porcentagem 4 14 10" xfId="2544"/>
    <cellStyle name="Porcentagem 4 14 11" xfId="3071"/>
    <cellStyle name="Porcentagem 4 14 12" xfId="3598"/>
    <cellStyle name="Porcentagem 4 14 2" xfId="135"/>
    <cellStyle name="Porcentagem 4 14 2 2" xfId="408"/>
    <cellStyle name="Porcentagem 4 14 2 2 2" xfId="1927"/>
    <cellStyle name="Porcentagem 4 14 2 2 3" xfId="2457"/>
    <cellStyle name="Porcentagem 4 14 2 2 4" xfId="2984"/>
    <cellStyle name="Porcentagem 4 14 2 2 5" xfId="3511"/>
    <cellStyle name="Porcentagem 4 14 2 2 6" xfId="4038"/>
    <cellStyle name="Porcentagem 4 14 2 3" xfId="881"/>
    <cellStyle name="Porcentagem 4 14 2 4" xfId="1232"/>
    <cellStyle name="Porcentagem 4 14 2 5" xfId="1667"/>
    <cellStyle name="Porcentagem 4 14 2 6" xfId="2197"/>
    <cellStyle name="Porcentagem 4 14 2 7" xfId="2724"/>
    <cellStyle name="Porcentagem 4 14 2 8" xfId="3251"/>
    <cellStyle name="Porcentagem 4 14 2 9" xfId="3778"/>
    <cellStyle name="Porcentagem 4 14 3" xfId="230"/>
    <cellStyle name="Porcentagem 4 14 3 2" xfId="493"/>
    <cellStyle name="Porcentagem 4 14 3 3" xfId="790"/>
    <cellStyle name="Porcentagem 4 14 3 4" xfId="1141"/>
    <cellStyle name="Porcentagem 4 14 3 5" xfId="1576"/>
    <cellStyle name="Porcentagem 4 14 3 6" xfId="2106"/>
    <cellStyle name="Porcentagem 4 14 3 7" xfId="2633"/>
    <cellStyle name="Porcentagem 4 14 3 8" xfId="3160"/>
    <cellStyle name="Porcentagem 4 14 3 9" xfId="3687"/>
    <cellStyle name="Porcentagem 4 14 4" xfId="323"/>
    <cellStyle name="Porcentagem 4 14 4 2" xfId="968"/>
    <cellStyle name="Porcentagem 4 14 4 3" xfId="1319"/>
    <cellStyle name="Porcentagem 4 14 4 4" xfId="1754"/>
    <cellStyle name="Porcentagem 4 14 4 5" xfId="2284"/>
    <cellStyle name="Porcentagem 4 14 4 6" xfId="2811"/>
    <cellStyle name="Porcentagem 4 14 4 7" xfId="3338"/>
    <cellStyle name="Porcentagem 4 14 4 8" xfId="3865"/>
    <cellStyle name="Porcentagem 4 14 5" xfId="580"/>
    <cellStyle name="Porcentagem 4 14 5 2" xfId="1403"/>
    <cellStyle name="Porcentagem 4 14 5 3" xfId="1838"/>
    <cellStyle name="Porcentagem 4 14 5 4" xfId="2368"/>
    <cellStyle name="Porcentagem 4 14 5 5" xfId="2895"/>
    <cellStyle name="Porcentagem 4 14 5 6" xfId="3422"/>
    <cellStyle name="Porcentagem 4 14 5 7" xfId="3949"/>
    <cellStyle name="Porcentagem 4 14 6" xfId="701"/>
    <cellStyle name="Porcentagem 4 14 6 2" xfId="4125"/>
    <cellStyle name="Porcentagem 4 14 7" xfId="1052"/>
    <cellStyle name="Porcentagem 4 14 8" xfId="1487"/>
    <cellStyle name="Porcentagem 4 14 9" xfId="2017"/>
    <cellStyle name="Porcentagem 4 15" xfId="113"/>
    <cellStyle name="Porcentagem 4 15 10" xfId="2616"/>
    <cellStyle name="Porcentagem 4 15 11" xfId="3143"/>
    <cellStyle name="Porcentagem 4 15 12" xfId="3670"/>
    <cellStyle name="Porcentagem 4 15 2" xfId="207"/>
    <cellStyle name="Porcentagem 4 15 2 2" xfId="480"/>
    <cellStyle name="Porcentagem 4 15 2 2 2" xfId="1999"/>
    <cellStyle name="Porcentagem 4 15 2 2 3" xfId="2529"/>
    <cellStyle name="Porcentagem 4 15 2 2 4" xfId="3056"/>
    <cellStyle name="Porcentagem 4 15 2 2 5" xfId="3583"/>
    <cellStyle name="Porcentagem 4 15 2 2 6" xfId="4110"/>
    <cellStyle name="Porcentagem 4 15 2 3" xfId="953"/>
    <cellStyle name="Porcentagem 4 15 2 4" xfId="1304"/>
    <cellStyle name="Porcentagem 4 15 2 5" xfId="1739"/>
    <cellStyle name="Porcentagem 4 15 2 6" xfId="2269"/>
    <cellStyle name="Porcentagem 4 15 2 7" xfId="2796"/>
    <cellStyle name="Porcentagem 4 15 2 8" xfId="3323"/>
    <cellStyle name="Porcentagem 4 15 2 9" xfId="3850"/>
    <cellStyle name="Porcentagem 4 15 3" xfId="302"/>
    <cellStyle name="Porcentagem 4 15 3 2" xfId="565"/>
    <cellStyle name="Porcentagem 4 15 3 3" xfId="862"/>
    <cellStyle name="Porcentagem 4 15 3 4" xfId="1213"/>
    <cellStyle name="Porcentagem 4 15 3 5" xfId="1648"/>
    <cellStyle name="Porcentagem 4 15 3 6" xfId="2178"/>
    <cellStyle name="Porcentagem 4 15 3 7" xfId="2705"/>
    <cellStyle name="Porcentagem 4 15 3 8" xfId="3232"/>
    <cellStyle name="Porcentagem 4 15 3 9" xfId="3759"/>
    <cellStyle name="Porcentagem 4 15 4" xfId="395"/>
    <cellStyle name="Porcentagem 4 15 4 2" xfId="1040"/>
    <cellStyle name="Porcentagem 4 15 4 3" xfId="1391"/>
    <cellStyle name="Porcentagem 4 15 4 4" xfId="1826"/>
    <cellStyle name="Porcentagem 4 15 4 5" xfId="2356"/>
    <cellStyle name="Porcentagem 4 15 4 6" xfId="2883"/>
    <cellStyle name="Porcentagem 4 15 4 7" xfId="3410"/>
    <cellStyle name="Porcentagem 4 15 4 8" xfId="3937"/>
    <cellStyle name="Porcentagem 4 15 5" xfId="652"/>
    <cellStyle name="Porcentagem 4 15 5 2" xfId="1475"/>
    <cellStyle name="Porcentagem 4 15 5 3" xfId="1910"/>
    <cellStyle name="Porcentagem 4 15 5 4" xfId="2440"/>
    <cellStyle name="Porcentagem 4 15 5 5" xfId="2967"/>
    <cellStyle name="Porcentagem 4 15 5 6" xfId="3494"/>
    <cellStyle name="Porcentagem 4 15 5 7" xfId="4021"/>
    <cellStyle name="Porcentagem 4 15 6" xfId="773"/>
    <cellStyle name="Porcentagem 4 15 6 2" xfId="4197"/>
    <cellStyle name="Porcentagem 4 15 7" xfId="1124"/>
    <cellStyle name="Porcentagem 4 15 8" xfId="1559"/>
    <cellStyle name="Porcentagem 4 15 9" xfId="2089"/>
    <cellStyle name="Porcentagem 4 16" xfId="124"/>
    <cellStyle name="Porcentagem 4 16 2" xfId="400"/>
    <cellStyle name="Porcentagem 4 16 2 2" xfId="1916"/>
    <cellStyle name="Porcentagem 4 16 2 3" xfId="2446"/>
    <cellStyle name="Porcentagem 4 16 2 4" xfId="2973"/>
    <cellStyle name="Porcentagem 4 16 2 5" xfId="3500"/>
    <cellStyle name="Porcentagem 4 16 2 6" xfId="4027"/>
    <cellStyle name="Porcentagem 4 16 3" xfId="870"/>
    <cellStyle name="Porcentagem 4 16 4" xfId="1221"/>
    <cellStyle name="Porcentagem 4 16 5" xfId="1656"/>
    <cellStyle name="Porcentagem 4 16 6" xfId="2186"/>
    <cellStyle name="Porcentagem 4 16 7" xfId="2713"/>
    <cellStyle name="Porcentagem 4 16 8" xfId="3240"/>
    <cellStyle name="Porcentagem 4 16 9" xfId="3767"/>
    <cellStyle name="Porcentagem 4 17" xfId="219"/>
    <cellStyle name="Porcentagem 4 17 2" xfId="485"/>
    <cellStyle name="Porcentagem 4 17 3" xfId="779"/>
    <cellStyle name="Porcentagem 4 17 4" xfId="1130"/>
    <cellStyle name="Porcentagem 4 17 5" xfId="1565"/>
    <cellStyle name="Porcentagem 4 17 6" xfId="2095"/>
    <cellStyle name="Porcentagem 4 17 7" xfId="2622"/>
    <cellStyle name="Porcentagem 4 17 8" xfId="3149"/>
    <cellStyle name="Porcentagem 4 17 9" xfId="3676"/>
    <cellStyle name="Porcentagem 4 18" xfId="315"/>
    <cellStyle name="Porcentagem 4 18 2" xfId="960"/>
    <cellStyle name="Porcentagem 4 18 3" xfId="1311"/>
    <cellStyle name="Porcentagem 4 18 4" xfId="1746"/>
    <cellStyle name="Porcentagem 4 18 5" xfId="2276"/>
    <cellStyle name="Porcentagem 4 18 6" xfId="2803"/>
    <cellStyle name="Porcentagem 4 18 7" xfId="3330"/>
    <cellStyle name="Porcentagem 4 18 8" xfId="3857"/>
    <cellStyle name="Porcentagem 4 19" xfId="572"/>
    <cellStyle name="Porcentagem 4 19 2" xfId="1395"/>
    <cellStyle name="Porcentagem 4 19 3" xfId="1830"/>
    <cellStyle name="Porcentagem 4 19 4" xfId="2360"/>
    <cellStyle name="Porcentagem 4 19 5" xfId="2887"/>
    <cellStyle name="Porcentagem 4 19 6" xfId="3414"/>
    <cellStyle name="Porcentagem 4 19 7" xfId="3941"/>
    <cellStyle name="Porcentagem 4 2" xfId="37"/>
    <cellStyle name="Porcentagem 4 2 10" xfId="319"/>
    <cellStyle name="Porcentagem 4 2 10 2" xfId="964"/>
    <cellStyle name="Porcentagem 4 2 10 3" xfId="1315"/>
    <cellStyle name="Porcentagem 4 2 10 4" xfId="1750"/>
    <cellStyle name="Porcentagem 4 2 10 5" xfId="2280"/>
    <cellStyle name="Porcentagem 4 2 10 6" xfId="2807"/>
    <cellStyle name="Porcentagem 4 2 10 7" xfId="3334"/>
    <cellStyle name="Porcentagem 4 2 10 8" xfId="3861"/>
    <cellStyle name="Porcentagem 4 2 11" xfId="576"/>
    <cellStyle name="Porcentagem 4 2 11 2" xfId="1399"/>
    <cellStyle name="Porcentagem 4 2 11 3" xfId="1834"/>
    <cellStyle name="Porcentagem 4 2 11 4" xfId="2364"/>
    <cellStyle name="Porcentagem 4 2 11 5" xfId="2891"/>
    <cellStyle name="Porcentagem 4 2 11 6" xfId="3418"/>
    <cellStyle name="Porcentagem 4 2 11 7" xfId="3945"/>
    <cellStyle name="Porcentagem 4 2 12" xfId="697"/>
    <cellStyle name="Porcentagem 4 2 12 2" xfId="4121"/>
    <cellStyle name="Porcentagem 4 2 13" xfId="1048"/>
    <cellStyle name="Porcentagem 4 2 14" xfId="1483"/>
    <cellStyle name="Porcentagem 4 2 15" xfId="2013"/>
    <cellStyle name="Porcentagem 4 2 16" xfId="2540"/>
    <cellStyle name="Porcentagem 4 2 17" xfId="3067"/>
    <cellStyle name="Porcentagem 4 2 18" xfId="3594"/>
    <cellStyle name="Porcentagem 4 2 2" xfId="73"/>
    <cellStyle name="Porcentagem 4 2 2 10" xfId="2576"/>
    <cellStyle name="Porcentagem 4 2 2 11" xfId="3103"/>
    <cellStyle name="Porcentagem 4 2 2 12" xfId="3630"/>
    <cellStyle name="Porcentagem 4 2 2 2" xfId="167"/>
    <cellStyle name="Porcentagem 4 2 2 2 2" xfId="440"/>
    <cellStyle name="Porcentagem 4 2 2 2 2 2" xfId="1959"/>
    <cellStyle name="Porcentagem 4 2 2 2 2 3" xfId="2489"/>
    <cellStyle name="Porcentagem 4 2 2 2 2 4" xfId="3016"/>
    <cellStyle name="Porcentagem 4 2 2 2 2 5" xfId="3543"/>
    <cellStyle name="Porcentagem 4 2 2 2 2 6" xfId="4070"/>
    <cellStyle name="Porcentagem 4 2 2 2 3" xfId="913"/>
    <cellStyle name="Porcentagem 4 2 2 2 4" xfId="1264"/>
    <cellStyle name="Porcentagem 4 2 2 2 5" xfId="1699"/>
    <cellStyle name="Porcentagem 4 2 2 2 6" xfId="2229"/>
    <cellStyle name="Porcentagem 4 2 2 2 7" xfId="2756"/>
    <cellStyle name="Porcentagem 4 2 2 2 8" xfId="3283"/>
    <cellStyle name="Porcentagem 4 2 2 2 9" xfId="3810"/>
    <cellStyle name="Porcentagem 4 2 2 3" xfId="262"/>
    <cellStyle name="Porcentagem 4 2 2 3 2" xfId="525"/>
    <cellStyle name="Porcentagem 4 2 2 3 3" xfId="822"/>
    <cellStyle name="Porcentagem 4 2 2 3 4" xfId="1173"/>
    <cellStyle name="Porcentagem 4 2 2 3 5" xfId="1608"/>
    <cellStyle name="Porcentagem 4 2 2 3 6" xfId="2138"/>
    <cellStyle name="Porcentagem 4 2 2 3 7" xfId="2665"/>
    <cellStyle name="Porcentagem 4 2 2 3 8" xfId="3192"/>
    <cellStyle name="Porcentagem 4 2 2 3 9" xfId="3719"/>
    <cellStyle name="Porcentagem 4 2 2 4" xfId="355"/>
    <cellStyle name="Porcentagem 4 2 2 4 2" xfId="1000"/>
    <cellStyle name="Porcentagem 4 2 2 4 3" xfId="1351"/>
    <cellStyle name="Porcentagem 4 2 2 4 4" xfId="1786"/>
    <cellStyle name="Porcentagem 4 2 2 4 5" xfId="2316"/>
    <cellStyle name="Porcentagem 4 2 2 4 6" xfId="2843"/>
    <cellStyle name="Porcentagem 4 2 2 4 7" xfId="3370"/>
    <cellStyle name="Porcentagem 4 2 2 4 8" xfId="3897"/>
    <cellStyle name="Porcentagem 4 2 2 5" xfId="612"/>
    <cellStyle name="Porcentagem 4 2 2 5 2" xfId="1435"/>
    <cellStyle name="Porcentagem 4 2 2 5 3" xfId="1870"/>
    <cellStyle name="Porcentagem 4 2 2 5 4" xfId="2400"/>
    <cellStyle name="Porcentagem 4 2 2 5 5" xfId="2927"/>
    <cellStyle name="Porcentagem 4 2 2 5 6" xfId="3454"/>
    <cellStyle name="Porcentagem 4 2 2 5 7" xfId="3981"/>
    <cellStyle name="Porcentagem 4 2 2 6" xfId="733"/>
    <cellStyle name="Porcentagem 4 2 2 6 2" xfId="4157"/>
    <cellStyle name="Porcentagem 4 2 2 7" xfId="1084"/>
    <cellStyle name="Porcentagem 4 2 2 8" xfId="1519"/>
    <cellStyle name="Porcentagem 4 2 2 9" xfId="2049"/>
    <cellStyle name="Porcentagem 4 2 3" xfId="81"/>
    <cellStyle name="Porcentagem 4 2 3 10" xfId="2584"/>
    <cellStyle name="Porcentagem 4 2 3 11" xfId="3111"/>
    <cellStyle name="Porcentagem 4 2 3 12" xfId="3638"/>
    <cellStyle name="Porcentagem 4 2 3 2" xfId="175"/>
    <cellStyle name="Porcentagem 4 2 3 2 2" xfId="448"/>
    <cellStyle name="Porcentagem 4 2 3 2 2 2" xfId="1967"/>
    <cellStyle name="Porcentagem 4 2 3 2 2 3" xfId="2497"/>
    <cellStyle name="Porcentagem 4 2 3 2 2 4" xfId="3024"/>
    <cellStyle name="Porcentagem 4 2 3 2 2 5" xfId="3551"/>
    <cellStyle name="Porcentagem 4 2 3 2 2 6" xfId="4078"/>
    <cellStyle name="Porcentagem 4 2 3 2 3" xfId="921"/>
    <cellStyle name="Porcentagem 4 2 3 2 4" xfId="1272"/>
    <cellStyle name="Porcentagem 4 2 3 2 5" xfId="1707"/>
    <cellStyle name="Porcentagem 4 2 3 2 6" xfId="2237"/>
    <cellStyle name="Porcentagem 4 2 3 2 7" xfId="2764"/>
    <cellStyle name="Porcentagem 4 2 3 2 8" xfId="3291"/>
    <cellStyle name="Porcentagem 4 2 3 2 9" xfId="3818"/>
    <cellStyle name="Porcentagem 4 2 3 3" xfId="270"/>
    <cellStyle name="Porcentagem 4 2 3 3 2" xfId="533"/>
    <cellStyle name="Porcentagem 4 2 3 3 3" xfId="830"/>
    <cellStyle name="Porcentagem 4 2 3 3 4" xfId="1181"/>
    <cellStyle name="Porcentagem 4 2 3 3 5" xfId="1616"/>
    <cellStyle name="Porcentagem 4 2 3 3 6" xfId="2146"/>
    <cellStyle name="Porcentagem 4 2 3 3 7" xfId="2673"/>
    <cellStyle name="Porcentagem 4 2 3 3 8" xfId="3200"/>
    <cellStyle name="Porcentagem 4 2 3 3 9" xfId="3727"/>
    <cellStyle name="Porcentagem 4 2 3 4" xfId="363"/>
    <cellStyle name="Porcentagem 4 2 3 4 2" xfId="1008"/>
    <cellStyle name="Porcentagem 4 2 3 4 3" xfId="1359"/>
    <cellStyle name="Porcentagem 4 2 3 4 4" xfId="1794"/>
    <cellStyle name="Porcentagem 4 2 3 4 5" xfId="2324"/>
    <cellStyle name="Porcentagem 4 2 3 4 6" xfId="2851"/>
    <cellStyle name="Porcentagem 4 2 3 4 7" xfId="3378"/>
    <cellStyle name="Porcentagem 4 2 3 4 8" xfId="3905"/>
    <cellStyle name="Porcentagem 4 2 3 5" xfId="620"/>
    <cellStyle name="Porcentagem 4 2 3 5 2" xfId="1443"/>
    <cellStyle name="Porcentagem 4 2 3 5 3" xfId="1878"/>
    <cellStyle name="Porcentagem 4 2 3 5 4" xfId="2408"/>
    <cellStyle name="Porcentagem 4 2 3 5 5" xfId="2935"/>
    <cellStyle name="Porcentagem 4 2 3 5 6" xfId="3462"/>
    <cellStyle name="Porcentagem 4 2 3 5 7" xfId="3989"/>
    <cellStyle name="Porcentagem 4 2 3 6" xfId="741"/>
    <cellStyle name="Porcentagem 4 2 3 6 2" xfId="4165"/>
    <cellStyle name="Porcentagem 4 2 3 7" xfId="1092"/>
    <cellStyle name="Porcentagem 4 2 3 8" xfId="1527"/>
    <cellStyle name="Porcentagem 4 2 3 9" xfId="2057"/>
    <cellStyle name="Porcentagem 4 2 4" xfId="89"/>
    <cellStyle name="Porcentagem 4 2 4 10" xfId="2592"/>
    <cellStyle name="Porcentagem 4 2 4 11" xfId="3119"/>
    <cellStyle name="Porcentagem 4 2 4 12" xfId="3646"/>
    <cellStyle name="Porcentagem 4 2 4 2" xfId="183"/>
    <cellStyle name="Porcentagem 4 2 4 2 2" xfId="456"/>
    <cellStyle name="Porcentagem 4 2 4 2 2 2" xfId="1975"/>
    <cellStyle name="Porcentagem 4 2 4 2 2 3" xfId="2505"/>
    <cellStyle name="Porcentagem 4 2 4 2 2 4" xfId="3032"/>
    <cellStyle name="Porcentagem 4 2 4 2 2 5" xfId="3559"/>
    <cellStyle name="Porcentagem 4 2 4 2 2 6" xfId="4086"/>
    <cellStyle name="Porcentagem 4 2 4 2 3" xfId="929"/>
    <cellStyle name="Porcentagem 4 2 4 2 4" xfId="1280"/>
    <cellStyle name="Porcentagem 4 2 4 2 5" xfId="1715"/>
    <cellStyle name="Porcentagem 4 2 4 2 6" xfId="2245"/>
    <cellStyle name="Porcentagem 4 2 4 2 7" xfId="2772"/>
    <cellStyle name="Porcentagem 4 2 4 2 8" xfId="3299"/>
    <cellStyle name="Porcentagem 4 2 4 2 9" xfId="3826"/>
    <cellStyle name="Porcentagem 4 2 4 3" xfId="278"/>
    <cellStyle name="Porcentagem 4 2 4 3 2" xfId="541"/>
    <cellStyle name="Porcentagem 4 2 4 3 3" xfId="838"/>
    <cellStyle name="Porcentagem 4 2 4 3 4" xfId="1189"/>
    <cellStyle name="Porcentagem 4 2 4 3 5" xfId="1624"/>
    <cellStyle name="Porcentagem 4 2 4 3 6" xfId="2154"/>
    <cellStyle name="Porcentagem 4 2 4 3 7" xfId="2681"/>
    <cellStyle name="Porcentagem 4 2 4 3 8" xfId="3208"/>
    <cellStyle name="Porcentagem 4 2 4 3 9" xfId="3735"/>
    <cellStyle name="Porcentagem 4 2 4 4" xfId="371"/>
    <cellStyle name="Porcentagem 4 2 4 4 2" xfId="1016"/>
    <cellStyle name="Porcentagem 4 2 4 4 3" xfId="1367"/>
    <cellStyle name="Porcentagem 4 2 4 4 4" xfId="1802"/>
    <cellStyle name="Porcentagem 4 2 4 4 5" xfId="2332"/>
    <cellStyle name="Porcentagem 4 2 4 4 6" xfId="2859"/>
    <cellStyle name="Porcentagem 4 2 4 4 7" xfId="3386"/>
    <cellStyle name="Porcentagem 4 2 4 4 8" xfId="3913"/>
    <cellStyle name="Porcentagem 4 2 4 5" xfId="628"/>
    <cellStyle name="Porcentagem 4 2 4 5 2" xfId="1451"/>
    <cellStyle name="Porcentagem 4 2 4 5 3" xfId="1886"/>
    <cellStyle name="Porcentagem 4 2 4 5 4" xfId="2416"/>
    <cellStyle name="Porcentagem 4 2 4 5 5" xfId="2943"/>
    <cellStyle name="Porcentagem 4 2 4 5 6" xfId="3470"/>
    <cellStyle name="Porcentagem 4 2 4 5 7" xfId="3997"/>
    <cellStyle name="Porcentagem 4 2 4 6" xfId="749"/>
    <cellStyle name="Porcentagem 4 2 4 6 2" xfId="4173"/>
    <cellStyle name="Porcentagem 4 2 4 7" xfId="1100"/>
    <cellStyle name="Porcentagem 4 2 4 8" xfId="1535"/>
    <cellStyle name="Porcentagem 4 2 4 9" xfId="2065"/>
    <cellStyle name="Porcentagem 4 2 5" xfId="97"/>
    <cellStyle name="Porcentagem 4 2 5 10" xfId="2600"/>
    <cellStyle name="Porcentagem 4 2 5 11" xfId="3127"/>
    <cellStyle name="Porcentagem 4 2 5 12" xfId="3654"/>
    <cellStyle name="Porcentagem 4 2 5 2" xfId="191"/>
    <cellStyle name="Porcentagem 4 2 5 2 2" xfId="464"/>
    <cellStyle name="Porcentagem 4 2 5 2 2 2" xfId="1983"/>
    <cellStyle name="Porcentagem 4 2 5 2 2 3" xfId="2513"/>
    <cellStyle name="Porcentagem 4 2 5 2 2 4" xfId="3040"/>
    <cellStyle name="Porcentagem 4 2 5 2 2 5" xfId="3567"/>
    <cellStyle name="Porcentagem 4 2 5 2 2 6" xfId="4094"/>
    <cellStyle name="Porcentagem 4 2 5 2 3" xfId="937"/>
    <cellStyle name="Porcentagem 4 2 5 2 4" xfId="1288"/>
    <cellStyle name="Porcentagem 4 2 5 2 5" xfId="1723"/>
    <cellStyle name="Porcentagem 4 2 5 2 6" xfId="2253"/>
    <cellStyle name="Porcentagem 4 2 5 2 7" xfId="2780"/>
    <cellStyle name="Porcentagem 4 2 5 2 8" xfId="3307"/>
    <cellStyle name="Porcentagem 4 2 5 2 9" xfId="3834"/>
    <cellStyle name="Porcentagem 4 2 5 3" xfId="286"/>
    <cellStyle name="Porcentagem 4 2 5 3 2" xfId="549"/>
    <cellStyle name="Porcentagem 4 2 5 3 3" xfId="846"/>
    <cellStyle name="Porcentagem 4 2 5 3 4" xfId="1197"/>
    <cellStyle name="Porcentagem 4 2 5 3 5" xfId="1632"/>
    <cellStyle name="Porcentagem 4 2 5 3 6" xfId="2162"/>
    <cellStyle name="Porcentagem 4 2 5 3 7" xfId="2689"/>
    <cellStyle name="Porcentagem 4 2 5 3 8" xfId="3216"/>
    <cellStyle name="Porcentagem 4 2 5 3 9" xfId="3743"/>
    <cellStyle name="Porcentagem 4 2 5 4" xfId="379"/>
    <cellStyle name="Porcentagem 4 2 5 4 2" xfId="1024"/>
    <cellStyle name="Porcentagem 4 2 5 4 3" xfId="1375"/>
    <cellStyle name="Porcentagem 4 2 5 4 4" xfId="1810"/>
    <cellStyle name="Porcentagem 4 2 5 4 5" xfId="2340"/>
    <cellStyle name="Porcentagem 4 2 5 4 6" xfId="2867"/>
    <cellStyle name="Porcentagem 4 2 5 4 7" xfId="3394"/>
    <cellStyle name="Porcentagem 4 2 5 4 8" xfId="3921"/>
    <cellStyle name="Porcentagem 4 2 5 5" xfId="636"/>
    <cellStyle name="Porcentagem 4 2 5 5 2" xfId="1459"/>
    <cellStyle name="Porcentagem 4 2 5 5 3" xfId="1894"/>
    <cellStyle name="Porcentagem 4 2 5 5 4" xfId="2424"/>
    <cellStyle name="Porcentagem 4 2 5 5 5" xfId="2951"/>
    <cellStyle name="Porcentagem 4 2 5 5 6" xfId="3478"/>
    <cellStyle name="Porcentagem 4 2 5 5 7" xfId="4005"/>
    <cellStyle name="Porcentagem 4 2 5 6" xfId="757"/>
    <cellStyle name="Porcentagem 4 2 5 6 2" xfId="4181"/>
    <cellStyle name="Porcentagem 4 2 5 7" xfId="1108"/>
    <cellStyle name="Porcentagem 4 2 5 8" xfId="1543"/>
    <cellStyle name="Porcentagem 4 2 5 9" xfId="2073"/>
    <cellStyle name="Porcentagem 4 2 6" xfId="105"/>
    <cellStyle name="Porcentagem 4 2 6 10" xfId="2608"/>
    <cellStyle name="Porcentagem 4 2 6 11" xfId="3135"/>
    <cellStyle name="Porcentagem 4 2 6 12" xfId="3662"/>
    <cellStyle name="Porcentagem 4 2 6 2" xfId="199"/>
    <cellStyle name="Porcentagem 4 2 6 2 2" xfId="472"/>
    <cellStyle name="Porcentagem 4 2 6 2 2 2" xfId="1991"/>
    <cellStyle name="Porcentagem 4 2 6 2 2 3" xfId="2521"/>
    <cellStyle name="Porcentagem 4 2 6 2 2 4" xfId="3048"/>
    <cellStyle name="Porcentagem 4 2 6 2 2 5" xfId="3575"/>
    <cellStyle name="Porcentagem 4 2 6 2 2 6" xfId="4102"/>
    <cellStyle name="Porcentagem 4 2 6 2 3" xfId="945"/>
    <cellStyle name="Porcentagem 4 2 6 2 4" xfId="1296"/>
    <cellStyle name="Porcentagem 4 2 6 2 5" xfId="1731"/>
    <cellStyle name="Porcentagem 4 2 6 2 6" xfId="2261"/>
    <cellStyle name="Porcentagem 4 2 6 2 7" xfId="2788"/>
    <cellStyle name="Porcentagem 4 2 6 2 8" xfId="3315"/>
    <cellStyle name="Porcentagem 4 2 6 2 9" xfId="3842"/>
    <cellStyle name="Porcentagem 4 2 6 3" xfId="294"/>
    <cellStyle name="Porcentagem 4 2 6 3 2" xfId="557"/>
    <cellStyle name="Porcentagem 4 2 6 3 3" xfId="854"/>
    <cellStyle name="Porcentagem 4 2 6 3 4" xfId="1205"/>
    <cellStyle name="Porcentagem 4 2 6 3 5" xfId="1640"/>
    <cellStyle name="Porcentagem 4 2 6 3 6" xfId="2170"/>
    <cellStyle name="Porcentagem 4 2 6 3 7" xfId="2697"/>
    <cellStyle name="Porcentagem 4 2 6 3 8" xfId="3224"/>
    <cellStyle name="Porcentagem 4 2 6 3 9" xfId="3751"/>
    <cellStyle name="Porcentagem 4 2 6 4" xfId="387"/>
    <cellStyle name="Porcentagem 4 2 6 4 2" xfId="1032"/>
    <cellStyle name="Porcentagem 4 2 6 4 3" xfId="1383"/>
    <cellStyle name="Porcentagem 4 2 6 4 4" xfId="1818"/>
    <cellStyle name="Porcentagem 4 2 6 4 5" xfId="2348"/>
    <cellStyle name="Porcentagem 4 2 6 4 6" xfId="2875"/>
    <cellStyle name="Porcentagem 4 2 6 4 7" xfId="3402"/>
    <cellStyle name="Porcentagem 4 2 6 4 8" xfId="3929"/>
    <cellStyle name="Porcentagem 4 2 6 5" xfId="644"/>
    <cellStyle name="Porcentagem 4 2 6 5 2" xfId="1467"/>
    <cellStyle name="Porcentagem 4 2 6 5 3" xfId="1902"/>
    <cellStyle name="Porcentagem 4 2 6 5 4" xfId="2432"/>
    <cellStyle name="Porcentagem 4 2 6 5 5" xfId="2959"/>
    <cellStyle name="Porcentagem 4 2 6 5 6" xfId="3486"/>
    <cellStyle name="Porcentagem 4 2 6 5 7" xfId="4013"/>
    <cellStyle name="Porcentagem 4 2 6 6" xfId="765"/>
    <cellStyle name="Porcentagem 4 2 6 6 2" xfId="4189"/>
    <cellStyle name="Porcentagem 4 2 6 7" xfId="1116"/>
    <cellStyle name="Porcentagem 4 2 6 8" xfId="1551"/>
    <cellStyle name="Porcentagem 4 2 6 9" xfId="2081"/>
    <cellStyle name="Porcentagem 4 2 7" xfId="45"/>
    <cellStyle name="Porcentagem 4 2 7 10" xfId="2548"/>
    <cellStyle name="Porcentagem 4 2 7 11" xfId="3075"/>
    <cellStyle name="Porcentagem 4 2 7 12" xfId="3602"/>
    <cellStyle name="Porcentagem 4 2 7 2" xfId="139"/>
    <cellStyle name="Porcentagem 4 2 7 2 2" xfId="412"/>
    <cellStyle name="Porcentagem 4 2 7 2 2 2" xfId="1931"/>
    <cellStyle name="Porcentagem 4 2 7 2 2 3" xfId="2461"/>
    <cellStyle name="Porcentagem 4 2 7 2 2 4" xfId="2988"/>
    <cellStyle name="Porcentagem 4 2 7 2 2 5" xfId="3515"/>
    <cellStyle name="Porcentagem 4 2 7 2 2 6" xfId="4042"/>
    <cellStyle name="Porcentagem 4 2 7 2 3" xfId="885"/>
    <cellStyle name="Porcentagem 4 2 7 2 4" xfId="1236"/>
    <cellStyle name="Porcentagem 4 2 7 2 5" xfId="1671"/>
    <cellStyle name="Porcentagem 4 2 7 2 6" xfId="2201"/>
    <cellStyle name="Porcentagem 4 2 7 2 7" xfId="2728"/>
    <cellStyle name="Porcentagem 4 2 7 2 8" xfId="3255"/>
    <cellStyle name="Porcentagem 4 2 7 2 9" xfId="3782"/>
    <cellStyle name="Porcentagem 4 2 7 3" xfId="234"/>
    <cellStyle name="Porcentagem 4 2 7 3 2" xfId="497"/>
    <cellStyle name="Porcentagem 4 2 7 3 3" xfId="794"/>
    <cellStyle name="Porcentagem 4 2 7 3 4" xfId="1145"/>
    <cellStyle name="Porcentagem 4 2 7 3 5" xfId="1580"/>
    <cellStyle name="Porcentagem 4 2 7 3 6" xfId="2110"/>
    <cellStyle name="Porcentagem 4 2 7 3 7" xfId="2637"/>
    <cellStyle name="Porcentagem 4 2 7 3 8" xfId="3164"/>
    <cellStyle name="Porcentagem 4 2 7 3 9" xfId="3691"/>
    <cellStyle name="Porcentagem 4 2 7 4" xfId="327"/>
    <cellStyle name="Porcentagem 4 2 7 4 2" xfId="972"/>
    <cellStyle name="Porcentagem 4 2 7 4 3" xfId="1323"/>
    <cellStyle name="Porcentagem 4 2 7 4 4" xfId="1758"/>
    <cellStyle name="Porcentagem 4 2 7 4 5" xfId="2288"/>
    <cellStyle name="Porcentagem 4 2 7 4 6" xfId="2815"/>
    <cellStyle name="Porcentagem 4 2 7 4 7" xfId="3342"/>
    <cellStyle name="Porcentagem 4 2 7 4 8" xfId="3869"/>
    <cellStyle name="Porcentagem 4 2 7 5" xfId="584"/>
    <cellStyle name="Porcentagem 4 2 7 5 2" xfId="1407"/>
    <cellStyle name="Porcentagem 4 2 7 5 3" xfId="1842"/>
    <cellStyle name="Porcentagem 4 2 7 5 4" xfId="2372"/>
    <cellStyle name="Porcentagem 4 2 7 5 5" xfId="2899"/>
    <cellStyle name="Porcentagem 4 2 7 5 6" xfId="3426"/>
    <cellStyle name="Porcentagem 4 2 7 5 7" xfId="3953"/>
    <cellStyle name="Porcentagem 4 2 7 6" xfId="705"/>
    <cellStyle name="Porcentagem 4 2 7 6 2" xfId="4129"/>
    <cellStyle name="Porcentagem 4 2 7 7" xfId="1056"/>
    <cellStyle name="Porcentagem 4 2 7 8" xfId="1491"/>
    <cellStyle name="Porcentagem 4 2 7 9" xfId="2021"/>
    <cellStyle name="Porcentagem 4 2 8" xfId="131"/>
    <cellStyle name="Porcentagem 4 2 8 2" xfId="404"/>
    <cellStyle name="Porcentagem 4 2 8 2 2" xfId="1923"/>
    <cellStyle name="Porcentagem 4 2 8 2 3" xfId="2453"/>
    <cellStyle name="Porcentagem 4 2 8 2 4" xfId="2980"/>
    <cellStyle name="Porcentagem 4 2 8 2 5" xfId="3507"/>
    <cellStyle name="Porcentagem 4 2 8 2 6" xfId="4034"/>
    <cellStyle name="Porcentagem 4 2 8 3" xfId="877"/>
    <cellStyle name="Porcentagem 4 2 8 4" xfId="1228"/>
    <cellStyle name="Porcentagem 4 2 8 5" xfId="1663"/>
    <cellStyle name="Porcentagem 4 2 8 6" xfId="2193"/>
    <cellStyle name="Porcentagem 4 2 8 7" xfId="2720"/>
    <cellStyle name="Porcentagem 4 2 8 8" xfId="3247"/>
    <cellStyle name="Porcentagem 4 2 8 9" xfId="3774"/>
    <cellStyle name="Porcentagem 4 2 9" xfId="226"/>
    <cellStyle name="Porcentagem 4 2 9 2" xfId="489"/>
    <cellStyle name="Porcentagem 4 2 9 3" xfId="786"/>
    <cellStyle name="Porcentagem 4 2 9 4" xfId="1137"/>
    <cellStyle name="Porcentagem 4 2 9 5" xfId="1572"/>
    <cellStyle name="Porcentagem 4 2 9 6" xfId="2102"/>
    <cellStyle name="Porcentagem 4 2 9 7" xfId="2629"/>
    <cellStyle name="Porcentagem 4 2 9 8" xfId="3156"/>
    <cellStyle name="Porcentagem 4 2 9 9" xfId="3683"/>
    <cellStyle name="Porcentagem 4 20" xfId="693"/>
    <cellStyle name="Porcentagem 4 20 2" xfId="4117"/>
    <cellStyle name="Porcentagem 4 21" xfId="1044"/>
    <cellStyle name="Porcentagem 4 22" xfId="1479"/>
    <cellStyle name="Porcentagem 4 23" xfId="2009"/>
    <cellStyle name="Porcentagem 4 24" xfId="2536"/>
    <cellStyle name="Porcentagem 4 25" xfId="3063"/>
    <cellStyle name="Porcentagem 4 26" xfId="3590"/>
    <cellStyle name="Porcentagem 4 3" xfId="49"/>
    <cellStyle name="Porcentagem 4 3 10" xfId="2552"/>
    <cellStyle name="Porcentagem 4 3 11" xfId="3079"/>
    <cellStyle name="Porcentagem 4 3 12" xfId="3606"/>
    <cellStyle name="Porcentagem 4 3 2" xfId="143"/>
    <cellStyle name="Porcentagem 4 3 2 2" xfId="416"/>
    <cellStyle name="Porcentagem 4 3 2 2 2" xfId="1935"/>
    <cellStyle name="Porcentagem 4 3 2 2 3" xfId="2465"/>
    <cellStyle name="Porcentagem 4 3 2 2 4" xfId="2992"/>
    <cellStyle name="Porcentagem 4 3 2 2 5" xfId="3519"/>
    <cellStyle name="Porcentagem 4 3 2 2 6" xfId="4046"/>
    <cellStyle name="Porcentagem 4 3 2 3" xfId="889"/>
    <cellStyle name="Porcentagem 4 3 2 4" xfId="1240"/>
    <cellStyle name="Porcentagem 4 3 2 5" xfId="1675"/>
    <cellStyle name="Porcentagem 4 3 2 6" xfId="2205"/>
    <cellStyle name="Porcentagem 4 3 2 7" xfId="2732"/>
    <cellStyle name="Porcentagem 4 3 2 8" xfId="3259"/>
    <cellStyle name="Porcentagem 4 3 2 9" xfId="3786"/>
    <cellStyle name="Porcentagem 4 3 3" xfId="238"/>
    <cellStyle name="Porcentagem 4 3 3 2" xfId="501"/>
    <cellStyle name="Porcentagem 4 3 3 3" xfId="798"/>
    <cellStyle name="Porcentagem 4 3 3 4" xfId="1149"/>
    <cellStyle name="Porcentagem 4 3 3 5" xfId="1584"/>
    <cellStyle name="Porcentagem 4 3 3 6" xfId="2114"/>
    <cellStyle name="Porcentagem 4 3 3 7" xfId="2641"/>
    <cellStyle name="Porcentagem 4 3 3 8" xfId="3168"/>
    <cellStyle name="Porcentagem 4 3 3 9" xfId="3695"/>
    <cellStyle name="Porcentagem 4 3 4" xfId="331"/>
    <cellStyle name="Porcentagem 4 3 4 2" xfId="976"/>
    <cellStyle name="Porcentagem 4 3 4 3" xfId="1327"/>
    <cellStyle name="Porcentagem 4 3 4 4" xfId="1762"/>
    <cellStyle name="Porcentagem 4 3 4 5" xfId="2292"/>
    <cellStyle name="Porcentagem 4 3 4 6" xfId="2819"/>
    <cellStyle name="Porcentagem 4 3 4 7" xfId="3346"/>
    <cellStyle name="Porcentagem 4 3 4 8" xfId="3873"/>
    <cellStyle name="Porcentagem 4 3 5" xfId="588"/>
    <cellStyle name="Porcentagem 4 3 5 2" xfId="1411"/>
    <cellStyle name="Porcentagem 4 3 5 3" xfId="1846"/>
    <cellStyle name="Porcentagem 4 3 5 4" xfId="2376"/>
    <cellStyle name="Porcentagem 4 3 5 5" xfId="2903"/>
    <cellStyle name="Porcentagem 4 3 5 6" xfId="3430"/>
    <cellStyle name="Porcentagem 4 3 5 7" xfId="3957"/>
    <cellStyle name="Porcentagem 4 3 6" xfId="709"/>
    <cellStyle name="Porcentagem 4 3 6 2" xfId="4133"/>
    <cellStyle name="Porcentagem 4 3 7" xfId="1060"/>
    <cellStyle name="Porcentagem 4 3 8" xfId="1495"/>
    <cellStyle name="Porcentagem 4 3 9" xfId="2025"/>
    <cellStyle name="Porcentagem 4 4" xfId="53"/>
    <cellStyle name="Porcentagem 4 4 10" xfId="2556"/>
    <cellStyle name="Porcentagem 4 4 11" xfId="3083"/>
    <cellStyle name="Porcentagem 4 4 12" xfId="3610"/>
    <cellStyle name="Porcentagem 4 4 2" xfId="147"/>
    <cellStyle name="Porcentagem 4 4 2 2" xfId="420"/>
    <cellStyle name="Porcentagem 4 4 2 2 2" xfId="1939"/>
    <cellStyle name="Porcentagem 4 4 2 2 3" xfId="2469"/>
    <cellStyle name="Porcentagem 4 4 2 2 4" xfId="2996"/>
    <cellStyle name="Porcentagem 4 4 2 2 5" xfId="3523"/>
    <cellStyle name="Porcentagem 4 4 2 2 6" xfId="4050"/>
    <cellStyle name="Porcentagem 4 4 2 3" xfId="893"/>
    <cellStyle name="Porcentagem 4 4 2 4" xfId="1244"/>
    <cellStyle name="Porcentagem 4 4 2 5" xfId="1679"/>
    <cellStyle name="Porcentagem 4 4 2 6" xfId="2209"/>
    <cellStyle name="Porcentagem 4 4 2 7" xfId="2736"/>
    <cellStyle name="Porcentagem 4 4 2 8" xfId="3263"/>
    <cellStyle name="Porcentagem 4 4 2 9" xfId="3790"/>
    <cellStyle name="Porcentagem 4 4 3" xfId="242"/>
    <cellStyle name="Porcentagem 4 4 3 2" xfId="505"/>
    <cellStyle name="Porcentagem 4 4 3 3" xfId="802"/>
    <cellStyle name="Porcentagem 4 4 3 4" xfId="1153"/>
    <cellStyle name="Porcentagem 4 4 3 5" xfId="1588"/>
    <cellStyle name="Porcentagem 4 4 3 6" xfId="2118"/>
    <cellStyle name="Porcentagem 4 4 3 7" xfId="2645"/>
    <cellStyle name="Porcentagem 4 4 3 8" xfId="3172"/>
    <cellStyle name="Porcentagem 4 4 3 9" xfId="3699"/>
    <cellStyle name="Porcentagem 4 4 4" xfId="335"/>
    <cellStyle name="Porcentagem 4 4 4 2" xfId="980"/>
    <cellStyle name="Porcentagem 4 4 4 3" xfId="1331"/>
    <cellStyle name="Porcentagem 4 4 4 4" xfId="1766"/>
    <cellStyle name="Porcentagem 4 4 4 5" xfId="2296"/>
    <cellStyle name="Porcentagem 4 4 4 6" xfId="2823"/>
    <cellStyle name="Porcentagem 4 4 4 7" xfId="3350"/>
    <cellStyle name="Porcentagem 4 4 4 8" xfId="3877"/>
    <cellStyle name="Porcentagem 4 4 5" xfId="592"/>
    <cellStyle name="Porcentagem 4 4 5 2" xfId="1415"/>
    <cellStyle name="Porcentagem 4 4 5 3" xfId="1850"/>
    <cellStyle name="Porcentagem 4 4 5 4" xfId="2380"/>
    <cellStyle name="Porcentagem 4 4 5 5" xfId="2907"/>
    <cellStyle name="Porcentagem 4 4 5 6" xfId="3434"/>
    <cellStyle name="Porcentagem 4 4 5 7" xfId="3961"/>
    <cellStyle name="Porcentagem 4 4 6" xfId="713"/>
    <cellStyle name="Porcentagem 4 4 6 2" xfId="4137"/>
    <cellStyle name="Porcentagem 4 4 7" xfId="1064"/>
    <cellStyle name="Porcentagem 4 4 8" xfId="1499"/>
    <cellStyle name="Porcentagem 4 4 9" xfId="2029"/>
    <cellStyle name="Porcentagem 4 5" xfId="57"/>
    <cellStyle name="Porcentagem 4 5 10" xfId="2560"/>
    <cellStyle name="Porcentagem 4 5 11" xfId="3087"/>
    <cellStyle name="Porcentagem 4 5 12" xfId="3614"/>
    <cellStyle name="Porcentagem 4 5 2" xfId="151"/>
    <cellStyle name="Porcentagem 4 5 2 2" xfId="424"/>
    <cellStyle name="Porcentagem 4 5 2 2 2" xfId="1943"/>
    <cellStyle name="Porcentagem 4 5 2 2 3" xfId="2473"/>
    <cellStyle name="Porcentagem 4 5 2 2 4" xfId="3000"/>
    <cellStyle name="Porcentagem 4 5 2 2 5" xfId="3527"/>
    <cellStyle name="Porcentagem 4 5 2 2 6" xfId="4054"/>
    <cellStyle name="Porcentagem 4 5 2 3" xfId="897"/>
    <cellStyle name="Porcentagem 4 5 2 4" xfId="1248"/>
    <cellStyle name="Porcentagem 4 5 2 5" xfId="1683"/>
    <cellStyle name="Porcentagem 4 5 2 6" xfId="2213"/>
    <cellStyle name="Porcentagem 4 5 2 7" xfId="2740"/>
    <cellStyle name="Porcentagem 4 5 2 8" xfId="3267"/>
    <cellStyle name="Porcentagem 4 5 2 9" xfId="3794"/>
    <cellStyle name="Porcentagem 4 5 3" xfId="246"/>
    <cellStyle name="Porcentagem 4 5 3 2" xfId="509"/>
    <cellStyle name="Porcentagem 4 5 3 3" xfId="806"/>
    <cellStyle name="Porcentagem 4 5 3 4" xfId="1157"/>
    <cellStyle name="Porcentagem 4 5 3 5" xfId="1592"/>
    <cellStyle name="Porcentagem 4 5 3 6" xfId="2122"/>
    <cellStyle name="Porcentagem 4 5 3 7" xfId="2649"/>
    <cellStyle name="Porcentagem 4 5 3 8" xfId="3176"/>
    <cellStyle name="Porcentagem 4 5 3 9" xfId="3703"/>
    <cellStyle name="Porcentagem 4 5 4" xfId="339"/>
    <cellStyle name="Porcentagem 4 5 4 2" xfId="984"/>
    <cellStyle name="Porcentagem 4 5 4 3" xfId="1335"/>
    <cellStyle name="Porcentagem 4 5 4 4" xfId="1770"/>
    <cellStyle name="Porcentagem 4 5 4 5" xfId="2300"/>
    <cellStyle name="Porcentagem 4 5 4 6" xfId="2827"/>
    <cellStyle name="Porcentagem 4 5 4 7" xfId="3354"/>
    <cellStyle name="Porcentagem 4 5 4 8" xfId="3881"/>
    <cellStyle name="Porcentagem 4 5 5" xfId="596"/>
    <cellStyle name="Porcentagem 4 5 5 2" xfId="1419"/>
    <cellStyle name="Porcentagem 4 5 5 3" xfId="1854"/>
    <cellStyle name="Porcentagem 4 5 5 4" xfId="2384"/>
    <cellStyle name="Porcentagem 4 5 5 5" xfId="2911"/>
    <cellStyle name="Porcentagem 4 5 5 6" xfId="3438"/>
    <cellStyle name="Porcentagem 4 5 5 7" xfId="3965"/>
    <cellStyle name="Porcentagem 4 5 6" xfId="717"/>
    <cellStyle name="Porcentagem 4 5 6 2" xfId="4141"/>
    <cellStyle name="Porcentagem 4 5 7" xfId="1068"/>
    <cellStyle name="Porcentagem 4 5 8" xfId="1503"/>
    <cellStyle name="Porcentagem 4 5 9" xfId="2033"/>
    <cellStyle name="Porcentagem 4 6" xfId="61"/>
    <cellStyle name="Porcentagem 4 6 10" xfId="2564"/>
    <cellStyle name="Porcentagem 4 6 11" xfId="3091"/>
    <cellStyle name="Porcentagem 4 6 12" xfId="3618"/>
    <cellStyle name="Porcentagem 4 6 2" xfId="155"/>
    <cellStyle name="Porcentagem 4 6 2 2" xfId="428"/>
    <cellStyle name="Porcentagem 4 6 2 2 2" xfId="1947"/>
    <cellStyle name="Porcentagem 4 6 2 2 3" xfId="2477"/>
    <cellStyle name="Porcentagem 4 6 2 2 4" xfId="3004"/>
    <cellStyle name="Porcentagem 4 6 2 2 5" xfId="3531"/>
    <cellStyle name="Porcentagem 4 6 2 2 6" xfId="4058"/>
    <cellStyle name="Porcentagem 4 6 2 3" xfId="901"/>
    <cellStyle name="Porcentagem 4 6 2 4" xfId="1252"/>
    <cellStyle name="Porcentagem 4 6 2 5" xfId="1687"/>
    <cellStyle name="Porcentagem 4 6 2 6" xfId="2217"/>
    <cellStyle name="Porcentagem 4 6 2 7" xfId="2744"/>
    <cellStyle name="Porcentagem 4 6 2 8" xfId="3271"/>
    <cellStyle name="Porcentagem 4 6 2 9" xfId="3798"/>
    <cellStyle name="Porcentagem 4 6 3" xfId="250"/>
    <cellStyle name="Porcentagem 4 6 3 2" xfId="513"/>
    <cellStyle name="Porcentagem 4 6 3 3" xfId="810"/>
    <cellStyle name="Porcentagem 4 6 3 4" xfId="1161"/>
    <cellStyle name="Porcentagem 4 6 3 5" xfId="1596"/>
    <cellStyle name="Porcentagem 4 6 3 6" xfId="2126"/>
    <cellStyle name="Porcentagem 4 6 3 7" xfId="2653"/>
    <cellStyle name="Porcentagem 4 6 3 8" xfId="3180"/>
    <cellStyle name="Porcentagem 4 6 3 9" xfId="3707"/>
    <cellStyle name="Porcentagem 4 6 4" xfId="343"/>
    <cellStyle name="Porcentagem 4 6 4 2" xfId="988"/>
    <cellStyle name="Porcentagem 4 6 4 3" xfId="1339"/>
    <cellStyle name="Porcentagem 4 6 4 4" xfId="1774"/>
    <cellStyle name="Porcentagem 4 6 4 5" xfId="2304"/>
    <cellStyle name="Porcentagem 4 6 4 6" xfId="2831"/>
    <cellStyle name="Porcentagem 4 6 4 7" xfId="3358"/>
    <cellStyle name="Porcentagem 4 6 4 8" xfId="3885"/>
    <cellStyle name="Porcentagem 4 6 5" xfId="600"/>
    <cellStyle name="Porcentagem 4 6 5 2" xfId="1423"/>
    <cellStyle name="Porcentagem 4 6 5 3" xfId="1858"/>
    <cellStyle name="Porcentagem 4 6 5 4" xfId="2388"/>
    <cellStyle name="Porcentagem 4 6 5 5" xfId="2915"/>
    <cellStyle name="Porcentagem 4 6 5 6" xfId="3442"/>
    <cellStyle name="Porcentagem 4 6 5 7" xfId="3969"/>
    <cellStyle name="Porcentagem 4 6 6" xfId="721"/>
    <cellStyle name="Porcentagem 4 6 6 2" xfId="4145"/>
    <cellStyle name="Porcentagem 4 6 7" xfId="1072"/>
    <cellStyle name="Porcentagem 4 6 8" xfId="1507"/>
    <cellStyle name="Porcentagem 4 6 9" xfId="2037"/>
    <cellStyle name="Porcentagem 4 7" xfId="65"/>
    <cellStyle name="Porcentagem 4 7 10" xfId="2568"/>
    <cellStyle name="Porcentagem 4 7 11" xfId="3095"/>
    <cellStyle name="Porcentagem 4 7 12" xfId="3622"/>
    <cellStyle name="Porcentagem 4 7 2" xfId="159"/>
    <cellStyle name="Porcentagem 4 7 2 2" xfId="432"/>
    <cellStyle name="Porcentagem 4 7 2 2 2" xfId="1951"/>
    <cellStyle name="Porcentagem 4 7 2 2 3" xfId="2481"/>
    <cellStyle name="Porcentagem 4 7 2 2 4" xfId="3008"/>
    <cellStyle name="Porcentagem 4 7 2 2 5" xfId="3535"/>
    <cellStyle name="Porcentagem 4 7 2 2 6" xfId="4062"/>
    <cellStyle name="Porcentagem 4 7 2 3" xfId="905"/>
    <cellStyle name="Porcentagem 4 7 2 4" xfId="1256"/>
    <cellStyle name="Porcentagem 4 7 2 5" xfId="1691"/>
    <cellStyle name="Porcentagem 4 7 2 6" xfId="2221"/>
    <cellStyle name="Porcentagem 4 7 2 7" xfId="2748"/>
    <cellStyle name="Porcentagem 4 7 2 8" xfId="3275"/>
    <cellStyle name="Porcentagem 4 7 2 9" xfId="3802"/>
    <cellStyle name="Porcentagem 4 7 3" xfId="254"/>
    <cellStyle name="Porcentagem 4 7 3 2" xfId="517"/>
    <cellStyle name="Porcentagem 4 7 3 3" xfId="814"/>
    <cellStyle name="Porcentagem 4 7 3 4" xfId="1165"/>
    <cellStyle name="Porcentagem 4 7 3 5" xfId="1600"/>
    <cellStyle name="Porcentagem 4 7 3 6" xfId="2130"/>
    <cellStyle name="Porcentagem 4 7 3 7" xfId="2657"/>
    <cellStyle name="Porcentagem 4 7 3 8" xfId="3184"/>
    <cellStyle name="Porcentagem 4 7 3 9" xfId="3711"/>
    <cellStyle name="Porcentagem 4 7 4" xfId="347"/>
    <cellStyle name="Porcentagem 4 7 4 2" xfId="992"/>
    <cellStyle name="Porcentagem 4 7 4 3" xfId="1343"/>
    <cellStyle name="Porcentagem 4 7 4 4" xfId="1778"/>
    <cellStyle name="Porcentagem 4 7 4 5" xfId="2308"/>
    <cellStyle name="Porcentagem 4 7 4 6" xfId="2835"/>
    <cellStyle name="Porcentagem 4 7 4 7" xfId="3362"/>
    <cellStyle name="Porcentagem 4 7 4 8" xfId="3889"/>
    <cellStyle name="Porcentagem 4 7 5" xfId="604"/>
    <cellStyle name="Porcentagem 4 7 5 2" xfId="1427"/>
    <cellStyle name="Porcentagem 4 7 5 3" xfId="1862"/>
    <cellStyle name="Porcentagem 4 7 5 4" xfId="2392"/>
    <cellStyle name="Porcentagem 4 7 5 5" xfId="2919"/>
    <cellStyle name="Porcentagem 4 7 5 6" xfId="3446"/>
    <cellStyle name="Porcentagem 4 7 5 7" xfId="3973"/>
    <cellStyle name="Porcentagem 4 7 6" xfId="725"/>
    <cellStyle name="Porcentagem 4 7 6 2" xfId="4149"/>
    <cellStyle name="Porcentagem 4 7 7" xfId="1076"/>
    <cellStyle name="Porcentagem 4 7 8" xfId="1511"/>
    <cellStyle name="Porcentagem 4 7 9" xfId="2041"/>
    <cellStyle name="Porcentagem 4 8" xfId="69"/>
    <cellStyle name="Porcentagem 4 8 10" xfId="2572"/>
    <cellStyle name="Porcentagem 4 8 11" xfId="3099"/>
    <cellStyle name="Porcentagem 4 8 12" xfId="3626"/>
    <cellStyle name="Porcentagem 4 8 2" xfId="163"/>
    <cellStyle name="Porcentagem 4 8 2 2" xfId="436"/>
    <cellStyle name="Porcentagem 4 8 2 2 2" xfId="1955"/>
    <cellStyle name="Porcentagem 4 8 2 2 3" xfId="2485"/>
    <cellStyle name="Porcentagem 4 8 2 2 4" xfId="3012"/>
    <cellStyle name="Porcentagem 4 8 2 2 5" xfId="3539"/>
    <cellStyle name="Porcentagem 4 8 2 2 6" xfId="4066"/>
    <cellStyle name="Porcentagem 4 8 2 3" xfId="909"/>
    <cellStyle name="Porcentagem 4 8 2 4" xfId="1260"/>
    <cellStyle name="Porcentagem 4 8 2 5" xfId="1695"/>
    <cellStyle name="Porcentagem 4 8 2 6" xfId="2225"/>
    <cellStyle name="Porcentagem 4 8 2 7" xfId="2752"/>
    <cellStyle name="Porcentagem 4 8 2 8" xfId="3279"/>
    <cellStyle name="Porcentagem 4 8 2 9" xfId="3806"/>
    <cellStyle name="Porcentagem 4 8 3" xfId="258"/>
    <cellStyle name="Porcentagem 4 8 3 2" xfId="521"/>
    <cellStyle name="Porcentagem 4 8 3 3" xfId="818"/>
    <cellStyle name="Porcentagem 4 8 3 4" xfId="1169"/>
    <cellStyle name="Porcentagem 4 8 3 5" xfId="1604"/>
    <cellStyle name="Porcentagem 4 8 3 6" xfId="2134"/>
    <cellStyle name="Porcentagem 4 8 3 7" xfId="2661"/>
    <cellStyle name="Porcentagem 4 8 3 8" xfId="3188"/>
    <cellStyle name="Porcentagem 4 8 3 9" xfId="3715"/>
    <cellStyle name="Porcentagem 4 8 4" xfId="351"/>
    <cellStyle name="Porcentagem 4 8 4 2" xfId="996"/>
    <cellStyle name="Porcentagem 4 8 4 3" xfId="1347"/>
    <cellStyle name="Porcentagem 4 8 4 4" xfId="1782"/>
    <cellStyle name="Porcentagem 4 8 4 5" xfId="2312"/>
    <cellStyle name="Porcentagem 4 8 4 6" xfId="2839"/>
    <cellStyle name="Porcentagem 4 8 4 7" xfId="3366"/>
    <cellStyle name="Porcentagem 4 8 4 8" xfId="3893"/>
    <cellStyle name="Porcentagem 4 8 5" xfId="608"/>
    <cellStyle name="Porcentagem 4 8 5 2" xfId="1431"/>
    <cellStyle name="Porcentagem 4 8 5 3" xfId="1866"/>
    <cellStyle name="Porcentagem 4 8 5 4" xfId="2396"/>
    <cellStyle name="Porcentagem 4 8 5 5" xfId="2923"/>
    <cellStyle name="Porcentagem 4 8 5 6" xfId="3450"/>
    <cellStyle name="Porcentagem 4 8 5 7" xfId="3977"/>
    <cellStyle name="Porcentagem 4 8 6" xfId="729"/>
    <cellStyle name="Porcentagem 4 8 6 2" xfId="4153"/>
    <cellStyle name="Porcentagem 4 8 7" xfId="1080"/>
    <cellStyle name="Porcentagem 4 8 8" xfId="1515"/>
    <cellStyle name="Porcentagem 4 8 9" xfId="2045"/>
    <cellStyle name="Porcentagem 4 9" xfId="77"/>
    <cellStyle name="Porcentagem 4 9 10" xfId="2580"/>
    <cellStyle name="Porcentagem 4 9 11" xfId="3107"/>
    <cellStyle name="Porcentagem 4 9 12" xfId="3634"/>
    <cellStyle name="Porcentagem 4 9 2" xfId="171"/>
    <cellStyle name="Porcentagem 4 9 2 2" xfId="444"/>
    <cellStyle name="Porcentagem 4 9 2 2 2" xfId="1963"/>
    <cellStyle name="Porcentagem 4 9 2 2 3" xfId="2493"/>
    <cellStyle name="Porcentagem 4 9 2 2 4" xfId="3020"/>
    <cellStyle name="Porcentagem 4 9 2 2 5" xfId="3547"/>
    <cellStyle name="Porcentagem 4 9 2 2 6" xfId="4074"/>
    <cellStyle name="Porcentagem 4 9 2 3" xfId="917"/>
    <cellStyle name="Porcentagem 4 9 2 4" xfId="1268"/>
    <cellStyle name="Porcentagem 4 9 2 5" xfId="1703"/>
    <cellStyle name="Porcentagem 4 9 2 6" xfId="2233"/>
    <cellStyle name="Porcentagem 4 9 2 7" xfId="2760"/>
    <cellStyle name="Porcentagem 4 9 2 8" xfId="3287"/>
    <cellStyle name="Porcentagem 4 9 2 9" xfId="3814"/>
    <cellStyle name="Porcentagem 4 9 3" xfId="266"/>
    <cellStyle name="Porcentagem 4 9 3 2" xfId="529"/>
    <cellStyle name="Porcentagem 4 9 3 3" xfId="826"/>
    <cellStyle name="Porcentagem 4 9 3 4" xfId="1177"/>
    <cellStyle name="Porcentagem 4 9 3 5" xfId="1612"/>
    <cellStyle name="Porcentagem 4 9 3 6" xfId="2142"/>
    <cellStyle name="Porcentagem 4 9 3 7" xfId="2669"/>
    <cellStyle name="Porcentagem 4 9 3 8" xfId="3196"/>
    <cellStyle name="Porcentagem 4 9 3 9" xfId="3723"/>
    <cellStyle name="Porcentagem 4 9 4" xfId="359"/>
    <cellStyle name="Porcentagem 4 9 4 2" xfId="1004"/>
    <cellStyle name="Porcentagem 4 9 4 3" xfId="1355"/>
    <cellStyle name="Porcentagem 4 9 4 4" xfId="1790"/>
    <cellStyle name="Porcentagem 4 9 4 5" xfId="2320"/>
    <cellStyle name="Porcentagem 4 9 4 6" xfId="2847"/>
    <cellStyle name="Porcentagem 4 9 4 7" xfId="3374"/>
    <cellStyle name="Porcentagem 4 9 4 8" xfId="3901"/>
    <cellStyle name="Porcentagem 4 9 5" xfId="616"/>
    <cellStyle name="Porcentagem 4 9 5 2" xfId="1439"/>
    <cellStyle name="Porcentagem 4 9 5 3" xfId="1874"/>
    <cellStyle name="Porcentagem 4 9 5 4" xfId="2404"/>
    <cellStyle name="Porcentagem 4 9 5 5" xfId="2931"/>
    <cellStyle name="Porcentagem 4 9 5 6" xfId="3458"/>
    <cellStyle name="Porcentagem 4 9 5 7" xfId="3985"/>
    <cellStyle name="Porcentagem 4 9 6" xfId="737"/>
    <cellStyle name="Porcentagem 4 9 6 2" xfId="4161"/>
    <cellStyle name="Porcentagem 4 9 7" xfId="1088"/>
    <cellStyle name="Porcentagem 4 9 8" xfId="1523"/>
    <cellStyle name="Porcentagem 4 9 9" xfId="2053"/>
    <cellStyle name="Porcentagem 5" xfId="20"/>
    <cellStyle name="Porcentagem 6" xfId="570"/>
    <cellStyle name="Separador de milhares 2" xfId="30"/>
    <cellStyle name="Separador de milhares 2 10" xfId="11104"/>
    <cellStyle name="Separador de milhares 2 10 2" xfId="36603"/>
    <cellStyle name="Separador de milhares 2 11" xfId="29218"/>
    <cellStyle name="Separador de milhares 2 2" xfId="31"/>
    <cellStyle name="Separador de milhares 2 2 10" xfId="29219"/>
    <cellStyle name="Separador de milhares 2 2 2" xfId="32"/>
    <cellStyle name="Separador de milhares 2 2 2 2" xfId="127"/>
    <cellStyle name="Separador de milhares 2 2 2 2 10" xfId="6447"/>
    <cellStyle name="Separador de milhares 2 2 2 2 10 2" xfId="9601"/>
    <cellStyle name="Separador de milhares 2 2 2 2 10 2 2" xfId="27815"/>
    <cellStyle name="Separador de milhares 2 2 2 2 10 2 2 2" xfId="52882"/>
    <cellStyle name="Separador de milhares 2 2 2 2 10 2 3" xfId="21901"/>
    <cellStyle name="Separador de milhares 2 2 2 2 10 2 3 2" xfId="46968"/>
    <cellStyle name="Separador de milhares 2 2 2 2 10 2 4" xfId="15987"/>
    <cellStyle name="Separador de milhares 2 2 2 2 10 2 4 2" xfId="41054"/>
    <cellStyle name="Separador de milhares 2 2 2 2 10 2 5" xfId="35146"/>
    <cellStyle name="Separador de milhares 2 2 2 2 10 3" xfId="24858"/>
    <cellStyle name="Separador de milhares 2 2 2 2 10 3 2" xfId="49925"/>
    <cellStyle name="Separador de milhares 2 2 2 2 10 4" xfId="18944"/>
    <cellStyle name="Separador de milhares 2 2 2 2 10 4 2" xfId="44011"/>
    <cellStyle name="Separador de milhares 2 2 2 2 10 5" xfId="12836"/>
    <cellStyle name="Separador de milhares 2 2 2 2 10 5 2" xfId="38100"/>
    <cellStyle name="Separador de milhares 2 2 2 2 10 6" xfId="32189"/>
    <cellStyle name="Separador de milhares 2 2 2 2 11" xfId="8130"/>
    <cellStyle name="Separador de milhares 2 2 2 2 11 2" xfId="26344"/>
    <cellStyle name="Separador de milhares 2 2 2 2 11 2 2" xfId="51411"/>
    <cellStyle name="Separador de milhares 2 2 2 2 11 3" xfId="20430"/>
    <cellStyle name="Separador de milhares 2 2 2 2 11 3 2" xfId="45497"/>
    <cellStyle name="Separador de milhares 2 2 2 2 11 4" xfId="14519"/>
    <cellStyle name="Separador de milhares 2 2 2 2 11 4 2" xfId="39586"/>
    <cellStyle name="Separador de milhares 2 2 2 2 11 5" xfId="33675"/>
    <cellStyle name="Separador de milhares 2 2 2 2 12" xfId="4746"/>
    <cellStyle name="Separador de milhares 2 2 2 2 12 2" xfId="23387"/>
    <cellStyle name="Separador de milhares 2 2 2 2 12 2 2" xfId="48454"/>
    <cellStyle name="Separador de milhares 2 2 2 2 12 3" xfId="30719"/>
    <cellStyle name="Separador de milhares 2 2 2 2 13" xfId="17473"/>
    <cellStyle name="Separador de milhares 2 2 2 2 13 2" xfId="42540"/>
    <cellStyle name="Separador de milhares 2 2 2 2 14" xfId="11135"/>
    <cellStyle name="Separador de milhares 2 2 2 2 14 2" xfId="36632"/>
    <cellStyle name="Separador de milhares 2 2 2 2 15" xfId="29248"/>
    <cellStyle name="Separador de milhares 2 2 2 2 2" xfId="667"/>
    <cellStyle name="Separador de milhares 2 2 2 2 2 10" xfId="17624"/>
    <cellStyle name="Separador de milhares 2 2 2 2 2 10 2" xfId="42691"/>
    <cellStyle name="Separador de milhares 2 2 2 2 2 11" xfId="11290"/>
    <cellStyle name="Separador de milhares 2 2 2 2 2 11 2" xfId="36780"/>
    <cellStyle name="Separador de milhares 2 2 2 2 2 12" xfId="29399"/>
    <cellStyle name="Separador de milhares 2 2 2 2 2 2" xfId="1919"/>
    <cellStyle name="Separador de milhares 2 2 2 2 2 2 2" xfId="6966"/>
    <cellStyle name="Separador de milhares 2 2 2 2 2 2 2 2" xfId="10113"/>
    <cellStyle name="Separador de milhares 2 2 2 2 2 2 2 2 2" xfId="28327"/>
    <cellStyle name="Separador de milhares 2 2 2 2 2 2 2 2 2 2" xfId="53394"/>
    <cellStyle name="Separador de milhares 2 2 2 2 2 2 2 2 3" xfId="22413"/>
    <cellStyle name="Separador de milhares 2 2 2 2 2 2 2 2 3 2" xfId="47480"/>
    <cellStyle name="Separador de milhares 2 2 2 2 2 2 2 2 4" xfId="16499"/>
    <cellStyle name="Separador de milhares 2 2 2 2 2 2 2 2 4 2" xfId="41566"/>
    <cellStyle name="Separador de milhares 2 2 2 2 2 2 2 2 5" xfId="35658"/>
    <cellStyle name="Separador de milhares 2 2 2 2 2 2 2 3" xfId="25370"/>
    <cellStyle name="Separador de milhares 2 2 2 2 2 2 2 3 2" xfId="50437"/>
    <cellStyle name="Separador de milhares 2 2 2 2 2 2 2 4" xfId="19456"/>
    <cellStyle name="Separador de milhares 2 2 2 2 2 2 2 4 2" xfId="44523"/>
    <cellStyle name="Separador de milhares 2 2 2 2 2 2 2 5" xfId="13355"/>
    <cellStyle name="Separador de milhares 2 2 2 2 2 2 2 5 2" xfId="38612"/>
    <cellStyle name="Separador de milhares 2 2 2 2 2 2 2 6" xfId="32701"/>
    <cellStyle name="Separador de milhares 2 2 2 2 2 2 3" xfId="8645"/>
    <cellStyle name="Separador de milhares 2 2 2 2 2 2 3 2" xfId="26859"/>
    <cellStyle name="Separador de milhares 2 2 2 2 2 2 3 2 2" xfId="51926"/>
    <cellStyle name="Separador de milhares 2 2 2 2 2 2 3 3" xfId="20945"/>
    <cellStyle name="Separador de milhares 2 2 2 2 2 2 3 3 2" xfId="46012"/>
    <cellStyle name="Separador de milhares 2 2 2 2 2 2 3 4" xfId="15031"/>
    <cellStyle name="Separador de milhares 2 2 2 2 2 2 3 4 2" xfId="40098"/>
    <cellStyle name="Separador de milhares 2 2 2 2 2 2 3 5" xfId="34190"/>
    <cellStyle name="Separador de milhares 2 2 2 2 2 2 4" xfId="5267"/>
    <cellStyle name="Separador de milhares 2 2 2 2 2 2 4 2" xfId="23902"/>
    <cellStyle name="Separador de milhares 2 2 2 2 2 2 4 2 2" xfId="48969"/>
    <cellStyle name="Separador de milhares 2 2 2 2 2 2 4 3" xfId="31233"/>
    <cellStyle name="Separador de milhares 2 2 2 2 2 2 5" xfId="17988"/>
    <cellStyle name="Separador de milhares 2 2 2 2 2 2 5 2" xfId="43055"/>
    <cellStyle name="Separador de milhares 2 2 2 2 2 2 6" xfId="11654"/>
    <cellStyle name="Separador de milhares 2 2 2 2 2 2 6 2" xfId="37144"/>
    <cellStyle name="Separador de milhares 2 2 2 2 2 2 7" xfId="29763"/>
    <cellStyle name="Separador de milhares 2 2 2 2 2 3" xfId="2449"/>
    <cellStyle name="Separador de milhares 2 2 2 2 2 3 2" xfId="7116"/>
    <cellStyle name="Separador de milhares 2 2 2 2 2 3 2 2" xfId="10260"/>
    <cellStyle name="Separador de milhares 2 2 2 2 2 3 2 2 2" xfId="28474"/>
    <cellStyle name="Separador de milhares 2 2 2 2 2 3 2 2 2 2" xfId="53541"/>
    <cellStyle name="Separador de milhares 2 2 2 2 2 3 2 2 3" xfId="22560"/>
    <cellStyle name="Separador de milhares 2 2 2 2 2 3 2 2 3 2" xfId="47627"/>
    <cellStyle name="Separador de milhares 2 2 2 2 2 3 2 2 4" xfId="16646"/>
    <cellStyle name="Separador de milhares 2 2 2 2 2 3 2 2 4 2" xfId="41713"/>
    <cellStyle name="Separador de milhares 2 2 2 2 2 3 2 2 5" xfId="35805"/>
    <cellStyle name="Separador de milhares 2 2 2 2 2 3 2 3" xfId="25517"/>
    <cellStyle name="Separador de milhares 2 2 2 2 2 3 2 3 2" xfId="50584"/>
    <cellStyle name="Separador de milhares 2 2 2 2 2 3 2 4" xfId="19603"/>
    <cellStyle name="Separador de milhares 2 2 2 2 2 3 2 4 2" xfId="44670"/>
    <cellStyle name="Separador de milhares 2 2 2 2 2 3 2 5" xfId="13505"/>
    <cellStyle name="Separador de milhares 2 2 2 2 2 3 2 5 2" xfId="38759"/>
    <cellStyle name="Separador de milhares 2 2 2 2 2 3 2 6" xfId="32848"/>
    <cellStyle name="Separador de milhares 2 2 2 2 2 3 3" xfId="8792"/>
    <cellStyle name="Separador de milhares 2 2 2 2 2 3 3 2" xfId="27006"/>
    <cellStyle name="Separador de milhares 2 2 2 2 2 3 3 2 2" xfId="52073"/>
    <cellStyle name="Separador de milhares 2 2 2 2 2 3 3 3" xfId="21092"/>
    <cellStyle name="Separador de milhares 2 2 2 2 2 3 3 3 2" xfId="46159"/>
    <cellStyle name="Separador de milhares 2 2 2 2 2 3 3 4" xfId="15178"/>
    <cellStyle name="Separador de milhares 2 2 2 2 2 3 3 4 2" xfId="40245"/>
    <cellStyle name="Separador de milhares 2 2 2 2 2 3 3 5" xfId="34337"/>
    <cellStyle name="Separador de milhares 2 2 2 2 2 3 4" xfId="5417"/>
    <cellStyle name="Separador de milhares 2 2 2 2 2 3 4 2" xfId="24049"/>
    <cellStyle name="Separador de milhares 2 2 2 2 2 3 4 2 2" xfId="49116"/>
    <cellStyle name="Separador de milhares 2 2 2 2 2 3 4 3" xfId="31380"/>
    <cellStyle name="Separador de milhares 2 2 2 2 2 3 5" xfId="18135"/>
    <cellStyle name="Separador de milhares 2 2 2 2 2 3 5 2" xfId="43202"/>
    <cellStyle name="Separador de milhares 2 2 2 2 2 3 6" xfId="11804"/>
    <cellStyle name="Separador de milhares 2 2 2 2 2 3 6 2" xfId="37291"/>
    <cellStyle name="Separador de milhares 2 2 2 2 2 3 7" xfId="29910"/>
    <cellStyle name="Separador de milhares 2 2 2 2 2 4" xfId="2976"/>
    <cellStyle name="Separador de milhares 2 2 2 2 2 4 2" xfId="7263"/>
    <cellStyle name="Separador de milhares 2 2 2 2 2 4 2 2" xfId="10407"/>
    <cellStyle name="Separador de milhares 2 2 2 2 2 4 2 2 2" xfId="28621"/>
    <cellStyle name="Separador de milhares 2 2 2 2 2 4 2 2 2 2" xfId="53688"/>
    <cellStyle name="Separador de milhares 2 2 2 2 2 4 2 2 3" xfId="22707"/>
    <cellStyle name="Separador de milhares 2 2 2 2 2 4 2 2 3 2" xfId="47774"/>
    <cellStyle name="Separador de milhares 2 2 2 2 2 4 2 2 4" xfId="16793"/>
    <cellStyle name="Separador de milhares 2 2 2 2 2 4 2 2 4 2" xfId="41860"/>
    <cellStyle name="Separador de milhares 2 2 2 2 2 4 2 2 5" xfId="35952"/>
    <cellStyle name="Separador de milhares 2 2 2 2 2 4 2 3" xfId="25664"/>
    <cellStyle name="Separador de milhares 2 2 2 2 2 4 2 3 2" xfId="50731"/>
    <cellStyle name="Separador de milhares 2 2 2 2 2 4 2 4" xfId="19750"/>
    <cellStyle name="Separador de milhares 2 2 2 2 2 4 2 4 2" xfId="44817"/>
    <cellStyle name="Separador de milhares 2 2 2 2 2 4 2 5" xfId="13652"/>
    <cellStyle name="Separador de milhares 2 2 2 2 2 4 2 5 2" xfId="38906"/>
    <cellStyle name="Separador de milhares 2 2 2 2 2 4 2 6" xfId="32995"/>
    <cellStyle name="Separador de milhares 2 2 2 2 2 4 3" xfId="8939"/>
    <cellStyle name="Separador de milhares 2 2 2 2 2 4 3 2" xfId="27153"/>
    <cellStyle name="Separador de milhares 2 2 2 2 2 4 3 2 2" xfId="52220"/>
    <cellStyle name="Separador de milhares 2 2 2 2 2 4 3 3" xfId="21239"/>
    <cellStyle name="Separador de milhares 2 2 2 2 2 4 3 3 2" xfId="46306"/>
    <cellStyle name="Separador de milhares 2 2 2 2 2 4 3 4" xfId="15325"/>
    <cellStyle name="Separador de milhares 2 2 2 2 2 4 3 4 2" xfId="40392"/>
    <cellStyle name="Separador de milhares 2 2 2 2 2 4 3 5" xfId="34484"/>
    <cellStyle name="Separador de milhares 2 2 2 2 2 4 4" xfId="5564"/>
    <cellStyle name="Separador de milhares 2 2 2 2 2 4 4 2" xfId="24196"/>
    <cellStyle name="Separador de milhares 2 2 2 2 2 4 4 2 2" xfId="49263"/>
    <cellStyle name="Separador de milhares 2 2 2 2 2 4 4 3" xfId="31527"/>
    <cellStyle name="Separador de milhares 2 2 2 2 2 4 5" xfId="18282"/>
    <cellStyle name="Separador de milhares 2 2 2 2 2 4 5 2" xfId="43349"/>
    <cellStyle name="Separador de milhares 2 2 2 2 2 4 6" xfId="11951"/>
    <cellStyle name="Separador de milhares 2 2 2 2 2 4 6 2" xfId="37438"/>
    <cellStyle name="Separador de milhares 2 2 2 2 2 4 7" xfId="30057"/>
    <cellStyle name="Separador de milhares 2 2 2 2 2 5" xfId="3503"/>
    <cellStyle name="Separador de milhares 2 2 2 2 2 5 2" xfId="7410"/>
    <cellStyle name="Separador de milhares 2 2 2 2 2 5 2 2" xfId="10554"/>
    <cellStyle name="Separador de milhares 2 2 2 2 2 5 2 2 2" xfId="28768"/>
    <cellStyle name="Separador de milhares 2 2 2 2 2 5 2 2 2 2" xfId="53835"/>
    <cellStyle name="Separador de milhares 2 2 2 2 2 5 2 2 3" xfId="22854"/>
    <cellStyle name="Separador de milhares 2 2 2 2 2 5 2 2 3 2" xfId="47921"/>
    <cellStyle name="Separador de milhares 2 2 2 2 2 5 2 2 4" xfId="16940"/>
    <cellStyle name="Separador de milhares 2 2 2 2 2 5 2 2 4 2" xfId="42007"/>
    <cellStyle name="Separador de milhares 2 2 2 2 2 5 2 2 5" xfId="36099"/>
    <cellStyle name="Separador de milhares 2 2 2 2 2 5 2 3" xfId="25811"/>
    <cellStyle name="Separador de milhares 2 2 2 2 2 5 2 3 2" xfId="50878"/>
    <cellStyle name="Separador de milhares 2 2 2 2 2 5 2 4" xfId="19897"/>
    <cellStyle name="Separador de milhares 2 2 2 2 2 5 2 4 2" xfId="44964"/>
    <cellStyle name="Separador de milhares 2 2 2 2 2 5 2 5" xfId="13799"/>
    <cellStyle name="Separador de milhares 2 2 2 2 2 5 2 5 2" xfId="39053"/>
    <cellStyle name="Separador de milhares 2 2 2 2 2 5 2 6" xfId="33142"/>
    <cellStyle name="Separador de milhares 2 2 2 2 2 5 3" xfId="9086"/>
    <cellStyle name="Separador de milhares 2 2 2 2 2 5 3 2" xfId="27300"/>
    <cellStyle name="Separador de milhares 2 2 2 2 2 5 3 2 2" xfId="52367"/>
    <cellStyle name="Separador de milhares 2 2 2 2 2 5 3 3" xfId="21386"/>
    <cellStyle name="Separador de milhares 2 2 2 2 2 5 3 3 2" xfId="46453"/>
    <cellStyle name="Separador de milhares 2 2 2 2 2 5 3 4" xfId="15472"/>
    <cellStyle name="Separador de milhares 2 2 2 2 2 5 3 4 2" xfId="40539"/>
    <cellStyle name="Separador de milhares 2 2 2 2 2 5 3 5" xfId="34631"/>
    <cellStyle name="Separador de milhares 2 2 2 2 2 5 4" xfId="5711"/>
    <cellStyle name="Separador de milhares 2 2 2 2 2 5 4 2" xfId="24343"/>
    <cellStyle name="Separador de milhares 2 2 2 2 2 5 4 2 2" xfId="49410"/>
    <cellStyle name="Separador de milhares 2 2 2 2 2 5 4 3" xfId="31674"/>
    <cellStyle name="Separador de milhares 2 2 2 2 2 5 5" xfId="18429"/>
    <cellStyle name="Separador de milhares 2 2 2 2 2 5 5 2" xfId="43496"/>
    <cellStyle name="Separador de milhares 2 2 2 2 2 5 6" xfId="12098"/>
    <cellStyle name="Separador de milhares 2 2 2 2 2 5 6 2" xfId="37585"/>
    <cellStyle name="Separador de milhares 2 2 2 2 2 5 7" xfId="30204"/>
    <cellStyle name="Separador de milhares 2 2 2 2 2 6" xfId="4030"/>
    <cellStyle name="Separador de milhares 2 2 2 2 2 6 2" xfId="7557"/>
    <cellStyle name="Separador de milhares 2 2 2 2 2 6 2 2" xfId="10701"/>
    <cellStyle name="Separador de milhares 2 2 2 2 2 6 2 2 2" xfId="28915"/>
    <cellStyle name="Separador de milhares 2 2 2 2 2 6 2 2 2 2" xfId="53982"/>
    <cellStyle name="Separador de milhares 2 2 2 2 2 6 2 2 3" xfId="23001"/>
    <cellStyle name="Separador de milhares 2 2 2 2 2 6 2 2 3 2" xfId="48068"/>
    <cellStyle name="Separador de milhares 2 2 2 2 2 6 2 2 4" xfId="17087"/>
    <cellStyle name="Separador de milhares 2 2 2 2 2 6 2 2 4 2" xfId="42154"/>
    <cellStyle name="Separador de milhares 2 2 2 2 2 6 2 2 5" xfId="36246"/>
    <cellStyle name="Separador de milhares 2 2 2 2 2 6 2 3" xfId="25958"/>
    <cellStyle name="Separador de milhares 2 2 2 2 2 6 2 3 2" xfId="51025"/>
    <cellStyle name="Separador de milhares 2 2 2 2 2 6 2 4" xfId="20044"/>
    <cellStyle name="Separador de milhares 2 2 2 2 2 6 2 4 2" xfId="45111"/>
    <cellStyle name="Separador de milhares 2 2 2 2 2 6 2 5" xfId="13946"/>
    <cellStyle name="Separador de milhares 2 2 2 2 2 6 2 5 2" xfId="39200"/>
    <cellStyle name="Separador de milhares 2 2 2 2 2 6 2 6" xfId="33289"/>
    <cellStyle name="Separador de milhares 2 2 2 2 2 6 3" xfId="9233"/>
    <cellStyle name="Separador de milhares 2 2 2 2 2 6 3 2" xfId="27447"/>
    <cellStyle name="Separador de milhares 2 2 2 2 2 6 3 2 2" xfId="52514"/>
    <cellStyle name="Separador de milhares 2 2 2 2 2 6 3 3" xfId="21533"/>
    <cellStyle name="Separador de milhares 2 2 2 2 2 6 3 3 2" xfId="46600"/>
    <cellStyle name="Separador de milhares 2 2 2 2 2 6 3 4" xfId="15619"/>
    <cellStyle name="Separador de milhares 2 2 2 2 2 6 3 4 2" xfId="40686"/>
    <cellStyle name="Separador de milhares 2 2 2 2 2 6 3 5" xfId="34778"/>
    <cellStyle name="Separador de milhares 2 2 2 2 2 6 4" xfId="5858"/>
    <cellStyle name="Separador de milhares 2 2 2 2 2 6 4 2" xfId="24490"/>
    <cellStyle name="Separador de milhares 2 2 2 2 2 6 4 2 2" xfId="49557"/>
    <cellStyle name="Separador de milhares 2 2 2 2 2 6 4 3" xfId="31821"/>
    <cellStyle name="Separador de milhares 2 2 2 2 2 6 5" xfId="18576"/>
    <cellStyle name="Separador de milhares 2 2 2 2 2 6 5 2" xfId="43643"/>
    <cellStyle name="Separador de milhares 2 2 2 2 2 6 6" xfId="12245"/>
    <cellStyle name="Separador de milhares 2 2 2 2 2 6 6 2" xfId="37732"/>
    <cellStyle name="Separador de milhares 2 2 2 2 2 6 7" xfId="30351"/>
    <cellStyle name="Separador de milhares 2 2 2 2 2 7" xfId="6602"/>
    <cellStyle name="Separador de milhares 2 2 2 2 2 7 2" xfId="9749"/>
    <cellStyle name="Separador de milhares 2 2 2 2 2 7 2 2" xfId="27963"/>
    <cellStyle name="Separador de milhares 2 2 2 2 2 7 2 2 2" xfId="53030"/>
    <cellStyle name="Separador de milhares 2 2 2 2 2 7 2 3" xfId="22049"/>
    <cellStyle name="Separador de milhares 2 2 2 2 2 7 2 3 2" xfId="47116"/>
    <cellStyle name="Separador de milhares 2 2 2 2 2 7 2 4" xfId="16135"/>
    <cellStyle name="Separador de milhares 2 2 2 2 2 7 2 4 2" xfId="41202"/>
    <cellStyle name="Separador de milhares 2 2 2 2 2 7 2 5" xfId="35294"/>
    <cellStyle name="Separador de milhares 2 2 2 2 2 7 3" xfId="25006"/>
    <cellStyle name="Separador de milhares 2 2 2 2 2 7 3 2" xfId="50073"/>
    <cellStyle name="Separador de milhares 2 2 2 2 2 7 4" xfId="19092"/>
    <cellStyle name="Separador de milhares 2 2 2 2 2 7 4 2" xfId="44159"/>
    <cellStyle name="Separador de milhares 2 2 2 2 2 7 5" xfId="12991"/>
    <cellStyle name="Separador de milhares 2 2 2 2 2 7 5 2" xfId="38248"/>
    <cellStyle name="Separador de milhares 2 2 2 2 2 7 6" xfId="32337"/>
    <cellStyle name="Separador de milhares 2 2 2 2 2 8" xfId="8281"/>
    <cellStyle name="Separador de milhares 2 2 2 2 2 8 2" xfId="26495"/>
    <cellStyle name="Separador de milhares 2 2 2 2 2 8 2 2" xfId="51562"/>
    <cellStyle name="Separador de milhares 2 2 2 2 2 8 3" xfId="20581"/>
    <cellStyle name="Separador de milhares 2 2 2 2 2 8 3 2" xfId="45648"/>
    <cellStyle name="Separador de milhares 2 2 2 2 2 8 4" xfId="14667"/>
    <cellStyle name="Separador de milhares 2 2 2 2 2 8 4 2" xfId="39734"/>
    <cellStyle name="Separador de milhares 2 2 2 2 2 8 5" xfId="33826"/>
    <cellStyle name="Separador de milhares 2 2 2 2 2 9" xfId="4903"/>
    <cellStyle name="Separador de milhares 2 2 2 2 2 9 2" xfId="23538"/>
    <cellStyle name="Separador de milhares 2 2 2 2 2 9 2 2" xfId="48605"/>
    <cellStyle name="Separador de milhares 2 2 2 2 2 9 3" xfId="30869"/>
    <cellStyle name="Separador de milhares 2 2 2 2 3" xfId="873"/>
    <cellStyle name="Separador de milhares 2 2 2 2 3 2" xfId="6679"/>
    <cellStyle name="Separador de milhares 2 2 2 2 3 2 2" xfId="9826"/>
    <cellStyle name="Separador de milhares 2 2 2 2 3 2 2 2" xfId="28040"/>
    <cellStyle name="Separador de milhares 2 2 2 2 3 2 2 2 2" xfId="53107"/>
    <cellStyle name="Separador de milhares 2 2 2 2 3 2 2 3" xfId="22126"/>
    <cellStyle name="Separador de milhares 2 2 2 2 3 2 2 3 2" xfId="47193"/>
    <cellStyle name="Separador de milhares 2 2 2 2 3 2 2 4" xfId="16212"/>
    <cellStyle name="Separador de milhares 2 2 2 2 3 2 2 4 2" xfId="41279"/>
    <cellStyle name="Separador de milhares 2 2 2 2 3 2 2 5" xfId="35371"/>
    <cellStyle name="Separador de milhares 2 2 2 2 3 2 3" xfId="25083"/>
    <cellStyle name="Separador de milhares 2 2 2 2 3 2 3 2" xfId="50150"/>
    <cellStyle name="Separador de milhares 2 2 2 2 3 2 4" xfId="19169"/>
    <cellStyle name="Separador de milhares 2 2 2 2 3 2 4 2" xfId="44236"/>
    <cellStyle name="Separador de milhares 2 2 2 2 3 2 5" xfId="13068"/>
    <cellStyle name="Separador de milhares 2 2 2 2 3 2 5 2" xfId="38325"/>
    <cellStyle name="Separador de milhares 2 2 2 2 3 2 6" xfId="32414"/>
    <cellStyle name="Separador de milhares 2 2 2 2 3 3" xfId="8358"/>
    <cellStyle name="Separador de milhares 2 2 2 2 3 3 2" xfId="26572"/>
    <cellStyle name="Separador de milhares 2 2 2 2 3 3 2 2" xfId="51639"/>
    <cellStyle name="Separador de milhares 2 2 2 2 3 3 3" xfId="20658"/>
    <cellStyle name="Separador de milhares 2 2 2 2 3 3 3 2" xfId="45725"/>
    <cellStyle name="Separador de milhares 2 2 2 2 3 3 4" xfId="14744"/>
    <cellStyle name="Separador de milhares 2 2 2 2 3 3 4 2" xfId="39811"/>
    <cellStyle name="Separador de milhares 2 2 2 2 3 3 5" xfId="33903"/>
    <cellStyle name="Separador de milhares 2 2 2 2 3 4" xfId="4980"/>
    <cellStyle name="Separador de milhares 2 2 2 2 3 4 2" xfId="23615"/>
    <cellStyle name="Separador de milhares 2 2 2 2 3 4 2 2" xfId="48682"/>
    <cellStyle name="Separador de milhares 2 2 2 2 3 4 3" xfId="30946"/>
    <cellStyle name="Separador de milhares 2 2 2 2 3 5" xfId="17701"/>
    <cellStyle name="Separador de milhares 2 2 2 2 3 5 2" xfId="42768"/>
    <cellStyle name="Separador de milhares 2 2 2 2 3 6" xfId="11367"/>
    <cellStyle name="Separador de milhares 2 2 2 2 3 6 2" xfId="36857"/>
    <cellStyle name="Separador de milhares 2 2 2 2 3 7" xfId="29476"/>
    <cellStyle name="Separador de milhares 2 2 2 2 4" xfId="1224"/>
    <cellStyle name="Separador de milhares 2 2 2 2 4 2" xfId="6777"/>
    <cellStyle name="Separador de milhares 2 2 2 2 4 2 2" xfId="9924"/>
    <cellStyle name="Separador de milhares 2 2 2 2 4 2 2 2" xfId="28138"/>
    <cellStyle name="Separador de milhares 2 2 2 2 4 2 2 2 2" xfId="53205"/>
    <cellStyle name="Separador de milhares 2 2 2 2 4 2 2 3" xfId="22224"/>
    <cellStyle name="Separador de milhares 2 2 2 2 4 2 2 3 2" xfId="47291"/>
    <cellStyle name="Separador de milhares 2 2 2 2 4 2 2 4" xfId="16310"/>
    <cellStyle name="Separador de milhares 2 2 2 2 4 2 2 4 2" xfId="41377"/>
    <cellStyle name="Separador de milhares 2 2 2 2 4 2 2 5" xfId="35469"/>
    <cellStyle name="Separador de milhares 2 2 2 2 4 2 3" xfId="25181"/>
    <cellStyle name="Separador de milhares 2 2 2 2 4 2 3 2" xfId="50248"/>
    <cellStyle name="Separador de milhares 2 2 2 2 4 2 4" xfId="19267"/>
    <cellStyle name="Separador de milhares 2 2 2 2 4 2 4 2" xfId="44334"/>
    <cellStyle name="Separador de milhares 2 2 2 2 4 2 5" xfId="13166"/>
    <cellStyle name="Separador de milhares 2 2 2 2 4 2 5 2" xfId="38423"/>
    <cellStyle name="Separador de milhares 2 2 2 2 4 2 6" xfId="32512"/>
    <cellStyle name="Separador de milhares 2 2 2 2 4 3" xfId="8456"/>
    <cellStyle name="Separador de milhares 2 2 2 2 4 3 2" xfId="26670"/>
    <cellStyle name="Separador de milhares 2 2 2 2 4 3 2 2" xfId="51737"/>
    <cellStyle name="Separador de milhares 2 2 2 2 4 3 3" xfId="20756"/>
    <cellStyle name="Separador de milhares 2 2 2 2 4 3 3 2" xfId="45823"/>
    <cellStyle name="Separador de milhares 2 2 2 2 4 3 4" xfId="14842"/>
    <cellStyle name="Separador de milhares 2 2 2 2 4 3 4 2" xfId="39909"/>
    <cellStyle name="Separador de milhares 2 2 2 2 4 3 5" xfId="34001"/>
    <cellStyle name="Separador de milhares 2 2 2 2 4 4" xfId="5078"/>
    <cellStyle name="Separador de milhares 2 2 2 2 4 4 2" xfId="23713"/>
    <cellStyle name="Separador de milhares 2 2 2 2 4 4 2 2" xfId="48780"/>
    <cellStyle name="Separador de milhares 2 2 2 2 4 4 3" xfId="31044"/>
    <cellStyle name="Separador de milhares 2 2 2 2 4 5" xfId="17799"/>
    <cellStyle name="Separador de milhares 2 2 2 2 4 5 2" xfId="42866"/>
    <cellStyle name="Separador de milhares 2 2 2 2 4 6" xfId="11465"/>
    <cellStyle name="Separador de milhares 2 2 2 2 4 6 2" xfId="36955"/>
    <cellStyle name="Separador de milhares 2 2 2 2 4 7" xfId="29574"/>
    <cellStyle name="Separador de milhares 2 2 2 2 5" xfId="1659"/>
    <cellStyle name="Separador de milhares 2 2 2 2 5 2" xfId="6896"/>
    <cellStyle name="Separador de milhares 2 2 2 2 5 2 2" xfId="10043"/>
    <cellStyle name="Separador de milhares 2 2 2 2 5 2 2 2" xfId="28257"/>
    <cellStyle name="Separador de milhares 2 2 2 2 5 2 2 2 2" xfId="53324"/>
    <cellStyle name="Separador de milhares 2 2 2 2 5 2 2 3" xfId="22343"/>
    <cellStyle name="Separador de milhares 2 2 2 2 5 2 2 3 2" xfId="47410"/>
    <cellStyle name="Separador de milhares 2 2 2 2 5 2 2 4" xfId="16429"/>
    <cellStyle name="Separador de milhares 2 2 2 2 5 2 2 4 2" xfId="41496"/>
    <cellStyle name="Separador de milhares 2 2 2 2 5 2 2 5" xfId="35588"/>
    <cellStyle name="Separador de milhares 2 2 2 2 5 2 3" xfId="25300"/>
    <cellStyle name="Separador de milhares 2 2 2 2 5 2 3 2" xfId="50367"/>
    <cellStyle name="Separador de milhares 2 2 2 2 5 2 4" xfId="19386"/>
    <cellStyle name="Separador de milhares 2 2 2 2 5 2 4 2" xfId="44453"/>
    <cellStyle name="Separador de milhares 2 2 2 2 5 2 5" xfId="13285"/>
    <cellStyle name="Separador de milhares 2 2 2 2 5 2 5 2" xfId="38542"/>
    <cellStyle name="Separador de milhares 2 2 2 2 5 2 6" xfId="32631"/>
    <cellStyle name="Separador de milhares 2 2 2 2 5 3" xfId="8575"/>
    <cellStyle name="Separador de milhares 2 2 2 2 5 3 2" xfId="26789"/>
    <cellStyle name="Separador de milhares 2 2 2 2 5 3 2 2" xfId="51856"/>
    <cellStyle name="Separador de milhares 2 2 2 2 5 3 3" xfId="20875"/>
    <cellStyle name="Separador de milhares 2 2 2 2 5 3 3 2" xfId="45942"/>
    <cellStyle name="Separador de milhares 2 2 2 2 5 3 4" xfId="14961"/>
    <cellStyle name="Separador de milhares 2 2 2 2 5 3 4 2" xfId="40028"/>
    <cellStyle name="Separador de milhares 2 2 2 2 5 3 5" xfId="34120"/>
    <cellStyle name="Separador de milhares 2 2 2 2 5 4" xfId="5197"/>
    <cellStyle name="Separador de milhares 2 2 2 2 5 4 2" xfId="23832"/>
    <cellStyle name="Separador de milhares 2 2 2 2 5 4 2 2" xfId="48899"/>
    <cellStyle name="Separador de milhares 2 2 2 2 5 4 3" xfId="31163"/>
    <cellStyle name="Separador de milhares 2 2 2 2 5 5" xfId="17918"/>
    <cellStyle name="Separador de milhares 2 2 2 2 5 5 2" xfId="42985"/>
    <cellStyle name="Separador de milhares 2 2 2 2 5 6" xfId="11584"/>
    <cellStyle name="Separador de milhares 2 2 2 2 5 6 2" xfId="37074"/>
    <cellStyle name="Separador de milhares 2 2 2 2 5 7" xfId="29693"/>
    <cellStyle name="Separador de milhares 2 2 2 2 6" xfId="2189"/>
    <cellStyle name="Separador de milhares 2 2 2 2 6 2" xfId="7046"/>
    <cellStyle name="Separador de milhares 2 2 2 2 6 2 2" xfId="10190"/>
    <cellStyle name="Separador de milhares 2 2 2 2 6 2 2 2" xfId="28404"/>
    <cellStyle name="Separador de milhares 2 2 2 2 6 2 2 2 2" xfId="53471"/>
    <cellStyle name="Separador de milhares 2 2 2 2 6 2 2 3" xfId="22490"/>
    <cellStyle name="Separador de milhares 2 2 2 2 6 2 2 3 2" xfId="47557"/>
    <cellStyle name="Separador de milhares 2 2 2 2 6 2 2 4" xfId="16576"/>
    <cellStyle name="Separador de milhares 2 2 2 2 6 2 2 4 2" xfId="41643"/>
    <cellStyle name="Separador de milhares 2 2 2 2 6 2 2 5" xfId="35735"/>
    <cellStyle name="Separador de milhares 2 2 2 2 6 2 3" xfId="25447"/>
    <cellStyle name="Separador de milhares 2 2 2 2 6 2 3 2" xfId="50514"/>
    <cellStyle name="Separador de milhares 2 2 2 2 6 2 4" xfId="19533"/>
    <cellStyle name="Separador de milhares 2 2 2 2 6 2 4 2" xfId="44600"/>
    <cellStyle name="Separador de milhares 2 2 2 2 6 2 5" xfId="13435"/>
    <cellStyle name="Separador de milhares 2 2 2 2 6 2 5 2" xfId="38689"/>
    <cellStyle name="Separador de milhares 2 2 2 2 6 2 6" xfId="32778"/>
    <cellStyle name="Separador de milhares 2 2 2 2 6 3" xfId="8722"/>
    <cellStyle name="Separador de milhares 2 2 2 2 6 3 2" xfId="26936"/>
    <cellStyle name="Separador de milhares 2 2 2 2 6 3 2 2" xfId="52003"/>
    <cellStyle name="Separador de milhares 2 2 2 2 6 3 3" xfId="21022"/>
    <cellStyle name="Separador de milhares 2 2 2 2 6 3 3 2" xfId="46089"/>
    <cellStyle name="Separador de milhares 2 2 2 2 6 3 4" xfId="15108"/>
    <cellStyle name="Separador de milhares 2 2 2 2 6 3 4 2" xfId="40175"/>
    <cellStyle name="Separador de milhares 2 2 2 2 6 3 5" xfId="34267"/>
    <cellStyle name="Separador de milhares 2 2 2 2 6 4" xfId="5347"/>
    <cellStyle name="Separador de milhares 2 2 2 2 6 4 2" xfId="23979"/>
    <cellStyle name="Separador de milhares 2 2 2 2 6 4 2 2" xfId="49046"/>
    <cellStyle name="Separador de milhares 2 2 2 2 6 4 3" xfId="31310"/>
    <cellStyle name="Separador de milhares 2 2 2 2 6 5" xfId="18065"/>
    <cellStyle name="Separador de milhares 2 2 2 2 6 5 2" xfId="43132"/>
    <cellStyle name="Separador de milhares 2 2 2 2 6 6" xfId="11734"/>
    <cellStyle name="Separador de milhares 2 2 2 2 6 6 2" xfId="37221"/>
    <cellStyle name="Separador de milhares 2 2 2 2 6 7" xfId="29840"/>
    <cellStyle name="Separador de milhares 2 2 2 2 7" xfId="2716"/>
    <cellStyle name="Separador de milhares 2 2 2 2 7 2" xfId="7193"/>
    <cellStyle name="Separador de milhares 2 2 2 2 7 2 2" xfId="10337"/>
    <cellStyle name="Separador de milhares 2 2 2 2 7 2 2 2" xfId="28551"/>
    <cellStyle name="Separador de milhares 2 2 2 2 7 2 2 2 2" xfId="53618"/>
    <cellStyle name="Separador de milhares 2 2 2 2 7 2 2 3" xfId="22637"/>
    <cellStyle name="Separador de milhares 2 2 2 2 7 2 2 3 2" xfId="47704"/>
    <cellStyle name="Separador de milhares 2 2 2 2 7 2 2 4" xfId="16723"/>
    <cellStyle name="Separador de milhares 2 2 2 2 7 2 2 4 2" xfId="41790"/>
    <cellStyle name="Separador de milhares 2 2 2 2 7 2 2 5" xfId="35882"/>
    <cellStyle name="Separador de milhares 2 2 2 2 7 2 3" xfId="25594"/>
    <cellStyle name="Separador de milhares 2 2 2 2 7 2 3 2" xfId="50661"/>
    <cellStyle name="Separador de milhares 2 2 2 2 7 2 4" xfId="19680"/>
    <cellStyle name="Separador de milhares 2 2 2 2 7 2 4 2" xfId="44747"/>
    <cellStyle name="Separador de milhares 2 2 2 2 7 2 5" xfId="13582"/>
    <cellStyle name="Separador de milhares 2 2 2 2 7 2 5 2" xfId="38836"/>
    <cellStyle name="Separador de milhares 2 2 2 2 7 2 6" xfId="32925"/>
    <cellStyle name="Separador de milhares 2 2 2 2 7 3" xfId="8869"/>
    <cellStyle name="Separador de milhares 2 2 2 2 7 3 2" xfId="27083"/>
    <cellStyle name="Separador de milhares 2 2 2 2 7 3 2 2" xfId="52150"/>
    <cellStyle name="Separador de milhares 2 2 2 2 7 3 3" xfId="21169"/>
    <cellStyle name="Separador de milhares 2 2 2 2 7 3 3 2" xfId="46236"/>
    <cellStyle name="Separador de milhares 2 2 2 2 7 3 4" xfId="15255"/>
    <cellStyle name="Separador de milhares 2 2 2 2 7 3 4 2" xfId="40322"/>
    <cellStyle name="Separador de milhares 2 2 2 2 7 3 5" xfId="34414"/>
    <cellStyle name="Separador de milhares 2 2 2 2 7 4" xfId="5494"/>
    <cellStyle name="Separador de milhares 2 2 2 2 7 4 2" xfId="24126"/>
    <cellStyle name="Separador de milhares 2 2 2 2 7 4 2 2" xfId="49193"/>
    <cellStyle name="Separador de milhares 2 2 2 2 7 4 3" xfId="31457"/>
    <cellStyle name="Separador de milhares 2 2 2 2 7 5" xfId="18212"/>
    <cellStyle name="Separador de milhares 2 2 2 2 7 5 2" xfId="43279"/>
    <cellStyle name="Separador de milhares 2 2 2 2 7 6" xfId="11881"/>
    <cellStyle name="Separador de milhares 2 2 2 2 7 6 2" xfId="37368"/>
    <cellStyle name="Separador de milhares 2 2 2 2 7 7" xfId="29987"/>
    <cellStyle name="Separador de milhares 2 2 2 2 8" xfId="3243"/>
    <cellStyle name="Separador de milhares 2 2 2 2 8 2" xfId="7340"/>
    <cellStyle name="Separador de milhares 2 2 2 2 8 2 2" xfId="10484"/>
    <cellStyle name="Separador de milhares 2 2 2 2 8 2 2 2" xfId="28698"/>
    <cellStyle name="Separador de milhares 2 2 2 2 8 2 2 2 2" xfId="53765"/>
    <cellStyle name="Separador de milhares 2 2 2 2 8 2 2 3" xfId="22784"/>
    <cellStyle name="Separador de milhares 2 2 2 2 8 2 2 3 2" xfId="47851"/>
    <cellStyle name="Separador de milhares 2 2 2 2 8 2 2 4" xfId="16870"/>
    <cellStyle name="Separador de milhares 2 2 2 2 8 2 2 4 2" xfId="41937"/>
    <cellStyle name="Separador de milhares 2 2 2 2 8 2 2 5" xfId="36029"/>
    <cellStyle name="Separador de milhares 2 2 2 2 8 2 3" xfId="25741"/>
    <cellStyle name="Separador de milhares 2 2 2 2 8 2 3 2" xfId="50808"/>
    <cellStyle name="Separador de milhares 2 2 2 2 8 2 4" xfId="19827"/>
    <cellStyle name="Separador de milhares 2 2 2 2 8 2 4 2" xfId="44894"/>
    <cellStyle name="Separador de milhares 2 2 2 2 8 2 5" xfId="13729"/>
    <cellStyle name="Separador de milhares 2 2 2 2 8 2 5 2" xfId="38983"/>
    <cellStyle name="Separador de milhares 2 2 2 2 8 2 6" xfId="33072"/>
    <cellStyle name="Separador de milhares 2 2 2 2 8 3" xfId="9016"/>
    <cellStyle name="Separador de milhares 2 2 2 2 8 3 2" xfId="27230"/>
    <cellStyle name="Separador de milhares 2 2 2 2 8 3 2 2" xfId="52297"/>
    <cellStyle name="Separador de milhares 2 2 2 2 8 3 3" xfId="21316"/>
    <cellStyle name="Separador de milhares 2 2 2 2 8 3 3 2" xfId="46383"/>
    <cellStyle name="Separador de milhares 2 2 2 2 8 3 4" xfId="15402"/>
    <cellStyle name="Separador de milhares 2 2 2 2 8 3 4 2" xfId="40469"/>
    <cellStyle name="Separador de milhares 2 2 2 2 8 3 5" xfId="34561"/>
    <cellStyle name="Separador de milhares 2 2 2 2 8 4" xfId="5641"/>
    <cellStyle name="Separador de milhares 2 2 2 2 8 4 2" xfId="24273"/>
    <cellStyle name="Separador de milhares 2 2 2 2 8 4 2 2" xfId="49340"/>
    <cellStyle name="Separador de milhares 2 2 2 2 8 4 3" xfId="31604"/>
    <cellStyle name="Separador de milhares 2 2 2 2 8 5" xfId="18359"/>
    <cellStyle name="Separador de milhares 2 2 2 2 8 5 2" xfId="43426"/>
    <cellStyle name="Separador de milhares 2 2 2 2 8 6" xfId="12028"/>
    <cellStyle name="Separador de milhares 2 2 2 2 8 6 2" xfId="37515"/>
    <cellStyle name="Separador de milhares 2 2 2 2 8 7" xfId="30134"/>
    <cellStyle name="Separador de milhares 2 2 2 2 9" xfId="3770"/>
    <cellStyle name="Separador de milhares 2 2 2 2 9 2" xfId="7487"/>
    <cellStyle name="Separador de milhares 2 2 2 2 9 2 2" xfId="10631"/>
    <cellStyle name="Separador de milhares 2 2 2 2 9 2 2 2" xfId="28845"/>
    <cellStyle name="Separador de milhares 2 2 2 2 9 2 2 2 2" xfId="53912"/>
    <cellStyle name="Separador de milhares 2 2 2 2 9 2 2 3" xfId="22931"/>
    <cellStyle name="Separador de milhares 2 2 2 2 9 2 2 3 2" xfId="47998"/>
    <cellStyle name="Separador de milhares 2 2 2 2 9 2 2 4" xfId="17017"/>
    <cellStyle name="Separador de milhares 2 2 2 2 9 2 2 4 2" xfId="42084"/>
    <cellStyle name="Separador de milhares 2 2 2 2 9 2 2 5" xfId="36176"/>
    <cellStyle name="Separador de milhares 2 2 2 2 9 2 3" xfId="25888"/>
    <cellStyle name="Separador de milhares 2 2 2 2 9 2 3 2" xfId="50955"/>
    <cellStyle name="Separador de milhares 2 2 2 2 9 2 4" xfId="19974"/>
    <cellStyle name="Separador de milhares 2 2 2 2 9 2 4 2" xfId="45041"/>
    <cellStyle name="Separador de milhares 2 2 2 2 9 2 5" xfId="13876"/>
    <cellStyle name="Separador de milhares 2 2 2 2 9 2 5 2" xfId="39130"/>
    <cellStyle name="Separador de milhares 2 2 2 2 9 2 6" xfId="33219"/>
    <cellStyle name="Separador de milhares 2 2 2 2 9 3" xfId="9163"/>
    <cellStyle name="Separador de milhares 2 2 2 2 9 3 2" xfId="27377"/>
    <cellStyle name="Separador de milhares 2 2 2 2 9 3 2 2" xfId="52444"/>
    <cellStyle name="Separador de milhares 2 2 2 2 9 3 3" xfId="21463"/>
    <cellStyle name="Separador de milhares 2 2 2 2 9 3 3 2" xfId="46530"/>
    <cellStyle name="Separador de milhares 2 2 2 2 9 3 4" xfId="15549"/>
    <cellStyle name="Separador de milhares 2 2 2 2 9 3 4 2" xfId="40616"/>
    <cellStyle name="Separador de milhares 2 2 2 2 9 3 5" xfId="34708"/>
    <cellStyle name="Separador de milhares 2 2 2 2 9 4" xfId="5788"/>
    <cellStyle name="Separador de milhares 2 2 2 2 9 4 2" xfId="24420"/>
    <cellStyle name="Separador de milhares 2 2 2 2 9 4 2 2" xfId="49487"/>
    <cellStyle name="Separador de milhares 2 2 2 2 9 4 3" xfId="31751"/>
    <cellStyle name="Separador de milhares 2 2 2 2 9 5" xfId="18506"/>
    <cellStyle name="Separador de milhares 2 2 2 2 9 5 2" xfId="43573"/>
    <cellStyle name="Separador de milhares 2 2 2 2 9 6" xfId="12175"/>
    <cellStyle name="Separador de milhares 2 2 2 2 9 6 2" xfId="37662"/>
    <cellStyle name="Separador de milhares 2 2 2 2 9 7" xfId="30281"/>
    <cellStyle name="Separador de milhares 2 2 2 3" xfId="222"/>
    <cellStyle name="Separador de milhares 2 2 2 3 10" xfId="6478"/>
    <cellStyle name="Separador de milhares 2 2 2 3 10 2" xfId="9629"/>
    <cellStyle name="Separador de milhares 2 2 2 3 10 2 2" xfId="27843"/>
    <cellStyle name="Separador de milhares 2 2 2 3 10 2 2 2" xfId="52910"/>
    <cellStyle name="Separador de milhares 2 2 2 3 10 2 3" xfId="21929"/>
    <cellStyle name="Separador de milhares 2 2 2 3 10 2 3 2" xfId="46996"/>
    <cellStyle name="Separador de milhares 2 2 2 3 10 2 4" xfId="16015"/>
    <cellStyle name="Separador de milhares 2 2 2 3 10 2 4 2" xfId="41082"/>
    <cellStyle name="Separador de milhares 2 2 2 3 10 2 5" xfId="35174"/>
    <cellStyle name="Separador de milhares 2 2 2 3 10 3" xfId="24886"/>
    <cellStyle name="Separador de milhares 2 2 2 3 10 3 2" xfId="49953"/>
    <cellStyle name="Separador de milhares 2 2 2 3 10 4" xfId="18972"/>
    <cellStyle name="Separador de milhares 2 2 2 3 10 4 2" xfId="44039"/>
    <cellStyle name="Separador de milhares 2 2 2 3 10 5" xfId="12867"/>
    <cellStyle name="Separador de milhares 2 2 2 3 10 5 2" xfId="38128"/>
    <cellStyle name="Separador de milhares 2 2 2 3 10 6" xfId="32217"/>
    <cellStyle name="Separador de milhares 2 2 2 3 11" xfId="8158"/>
    <cellStyle name="Separador de milhares 2 2 2 3 11 2" xfId="26372"/>
    <cellStyle name="Separador de milhares 2 2 2 3 11 2 2" xfId="51439"/>
    <cellStyle name="Separador de milhares 2 2 2 3 11 3" xfId="20458"/>
    <cellStyle name="Separador de milhares 2 2 2 3 11 3 2" xfId="45525"/>
    <cellStyle name="Separador de milhares 2 2 2 3 11 4" xfId="14547"/>
    <cellStyle name="Separador de milhares 2 2 2 3 11 4 2" xfId="39614"/>
    <cellStyle name="Separador de milhares 2 2 2 3 11 5" xfId="33703"/>
    <cellStyle name="Separador de milhares 2 2 2 3 12" xfId="4777"/>
    <cellStyle name="Separador de milhares 2 2 2 3 12 2" xfId="23415"/>
    <cellStyle name="Separador de milhares 2 2 2 3 12 2 2" xfId="48482"/>
    <cellStyle name="Separador de milhares 2 2 2 3 12 3" xfId="30747"/>
    <cellStyle name="Separador de milhares 2 2 2 3 13" xfId="17501"/>
    <cellStyle name="Separador de milhares 2 2 2 3 13 2" xfId="42568"/>
    <cellStyle name="Separador de milhares 2 2 2 3 14" xfId="11166"/>
    <cellStyle name="Separador de milhares 2 2 2 3 14 2" xfId="36660"/>
    <cellStyle name="Separador de milhares 2 2 2 3 15" xfId="29276"/>
    <cellStyle name="Separador de milhares 2 2 2 3 2" xfId="660"/>
    <cellStyle name="Separador de milhares 2 2 2 3 2 2" xfId="6595"/>
    <cellStyle name="Separador de milhares 2 2 2 3 2 2 2" xfId="9742"/>
    <cellStyle name="Separador de milhares 2 2 2 3 2 2 2 2" xfId="27956"/>
    <cellStyle name="Separador de milhares 2 2 2 3 2 2 2 2 2" xfId="53023"/>
    <cellStyle name="Separador de milhares 2 2 2 3 2 2 2 3" xfId="22042"/>
    <cellStyle name="Separador de milhares 2 2 2 3 2 2 2 3 2" xfId="47109"/>
    <cellStyle name="Separador de milhares 2 2 2 3 2 2 2 4" xfId="16128"/>
    <cellStyle name="Separador de milhares 2 2 2 3 2 2 2 4 2" xfId="41195"/>
    <cellStyle name="Separador de milhares 2 2 2 3 2 2 2 5" xfId="35287"/>
    <cellStyle name="Separador de milhares 2 2 2 3 2 2 3" xfId="24999"/>
    <cellStyle name="Separador de milhares 2 2 2 3 2 2 3 2" xfId="50066"/>
    <cellStyle name="Separador de milhares 2 2 2 3 2 2 4" xfId="19085"/>
    <cellStyle name="Separador de milhares 2 2 2 3 2 2 4 2" xfId="44152"/>
    <cellStyle name="Separador de milhares 2 2 2 3 2 2 5" xfId="12984"/>
    <cellStyle name="Separador de milhares 2 2 2 3 2 2 5 2" xfId="38241"/>
    <cellStyle name="Separador de milhares 2 2 2 3 2 2 6" xfId="32330"/>
    <cellStyle name="Separador de milhares 2 2 2 3 2 3" xfId="8274"/>
    <cellStyle name="Separador de milhares 2 2 2 3 2 3 2" xfId="26488"/>
    <cellStyle name="Separador de milhares 2 2 2 3 2 3 2 2" xfId="51555"/>
    <cellStyle name="Separador de milhares 2 2 2 3 2 3 3" xfId="20574"/>
    <cellStyle name="Separador de milhares 2 2 2 3 2 3 3 2" xfId="45641"/>
    <cellStyle name="Separador de milhares 2 2 2 3 2 3 4" xfId="14660"/>
    <cellStyle name="Separador de milhares 2 2 2 3 2 3 4 2" xfId="39727"/>
    <cellStyle name="Separador de milhares 2 2 2 3 2 3 5" xfId="33819"/>
    <cellStyle name="Separador de milhares 2 2 2 3 2 4" xfId="4896"/>
    <cellStyle name="Separador de milhares 2 2 2 3 2 4 2" xfId="23531"/>
    <cellStyle name="Separador de milhares 2 2 2 3 2 4 2 2" xfId="48598"/>
    <cellStyle name="Separador de milhares 2 2 2 3 2 4 3" xfId="30862"/>
    <cellStyle name="Separador de milhares 2 2 2 3 2 5" xfId="17617"/>
    <cellStyle name="Separador de milhares 2 2 2 3 2 5 2" xfId="42684"/>
    <cellStyle name="Separador de milhares 2 2 2 3 2 6" xfId="11283"/>
    <cellStyle name="Separador de milhares 2 2 2 3 2 6 2" xfId="36773"/>
    <cellStyle name="Separador de milhares 2 2 2 3 2 7" xfId="29392"/>
    <cellStyle name="Separador de milhares 2 2 2 3 3" xfId="782"/>
    <cellStyle name="Separador de milhares 2 2 2 3 3 2" xfId="6651"/>
    <cellStyle name="Separador de milhares 2 2 2 3 3 2 2" xfId="9798"/>
    <cellStyle name="Separador de milhares 2 2 2 3 3 2 2 2" xfId="28012"/>
    <cellStyle name="Separador de milhares 2 2 2 3 3 2 2 2 2" xfId="53079"/>
    <cellStyle name="Separador de milhares 2 2 2 3 3 2 2 3" xfId="22098"/>
    <cellStyle name="Separador de milhares 2 2 2 3 3 2 2 3 2" xfId="47165"/>
    <cellStyle name="Separador de milhares 2 2 2 3 3 2 2 4" xfId="16184"/>
    <cellStyle name="Separador de milhares 2 2 2 3 3 2 2 4 2" xfId="41251"/>
    <cellStyle name="Separador de milhares 2 2 2 3 3 2 2 5" xfId="35343"/>
    <cellStyle name="Separador de milhares 2 2 2 3 3 2 3" xfId="25055"/>
    <cellStyle name="Separador de milhares 2 2 2 3 3 2 3 2" xfId="50122"/>
    <cellStyle name="Separador de milhares 2 2 2 3 3 2 4" xfId="19141"/>
    <cellStyle name="Separador de milhares 2 2 2 3 3 2 4 2" xfId="44208"/>
    <cellStyle name="Separador de milhares 2 2 2 3 3 2 5" xfId="13040"/>
    <cellStyle name="Separador de milhares 2 2 2 3 3 2 5 2" xfId="38297"/>
    <cellStyle name="Separador de milhares 2 2 2 3 3 2 6" xfId="32386"/>
    <cellStyle name="Separador de milhares 2 2 2 3 3 3" xfId="8330"/>
    <cellStyle name="Separador de milhares 2 2 2 3 3 3 2" xfId="26544"/>
    <cellStyle name="Separador de milhares 2 2 2 3 3 3 2 2" xfId="51611"/>
    <cellStyle name="Separador de milhares 2 2 2 3 3 3 3" xfId="20630"/>
    <cellStyle name="Separador de milhares 2 2 2 3 3 3 3 2" xfId="45697"/>
    <cellStyle name="Separador de milhares 2 2 2 3 3 3 4" xfId="14716"/>
    <cellStyle name="Separador de milhares 2 2 2 3 3 3 4 2" xfId="39783"/>
    <cellStyle name="Separador de milhares 2 2 2 3 3 3 5" xfId="33875"/>
    <cellStyle name="Separador de milhares 2 2 2 3 3 4" xfId="4952"/>
    <cellStyle name="Separador de milhares 2 2 2 3 3 4 2" xfId="23587"/>
    <cellStyle name="Separador de milhares 2 2 2 3 3 4 2 2" xfId="48654"/>
    <cellStyle name="Separador de milhares 2 2 2 3 3 4 3" xfId="30918"/>
    <cellStyle name="Separador de milhares 2 2 2 3 3 5" xfId="17673"/>
    <cellStyle name="Separador de milhares 2 2 2 3 3 5 2" xfId="42740"/>
    <cellStyle name="Separador de milhares 2 2 2 3 3 6" xfId="11339"/>
    <cellStyle name="Separador de milhares 2 2 2 3 3 6 2" xfId="36829"/>
    <cellStyle name="Separador de milhares 2 2 2 3 3 7" xfId="29448"/>
    <cellStyle name="Separador de milhares 2 2 2 3 4" xfId="1133"/>
    <cellStyle name="Separador de milhares 2 2 2 3 4 2" xfId="6749"/>
    <cellStyle name="Separador de milhares 2 2 2 3 4 2 2" xfId="9896"/>
    <cellStyle name="Separador de milhares 2 2 2 3 4 2 2 2" xfId="28110"/>
    <cellStyle name="Separador de milhares 2 2 2 3 4 2 2 2 2" xfId="53177"/>
    <cellStyle name="Separador de milhares 2 2 2 3 4 2 2 3" xfId="22196"/>
    <cellStyle name="Separador de milhares 2 2 2 3 4 2 2 3 2" xfId="47263"/>
    <cellStyle name="Separador de milhares 2 2 2 3 4 2 2 4" xfId="16282"/>
    <cellStyle name="Separador de milhares 2 2 2 3 4 2 2 4 2" xfId="41349"/>
    <cellStyle name="Separador de milhares 2 2 2 3 4 2 2 5" xfId="35441"/>
    <cellStyle name="Separador de milhares 2 2 2 3 4 2 3" xfId="25153"/>
    <cellStyle name="Separador de milhares 2 2 2 3 4 2 3 2" xfId="50220"/>
    <cellStyle name="Separador de milhares 2 2 2 3 4 2 4" xfId="19239"/>
    <cellStyle name="Separador de milhares 2 2 2 3 4 2 4 2" xfId="44306"/>
    <cellStyle name="Separador de milhares 2 2 2 3 4 2 5" xfId="13138"/>
    <cellStyle name="Separador de milhares 2 2 2 3 4 2 5 2" xfId="38395"/>
    <cellStyle name="Separador de milhares 2 2 2 3 4 2 6" xfId="32484"/>
    <cellStyle name="Separador de milhares 2 2 2 3 4 3" xfId="8428"/>
    <cellStyle name="Separador de milhares 2 2 2 3 4 3 2" xfId="26642"/>
    <cellStyle name="Separador de milhares 2 2 2 3 4 3 2 2" xfId="51709"/>
    <cellStyle name="Separador de milhares 2 2 2 3 4 3 3" xfId="20728"/>
    <cellStyle name="Separador de milhares 2 2 2 3 4 3 3 2" xfId="45795"/>
    <cellStyle name="Separador de milhares 2 2 2 3 4 3 4" xfId="14814"/>
    <cellStyle name="Separador de milhares 2 2 2 3 4 3 4 2" xfId="39881"/>
    <cellStyle name="Separador de milhares 2 2 2 3 4 3 5" xfId="33973"/>
    <cellStyle name="Separador de milhares 2 2 2 3 4 4" xfId="5050"/>
    <cellStyle name="Separador de milhares 2 2 2 3 4 4 2" xfId="23685"/>
    <cellStyle name="Separador de milhares 2 2 2 3 4 4 2 2" xfId="48752"/>
    <cellStyle name="Separador de milhares 2 2 2 3 4 4 3" xfId="31016"/>
    <cellStyle name="Separador de milhares 2 2 2 3 4 5" xfId="17771"/>
    <cellStyle name="Separador de milhares 2 2 2 3 4 5 2" xfId="42838"/>
    <cellStyle name="Separador de milhares 2 2 2 3 4 6" xfId="11437"/>
    <cellStyle name="Separador de milhares 2 2 2 3 4 6 2" xfId="36927"/>
    <cellStyle name="Separador de milhares 2 2 2 3 4 7" xfId="29546"/>
    <cellStyle name="Separador de milhares 2 2 2 3 5" xfId="1568"/>
    <cellStyle name="Separador de milhares 2 2 2 3 5 2" xfId="6868"/>
    <cellStyle name="Separador de milhares 2 2 2 3 5 2 2" xfId="10015"/>
    <cellStyle name="Separador de milhares 2 2 2 3 5 2 2 2" xfId="28229"/>
    <cellStyle name="Separador de milhares 2 2 2 3 5 2 2 2 2" xfId="53296"/>
    <cellStyle name="Separador de milhares 2 2 2 3 5 2 2 3" xfId="22315"/>
    <cellStyle name="Separador de milhares 2 2 2 3 5 2 2 3 2" xfId="47382"/>
    <cellStyle name="Separador de milhares 2 2 2 3 5 2 2 4" xfId="16401"/>
    <cellStyle name="Separador de milhares 2 2 2 3 5 2 2 4 2" xfId="41468"/>
    <cellStyle name="Separador de milhares 2 2 2 3 5 2 2 5" xfId="35560"/>
    <cellStyle name="Separador de milhares 2 2 2 3 5 2 3" xfId="25272"/>
    <cellStyle name="Separador de milhares 2 2 2 3 5 2 3 2" xfId="50339"/>
    <cellStyle name="Separador de milhares 2 2 2 3 5 2 4" xfId="19358"/>
    <cellStyle name="Separador de milhares 2 2 2 3 5 2 4 2" xfId="44425"/>
    <cellStyle name="Separador de milhares 2 2 2 3 5 2 5" xfId="13257"/>
    <cellStyle name="Separador de milhares 2 2 2 3 5 2 5 2" xfId="38514"/>
    <cellStyle name="Separador de milhares 2 2 2 3 5 2 6" xfId="32603"/>
    <cellStyle name="Separador de milhares 2 2 2 3 5 3" xfId="8547"/>
    <cellStyle name="Separador de milhares 2 2 2 3 5 3 2" xfId="26761"/>
    <cellStyle name="Separador de milhares 2 2 2 3 5 3 2 2" xfId="51828"/>
    <cellStyle name="Separador de milhares 2 2 2 3 5 3 3" xfId="20847"/>
    <cellStyle name="Separador de milhares 2 2 2 3 5 3 3 2" xfId="45914"/>
    <cellStyle name="Separador de milhares 2 2 2 3 5 3 4" xfId="14933"/>
    <cellStyle name="Separador de milhares 2 2 2 3 5 3 4 2" xfId="40000"/>
    <cellStyle name="Separador de milhares 2 2 2 3 5 3 5" xfId="34092"/>
    <cellStyle name="Separador de milhares 2 2 2 3 5 4" xfId="5169"/>
    <cellStyle name="Separador de milhares 2 2 2 3 5 4 2" xfId="23804"/>
    <cellStyle name="Separador de milhares 2 2 2 3 5 4 2 2" xfId="48871"/>
    <cellStyle name="Separador de milhares 2 2 2 3 5 4 3" xfId="31135"/>
    <cellStyle name="Separador de milhares 2 2 2 3 5 5" xfId="17890"/>
    <cellStyle name="Separador de milhares 2 2 2 3 5 5 2" xfId="42957"/>
    <cellStyle name="Separador de milhares 2 2 2 3 5 6" xfId="11556"/>
    <cellStyle name="Separador de milhares 2 2 2 3 5 6 2" xfId="37046"/>
    <cellStyle name="Separador de milhares 2 2 2 3 5 7" xfId="29665"/>
    <cellStyle name="Separador de milhares 2 2 2 3 6" xfId="2098"/>
    <cellStyle name="Separador de milhares 2 2 2 3 6 2" xfId="7018"/>
    <cellStyle name="Separador de milhares 2 2 2 3 6 2 2" xfId="10162"/>
    <cellStyle name="Separador de milhares 2 2 2 3 6 2 2 2" xfId="28376"/>
    <cellStyle name="Separador de milhares 2 2 2 3 6 2 2 2 2" xfId="53443"/>
    <cellStyle name="Separador de milhares 2 2 2 3 6 2 2 3" xfId="22462"/>
    <cellStyle name="Separador de milhares 2 2 2 3 6 2 2 3 2" xfId="47529"/>
    <cellStyle name="Separador de milhares 2 2 2 3 6 2 2 4" xfId="16548"/>
    <cellStyle name="Separador de milhares 2 2 2 3 6 2 2 4 2" xfId="41615"/>
    <cellStyle name="Separador de milhares 2 2 2 3 6 2 2 5" xfId="35707"/>
    <cellStyle name="Separador de milhares 2 2 2 3 6 2 3" xfId="25419"/>
    <cellStyle name="Separador de milhares 2 2 2 3 6 2 3 2" xfId="50486"/>
    <cellStyle name="Separador de milhares 2 2 2 3 6 2 4" xfId="19505"/>
    <cellStyle name="Separador de milhares 2 2 2 3 6 2 4 2" xfId="44572"/>
    <cellStyle name="Separador de milhares 2 2 2 3 6 2 5" xfId="13407"/>
    <cellStyle name="Separador de milhares 2 2 2 3 6 2 5 2" xfId="38661"/>
    <cellStyle name="Separador de milhares 2 2 2 3 6 2 6" xfId="32750"/>
    <cellStyle name="Separador de milhares 2 2 2 3 6 3" xfId="8694"/>
    <cellStyle name="Separador de milhares 2 2 2 3 6 3 2" xfId="26908"/>
    <cellStyle name="Separador de milhares 2 2 2 3 6 3 2 2" xfId="51975"/>
    <cellStyle name="Separador de milhares 2 2 2 3 6 3 3" xfId="20994"/>
    <cellStyle name="Separador de milhares 2 2 2 3 6 3 3 2" xfId="46061"/>
    <cellStyle name="Separador de milhares 2 2 2 3 6 3 4" xfId="15080"/>
    <cellStyle name="Separador de milhares 2 2 2 3 6 3 4 2" xfId="40147"/>
    <cellStyle name="Separador de milhares 2 2 2 3 6 3 5" xfId="34239"/>
    <cellStyle name="Separador de milhares 2 2 2 3 6 4" xfId="5319"/>
    <cellStyle name="Separador de milhares 2 2 2 3 6 4 2" xfId="23951"/>
    <cellStyle name="Separador de milhares 2 2 2 3 6 4 2 2" xfId="49018"/>
    <cellStyle name="Separador de milhares 2 2 2 3 6 4 3" xfId="31282"/>
    <cellStyle name="Separador de milhares 2 2 2 3 6 5" xfId="18037"/>
    <cellStyle name="Separador de milhares 2 2 2 3 6 5 2" xfId="43104"/>
    <cellStyle name="Separador de milhares 2 2 2 3 6 6" xfId="11706"/>
    <cellStyle name="Separador de milhares 2 2 2 3 6 6 2" xfId="37193"/>
    <cellStyle name="Separador de milhares 2 2 2 3 6 7" xfId="29812"/>
    <cellStyle name="Separador de milhares 2 2 2 3 7" xfId="2625"/>
    <cellStyle name="Separador de milhares 2 2 2 3 7 2" xfId="7165"/>
    <cellStyle name="Separador de milhares 2 2 2 3 7 2 2" xfId="10309"/>
    <cellStyle name="Separador de milhares 2 2 2 3 7 2 2 2" xfId="28523"/>
    <cellStyle name="Separador de milhares 2 2 2 3 7 2 2 2 2" xfId="53590"/>
    <cellStyle name="Separador de milhares 2 2 2 3 7 2 2 3" xfId="22609"/>
    <cellStyle name="Separador de milhares 2 2 2 3 7 2 2 3 2" xfId="47676"/>
    <cellStyle name="Separador de milhares 2 2 2 3 7 2 2 4" xfId="16695"/>
    <cellStyle name="Separador de milhares 2 2 2 3 7 2 2 4 2" xfId="41762"/>
    <cellStyle name="Separador de milhares 2 2 2 3 7 2 2 5" xfId="35854"/>
    <cellStyle name="Separador de milhares 2 2 2 3 7 2 3" xfId="25566"/>
    <cellStyle name="Separador de milhares 2 2 2 3 7 2 3 2" xfId="50633"/>
    <cellStyle name="Separador de milhares 2 2 2 3 7 2 4" xfId="19652"/>
    <cellStyle name="Separador de milhares 2 2 2 3 7 2 4 2" xfId="44719"/>
    <cellStyle name="Separador de milhares 2 2 2 3 7 2 5" xfId="13554"/>
    <cellStyle name="Separador de milhares 2 2 2 3 7 2 5 2" xfId="38808"/>
    <cellStyle name="Separador de milhares 2 2 2 3 7 2 6" xfId="32897"/>
    <cellStyle name="Separador de milhares 2 2 2 3 7 3" xfId="8841"/>
    <cellStyle name="Separador de milhares 2 2 2 3 7 3 2" xfId="27055"/>
    <cellStyle name="Separador de milhares 2 2 2 3 7 3 2 2" xfId="52122"/>
    <cellStyle name="Separador de milhares 2 2 2 3 7 3 3" xfId="21141"/>
    <cellStyle name="Separador de milhares 2 2 2 3 7 3 3 2" xfId="46208"/>
    <cellStyle name="Separador de milhares 2 2 2 3 7 3 4" xfId="15227"/>
    <cellStyle name="Separador de milhares 2 2 2 3 7 3 4 2" xfId="40294"/>
    <cellStyle name="Separador de milhares 2 2 2 3 7 3 5" xfId="34386"/>
    <cellStyle name="Separador de milhares 2 2 2 3 7 4" xfId="5466"/>
    <cellStyle name="Separador de milhares 2 2 2 3 7 4 2" xfId="24098"/>
    <cellStyle name="Separador de milhares 2 2 2 3 7 4 2 2" xfId="49165"/>
    <cellStyle name="Separador de milhares 2 2 2 3 7 4 3" xfId="31429"/>
    <cellStyle name="Separador de milhares 2 2 2 3 7 5" xfId="18184"/>
    <cellStyle name="Separador de milhares 2 2 2 3 7 5 2" xfId="43251"/>
    <cellStyle name="Separador de milhares 2 2 2 3 7 6" xfId="11853"/>
    <cellStyle name="Separador de milhares 2 2 2 3 7 6 2" xfId="37340"/>
    <cellStyle name="Separador de milhares 2 2 2 3 7 7" xfId="29959"/>
    <cellStyle name="Separador de milhares 2 2 2 3 8" xfId="3152"/>
    <cellStyle name="Separador de milhares 2 2 2 3 8 2" xfId="7312"/>
    <cellStyle name="Separador de milhares 2 2 2 3 8 2 2" xfId="10456"/>
    <cellStyle name="Separador de milhares 2 2 2 3 8 2 2 2" xfId="28670"/>
    <cellStyle name="Separador de milhares 2 2 2 3 8 2 2 2 2" xfId="53737"/>
    <cellStyle name="Separador de milhares 2 2 2 3 8 2 2 3" xfId="22756"/>
    <cellStyle name="Separador de milhares 2 2 2 3 8 2 2 3 2" xfId="47823"/>
    <cellStyle name="Separador de milhares 2 2 2 3 8 2 2 4" xfId="16842"/>
    <cellStyle name="Separador de milhares 2 2 2 3 8 2 2 4 2" xfId="41909"/>
    <cellStyle name="Separador de milhares 2 2 2 3 8 2 2 5" xfId="36001"/>
    <cellStyle name="Separador de milhares 2 2 2 3 8 2 3" xfId="25713"/>
    <cellStyle name="Separador de milhares 2 2 2 3 8 2 3 2" xfId="50780"/>
    <cellStyle name="Separador de milhares 2 2 2 3 8 2 4" xfId="19799"/>
    <cellStyle name="Separador de milhares 2 2 2 3 8 2 4 2" xfId="44866"/>
    <cellStyle name="Separador de milhares 2 2 2 3 8 2 5" xfId="13701"/>
    <cellStyle name="Separador de milhares 2 2 2 3 8 2 5 2" xfId="38955"/>
    <cellStyle name="Separador de milhares 2 2 2 3 8 2 6" xfId="33044"/>
    <cellStyle name="Separador de milhares 2 2 2 3 8 3" xfId="8988"/>
    <cellStyle name="Separador de milhares 2 2 2 3 8 3 2" xfId="27202"/>
    <cellStyle name="Separador de milhares 2 2 2 3 8 3 2 2" xfId="52269"/>
    <cellStyle name="Separador de milhares 2 2 2 3 8 3 3" xfId="21288"/>
    <cellStyle name="Separador de milhares 2 2 2 3 8 3 3 2" xfId="46355"/>
    <cellStyle name="Separador de milhares 2 2 2 3 8 3 4" xfId="15374"/>
    <cellStyle name="Separador de milhares 2 2 2 3 8 3 4 2" xfId="40441"/>
    <cellStyle name="Separador de milhares 2 2 2 3 8 3 5" xfId="34533"/>
    <cellStyle name="Separador de milhares 2 2 2 3 8 4" xfId="5613"/>
    <cellStyle name="Separador de milhares 2 2 2 3 8 4 2" xfId="24245"/>
    <cellStyle name="Separador de milhares 2 2 2 3 8 4 2 2" xfId="49312"/>
    <cellStyle name="Separador de milhares 2 2 2 3 8 4 3" xfId="31576"/>
    <cellStyle name="Separador de milhares 2 2 2 3 8 5" xfId="18331"/>
    <cellStyle name="Separador de milhares 2 2 2 3 8 5 2" xfId="43398"/>
    <cellStyle name="Separador de milhares 2 2 2 3 8 6" xfId="12000"/>
    <cellStyle name="Separador de milhares 2 2 2 3 8 6 2" xfId="37487"/>
    <cellStyle name="Separador de milhares 2 2 2 3 8 7" xfId="30106"/>
    <cellStyle name="Separador de milhares 2 2 2 3 9" xfId="3679"/>
    <cellStyle name="Separador de milhares 2 2 2 3 9 2" xfId="7459"/>
    <cellStyle name="Separador de milhares 2 2 2 3 9 2 2" xfId="10603"/>
    <cellStyle name="Separador de milhares 2 2 2 3 9 2 2 2" xfId="28817"/>
    <cellStyle name="Separador de milhares 2 2 2 3 9 2 2 2 2" xfId="53884"/>
    <cellStyle name="Separador de milhares 2 2 2 3 9 2 2 3" xfId="22903"/>
    <cellStyle name="Separador de milhares 2 2 2 3 9 2 2 3 2" xfId="47970"/>
    <cellStyle name="Separador de milhares 2 2 2 3 9 2 2 4" xfId="16989"/>
    <cellStyle name="Separador de milhares 2 2 2 3 9 2 2 4 2" xfId="42056"/>
    <cellStyle name="Separador de milhares 2 2 2 3 9 2 2 5" xfId="36148"/>
    <cellStyle name="Separador de milhares 2 2 2 3 9 2 3" xfId="25860"/>
    <cellStyle name="Separador de milhares 2 2 2 3 9 2 3 2" xfId="50927"/>
    <cellStyle name="Separador de milhares 2 2 2 3 9 2 4" xfId="19946"/>
    <cellStyle name="Separador de milhares 2 2 2 3 9 2 4 2" xfId="45013"/>
    <cellStyle name="Separador de milhares 2 2 2 3 9 2 5" xfId="13848"/>
    <cellStyle name="Separador de milhares 2 2 2 3 9 2 5 2" xfId="39102"/>
    <cellStyle name="Separador de milhares 2 2 2 3 9 2 6" xfId="33191"/>
    <cellStyle name="Separador de milhares 2 2 2 3 9 3" xfId="9135"/>
    <cellStyle name="Separador de milhares 2 2 2 3 9 3 2" xfId="27349"/>
    <cellStyle name="Separador de milhares 2 2 2 3 9 3 2 2" xfId="52416"/>
    <cellStyle name="Separador de milhares 2 2 2 3 9 3 3" xfId="21435"/>
    <cellStyle name="Separador de milhares 2 2 2 3 9 3 3 2" xfId="46502"/>
    <cellStyle name="Separador de milhares 2 2 2 3 9 3 4" xfId="15521"/>
    <cellStyle name="Separador de milhares 2 2 2 3 9 3 4 2" xfId="40588"/>
    <cellStyle name="Separador de milhares 2 2 2 3 9 3 5" xfId="34680"/>
    <cellStyle name="Separador de milhares 2 2 2 3 9 4" xfId="5760"/>
    <cellStyle name="Separador de milhares 2 2 2 3 9 4 2" xfId="24392"/>
    <cellStyle name="Separador de milhares 2 2 2 3 9 4 2 2" xfId="49459"/>
    <cellStyle name="Separador de milhares 2 2 2 3 9 4 3" xfId="31723"/>
    <cellStyle name="Separador de milhares 2 2 2 3 9 5" xfId="18478"/>
    <cellStyle name="Separador de milhares 2 2 2 3 9 5 2" xfId="43545"/>
    <cellStyle name="Separador de milhares 2 2 2 3 9 6" xfId="12147"/>
    <cellStyle name="Separador de milhares 2 2 2 3 9 6 2" xfId="37634"/>
    <cellStyle name="Separador de milhares 2 2 2 3 9 7" xfId="30253"/>
    <cellStyle name="Separador de milhares 2 2 2 4" xfId="6418"/>
    <cellStyle name="Separador de milhares 2 2 2 4 2" xfId="9574"/>
    <cellStyle name="Separador de milhares 2 2 2 4 2 2" xfId="27788"/>
    <cellStyle name="Separador de milhares 2 2 2 4 2 2 2" xfId="52855"/>
    <cellStyle name="Separador de milhares 2 2 2 4 2 3" xfId="21874"/>
    <cellStyle name="Separador de milhares 2 2 2 4 2 3 2" xfId="46941"/>
    <cellStyle name="Separador de milhares 2 2 2 4 2 4" xfId="15960"/>
    <cellStyle name="Separador de milhares 2 2 2 4 2 4 2" xfId="41027"/>
    <cellStyle name="Separador de milhares 2 2 2 4 2 5" xfId="35119"/>
    <cellStyle name="Separador de milhares 2 2 2 4 3" xfId="24831"/>
    <cellStyle name="Separador de milhares 2 2 2 4 3 2" xfId="49898"/>
    <cellStyle name="Separador de milhares 2 2 2 4 4" xfId="18917"/>
    <cellStyle name="Separador de milhares 2 2 2 4 4 2" xfId="43984"/>
    <cellStyle name="Separador de milhares 2 2 2 4 5" xfId="12807"/>
    <cellStyle name="Separador de milhares 2 2 2 4 5 2" xfId="38073"/>
    <cellStyle name="Separador de milhares 2 2 2 4 6" xfId="32162"/>
    <cellStyle name="Separador de milhares 2 2 2 5" xfId="8103"/>
    <cellStyle name="Separador de milhares 2 2 2 5 2" xfId="26317"/>
    <cellStyle name="Separador de milhares 2 2 2 5 2 2" xfId="51384"/>
    <cellStyle name="Separador de milhares 2 2 2 5 3" xfId="20403"/>
    <cellStyle name="Separador de milhares 2 2 2 5 3 2" xfId="45470"/>
    <cellStyle name="Separador de milhares 2 2 2 5 4" xfId="14492"/>
    <cellStyle name="Separador de milhares 2 2 2 5 4 2" xfId="39559"/>
    <cellStyle name="Separador de milhares 2 2 2 5 5" xfId="33648"/>
    <cellStyle name="Separador de milhares 2 2 2 6" xfId="4716"/>
    <cellStyle name="Separador de milhares 2 2 2 6 2" xfId="23360"/>
    <cellStyle name="Separador de milhares 2 2 2 6 2 2" xfId="48427"/>
    <cellStyle name="Separador de milhares 2 2 2 6 3" xfId="30692"/>
    <cellStyle name="Separador de milhares 2 2 2 7" xfId="17446"/>
    <cellStyle name="Separador de milhares 2 2 2 7 2" xfId="42513"/>
    <cellStyle name="Separador de milhares 2 2 2 8" xfId="11106"/>
    <cellStyle name="Separador de milhares 2 2 2 8 2" xfId="36605"/>
    <cellStyle name="Separador de milhares 2 2 2 9" xfId="29220"/>
    <cellStyle name="Separador de milhares 2 2 3" xfId="126"/>
    <cellStyle name="Separador de milhares 2 2 3 10" xfId="6446"/>
    <cellStyle name="Separador de milhares 2 2 3 10 2" xfId="9600"/>
    <cellStyle name="Separador de milhares 2 2 3 10 2 2" xfId="27814"/>
    <cellStyle name="Separador de milhares 2 2 3 10 2 2 2" xfId="52881"/>
    <cellStyle name="Separador de milhares 2 2 3 10 2 3" xfId="21900"/>
    <cellStyle name="Separador de milhares 2 2 3 10 2 3 2" xfId="46967"/>
    <cellStyle name="Separador de milhares 2 2 3 10 2 4" xfId="15986"/>
    <cellStyle name="Separador de milhares 2 2 3 10 2 4 2" xfId="41053"/>
    <cellStyle name="Separador de milhares 2 2 3 10 2 5" xfId="35145"/>
    <cellStyle name="Separador de milhares 2 2 3 10 3" xfId="24857"/>
    <cellStyle name="Separador de milhares 2 2 3 10 3 2" xfId="49924"/>
    <cellStyle name="Separador de milhares 2 2 3 10 4" xfId="18943"/>
    <cellStyle name="Separador de milhares 2 2 3 10 4 2" xfId="44010"/>
    <cellStyle name="Separador de milhares 2 2 3 10 5" xfId="12835"/>
    <cellStyle name="Separador de milhares 2 2 3 10 5 2" xfId="38099"/>
    <cellStyle name="Separador de milhares 2 2 3 10 6" xfId="32188"/>
    <cellStyle name="Separador de milhares 2 2 3 11" xfId="8129"/>
    <cellStyle name="Separador de milhares 2 2 3 11 2" xfId="26343"/>
    <cellStyle name="Separador de milhares 2 2 3 11 2 2" xfId="51410"/>
    <cellStyle name="Separador de milhares 2 2 3 11 3" xfId="20429"/>
    <cellStyle name="Separador de milhares 2 2 3 11 3 2" xfId="45496"/>
    <cellStyle name="Separador de milhares 2 2 3 11 4" xfId="14518"/>
    <cellStyle name="Separador de milhares 2 2 3 11 4 2" xfId="39585"/>
    <cellStyle name="Separador de milhares 2 2 3 11 5" xfId="33674"/>
    <cellStyle name="Separador de milhares 2 2 3 12" xfId="4745"/>
    <cellStyle name="Separador de milhares 2 2 3 12 2" xfId="23386"/>
    <cellStyle name="Separador de milhares 2 2 3 12 2 2" xfId="48453"/>
    <cellStyle name="Separador de milhares 2 2 3 12 3" xfId="30718"/>
    <cellStyle name="Separador de milhares 2 2 3 13" xfId="17472"/>
    <cellStyle name="Separador de milhares 2 2 3 13 2" xfId="42539"/>
    <cellStyle name="Separador de milhares 2 2 3 14" xfId="11134"/>
    <cellStyle name="Separador de milhares 2 2 3 14 2" xfId="36631"/>
    <cellStyle name="Separador de milhares 2 2 3 15" xfId="29247"/>
    <cellStyle name="Separador de milhares 2 2 3 2" xfId="666"/>
    <cellStyle name="Separador de milhares 2 2 3 2 10" xfId="17623"/>
    <cellStyle name="Separador de milhares 2 2 3 2 10 2" xfId="42690"/>
    <cellStyle name="Separador de milhares 2 2 3 2 11" xfId="11289"/>
    <cellStyle name="Separador de milhares 2 2 3 2 11 2" xfId="36779"/>
    <cellStyle name="Separador de milhares 2 2 3 2 12" xfId="29398"/>
    <cellStyle name="Separador de milhares 2 2 3 2 2" xfId="1918"/>
    <cellStyle name="Separador de milhares 2 2 3 2 2 2" xfId="6965"/>
    <cellStyle name="Separador de milhares 2 2 3 2 2 2 2" xfId="10112"/>
    <cellStyle name="Separador de milhares 2 2 3 2 2 2 2 2" xfId="28326"/>
    <cellStyle name="Separador de milhares 2 2 3 2 2 2 2 2 2" xfId="53393"/>
    <cellStyle name="Separador de milhares 2 2 3 2 2 2 2 3" xfId="22412"/>
    <cellStyle name="Separador de milhares 2 2 3 2 2 2 2 3 2" xfId="47479"/>
    <cellStyle name="Separador de milhares 2 2 3 2 2 2 2 4" xfId="16498"/>
    <cellStyle name="Separador de milhares 2 2 3 2 2 2 2 4 2" xfId="41565"/>
    <cellStyle name="Separador de milhares 2 2 3 2 2 2 2 5" xfId="35657"/>
    <cellStyle name="Separador de milhares 2 2 3 2 2 2 3" xfId="25369"/>
    <cellStyle name="Separador de milhares 2 2 3 2 2 2 3 2" xfId="50436"/>
    <cellStyle name="Separador de milhares 2 2 3 2 2 2 4" xfId="19455"/>
    <cellStyle name="Separador de milhares 2 2 3 2 2 2 4 2" xfId="44522"/>
    <cellStyle name="Separador de milhares 2 2 3 2 2 2 5" xfId="13354"/>
    <cellStyle name="Separador de milhares 2 2 3 2 2 2 5 2" xfId="38611"/>
    <cellStyle name="Separador de milhares 2 2 3 2 2 2 6" xfId="32700"/>
    <cellStyle name="Separador de milhares 2 2 3 2 2 3" xfId="8644"/>
    <cellStyle name="Separador de milhares 2 2 3 2 2 3 2" xfId="26858"/>
    <cellStyle name="Separador de milhares 2 2 3 2 2 3 2 2" xfId="51925"/>
    <cellStyle name="Separador de milhares 2 2 3 2 2 3 3" xfId="20944"/>
    <cellStyle name="Separador de milhares 2 2 3 2 2 3 3 2" xfId="46011"/>
    <cellStyle name="Separador de milhares 2 2 3 2 2 3 4" xfId="15030"/>
    <cellStyle name="Separador de milhares 2 2 3 2 2 3 4 2" xfId="40097"/>
    <cellStyle name="Separador de milhares 2 2 3 2 2 3 5" xfId="34189"/>
    <cellStyle name="Separador de milhares 2 2 3 2 2 4" xfId="5266"/>
    <cellStyle name="Separador de milhares 2 2 3 2 2 4 2" xfId="23901"/>
    <cellStyle name="Separador de milhares 2 2 3 2 2 4 2 2" xfId="48968"/>
    <cellStyle name="Separador de milhares 2 2 3 2 2 4 3" xfId="31232"/>
    <cellStyle name="Separador de milhares 2 2 3 2 2 5" xfId="17987"/>
    <cellStyle name="Separador de milhares 2 2 3 2 2 5 2" xfId="43054"/>
    <cellStyle name="Separador de milhares 2 2 3 2 2 6" xfId="11653"/>
    <cellStyle name="Separador de milhares 2 2 3 2 2 6 2" xfId="37143"/>
    <cellStyle name="Separador de milhares 2 2 3 2 2 7" xfId="29762"/>
    <cellStyle name="Separador de milhares 2 2 3 2 3" xfId="2448"/>
    <cellStyle name="Separador de milhares 2 2 3 2 3 2" xfId="7115"/>
    <cellStyle name="Separador de milhares 2 2 3 2 3 2 2" xfId="10259"/>
    <cellStyle name="Separador de milhares 2 2 3 2 3 2 2 2" xfId="28473"/>
    <cellStyle name="Separador de milhares 2 2 3 2 3 2 2 2 2" xfId="53540"/>
    <cellStyle name="Separador de milhares 2 2 3 2 3 2 2 3" xfId="22559"/>
    <cellStyle name="Separador de milhares 2 2 3 2 3 2 2 3 2" xfId="47626"/>
    <cellStyle name="Separador de milhares 2 2 3 2 3 2 2 4" xfId="16645"/>
    <cellStyle name="Separador de milhares 2 2 3 2 3 2 2 4 2" xfId="41712"/>
    <cellStyle name="Separador de milhares 2 2 3 2 3 2 2 5" xfId="35804"/>
    <cellStyle name="Separador de milhares 2 2 3 2 3 2 3" xfId="25516"/>
    <cellStyle name="Separador de milhares 2 2 3 2 3 2 3 2" xfId="50583"/>
    <cellStyle name="Separador de milhares 2 2 3 2 3 2 4" xfId="19602"/>
    <cellStyle name="Separador de milhares 2 2 3 2 3 2 4 2" xfId="44669"/>
    <cellStyle name="Separador de milhares 2 2 3 2 3 2 5" xfId="13504"/>
    <cellStyle name="Separador de milhares 2 2 3 2 3 2 5 2" xfId="38758"/>
    <cellStyle name="Separador de milhares 2 2 3 2 3 2 6" xfId="32847"/>
    <cellStyle name="Separador de milhares 2 2 3 2 3 3" xfId="8791"/>
    <cellStyle name="Separador de milhares 2 2 3 2 3 3 2" xfId="27005"/>
    <cellStyle name="Separador de milhares 2 2 3 2 3 3 2 2" xfId="52072"/>
    <cellStyle name="Separador de milhares 2 2 3 2 3 3 3" xfId="21091"/>
    <cellStyle name="Separador de milhares 2 2 3 2 3 3 3 2" xfId="46158"/>
    <cellStyle name="Separador de milhares 2 2 3 2 3 3 4" xfId="15177"/>
    <cellStyle name="Separador de milhares 2 2 3 2 3 3 4 2" xfId="40244"/>
    <cellStyle name="Separador de milhares 2 2 3 2 3 3 5" xfId="34336"/>
    <cellStyle name="Separador de milhares 2 2 3 2 3 4" xfId="5416"/>
    <cellStyle name="Separador de milhares 2 2 3 2 3 4 2" xfId="24048"/>
    <cellStyle name="Separador de milhares 2 2 3 2 3 4 2 2" xfId="49115"/>
    <cellStyle name="Separador de milhares 2 2 3 2 3 4 3" xfId="31379"/>
    <cellStyle name="Separador de milhares 2 2 3 2 3 5" xfId="18134"/>
    <cellStyle name="Separador de milhares 2 2 3 2 3 5 2" xfId="43201"/>
    <cellStyle name="Separador de milhares 2 2 3 2 3 6" xfId="11803"/>
    <cellStyle name="Separador de milhares 2 2 3 2 3 6 2" xfId="37290"/>
    <cellStyle name="Separador de milhares 2 2 3 2 3 7" xfId="29909"/>
    <cellStyle name="Separador de milhares 2 2 3 2 4" xfId="2975"/>
    <cellStyle name="Separador de milhares 2 2 3 2 4 2" xfId="7262"/>
    <cellStyle name="Separador de milhares 2 2 3 2 4 2 2" xfId="10406"/>
    <cellStyle name="Separador de milhares 2 2 3 2 4 2 2 2" xfId="28620"/>
    <cellStyle name="Separador de milhares 2 2 3 2 4 2 2 2 2" xfId="53687"/>
    <cellStyle name="Separador de milhares 2 2 3 2 4 2 2 3" xfId="22706"/>
    <cellStyle name="Separador de milhares 2 2 3 2 4 2 2 3 2" xfId="47773"/>
    <cellStyle name="Separador de milhares 2 2 3 2 4 2 2 4" xfId="16792"/>
    <cellStyle name="Separador de milhares 2 2 3 2 4 2 2 4 2" xfId="41859"/>
    <cellStyle name="Separador de milhares 2 2 3 2 4 2 2 5" xfId="35951"/>
    <cellStyle name="Separador de milhares 2 2 3 2 4 2 3" xfId="25663"/>
    <cellStyle name="Separador de milhares 2 2 3 2 4 2 3 2" xfId="50730"/>
    <cellStyle name="Separador de milhares 2 2 3 2 4 2 4" xfId="19749"/>
    <cellStyle name="Separador de milhares 2 2 3 2 4 2 4 2" xfId="44816"/>
    <cellStyle name="Separador de milhares 2 2 3 2 4 2 5" xfId="13651"/>
    <cellStyle name="Separador de milhares 2 2 3 2 4 2 5 2" xfId="38905"/>
    <cellStyle name="Separador de milhares 2 2 3 2 4 2 6" xfId="32994"/>
    <cellStyle name="Separador de milhares 2 2 3 2 4 3" xfId="8938"/>
    <cellStyle name="Separador de milhares 2 2 3 2 4 3 2" xfId="27152"/>
    <cellStyle name="Separador de milhares 2 2 3 2 4 3 2 2" xfId="52219"/>
    <cellStyle name="Separador de milhares 2 2 3 2 4 3 3" xfId="21238"/>
    <cellStyle name="Separador de milhares 2 2 3 2 4 3 3 2" xfId="46305"/>
    <cellStyle name="Separador de milhares 2 2 3 2 4 3 4" xfId="15324"/>
    <cellStyle name="Separador de milhares 2 2 3 2 4 3 4 2" xfId="40391"/>
    <cellStyle name="Separador de milhares 2 2 3 2 4 3 5" xfId="34483"/>
    <cellStyle name="Separador de milhares 2 2 3 2 4 4" xfId="5563"/>
    <cellStyle name="Separador de milhares 2 2 3 2 4 4 2" xfId="24195"/>
    <cellStyle name="Separador de milhares 2 2 3 2 4 4 2 2" xfId="49262"/>
    <cellStyle name="Separador de milhares 2 2 3 2 4 4 3" xfId="31526"/>
    <cellStyle name="Separador de milhares 2 2 3 2 4 5" xfId="18281"/>
    <cellStyle name="Separador de milhares 2 2 3 2 4 5 2" xfId="43348"/>
    <cellStyle name="Separador de milhares 2 2 3 2 4 6" xfId="11950"/>
    <cellStyle name="Separador de milhares 2 2 3 2 4 6 2" xfId="37437"/>
    <cellStyle name="Separador de milhares 2 2 3 2 4 7" xfId="30056"/>
    <cellStyle name="Separador de milhares 2 2 3 2 5" xfId="3502"/>
    <cellStyle name="Separador de milhares 2 2 3 2 5 2" xfId="7409"/>
    <cellStyle name="Separador de milhares 2 2 3 2 5 2 2" xfId="10553"/>
    <cellStyle name="Separador de milhares 2 2 3 2 5 2 2 2" xfId="28767"/>
    <cellStyle name="Separador de milhares 2 2 3 2 5 2 2 2 2" xfId="53834"/>
    <cellStyle name="Separador de milhares 2 2 3 2 5 2 2 3" xfId="22853"/>
    <cellStyle name="Separador de milhares 2 2 3 2 5 2 2 3 2" xfId="47920"/>
    <cellStyle name="Separador de milhares 2 2 3 2 5 2 2 4" xfId="16939"/>
    <cellStyle name="Separador de milhares 2 2 3 2 5 2 2 4 2" xfId="42006"/>
    <cellStyle name="Separador de milhares 2 2 3 2 5 2 2 5" xfId="36098"/>
    <cellStyle name="Separador de milhares 2 2 3 2 5 2 3" xfId="25810"/>
    <cellStyle name="Separador de milhares 2 2 3 2 5 2 3 2" xfId="50877"/>
    <cellStyle name="Separador de milhares 2 2 3 2 5 2 4" xfId="19896"/>
    <cellStyle name="Separador de milhares 2 2 3 2 5 2 4 2" xfId="44963"/>
    <cellStyle name="Separador de milhares 2 2 3 2 5 2 5" xfId="13798"/>
    <cellStyle name="Separador de milhares 2 2 3 2 5 2 5 2" xfId="39052"/>
    <cellStyle name="Separador de milhares 2 2 3 2 5 2 6" xfId="33141"/>
    <cellStyle name="Separador de milhares 2 2 3 2 5 3" xfId="9085"/>
    <cellStyle name="Separador de milhares 2 2 3 2 5 3 2" xfId="27299"/>
    <cellStyle name="Separador de milhares 2 2 3 2 5 3 2 2" xfId="52366"/>
    <cellStyle name="Separador de milhares 2 2 3 2 5 3 3" xfId="21385"/>
    <cellStyle name="Separador de milhares 2 2 3 2 5 3 3 2" xfId="46452"/>
    <cellStyle name="Separador de milhares 2 2 3 2 5 3 4" xfId="15471"/>
    <cellStyle name="Separador de milhares 2 2 3 2 5 3 4 2" xfId="40538"/>
    <cellStyle name="Separador de milhares 2 2 3 2 5 3 5" xfId="34630"/>
    <cellStyle name="Separador de milhares 2 2 3 2 5 4" xfId="5710"/>
    <cellStyle name="Separador de milhares 2 2 3 2 5 4 2" xfId="24342"/>
    <cellStyle name="Separador de milhares 2 2 3 2 5 4 2 2" xfId="49409"/>
    <cellStyle name="Separador de milhares 2 2 3 2 5 4 3" xfId="31673"/>
    <cellStyle name="Separador de milhares 2 2 3 2 5 5" xfId="18428"/>
    <cellStyle name="Separador de milhares 2 2 3 2 5 5 2" xfId="43495"/>
    <cellStyle name="Separador de milhares 2 2 3 2 5 6" xfId="12097"/>
    <cellStyle name="Separador de milhares 2 2 3 2 5 6 2" xfId="37584"/>
    <cellStyle name="Separador de milhares 2 2 3 2 5 7" xfId="30203"/>
    <cellStyle name="Separador de milhares 2 2 3 2 6" xfId="4029"/>
    <cellStyle name="Separador de milhares 2 2 3 2 6 2" xfId="7556"/>
    <cellStyle name="Separador de milhares 2 2 3 2 6 2 2" xfId="10700"/>
    <cellStyle name="Separador de milhares 2 2 3 2 6 2 2 2" xfId="28914"/>
    <cellStyle name="Separador de milhares 2 2 3 2 6 2 2 2 2" xfId="53981"/>
    <cellStyle name="Separador de milhares 2 2 3 2 6 2 2 3" xfId="23000"/>
    <cellStyle name="Separador de milhares 2 2 3 2 6 2 2 3 2" xfId="48067"/>
    <cellStyle name="Separador de milhares 2 2 3 2 6 2 2 4" xfId="17086"/>
    <cellStyle name="Separador de milhares 2 2 3 2 6 2 2 4 2" xfId="42153"/>
    <cellStyle name="Separador de milhares 2 2 3 2 6 2 2 5" xfId="36245"/>
    <cellStyle name="Separador de milhares 2 2 3 2 6 2 3" xfId="25957"/>
    <cellStyle name="Separador de milhares 2 2 3 2 6 2 3 2" xfId="51024"/>
    <cellStyle name="Separador de milhares 2 2 3 2 6 2 4" xfId="20043"/>
    <cellStyle name="Separador de milhares 2 2 3 2 6 2 4 2" xfId="45110"/>
    <cellStyle name="Separador de milhares 2 2 3 2 6 2 5" xfId="13945"/>
    <cellStyle name="Separador de milhares 2 2 3 2 6 2 5 2" xfId="39199"/>
    <cellStyle name="Separador de milhares 2 2 3 2 6 2 6" xfId="33288"/>
    <cellStyle name="Separador de milhares 2 2 3 2 6 3" xfId="9232"/>
    <cellStyle name="Separador de milhares 2 2 3 2 6 3 2" xfId="27446"/>
    <cellStyle name="Separador de milhares 2 2 3 2 6 3 2 2" xfId="52513"/>
    <cellStyle name="Separador de milhares 2 2 3 2 6 3 3" xfId="21532"/>
    <cellStyle name="Separador de milhares 2 2 3 2 6 3 3 2" xfId="46599"/>
    <cellStyle name="Separador de milhares 2 2 3 2 6 3 4" xfId="15618"/>
    <cellStyle name="Separador de milhares 2 2 3 2 6 3 4 2" xfId="40685"/>
    <cellStyle name="Separador de milhares 2 2 3 2 6 3 5" xfId="34777"/>
    <cellStyle name="Separador de milhares 2 2 3 2 6 4" xfId="5857"/>
    <cellStyle name="Separador de milhares 2 2 3 2 6 4 2" xfId="24489"/>
    <cellStyle name="Separador de milhares 2 2 3 2 6 4 2 2" xfId="49556"/>
    <cellStyle name="Separador de milhares 2 2 3 2 6 4 3" xfId="31820"/>
    <cellStyle name="Separador de milhares 2 2 3 2 6 5" xfId="18575"/>
    <cellStyle name="Separador de milhares 2 2 3 2 6 5 2" xfId="43642"/>
    <cellStyle name="Separador de milhares 2 2 3 2 6 6" xfId="12244"/>
    <cellStyle name="Separador de milhares 2 2 3 2 6 6 2" xfId="37731"/>
    <cellStyle name="Separador de milhares 2 2 3 2 6 7" xfId="30350"/>
    <cellStyle name="Separador de milhares 2 2 3 2 7" xfId="6601"/>
    <cellStyle name="Separador de milhares 2 2 3 2 7 2" xfId="9748"/>
    <cellStyle name="Separador de milhares 2 2 3 2 7 2 2" xfId="27962"/>
    <cellStyle name="Separador de milhares 2 2 3 2 7 2 2 2" xfId="53029"/>
    <cellStyle name="Separador de milhares 2 2 3 2 7 2 3" xfId="22048"/>
    <cellStyle name="Separador de milhares 2 2 3 2 7 2 3 2" xfId="47115"/>
    <cellStyle name="Separador de milhares 2 2 3 2 7 2 4" xfId="16134"/>
    <cellStyle name="Separador de milhares 2 2 3 2 7 2 4 2" xfId="41201"/>
    <cellStyle name="Separador de milhares 2 2 3 2 7 2 5" xfId="35293"/>
    <cellStyle name="Separador de milhares 2 2 3 2 7 3" xfId="25005"/>
    <cellStyle name="Separador de milhares 2 2 3 2 7 3 2" xfId="50072"/>
    <cellStyle name="Separador de milhares 2 2 3 2 7 4" xfId="19091"/>
    <cellStyle name="Separador de milhares 2 2 3 2 7 4 2" xfId="44158"/>
    <cellStyle name="Separador de milhares 2 2 3 2 7 5" xfId="12990"/>
    <cellStyle name="Separador de milhares 2 2 3 2 7 5 2" xfId="38247"/>
    <cellStyle name="Separador de milhares 2 2 3 2 7 6" xfId="32336"/>
    <cellStyle name="Separador de milhares 2 2 3 2 8" xfId="8280"/>
    <cellStyle name="Separador de milhares 2 2 3 2 8 2" xfId="26494"/>
    <cellStyle name="Separador de milhares 2 2 3 2 8 2 2" xfId="51561"/>
    <cellStyle name="Separador de milhares 2 2 3 2 8 3" xfId="20580"/>
    <cellStyle name="Separador de milhares 2 2 3 2 8 3 2" xfId="45647"/>
    <cellStyle name="Separador de milhares 2 2 3 2 8 4" xfId="14666"/>
    <cellStyle name="Separador de milhares 2 2 3 2 8 4 2" xfId="39733"/>
    <cellStyle name="Separador de milhares 2 2 3 2 8 5" xfId="33825"/>
    <cellStyle name="Separador de milhares 2 2 3 2 9" xfId="4902"/>
    <cellStyle name="Separador de milhares 2 2 3 2 9 2" xfId="23537"/>
    <cellStyle name="Separador de milhares 2 2 3 2 9 2 2" xfId="48604"/>
    <cellStyle name="Separador de milhares 2 2 3 2 9 3" xfId="30868"/>
    <cellStyle name="Separador de milhares 2 2 3 3" xfId="872"/>
    <cellStyle name="Separador de milhares 2 2 3 3 2" xfId="6678"/>
    <cellStyle name="Separador de milhares 2 2 3 3 2 2" xfId="9825"/>
    <cellStyle name="Separador de milhares 2 2 3 3 2 2 2" xfId="28039"/>
    <cellStyle name="Separador de milhares 2 2 3 3 2 2 2 2" xfId="53106"/>
    <cellStyle name="Separador de milhares 2 2 3 3 2 2 3" xfId="22125"/>
    <cellStyle name="Separador de milhares 2 2 3 3 2 2 3 2" xfId="47192"/>
    <cellStyle name="Separador de milhares 2 2 3 3 2 2 4" xfId="16211"/>
    <cellStyle name="Separador de milhares 2 2 3 3 2 2 4 2" xfId="41278"/>
    <cellStyle name="Separador de milhares 2 2 3 3 2 2 5" xfId="35370"/>
    <cellStyle name="Separador de milhares 2 2 3 3 2 3" xfId="25082"/>
    <cellStyle name="Separador de milhares 2 2 3 3 2 3 2" xfId="50149"/>
    <cellStyle name="Separador de milhares 2 2 3 3 2 4" xfId="19168"/>
    <cellStyle name="Separador de milhares 2 2 3 3 2 4 2" xfId="44235"/>
    <cellStyle name="Separador de milhares 2 2 3 3 2 5" xfId="13067"/>
    <cellStyle name="Separador de milhares 2 2 3 3 2 5 2" xfId="38324"/>
    <cellStyle name="Separador de milhares 2 2 3 3 2 6" xfId="32413"/>
    <cellStyle name="Separador de milhares 2 2 3 3 3" xfId="8357"/>
    <cellStyle name="Separador de milhares 2 2 3 3 3 2" xfId="26571"/>
    <cellStyle name="Separador de milhares 2 2 3 3 3 2 2" xfId="51638"/>
    <cellStyle name="Separador de milhares 2 2 3 3 3 3" xfId="20657"/>
    <cellStyle name="Separador de milhares 2 2 3 3 3 3 2" xfId="45724"/>
    <cellStyle name="Separador de milhares 2 2 3 3 3 4" xfId="14743"/>
    <cellStyle name="Separador de milhares 2 2 3 3 3 4 2" xfId="39810"/>
    <cellStyle name="Separador de milhares 2 2 3 3 3 5" xfId="33902"/>
    <cellStyle name="Separador de milhares 2 2 3 3 4" xfId="4979"/>
    <cellStyle name="Separador de milhares 2 2 3 3 4 2" xfId="23614"/>
    <cellStyle name="Separador de milhares 2 2 3 3 4 2 2" xfId="48681"/>
    <cellStyle name="Separador de milhares 2 2 3 3 4 3" xfId="30945"/>
    <cellStyle name="Separador de milhares 2 2 3 3 5" xfId="17700"/>
    <cellStyle name="Separador de milhares 2 2 3 3 5 2" xfId="42767"/>
    <cellStyle name="Separador de milhares 2 2 3 3 6" xfId="11366"/>
    <cellStyle name="Separador de milhares 2 2 3 3 6 2" xfId="36856"/>
    <cellStyle name="Separador de milhares 2 2 3 3 7" xfId="29475"/>
    <cellStyle name="Separador de milhares 2 2 3 4" xfId="1223"/>
    <cellStyle name="Separador de milhares 2 2 3 4 2" xfId="6776"/>
    <cellStyle name="Separador de milhares 2 2 3 4 2 2" xfId="9923"/>
    <cellStyle name="Separador de milhares 2 2 3 4 2 2 2" xfId="28137"/>
    <cellStyle name="Separador de milhares 2 2 3 4 2 2 2 2" xfId="53204"/>
    <cellStyle name="Separador de milhares 2 2 3 4 2 2 3" xfId="22223"/>
    <cellStyle name="Separador de milhares 2 2 3 4 2 2 3 2" xfId="47290"/>
    <cellStyle name="Separador de milhares 2 2 3 4 2 2 4" xfId="16309"/>
    <cellStyle name="Separador de milhares 2 2 3 4 2 2 4 2" xfId="41376"/>
    <cellStyle name="Separador de milhares 2 2 3 4 2 2 5" xfId="35468"/>
    <cellStyle name="Separador de milhares 2 2 3 4 2 3" xfId="25180"/>
    <cellStyle name="Separador de milhares 2 2 3 4 2 3 2" xfId="50247"/>
    <cellStyle name="Separador de milhares 2 2 3 4 2 4" xfId="19266"/>
    <cellStyle name="Separador de milhares 2 2 3 4 2 4 2" xfId="44333"/>
    <cellStyle name="Separador de milhares 2 2 3 4 2 5" xfId="13165"/>
    <cellStyle name="Separador de milhares 2 2 3 4 2 5 2" xfId="38422"/>
    <cellStyle name="Separador de milhares 2 2 3 4 2 6" xfId="32511"/>
    <cellStyle name="Separador de milhares 2 2 3 4 3" xfId="8455"/>
    <cellStyle name="Separador de milhares 2 2 3 4 3 2" xfId="26669"/>
    <cellStyle name="Separador de milhares 2 2 3 4 3 2 2" xfId="51736"/>
    <cellStyle name="Separador de milhares 2 2 3 4 3 3" xfId="20755"/>
    <cellStyle name="Separador de milhares 2 2 3 4 3 3 2" xfId="45822"/>
    <cellStyle name="Separador de milhares 2 2 3 4 3 4" xfId="14841"/>
    <cellStyle name="Separador de milhares 2 2 3 4 3 4 2" xfId="39908"/>
    <cellStyle name="Separador de milhares 2 2 3 4 3 5" xfId="34000"/>
    <cellStyle name="Separador de milhares 2 2 3 4 4" xfId="5077"/>
    <cellStyle name="Separador de milhares 2 2 3 4 4 2" xfId="23712"/>
    <cellStyle name="Separador de milhares 2 2 3 4 4 2 2" xfId="48779"/>
    <cellStyle name="Separador de milhares 2 2 3 4 4 3" xfId="31043"/>
    <cellStyle name="Separador de milhares 2 2 3 4 5" xfId="17798"/>
    <cellStyle name="Separador de milhares 2 2 3 4 5 2" xfId="42865"/>
    <cellStyle name="Separador de milhares 2 2 3 4 6" xfId="11464"/>
    <cellStyle name="Separador de milhares 2 2 3 4 6 2" xfId="36954"/>
    <cellStyle name="Separador de milhares 2 2 3 4 7" xfId="29573"/>
    <cellStyle name="Separador de milhares 2 2 3 5" xfId="1658"/>
    <cellStyle name="Separador de milhares 2 2 3 5 2" xfId="6895"/>
    <cellStyle name="Separador de milhares 2 2 3 5 2 2" xfId="10042"/>
    <cellStyle name="Separador de milhares 2 2 3 5 2 2 2" xfId="28256"/>
    <cellStyle name="Separador de milhares 2 2 3 5 2 2 2 2" xfId="53323"/>
    <cellStyle name="Separador de milhares 2 2 3 5 2 2 3" xfId="22342"/>
    <cellStyle name="Separador de milhares 2 2 3 5 2 2 3 2" xfId="47409"/>
    <cellStyle name="Separador de milhares 2 2 3 5 2 2 4" xfId="16428"/>
    <cellStyle name="Separador de milhares 2 2 3 5 2 2 4 2" xfId="41495"/>
    <cellStyle name="Separador de milhares 2 2 3 5 2 2 5" xfId="35587"/>
    <cellStyle name="Separador de milhares 2 2 3 5 2 3" xfId="25299"/>
    <cellStyle name="Separador de milhares 2 2 3 5 2 3 2" xfId="50366"/>
    <cellStyle name="Separador de milhares 2 2 3 5 2 4" xfId="19385"/>
    <cellStyle name="Separador de milhares 2 2 3 5 2 4 2" xfId="44452"/>
    <cellStyle name="Separador de milhares 2 2 3 5 2 5" xfId="13284"/>
    <cellStyle name="Separador de milhares 2 2 3 5 2 5 2" xfId="38541"/>
    <cellStyle name="Separador de milhares 2 2 3 5 2 6" xfId="32630"/>
    <cellStyle name="Separador de milhares 2 2 3 5 3" xfId="8574"/>
    <cellStyle name="Separador de milhares 2 2 3 5 3 2" xfId="26788"/>
    <cellStyle name="Separador de milhares 2 2 3 5 3 2 2" xfId="51855"/>
    <cellStyle name="Separador de milhares 2 2 3 5 3 3" xfId="20874"/>
    <cellStyle name="Separador de milhares 2 2 3 5 3 3 2" xfId="45941"/>
    <cellStyle name="Separador de milhares 2 2 3 5 3 4" xfId="14960"/>
    <cellStyle name="Separador de milhares 2 2 3 5 3 4 2" xfId="40027"/>
    <cellStyle name="Separador de milhares 2 2 3 5 3 5" xfId="34119"/>
    <cellStyle name="Separador de milhares 2 2 3 5 4" xfId="5196"/>
    <cellStyle name="Separador de milhares 2 2 3 5 4 2" xfId="23831"/>
    <cellStyle name="Separador de milhares 2 2 3 5 4 2 2" xfId="48898"/>
    <cellStyle name="Separador de milhares 2 2 3 5 4 3" xfId="31162"/>
    <cellStyle name="Separador de milhares 2 2 3 5 5" xfId="17917"/>
    <cellStyle name="Separador de milhares 2 2 3 5 5 2" xfId="42984"/>
    <cellStyle name="Separador de milhares 2 2 3 5 6" xfId="11583"/>
    <cellStyle name="Separador de milhares 2 2 3 5 6 2" xfId="37073"/>
    <cellStyle name="Separador de milhares 2 2 3 5 7" xfId="29692"/>
    <cellStyle name="Separador de milhares 2 2 3 6" xfId="2188"/>
    <cellStyle name="Separador de milhares 2 2 3 6 2" xfId="7045"/>
    <cellStyle name="Separador de milhares 2 2 3 6 2 2" xfId="10189"/>
    <cellStyle name="Separador de milhares 2 2 3 6 2 2 2" xfId="28403"/>
    <cellStyle name="Separador de milhares 2 2 3 6 2 2 2 2" xfId="53470"/>
    <cellStyle name="Separador de milhares 2 2 3 6 2 2 3" xfId="22489"/>
    <cellStyle name="Separador de milhares 2 2 3 6 2 2 3 2" xfId="47556"/>
    <cellStyle name="Separador de milhares 2 2 3 6 2 2 4" xfId="16575"/>
    <cellStyle name="Separador de milhares 2 2 3 6 2 2 4 2" xfId="41642"/>
    <cellStyle name="Separador de milhares 2 2 3 6 2 2 5" xfId="35734"/>
    <cellStyle name="Separador de milhares 2 2 3 6 2 3" xfId="25446"/>
    <cellStyle name="Separador de milhares 2 2 3 6 2 3 2" xfId="50513"/>
    <cellStyle name="Separador de milhares 2 2 3 6 2 4" xfId="19532"/>
    <cellStyle name="Separador de milhares 2 2 3 6 2 4 2" xfId="44599"/>
    <cellStyle name="Separador de milhares 2 2 3 6 2 5" xfId="13434"/>
    <cellStyle name="Separador de milhares 2 2 3 6 2 5 2" xfId="38688"/>
    <cellStyle name="Separador de milhares 2 2 3 6 2 6" xfId="32777"/>
    <cellStyle name="Separador de milhares 2 2 3 6 3" xfId="8721"/>
    <cellStyle name="Separador de milhares 2 2 3 6 3 2" xfId="26935"/>
    <cellStyle name="Separador de milhares 2 2 3 6 3 2 2" xfId="52002"/>
    <cellStyle name="Separador de milhares 2 2 3 6 3 3" xfId="21021"/>
    <cellStyle name="Separador de milhares 2 2 3 6 3 3 2" xfId="46088"/>
    <cellStyle name="Separador de milhares 2 2 3 6 3 4" xfId="15107"/>
    <cellStyle name="Separador de milhares 2 2 3 6 3 4 2" xfId="40174"/>
    <cellStyle name="Separador de milhares 2 2 3 6 3 5" xfId="34266"/>
    <cellStyle name="Separador de milhares 2 2 3 6 4" xfId="5346"/>
    <cellStyle name="Separador de milhares 2 2 3 6 4 2" xfId="23978"/>
    <cellStyle name="Separador de milhares 2 2 3 6 4 2 2" xfId="49045"/>
    <cellStyle name="Separador de milhares 2 2 3 6 4 3" xfId="31309"/>
    <cellStyle name="Separador de milhares 2 2 3 6 5" xfId="18064"/>
    <cellStyle name="Separador de milhares 2 2 3 6 5 2" xfId="43131"/>
    <cellStyle name="Separador de milhares 2 2 3 6 6" xfId="11733"/>
    <cellStyle name="Separador de milhares 2 2 3 6 6 2" xfId="37220"/>
    <cellStyle name="Separador de milhares 2 2 3 6 7" xfId="29839"/>
    <cellStyle name="Separador de milhares 2 2 3 7" xfId="2715"/>
    <cellStyle name="Separador de milhares 2 2 3 7 2" xfId="7192"/>
    <cellStyle name="Separador de milhares 2 2 3 7 2 2" xfId="10336"/>
    <cellStyle name="Separador de milhares 2 2 3 7 2 2 2" xfId="28550"/>
    <cellStyle name="Separador de milhares 2 2 3 7 2 2 2 2" xfId="53617"/>
    <cellStyle name="Separador de milhares 2 2 3 7 2 2 3" xfId="22636"/>
    <cellStyle name="Separador de milhares 2 2 3 7 2 2 3 2" xfId="47703"/>
    <cellStyle name="Separador de milhares 2 2 3 7 2 2 4" xfId="16722"/>
    <cellStyle name="Separador de milhares 2 2 3 7 2 2 4 2" xfId="41789"/>
    <cellStyle name="Separador de milhares 2 2 3 7 2 2 5" xfId="35881"/>
    <cellStyle name="Separador de milhares 2 2 3 7 2 3" xfId="25593"/>
    <cellStyle name="Separador de milhares 2 2 3 7 2 3 2" xfId="50660"/>
    <cellStyle name="Separador de milhares 2 2 3 7 2 4" xfId="19679"/>
    <cellStyle name="Separador de milhares 2 2 3 7 2 4 2" xfId="44746"/>
    <cellStyle name="Separador de milhares 2 2 3 7 2 5" xfId="13581"/>
    <cellStyle name="Separador de milhares 2 2 3 7 2 5 2" xfId="38835"/>
    <cellStyle name="Separador de milhares 2 2 3 7 2 6" xfId="32924"/>
    <cellStyle name="Separador de milhares 2 2 3 7 3" xfId="8868"/>
    <cellStyle name="Separador de milhares 2 2 3 7 3 2" xfId="27082"/>
    <cellStyle name="Separador de milhares 2 2 3 7 3 2 2" xfId="52149"/>
    <cellStyle name="Separador de milhares 2 2 3 7 3 3" xfId="21168"/>
    <cellStyle name="Separador de milhares 2 2 3 7 3 3 2" xfId="46235"/>
    <cellStyle name="Separador de milhares 2 2 3 7 3 4" xfId="15254"/>
    <cellStyle name="Separador de milhares 2 2 3 7 3 4 2" xfId="40321"/>
    <cellStyle name="Separador de milhares 2 2 3 7 3 5" xfId="34413"/>
    <cellStyle name="Separador de milhares 2 2 3 7 4" xfId="5493"/>
    <cellStyle name="Separador de milhares 2 2 3 7 4 2" xfId="24125"/>
    <cellStyle name="Separador de milhares 2 2 3 7 4 2 2" xfId="49192"/>
    <cellStyle name="Separador de milhares 2 2 3 7 4 3" xfId="31456"/>
    <cellStyle name="Separador de milhares 2 2 3 7 5" xfId="18211"/>
    <cellStyle name="Separador de milhares 2 2 3 7 5 2" xfId="43278"/>
    <cellStyle name="Separador de milhares 2 2 3 7 6" xfId="11880"/>
    <cellStyle name="Separador de milhares 2 2 3 7 6 2" xfId="37367"/>
    <cellStyle name="Separador de milhares 2 2 3 7 7" xfId="29986"/>
    <cellStyle name="Separador de milhares 2 2 3 8" xfId="3242"/>
    <cellStyle name="Separador de milhares 2 2 3 8 2" xfId="7339"/>
    <cellStyle name="Separador de milhares 2 2 3 8 2 2" xfId="10483"/>
    <cellStyle name="Separador de milhares 2 2 3 8 2 2 2" xfId="28697"/>
    <cellStyle name="Separador de milhares 2 2 3 8 2 2 2 2" xfId="53764"/>
    <cellStyle name="Separador de milhares 2 2 3 8 2 2 3" xfId="22783"/>
    <cellStyle name="Separador de milhares 2 2 3 8 2 2 3 2" xfId="47850"/>
    <cellStyle name="Separador de milhares 2 2 3 8 2 2 4" xfId="16869"/>
    <cellStyle name="Separador de milhares 2 2 3 8 2 2 4 2" xfId="41936"/>
    <cellStyle name="Separador de milhares 2 2 3 8 2 2 5" xfId="36028"/>
    <cellStyle name="Separador de milhares 2 2 3 8 2 3" xfId="25740"/>
    <cellStyle name="Separador de milhares 2 2 3 8 2 3 2" xfId="50807"/>
    <cellStyle name="Separador de milhares 2 2 3 8 2 4" xfId="19826"/>
    <cellStyle name="Separador de milhares 2 2 3 8 2 4 2" xfId="44893"/>
    <cellStyle name="Separador de milhares 2 2 3 8 2 5" xfId="13728"/>
    <cellStyle name="Separador de milhares 2 2 3 8 2 5 2" xfId="38982"/>
    <cellStyle name="Separador de milhares 2 2 3 8 2 6" xfId="33071"/>
    <cellStyle name="Separador de milhares 2 2 3 8 3" xfId="9015"/>
    <cellStyle name="Separador de milhares 2 2 3 8 3 2" xfId="27229"/>
    <cellStyle name="Separador de milhares 2 2 3 8 3 2 2" xfId="52296"/>
    <cellStyle name="Separador de milhares 2 2 3 8 3 3" xfId="21315"/>
    <cellStyle name="Separador de milhares 2 2 3 8 3 3 2" xfId="46382"/>
    <cellStyle name="Separador de milhares 2 2 3 8 3 4" xfId="15401"/>
    <cellStyle name="Separador de milhares 2 2 3 8 3 4 2" xfId="40468"/>
    <cellStyle name="Separador de milhares 2 2 3 8 3 5" xfId="34560"/>
    <cellStyle name="Separador de milhares 2 2 3 8 4" xfId="5640"/>
    <cellStyle name="Separador de milhares 2 2 3 8 4 2" xfId="24272"/>
    <cellStyle name="Separador de milhares 2 2 3 8 4 2 2" xfId="49339"/>
    <cellStyle name="Separador de milhares 2 2 3 8 4 3" xfId="31603"/>
    <cellStyle name="Separador de milhares 2 2 3 8 5" xfId="18358"/>
    <cellStyle name="Separador de milhares 2 2 3 8 5 2" xfId="43425"/>
    <cellStyle name="Separador de milhares 2 2 3 8 6" xfId="12027"/>
    <cellStyle name="Separador de milhares 2 2 3 8 6 2" xfId="37514"/>
    <cellStyle name="Separador de milhares 2 2 3 8 7" xfId="30133"/>
    <cellStyle name="Separador de milhares 2 2 3 9" xfId="3769"/>
    <cellStyle name="Separador de milhares 2 2 3 9 2" xfId="7486"/>
    <cellStyle name="Separador de milhares 2 2 3 9 2 2" xfId="10630"/>
    <cellStyle name="Separador de milhares 2 2 3 9 2 2 2" xfId="28844"/>
    <cellStyle name="Separador de milhares 2 2 3 9 2 2 2 2" xfId="53911"/>
    <cellStyle name="Separador de milhares 2 2 3 9 2 2 3" xfId="22930"/>
    <cellStyle name="Separador de milhares 2 2 3 9 2 2 3 2" xfId="47997"/>
    <cellStyle name="Separador de milhares 2 2 3 9 2 2 4" xfId="17016"/>
    <cellStyle name="Separador de milhares 2 2 3 9 2 2 4 2" xfId="42083"/>
    <cellStyle name="Separador de milhares 2 2 3 9 2 2 5" xfId="36175"/>
    <cellStyle name="Separador de milhares 2 2 3 9 2 3" xfId="25887"/>
    <cellStyle name="Separador de milhares 2 2 3 9 2 3 2" xfId="50954"/>
    <cellStyle name="Separador de milhares 2 2 3 9 2 4" xfId="19973"/>
    <cellStyle name="Separador de milhares 2 2 3 9 2 4 2" xfId="45040"/>
    <cellStyle name="Separador de milhares 2 2 3 9 2 5" xfId="13875"/>
    <cellStyle name="Separador de milhares 2 2 3 9 2 5 2" xfId="39129"/>
    <cellStyle name="Separador de milhares 2 2 3 9 2 6" xfId="33218"/>
    <cellStyle name="Separador de milhares 2 2 3 9 3" xfId="9162"/>
    <cellStyle name="Separador de milhares 2 2 3 9 3 2" xfId="27376"/>
    <cellStyle name="Separador de milhares 2 2 3 9 3 2 2" xfId="52443"/>
    <cellStyle name="Separador de milhares 2 2 3 9 3 3" xfId="21462"/>
    <cellStyle name="Separador de milhares 2 2 3 9 3 3 2" xfId="46529"/>
    <cellStyle name="Separador de milhares 2 2 3 9 3 4" xfId="15548"/>
    <cellStyle name="Separador de milhares 2 2 3 9 3 4 2" xfId="40615"/>
    <cellStyle name="Separador de milhares 2 2 3 9 3 5" xfId="34707"/>
    <cellStyle name="Separador de milhares 2 2 3 9 4" xfId="5787"/>
    <cellStyle name="Separador de milhares 2 2 3 9 4 2" xfId="24419"/>
    <cellStyle name="Separador de milhares 2 2 3 9 4 2 2" xfId="49486"/>
    <cellStyle name="Separador de milhares 2 2 3 9 4 3" xfId="31750"/>
    <cellStyle name="Separador de milhares 2 2 3 9 5" xfId="18505"/>
    <cellStyle name="Separador de milhares 2 2 3 9 5 2" xfId="43572"/>
    <cellStyle name="Separador de milhares 2 2 3 9 6" xfId="12174"/>
    <cellStyle name="Separador de milhares 2 2 3 9 6 2" xfId="37661"/>
    <cellStyle name="Separador de milhares 2 2 3 9 7" xfId="30280"/>
    <cellStyle name="Separador de milhares 2 2 4" xfId="221"/>
    <cellStyle name="Separador de milhares 2 2 4 10" xfId="6477"/>
    <cellStyle name="Separador de milhares 2 2 4 10 2" xfId="9628"/>
    <cellStyle name="Separador de milhares 2 2 4 10 2 2" xfId="27842"/>
    <cellStyle name="Separador de milhares 2 2 4 10 2 2 2" xfId="52909"/>
    <cellStyle name="Separador de milhares 2 2 4 10 2 3" xfId="21928"/>
    <cellStyle name="Separador de milhares 2 2 4 10 2 3 2" xfId="46995"/>
    <cellStyle name="Separador de milhares 2 2 4 10 2 4" xfId="16014"/>
    <cellStyle name="Separador de milhares 2 2 4 10 2 4 2" xfId="41081"/>
    <cellStyle name="Separador de milhares 2 2 4 10 2 5" xfId="35173"/>
    <cellStyle name="Separador de milhares 2 2 4 10 3" xfId="24885"/>
    <cellStyle name="Separador de milhares 2 2 4 10 3 2" xfId="49952"/>
    <cellStyle name="Separador de milhares 2 2 4 10 4" xfId="18971"/>
    <cellStyle name="Separador de milhares 2 2 4 10 4 2" xfId="44038"/>
    <cellStyle name="Separador de milhares 2 2 4 10 5" xfId="12866"/>
    <cellStyle name="Separador de milhares 2 2 4 10 5 2" xfId="38127"/>
    <cellStyle name="Separador de milhares 2 2 4 10 6" xfId="32216"/>
    <cellStyle name="Separador de milhares 2 2 4 11" xfId="8157"/>
    <cellStyle name="Separador de milhares 2 2 4 11 2" xfId="26371"/>
    <cellStyle name="Separador de milhares 2 2 4 11 2 2" xfId="51438"/>
    <cellStyle name="Separador de milhares 2 2 4 11 3" xfId="20457"/>
    <cellStyle name="Separador de milhares 2 2 4 11 3 2" xfId="45524"/>
    <cellStyle name="Separador de milhares 2 2 4 11 4" xfId="14546"/>
    <cellStyle name="Separador de milhares 2 2 4 11 4 2" xfId="39613"/>
    <cellStyle name="Separador de milhares 2 2 4 11 5" xfId="33702"/>
    <cellStyle name="Separador de milhares 2 2 4 12" xfId="4776"/>
    <cellStyle name="Separador de milhares 2 2 4 12 2" xfId="23414"/>
    <cellStyle name="Separador de milhares 2 2 4 12 2 2" xfId="48481"/>
    <cellStyle name="Separador de milhares 2 2 4 12 3" xfId="30746"/>
    <cellStyle name="Separador de milhares 2 2 4 13" xfId="17500"/>
    <cellStyle name="Separador de milhares 2 2 4 13 2" xfId="42567"/>
    <cellStyle name="Separador de milhares 2 2 4 14" xfId="11165"/>
    <cellStyle name="Separador de milhares 2 2 4 14 2" xfId="36659"/>
    <cellStyle name="Separador de milhares 2 2 4 15" xfId="29275"/>
    <cellStyle name="Separador de milhares 2 2 4 2" xfId="659"/>
    <cellStyle name="Separador de milhares 2 2 4 2 2" xfId="6594"/>
    <cellStyle name="Separador de milhares 2 2 4 2 2 2" xfId="9741"/>
    <cellStyle name="Separador de milhares 2 2 4 2 2 2 2" xfId="27955"/>
    <cellStyle name="Separador de milhares 2 2 4 2 2 2 2 2" xfId="53022"/>
    <cellStyle name="Separador de milhares 2 2 4 2 2 2 3" xfId="22041"/>
    <cellStyle name="Separador de milhares 2 2 4 2 2 2 3 2" xfId="47108"/>
    <cellStyle name="Separador de milhares 2 2 4 2 2 2 4" xfId="16127"/>
    <cellStyle name="Separador de milhares 2 2 4 2 2 2 4 2" xfId="41194"/>
    <cellStyle name="Separador de milhares 2 2 4 2 2 2 5" xfId="35286"/>
    <cellStyle name="Separador de milhares 2 2 4 2 2 3" xfId="24998"/>
    <cellStyle name="Separador de milhares 2 2 4 2 2 3 2" xfId="50065"/>
    <cellStyle name="Separador de milhares 2 2 4 2 2 4" xfId="19084"/>
    <cellStyle name="Separador de milhares 2 2 4 2 2 4 2" xfId="44151"/>
    <cellStyle name="Separador de milhares 2 2 4 2 2 5" xfId="12983"/>
    <cellStyle name="Separador de milhares 2 2 4 2 2 5 2" xfId="38240"/>
    <cellStyle name="Separador de milhares 2 2 4 2 2 6" xfId="32329"/>
    <cellStyle name="Separador de milhares 2 2 4 2 3" xfId="8273"/>
    <cellStyle name="Separador de milhares 2 2 4 2 3 2" xfId="26487"/>
    <cellStyle name="Separador de milhares 2 2 4 2 3 2 2" xfId="51554"/>
    <cellStyle name="Separador de milhares 2 2 4 2 3 3" xfId="20573"/>
    <cellStyle name="Separador de milhares 2 2 4 2 3 3 2" xfId="45640"/>
    <cellStyle name="Separador de milhares 2 2 4 2 3 4" xfId="14659"/>
    <cellStyle name="Separador de milhares 2 2 4 2 3 4 2" xfId="39726"/>
    <cellStyle name="Separador de milhares 2 2 4 2 3 5" xfId="33818"/>
    <cellStyle name="Separador de milhares 2 2 4 2 4" xfId="4895"/>
    <cellStyle name="Separador de milhares 2 2 4 2 4 2" xfId="23530"/>
    <cellStyle name="Separador de milhares 2 2 4 2 4 2 2" xfId="48597"/>
    <cellStyle name="Separador de milhares 2 2 4 2 4 3" xfId="30861"/>
    <cellStyle name="Separador de milhares 2 2 4 2 5" xfId="17616"/>
    <cellStyle name="Separador de milhares 2 2 4 2 5 2" xfId="42683"/>
    <cellStyle name="Separador de milhares 2 2 4 2 6" xfId="11282"/>
    <cellStyle name="Separador de milhares 2 2 4 2 6 2" xfId="36772"/>
    <cellStyle name="Separador de milhares 2 2 4 2 7" xfId="29391"/>
    <cellStyle name="Separador de milhares 2 2 4 3" xfId="781"/>
    <cellStyle name="Separador de milhares 2 2 4 3 2" xfId="6650"/>
    <cellStyle name="Separador de milhares 2 2 4 3 2 2" xfId="9797"/>
    <cellStyle name="Separador de milhares 2 2 4 3 2 2 2" xfId="28011"/>
    <cellStyle name="Separador de milhares 2 2 4 3 2 2 2 2" xfId="53078"/>
    <cellStyle name="Separador de milhares 2 2 4 3 2 2 3" xfId="22097"/>
    <cellStyle name="Separador de milhares 2 2 4 3 2 2 3 2" xfId="47164"/>
    <cellStyle name="Separador de milhares 2 2 4 3 2 2 4" xfId="16183"/>
    <cellStyle name="Separador de milhares 2 2 4 3 2 2 4 2" xfId="41250"/>
    <cellStyle name="Separador de milhares 2 2 4 3 2 2 5" xfId="35342"/>
    <cellStyle name="Separador de milhares 2 2 4 3 2 3" xfId="25054"/>
    <cellStyle name="Separador de milhares 2 2 4 3 2 3 2" xfId="50121"/>
    <cellStyle name="Separador de milhares 2 2 4 3 2 4" xfId="19140"/>
    <cellStyle name="Separador de milhares 2 2 4 3 2 4 2" xfId="44207"/>
    <cellStyle name="Separador de milhares 2 2 4 3 2 5" xfId="13039"/>
    <cellStyle name="Separador de milhares 2 2 4 3 2 5 2" xfId="38296"/>
    <cellStyle name="Separador de milhares 2 2 4 3 2 6" xfId="32385"/>
    <cellStyle name="Separador de milhares 2 2 4 3 3" xfId="8329"/>
    <cellStyle name="Separador de milhares 2 2 4 3 3 2" xfId="26543"/>
    <cellStyle name="Separador de milhares 2 2 4 3 3 2 2" xfId="51610"/>
    <cellStyle name="Separador de milhares 2 2 4 3 3 3" xfId="20629"/>
    <cellStyle name="Separador de milhares 2 2 4 3 3 3 2" xfId="45696"/>
    <cellStyle name="Separador de milhares 2 2 4 3 3 4" xfId="14715"/>
    <cellStyle name="Separador de milhares 2 2 4 3 3 4 2" xfId="39782"/>
    <cellStyle name="Separador de milhares 2 2 4 3 3 5" xfId="33874"/>
    <cellStyle name="Separador de milhares 2 2 4 3 4" xfId="4951"/>
    <cellStyle name="Separador de milhares 2 2 4 3 4 2" xfId="23586"/>
    <cellStyle name="Separador de milhares 2 2 4 3 4 2 2" xfId="48653"/>
    <cellStyle name="Separador de milhares 2 2 4 3 4 3" xfId="30917"/>
    <cellStyle name="Separador de milhares 2 2 4 3 5" xfId="17672"/>
    <cellStyle name="Separador de milhares 2 2 4 3 5 2" xfId="42739"/>
    <cellStyle name="Separador de milhares 2 2 4 3 6" xfId="11338"/>
    <cellStyle name="Separador de milhares 2 2 4 3 6 2" xfId="36828"/>
    <cellStyle name="Separador de milhares 2 2 4 3 7" xfId="29447"/>
    <cellStyle name="Separador de milhares 2 2 4 4" xfId="1132"/>
    <cellStyle name="Separador de milhares 2 2 4 4 2" xfId="6748"/>
    <cellStyle name="Separador de milhares 2 2 4 4 2 2" xfId="9895"/>
    <cellStyle name="Separador de milhares 2 2 4 4 2 2 2" xfId="28109"/>
    <cellStyle name="Separador de milhares 2 2 4 4 2 2 2 2" xfId="53176"/>
    <cellStyle name="Separador de milhares 2 2 4 4 2 2 3" xfId="22195"/>
    <cellStyle name="Separador de milhares 2 2 4 4 2 2 3 2" xfId="47262"/>
    <cellStyle name="Separador de milhares 2 2 4 4 2 2 4" xfId="16281"/>
    <cellStyle name="Separador de milhares 2 2 4 4 2 2 4 2" xfId="41348"/>
    <cellStyle name="Separador de milhares 2 2 4 4 2 2 5" xfId="35440"/>
    <cellStyle name="Separador de milhares 2 2 4 4 2 3" xfId="25152"/>
    <cellStyle name="Separador de milhares 2 2 4 4 2 3 2" xfId="50219"/>
    <cellStyle name="Separador de milhares 2 2 4 4 2 4" xfId="19238"/>
    <cellStyle name="Separador de milhares 2 2 4 4 2 4 2" xfId="44305"/>
    <cellStyle name="Separador de milhares 2 2 4 4 2 5" xfId="13137"/>
    <cellStyle name="Separador de milhares 2 2 4 4 2 5 2" xfId="38394"/>
    <cellStyle name="Separador de milhares 2 2 4 4 2 6" xfId="32483"/>
    <cellStyle name="Separador de milhares 2 2 4 4 3" xfId="8427"/>
    <cellStyle name="Separador de milhares 2 2 4 4 3 2" xfId="26641"/>
    <cellStyle name="Separador de milhares 2 2 4 4 3 2 2" xfId="51708"/>
    <cellStyle name="Separador de milhares 2 2 4 4 3 3" xfId="20727"/>
    <cellStyle name="Separador de milhares 2 2 4 4 3 3 2" xfId="45794"/>
    <cellStyle name="Separador de milhares 2 2 4 4 3 4" xfId="14813"/>
    <cellStyle name="Separador de milhares 2 2 4 4 3 4 2" xfId="39880"/>
    <cellStyle name="Separador de milhares 2 2 4 4 3 5" xfId="33972"/>
    <cellStyle name="Separador de milhares 2 2 4 4 4" xfId="5049"/>
    <cellStyle name="Separador de milhares 2 2 4 4 4 2" xfId="23684"/>
    <cellStyle name="Separador de milhares 2 2 4 4 4 2 2" xfId="48751"/>
    <cellStyle name="Separador de milhares 2 2 4 4 4 3" xfId="31015"/>
    <cellStyle name="Separador de milhares 2 2 4 4 5" xfId="17770"/>
    <cellStyle name="Separador de milhares 2 2 4 4 5 2" xfId="42837"/>
    <cellStyle name="Separador de milhares 2 2 4 4 6" xfId="11436"/>
    <cellStyle name="Separador de milhares 2 2 4 4 6 2" xfId="36926"/>
    <cellStyle name="Separador de milhares 2 2 4 4 7" xfId="29545"/>
    <cellStyle name="Separador de milhares 2 2 4 5" xfId="1567"/>
    <cellStyle name="Separador de milhares 2 2 4 5 2" xfId="6867"/>
    <cellStyle name="Separador de milhares 2 2 4 5 2 2" xfId="10014"/>
    <cellStyle name="Separador de milhares 2 2 4 5 2 2 2" xfId="28228"/>
    <cellStyle name="Separador de milhares 2 2 4 5 2 2 2 2" xfId="53295"/>
    <cellStyle name="Separador de milhares 2 2 4 5 2 2 3" xfId="22314"/>
    <cellStyle name="Separador de milhares 2 2 4 5 2 2 3 2" xfId="47381"/>
    <cellStyle name="Separador de milhares 2 2 4 5 2 2 4" xfId="16400"/>
    <cellStyle name="Separador de milhares 2 2 4 5 2 2 4 2" xfId="41467"/>
    <cellStyle name="Separador de milhares 2 2 4 5 2 2 5" xfId="35559"/>
    <cellStyle name="Separador de milhares 2 2 4 5 2 3" xfId="25271"/>
    <cellStyle name="Separador de milhares 2 2 4 5 2 3 2" xfId="50338"/>
    <cellStyle name="Separador de milhares 2 2 4 5 2 4" xfId="19357"/>
    <cellStyle name="Separador de milhares 2 2 4 5 2 4 2" xfId="44424"/>
    <cellStyle name="Separador de milhares 2 2 4 5 2 5" xfId="13256"/>
    <cellStyle name="Separador de milhares 2 2 4 5 2 5 2" xfId="38513"/>
    <cellStyle name="Separador de milhares 2 2 4 5 2 6" xfId="32602"/>
    <cellStyle name="Separador de milhares 2 2 4 5 3" xfId="8546"/>
    <cellStyle name="Separador de milhares 2 2 4 5 3 2" xfId="26760"/>
    <cellStyle name="Separador de milhares 2 2 4 5 3 2 2" xfId="51827"/>
    <cellStyle name="Separador de milhares 2 2 4 5 3 3" xfId="20846"/>
    <cellStyle name="Separador de milhares 2 2 4 5 3 3 2" xfId="45913"/>
    <cellStyle name="Separador de milhares 2 2 4 5 3 4" xfId="14932"/>
    <cellStyle name="Separador de milhares 2 2 4 5 3 4 2" xfId="39999"/>
    <cellStyle name="Separador de milhares 2 2 4 5 3 5" xfId="34091"/>
    <cellStyle name="Separador de milhares 2 2 4 5 4" xfId="5168"/>
    <cellStyle name="Separador de milhares 2 2 4 5 4 2" xfId="23803"/>
    <cellStyle name="Separador de milhares 2 2 4 5 4 2 2" xfId="48870"/>
    <cellStyle name="Separador de milhares 2 2 4 5 4 3" xfId="31134"/>
    <cellStyle name="Separador de milhares 2 2 4 5 5" xfId="17889"/>
    <cellStyle name="Separador de milhares 2 2 4 5 5 2" xfId="42956"/>
    <cellStyle name="Separador de milhares 2 2 4 5 6" xfId="11555"/>
    <cellStyle name="Separador de milhares 2 2 4 5 6 2" xfId="37045"/>
    <cellStyle name="Separador de milhares 2 2 4 5 7" xfId="29664"/>
    <cellStyle name="Separador de milhares 2 2 4 6" xfId="2097"/>
    <cellStyle name="Separador de milhares 2 2 4 6 2" xfId="7017"/>
    <cellStyle name="Separador de milhares 2 2 4 6 2 2" xfId="10161"/>
    <cellStyle name="Separador de milhares 2 2 4 6 2 2 2" xfId="28375"/>
    <cellStyle name="Separador de milhares 2 2 4 6 2 2 2 2" xfId="53442"/>
    <cellStyle name="Separador de milhares 2 2 4 6 2 2 3" xfId="22461"/>
    <cellStyle name="Separador de milhares 2 2 4 6 2 2 3 2" xfId="47528"/>
    <cellStyle name="Separador de milhares 2 2 4 6 2 2 4" xfId="16547"/>
    <cellStyle name="Separador de milhares 2 2 4 6 2 2 4 2" xfId="41614"/>
    <cellStyle name="Separador de milhares 2 2 4 6 2 2 5" xfId="35706"/>
    <cellStyle name="Separador de milhares 2 2 4 6 2 3" xfId="25418"/>
    <cellStyle name="Separador de milhares 2 2 4 6 2 3 2" xfId="50485"/>
    <cellStyle name="Separador de milhares 2 2 4 6 2 4" xfId="19504"/>
    <cellStyle name="Separador de milhares 2 2 4 6 2 4 2" xfId="44571"/>
    <cellStyle name="Separador de milhares 2 2 4 6 2 5" xfId="13406"/>
    <cellStyle name="Separador de milhares 2 2 4 6 2 5 2" xfId="38660"/>
    <cellStyle name="Separador de milhares 2 2 4 6 2 6" xfId="32749"/>
    <cellStyle name="Separador de milhares 2 2 4 6 3" xfId="8693"/>
    <cellStyle name="Separador de milhares 2 2 4 6 3 2" xfId="26907"/>
    <cellStyle name="Separador de milhares 2 2 4 6 3 2 2" xfId="51974"/>
    <cellStyle name="Separador de milhares 2 2 4 6 3 3" xfId="20993"/>
    <cellStyle name="Separador de milhares 2 2 4 6 3 3 2" xfId="46060"/>
    <cellStyle name="Separador de milhares 2 2 4 6 3 4" xfId="15079"/>
    <cellStyle name="Separador de milhares 2 2 4 6 3 4 2" xfId="40146"/>
    <cellStyle name="Separador de milhares 2 2 4 6 3 5" xfId="34238"/>
    <cellStyle name="Separador de milhares 2 2 4 6 4" xfId="5318"/>
    <cellStyle name="Separador de milhares 2 2 4 6 4 2" xfId="23950"/>
    <cellStyle name="Separador de milhares 2 2 4 6 4 2 2" xfId="49017"/>
    <cellStyle name="Separador de milhares 2 2 4 6 4 3" xfId="31281"/>
    <cellStyle name="Separador de milhares 2 2 4 6 5" xfId="18036"/>
    <cellStyle name="Separador de milhares 2 2 4 6 5 2" xfId="43103"/>
    <cellStyle name="Separador de milhares 2 2 4 6 6" xfId="11705"/>
    <cellStyle name="Separador de milhares 2 2 4 6 6 2" xfId="37192"/>
    <cellStyle name="Separador de milhares 2 2 4 6 7" xfId="29811"/>
    <cellStyle name="Separador de milhares 2 2 4 7" xfId="2624"/>
    <cellStyle name="Separador de milhares 2 2 4 7 2" xfId="7164"/>
    <cellStyle name="Separador de milhares 2 2 4 7 2 2" xfId="10308"/>
    <cellStyle name="Separador de milhares 2 2 4 7 2 2 2" xfId="28522"/>
    <cellStyle name="Separador de milhares 2 2 4 7 2 2 2 2" xfId="53589"/>
    <cellStyle name="Separador de milhares 2 2 4 7 2 2 3" xfId="22608"/>
    <cellStyle name="Separador de milhares 2 2 4 7 2 2 3 2" xfId="47675"/>
    <cellStyle name="Separador de milhares 2 2 4 7 2 2 4" xfId="16694"/>
    <cellStyle name="Separador de milhares 2 2 4 7 2 2 4 2" xfId="41761"/>
    <cellStyle name="Separador de milhares 2 2 4 7 2 2 5" xfId="35853"/>
    <cellStyle name="Separador de milhares 2 2 4 7 2 3" xfId="25565"/>
    <cellStyle name="Separador de milhares 2 2 4 7 2 3 2" xfId="50632"/>
    <cellStyle name="Separador de milhares 2 2 4 7 2 4" xfId="19651"/>
    <cellStyle name="Separador de milhares 2 2 4 7 2 4 2" xfId="44718"/>
    <cellStyle name="Separador de milhares 2 2 4 7 2 5" xfId="13553"/>
    <cellStyle name="Separador de milhares 2 2 4 7 2 5 2" xfId="38807"/>
    <cellStyle name="Separador de milhares 2 2 4 7 2 6" xfId="32896"/>
    <cellStyle name="Separador de milhares 2 2 4 7 3" xfId="8840"/>
    <cellStyle name="Separador de milhares 2 2 4 7 3 2" xfId="27054"/>
    <cellStyle name="Separador de milhares 2 2 4 7 3 2 2" xfId="52121"/>
    <cellStyle name="Separador de milhares 2 2 4 7 3 3" xfId="21140"/>
    <cellStyle name="Separador de milhares 2 2 4 7 3 3 2" xfId="46207"/>
    <cellStyle name="Separador de milhares 2 2 4 7 3 4" xfId="15226"/>
    <cellStyle name="Separador de milhares 2 2 4 7 3 4 2" xfId="40293"/>
    <cellStyle name="Separador de milhares 2 2 4 7 3 5" xfId="34385"/>
    <cellStyle name="Separador de milhares 2 2 4 7 4" xfId="5465"/>
    <cellStyle name="Separador de milhares 2 2 4 7 4 2" xfId="24097"/>
    <cellStyle name="Separador de milhares 2 2 4 7 4 2 2" xfId="49164"/>
    <cellStyle name="Separador de milhares 2 2 4 7 4 3" xfId="31428"/>
    <cellStyle name="Separador de milhares 2 2 4 7 5" xfId="18183"/>
    <cellStyle name="Separador de milhares 2 2 4 7 5 2" xfId="43250"/>
    <cellStyle name="Separador de milhares 2 2 4 7 6" xfId="11852"/>
    <cellStyle name="Separador de milhares 2 2 4 7 6 2" xfId="37339"/>
    <cellStyle name="Separador de milhares 2 2 4 7 7" xfId="29958"/>
    <cellStyle name="Separador de milhares 2 2 4 8" xfId="3151"/>
    <cellStyle name="Separador de milhares 2 2 4 8 2" xfId="7311"/>
    <cellStyle name="Separador de milhares 2 2 4 8 2 2" xfId="10455"/>
    <cellStyle name="Separador de milhares 2 2 4 8 2 2 2" xfId="28669"/>
    <cellStyle name="Separador de milhares 2 2 4 8 2 2 2 2" xfId="53736"/>
    <cellStyle name="Separador de milhares 2 2 4 8 2 2 3" xfId="22755"/>
    <cellStyle name="Separador de milhares 2 2 4 8 2 2 3 2" xfId="47822"/>
    <cellStyle name="Separador de milhares 2 2 4 8 2 2 4" xfId="16841"/>
    <cellStyle name="Separador de milhares 2 2 4 8 2 2 4 2" xfId="41908"/>
    <cellStyle name="Separador de milhares 2 2 4 8 2 2 5" xfId="36000"/>
    <cellStyle name="Separador de milhares 2 2 4 8 2 3" xfId="25712"/>
    <cellStyle name="Separador de milhares 2 2 4 8 2 3 2" xfId="50779"/>
    <cellStyle name="Separador de milhares 2 2 4 8 2 4" xfId="19798"/>
    <cellStyle name="Separador de milhares 2 2 4 8 2 4 2" xfId="44865"/>
    <cellStyle name="Separador de milhares 2 2 4 8 2 5" xfId="13700"/>
    <cellStyle name="Separador de milhares 2 2 4 8 2 5 2" xfId="38954"/>
    <cellStyle name="Separador de milhares 2 2 4 8 2 6" xfId="33043"/>
    <cellStyle name="Separador de milhares 2 2 4 8 3" xfId="8987"/>
    <cellStyle name="Separador de milhares 2 2 4 8 3 2" xfId="27201"/>
    <cellStyle name="Separador de milhares 2 2 4 8 3 2 2" xfId="52268"/>
    <cellStyle name="Separador de milhares 2 2 4 8 3 3" xfId="21287"/>
    <cellStyle name="Separador de milhares 2 2 4 8 3 3 2" xfId="46354"/>
    <cellStyle name="Separador de milhares 2 2 4 8 3 4" xfId="15373"/>
    <cellStyle name="Separador de milhares 2 2 4 8 3 4 2" xfId="40440"/>
    <cellStyle name="Separador de milhares 2 2 4 8 3 5" xfId="34532"/>
    <cellStyle name="Separador de milhares 2 2 4 8 4" xfId="5612"/>
    <cellStyle name="Separador de milhares 2 2 4 8 4 2" xfId="24244"/>
    <cellStyle name="Separador de milhares 2 2 4 8 4 2 2" xfId="49311"/>
    <cellStyle name="Separador de milhares 2 2 4 8 4 3" xfId="31575"/>
    <cellStyle name="Separador de milhares 2 2 4 8 5" xfId="18330"/>
    <cellStyle name="Separador de milhares 2 2 4 8 5 2" xfId="43397"/>
    <cellStyle name="Separador de milhares 2 2 4 8 6" xfId="11999"/>
    <cellStyle name="Separador de milhares 2 2 4 8 6 2" xfId="37486"/>
    <cellStyle name="Separador de milhares 2 2 4 8 7" xfId="30105"/>
    <cellStyle name="Separador de milhares 2 2 4 9" xfId="3678"/>
    <cellStyle name="Separador de milhares 2 2 4 9 2" xfId="7458"/>
    <cellStyle name="Separador de milhares 2 2 4 9 2 2" xfId="10602"/>
    <cellStyle name="Separador de milhares 2 2 4 9 2 2 2" xfId="28816"/>
    <cellStyle name="Separador de milhares 2 2 4 9 2 2 2 2" xfId="53883"/>
    <cellStyle name="Separador de milhares 2 2 4 9 2 2 3" xfId="22902"/>
    <cellStyle name="Separador de milhares 2 2 4 9 2 2 3 2" xfId="47969"/>
    <cellStyle name="Separador de milhares 2 2 4 9 2 2 4" xfId="16988"/>
    <cellStyle name="Separador de milhares 2 2 4 9 2 2 4 2" xfId="42055"/>
    <cellStyle name="Separador de milhares 2 2 4 9 2 2 5" xfId="36147"/>
    <cellStyle name="Separador de milhares 2 2 4 9 2 3" xfId="25859"/>
    <cellStyle name="Separador de milhares 2 2 4 9 2 3 2" xfId="50926"/>
    <cellStyle name="Separador de milhares 2 2 4 9 2 4" xfId="19945"/>
    <cellStyle name="Separador de milhares 2 2 4 9 2 4 2" xfId="45012"/>
    <cellStyle name="Separador de milhares 2 2 4 9 2 5" xfId="13847"/>
    <cellStyle name="Separador de milhares 2 2 4 9 2 5 2" xfId="39101"/>
    <cellStyle name="Separador de milhares 2 2 4 9 2 6" xfId="33190"/>
    <cellStyle name="Separador de milhares 2 2 4 9 3" xfId="9134"/>
    <cellStyle name="Separador de milhares 2 2 4 9 3 2" xfId="27348"/>
    <cellStyle name="Separador de milhares 2 2 4 9 3 2 2" xfId="52415"/>
    <cellStyle name="Separador de milhares 2 2 4 9 3 3" xfId="21434"/>
    <cellStyle name="Separador de milhares 2 2 4 9 3 3 2" xfId="46501"/>
    <cellStyle name="Separador de milhares 2 2 4 9 3 4" xfId="15520"/>
    <cellStyle name="Separador de milhares 2 2 4 9 3 4 2" xfId="40587"/>
    <cellStyle name="Separador de milhares 2 2 4 9 3 5" xfId="34679"/>
    <cellStyle name="Separador de milhares 2 2 4 9 4" xfId="5759"/>
    <cellStyle name="Separador de milhares 2 2 4 9 4 2" xfId="24391"/>
    <cellStyle name="Separador de milhares 2 2 4 9 4 2 2" xfId="49458"/>
    <cellStyle name="Separador de milhares 2 2 4 9 4 3" xfId="31722"/>
    <cellStyle name="Separador de milhares 2 2 4 9 5" xfId="18477"/>
    <cellStyle name="Separador de milhares 2 2 4 9 5 2" xfId="43544"/>
    <cellStyle name="Separador de milhares 2 2 4 9 6" xfId="12146"/>
    <cellStyle name="Separador de milhares 2 2 4 9 6 2" xfId="37633"/>
    <cellStyle name="Separador de milhares 2 2 4 9 7" xfId="30252"/>
    <cellStyle name="Separador de milhares 2 2 5" xfId="6417"/>
    <cellStyle name="Separador de milhares 2 2 5 2" xfId="9573"/>
    <cellStyle name="Separador de milhares 2 2 5 2 2" xfId="27787"/>
    <cellStyle name="Separador de milhares 2 2 5 2 2 2" xfId="52854"/>
    <cellStyle name="Separador de milhares 2 2 5 2 3" xfId="21873"/>
    <cellStyle name="Separador de milhares 2 2 5 2 3 2" xfId="46940"/>
    <cellStyle name="Separador de milhares 2 2 5 2 4" xfId="15959"/>
    <cellStyle name="Separador de milhares 2 2 5 2 4 2" xfId="41026"/>
    <cellStyle name="Separador de milhares 2 2 5 2 5" xfId="35118"/>
    <cellStyle name="Separador de milhares 2 2 5 3" xfId="24830"/>
    <cellStyle name="Separador de milhares 2 2 5 3 2" xfId="49897"/>
    <cellStyle name="Separador de milhares 2 2 5 4" xfId="18916"/>
    <cellStyle name="Separador de milhares 2 2 5 4 2" xfId="43983"/>
    <cellStyle name="Separador de milhares 2 2 5 5" xfId="12806"/>
    <cellStyle name="Separador de milhares 2 2 5 5 2" xfId="38072"/>
    <cellStyle name="Separador de milhares 2 2 5 6" xfId="32161"/>
    <cellStyle name="Separador de milhares 2 2 6" xfId="8102"/>
    <cellStyle name="Separador de milhares 2 2 6 2" xfId="26316"/>
    <cellStyle name="Separador de milhares 2 2 6 2 2" xfId="51383"/>
    <cellStyle name="Separador de milhares 2 2 6 3" xfId="20402"/>
    <cellStyle name="Separador de milhares 2 2 6 3 2" xfId="45469"/>
    <cellStyle name="Separador de milhares 2 2 6 4" xfId="14491"/>
    <cellStyle name="Separador de milhares 2 2 6 4 2" xfId="39558"/>
    <cellStyle name="Separador de milhares 2 2 6 5" xfId="33647"/>
    <cellStyle name="Separador de milhares 2 2 7" xfId="4715"/>
    <cellStyle name="Separador de milhares 2 2 7 2" xfId="23359"/>
    <cellStyle name="Separador de milhares 2 2 7 2 2" xfId="48426"/>
    <cellStyle name="Separador de milhares 2 2 7 3" xfId="30691"/>
    <cellStyle name="Separador de milhares 2 2 8" xfId="17445"/>
    <cellStyle name="Separador de milhares 2 2 8 2" xfId="42512"/>
    <cellStyle name="Separador de milhares 2 2 9" xfId="11105"/>
    <cellStyle name="Separador de milhares 2 2 9 2" xfId="36604"/>
    <cellStyle name="Separador de milhares 2 3" xfId="118"/>
    <cellStyle name="Separador de milhares 2 3 2" xfId="212"/>
    <cellStyle name="Separador de milhares 2 3 2 10" xfId="6471"/>
    <cellStyle name="Separador de milhares 2 3 2 10 2" xfId="9624"/>
    <cellStyle name="Separador de milhares 2 3 2 10 2 2" xfId="27838"/>
    <cellStyle name="Separador de milhares 2 3 2 10 2 2 2" xfId="52905"/>
    <cellStyle name="Separador de milhares 2 3 2 10 2 3" xfId="21924"/>
    <cellStyle name="Separador de milhares 2 3 2 10 2 3 2" xfId="46991"/>
    <cellStyle name="Separador de milhares 2 3 2 10 2 4" xfId="16010"/>
    <cellStyle name="Separador de milhares 2 3 2 10 2 4 2" xfId="41077"/>
    <cellStyle name="Separador de milhares 2 3 2 10 2 5" xfId="35169"/>
    <cellStyle name="Separador de milhares 2 3 2 10 3" xfId="24881"/>
    <cellStyle name="Separador de milhares 2 3 2 10 3 2" xfId="49948"/>
    <cellStyle name="Separador de milhares 2 3 2 10 4" xfId="18967"/>
    <cellStyle name="Separador de milhares 2 3 2 10 4 2" xfId="44034"/>
    <cellStyle name="Separador de milhares 2 3 2 10 5" xfId="12860"/>
    <cellStyle name="Separador de milhares 2 3 2 10 5 2" xfId="38123"/>
    <cellStyle name="Separador de milhares 2 3 2 10 6" xfId="32212"/>
    <cellStyle name="Separador de milhares 2 3 2 11" xfId="8153"/>
    <cellStyle name="Separador de milhares 2 3 2 11 2" xfId="26367"/>
    <cellStyle name="Separador de milhares 2 3 2 11 2 2" xfId="51434"/>
    <cellStyle name="Separador de milhares 2 3 2 11 3" xfId="20453"/>
    <cellStyle name="Separador de milhares 2 3 2 11 3 2" xfId="45520"/>
    <cellStyle name="Separador de milhares 2 3 2 11 4" xfId="14542"/>
    <cellStyle name="Separador de milhares 2 3 2 11 4 2" xfId="39609"/>
    <cellStyle name="Separador de milhares 2 3 2 11 5" xfId="33698"/>
    <cellStyle name="Separador de milhares 2 3 2 12" xfId="4770"/>
    <cellStyle name="Separador de milhares 2 3 2 12 2" xfId="23410"/>
    <cellStyle name="Separador de milhares 2 3 2 12 2 2" xfId="48477"/>
    <cellStyle name="Separador de milhares 2 3 2 12 3" xfId="30742"/>
    <cellStyle name="Separador de milhares 2 3 2 13" xfId="17496"/>
    <cellStyle name="Separador de milhares 2 3 2 13 2" xfId="42563"/>
    <cellStyle name="Separador de milhares 2 3 2 14" xfId="11159"/>
    <cellStyle name="Separador de milhares 2 3 2 14 2" xfId="36655"/>
    <cellStyle name="Separador de milhares 2 3 2 15" xfId="29271"/>
    <cellStyle name="Separador de milhares 2 3 2 2" xfId="669"/>
    <cellStyle name="Separador de milhares 2 3 2 2 10" xfId="17626"/>
    <cellStyle name="Separador de milhares 2 3 2 2 10 2" xfId="42693"/>
    <cellStyle name="Separador de milhares 2 3 2 2 11" xfId="11292"/>
    <cellStyle name="Separador de milhares 2 3 2 2 11 2" xfId="36782"/>
    <cellStyle name="Separador de milhares 2 3 2 2 12" xfId="29401"/>
    <cellStyle name="Separador de milhares 2 3 2 2 2" xfId="2004"/>
    <cellStyle name="Separador de milhares 2 3 2 2 2 2" xfId="6990"/>
    <cellStyle name="Separador de milhares 2 3 2 2 2 2 2" xfId="10136"/>
    <cellStyle name="Separador de milhares 2 3 2 2 2 2 2 2" xfId="28350"/>
    <cellStyle name="Separador de milhares 2 3 2 2 2 2 2 2 2" xfId="53417"/>
    <cellStyle name="Separador de milhares 2 3 2 2 2 2 2 3" xfId="22436"/>
    <cellStyle name="Separador de milhares 2 3 2 2 2 2 2 3 2" xfId="47503"/>
    <cellStyle name="Separador de milhares 2 3 2 2 2 2 2 4" xfId="16522"/>
    <cellStyle name="Separador de milhares 2 3 2 2 2 2 2 4 2" xfId="41589"/>
    <cellStyle name="Separador de milhares 2 3 2 2 2 2 2 5" xfId="35681"/>
    <cellStyle name="Separador de milhares 2 3 2 2 2 2 3" xfId="25393"/>
    <cellStyle name="Separador de milhares 2 3 2 2 2 2 3 2" xfId="50460"/>
    <cellStyle name="Separador de milhares 2 3 2 2 2 2 4" xfId="19479"/>
    <cellStyle name="Separador de milhares 2 3 2 2 2 2 4 2" xfId="44546"/>
    <cellStyle name="Separador de milhares 2 3 2 2 2 2 5" xfId="13379"/>
    <cellStyle name="Separador de milhares 2 3 2 2 2 2 5 2" xfId="38635"/>
    <cellStyle name="Separador de milhares 2 3 2 2 2 2 6" xfId="32724"/>
    <cellStyle name="Separador de milhares 2 3 2 2 2 3" xfId="8668"/>
    <cellStyle name="Separador de milhares 2 3 2 2 2 3 2" xfId="26882"/>
    <cellStyle name="Separador de milhares 2 3 2 2 2 3 2 2" xfId="51949"/>
    <cellStyle name="Separador de milhares 2 3 2 2 2 3 3" xfId="20968"/>
    <cellStyle name="Separador de milhares 2 3 2 2 2 3 3 2" xfId="46035"/>
    <cellStyle name="Separador de milhares 2 3 2 2 2 3 4" xfId="15054"/>
    <cellStyle name="Separador de milhares 2 3 2 2 2 3 4 2" xfId="40121"/>
    <cellStyle name="Separador de milhares 2 3 2 2 2 3 5" xfId="34213"/>
    <cellStyle name="Separador de milhares 2 3 2 2 2 4" xfId="5291"/>
    <cellStyle name="Separador de milhares 2 3 2 2 2 4 2" xfId="23925"/>
    <cellStyle name="Separador de milhares 2 3 2 2 2 4 2 2" xfId="48992"/>
    <cellStyle name="Separador de milhares 2 3 2 2 2 4 3" xfId="31256"/>
    <cellStyle name="Separador de milhares 2 3 2 2 2 5" xfId="18011"/>
    <cellStyle name="Separador de milhares 2 3 2 2 2 5 2" xfId="43078"/>
    <cellStyle name="Separador de milhares 2 3 2 2 2 6" xfId="11678"/>
    <cellStyle name="Separador de milhares 2 3 2 2 2 6 2" xfId="37167"/>
    <cellStyle name="Separador de milhares 2 3 2 2 2 7" xfId="29786"/>
    <cellStyle name="Separador de milhares 2 3 2 2 3" xfId="2533"/>
    <cellStyle name="Separador de milhares 2 3 2 2 3 2" xfId="7139"/>
    <cellStyle name="Separador de milhares 2 3 2 2 3 2 2" xfId="10283"/>
    <cellStyle name="Separador de milhares 2 3 2 2 3 2 2 2" xfId="28497"/>
    <cellStyle name="Separador de milhares 2 3 2 2 3 2 2 2 2" xfId="53564"/>
    <cellStyle name="Separador de milhares 2 3 2 2 3 2 2 3" xfId="22583"/>
    <cellStyle name="Separador de milhares 2 3 2 2 3 2 2 3 2" xfId="47650"/>
    <cellStyle name="Separador de milhares 2 3 2 2 3 2 2 4" xfId="16669"/>
    <cellStyle name="Separador de milhares 2 3 2 2 3 2 2 4 2" xfId="41736"/>
    <cellStyle name="Separador de milhares 2 3 2 2 3 2 2 5" xfId="35828"/>
    <cellStyle name="Separador de milhares 2 3 2 2 3 2 3" xfId="25540"/>
    <cellStyle name="Separador de milhares 2 3 2 2 3 2 3 2" xfId="50607"/>
    <cellStyle name="Separador de milhares 2 3 2 2 3 2 4" xfId="19626"/>
    <cellStyle name="Separador de milhares 2 3 2 2 3 2 4 2" xfId="44693"/>
    <cellStyle name="Separador de milhares 2 3 2 2 3 2 5" xfId="13528"/>
    <cellStyle name="Separador de milhares 2 3 2 2 3 2 5 2" xfId="38782"/>
    <cellStyle name="Separador de milhares 2 3 2 2 3 2 6" xfId="32871"/>
    <cellStyle name="Separador de milhares 2 3 2 2 3 3" xfId="8815"/>
    <cellStyle name="Separador de milhares 2 3 2 2 3 3 2" xfId="27029"/>
    <cellStyle name="Separador de milhares 2 3 2 2 3 3 2 2" xfId="52096"/>
    <cellStyle name="Separador de milhares 2 3 2 2 3 3 3" xfId="21115"/>
    <cellStyle name="Separador de milhares 2 3 2 2 3 3 3 2" xfId="46182"/>
    <cellStyle name="Separador de milhares 2 3 2 2 3 3 4" xfId="15201"/>
    <cellStyle name="Separador de milhares 2 3 2 2 3 3 4 2" xfId="40268"/>
    <cellStyle name="Separador de milhares 2 3 2 2 3 3 5" xfId="34360"/>
    <cellStyle name="Separador de milhares 2 3 2 2 3 4" xfId="5440"/>
    <cellStyle name="Separador de milhares 2 3 2 2 3 4 2" xfId="24072"/>
    <cellStyle name="Separador de milhares 2 3 2 2 3 4 2 2" xfId="49139"/>
    <cellStyle name="Separador de milhares 2 3 2 2 3 4 3" xfId="31403"/>
    <cellStyle name="Separador de milhares 2 3 2 2 3 5" xfId="18158"/>
    <cellStyle name="Separador de milhares 2 3 2 2 3 5 2" xfId="43225"/>
    <cellStyle name="Separador de milhares 2 3 2 2 3 6" xfId="11827"/>
    <cellStyle name="Separador de milhares 2 3 2 2 3 6 2" xfId="37314"/>
    <cellStyle name="Separador de milhares 2 3 2 2 3 7" xfId="29933"/>
    <cellStyle name="Separador de milhares 2 3 2 2 4" xfId="3060"/>
    <cellStyle name="Separador de milhares 2 3 2 2 4 2" xfId="7286"/>
    <cellStyle name="Separador de milhares 2 3 2 2 4 2 2" xfId="10430"/>
    <cellStyle name="Separador de milhares 2 3 2 2 4 2 2 2" xfId="28644"/>
    <cellStyle name="Separador de milhares 2 3 2 2 4 2 2 2 2" xfId="53711"/>
    <cellStyle name="Separador de milhares 2 3 2 2 4 2 2 3" xfId="22730"/>
    <cellStyle name="Separador de milhares 2 3 2 2 4 2 2 3 2" xfId="47797"/>
    <cellStyle name="Separador de milhares 2 3 2 2 4 2 2 4" xfId="16816"/>
    <cellStyle name="Separador de milhares 2 3 2 2 4 2 2 4 2" xfId="41883"/>
    <cellStyle name="Separador de milhares 2 3 2 2 4 2 2 5" xfId="35975"/>
    <cellStyle name="Separador de milhares 2 3 2 2 4 2 3" xfId="25687"/>
    <cellStyle name="Separador de milhares 2 3 2 2 4 2 3 2" xfId="50754"/>
    <cellStyle name="Separador de milhares 2 3 2 2 4 2 4" xfId="19773"/>
    <cellStyle name="Separador de milhares 2 3 2 2 4 2 4 2" xfId="44840"/>
    <cellStyle name="Separador de milhares 2 3 2 2 4 2 5" xfId="13675"/>
    <cellStyle name="Separador de milhares 2 3 2 2 4 2 5 2" xfId="38929"/>
    <cellStyle name="Separador de milhares 2 3 2 2 4 2 6" xfId="33018"/>
    <cellStyle name="Separador de milhares 2 3 2 2 4 3" xfId="8962"/>
    <cellStyle name="Separador de milhares 2 3 2 2 4 3 2" xfId="27176"/>
    <cellStyle name="Separador de milhares 2 3 2 2 4 3 2 2" xfId="52243"/>
    <cellStyle name="Separador de milhares 2 3 2 2 4 3 3" xfId="21262"/>
    <cellStyle name="Separador de milhares 2 3 2 2 4 3 3 2" xfId="46329"/>
    <cellStyle name="Separador de milhares 2 3 2 2 4 3 4" xfId="15348"/>
    <cellStyle name="Separador de milhares 2 3 2 2 4 3 4 2" xfId="40415"/>
    <cellStyle name="Separador de milhares 2 3 2 2 4 3 5" xfId="34507"/>
    <cellStyle name="Separador de milhares 2 3 2 2 4 4" xfId="5587"/>
    <cellStyle name="Separador de milhares 2 3 2 2 4 4 2" xfId="24219"/>
    <cellStyle name="Separador de milhares 2 3 2 2 4 4 2 2" xfId="49286"/>
    <cellStyle name="Separador de milhares 2 3 2 2 4 4 3" xfId="31550"/>
    <cellStyle name="Separador de milhares 2 3 2 2 4 5" xfId="18305"/>
    <cellStyle name="Separador de milhares 2 3 2 2 4 5 2" xfId="43372"/>
    <cellStyle name="Separador de milhares 2 3 2 2 4 6" xfId="11974"/>
    <cellStyle name="Separador de milhares 2 3 2 2 4 6 2" xfId="37461"/>
    <cellStyle name="Separador de milhares 2 3 2 2 4 7" xfId="30080"/>
    <cellStyle name="Separador de milhares 2 3 2 2 5" xfId="3587"/>
    <cellStyle name="Separador de milhares 2 3 2 2 5 2" xfId="7433"/>
    <cellStyle name="Separador de milhares 2 3 2 2 5 2 2" xfId="10577"/>
    <cellStyle name="Separador de milhares 2 3 2 2 5 2 2 2" xfId="28791"/>
    <cellStyle name="Separador de milhares 2 3 2 2 5 2 2 2 2" xfId="53858"/>
    <cellStyle name="Separador de milhares 2 3 2 2 5 2 2 3" xfId="22877"/>
    <cellStyle name="Separador de milhares 2 3 2 2 5 2 2 3 2" xfId="47944"/>
    <cellStyle name="Separador de milhares 2 3 2 2 5 2 2 4" xfId="16963"/>
    <cellStyle name="Separador de milhares 2 3 2 2 5 2 2 4 2" xfId="42030"/>
    <cellStyle name="Separador de milhares 2 3 2 2 5 2 2 5" xfId="36122"/>
    <cellStyle name="Separador de milhares 2 3 2 2 5 2 3" xfId="25834"/>
    <cellStyle name="Separador de milhares 2 3 2 2 5 2 3 2" xfId="50901"/>
    <cellStyle name="Separador de milhares 2 3 2 2 5 2 4" xfId="19920"/>
    <cellStyle name="Separador de milhares 2 3 2 2 5 2 4 2" xfId="44987"/>
    <cellStyle name="Separador de milhares 2 3 2 2 5 2 5" xfId="13822"/>
    <cellStyle name="Separador de milhares 2 3 2 2 5 2 5 2" xfId="39076"/>
    <cellStyle name="Separador de milhares 2 3 2 2 5 2 6" xfId="33165"/>
    <cellStyle name="Separador de milhares 2 3 2 2 5 3" xfId="9109"/>
    <cellStyle name="Separador de milhares 2 3 2 2 5 3 2" xfId="27323"/>
    <cellStyle name="Separador de milhares 2 3 2 2 5 3 2 2" xfId="52390"/>
    <cellStyle name="Separador de milhares 2 3 2 2 5 3 3" xfId="21409"/>
    <cellStyle name="Separador de milhares 2 3 2 2 5 3 3 2" xfId="46476"/>
    <cellStyle name="Separador de milhares 2 3 2 2 5 3 4" xfId="15495"/>
    <cellStyle name="Separador de milhares 2 3 2 2 5 3 4 2" xfId="40562"/>
    <cellStyle name="Separador de milhares 2 3 2 2 5 3 5" xfId="34654"/>
    <cellStyle name="Separador de milhares 2 3 2 2 5 4" xfId="5734"/>
    <cellStyle name="Separador de milhares 2 3 2 2 5 4 2" xfId="24366"/>
    <cellStyle name="Separador de milhares 2 3 2 2 5 4 2 2" xfId="49433"/>
    <cellStyle name="Separador de milhares 2 3 2 2 5 4 3" xfId="31697"/>
    <cellStyle name="Separador de milhares 2 3 2 2 5 5" xfId="18452"/>
    <cellStyle name="Separador de milhares 2 3 2 2 5 5 2" xfId="43519"/>
    <cellStyle name="Separador de milhares 2 3 2 2 5 6" xfId="12121"/>
    <cellStyle name="Separador de milhares 2 3 2 2 5 6 2" xfId="37608"/>
    <cellStyle name="Separador de milhares 2 3 2 2 5 7" xfId="30227"/>
    <cellStyle name="Separador de milhares 2 3 2 2 6" xfId="4114"/>
    <cellStyle name="Separador de milhares 2 3 2 2 6 2" xfId="7580"/>
    <cellStyle name="Separador de milhares 2 3 2 2 6 2 2" xfId="10724"/>
    <cellStyle name="Separador de milhares 2 3 2 2 6 2 2 2" xfId="28938"/>
    <cellStyle name="Separador de milhares 2 3 2 2 6 2 2 2 2" xfId="54005"/>
    <cellStyle name="Separador de milhares 2 3 2 2 6 2 2 3" xfId="23024"/>
    <cellStyle name="Separador de milhares 2 3 2 2 6 2 2 3 2" xfId="48091"/>
    <cellStyle name="Separador de milhares 2 3 2 2 6 2 2 4" xfId="17110"/>
    <cellStyle name="Separador de milhares 2 3 2 2 6 2 2 4 2" xfId="42177"/>
    <cellStyle name="Separador de milhares 2 3 2 2 6 2 2 5" xfId="36269"/>
    <cellStyle name="Separador de milhares 2 3 2 2 6 2 3" xfId="25981"/>
    <cellStyle name="Separador de milhares 2 3 2 2 6 2 3 2" xfId="51048"/>
    <cellStyle name="Separador de milhares 2 3 2 2 6 2 4" xfId="20067"/>
    <cellStyle name="Separador de milhares 2 3 2 2 6 2 4 2" xfId="45134"/>
    <cellStyle name="Separador de milhares 2 3 2 2 6 2 5" xfId="13969"/>
    <cellStyle name="Separador de milhares 2 3 2 2 6 2 5 2" xfId="39223"/>
    <cellStyle name="Separador de milhares 2 3 2 2 6 2 6" xfId="33312"/>
    <cellStyle name="Separador de milhares 2 3 2 2 6 3" xfId="9256"/>
    <cellStyle name="Separador de milhares 2 3 2 2 6 3 2" xfId="27470"/>
    <cellStyle name="Separador de milhares 2 3 2 2 6 3 2 2" xfId="52537"/>
    <cellStyle name="Separador de milhares 2 3 2 2 6 3 3" xfId="21556"/>
    <cellStyle name="Separador de milhares 2 3 2 2 6 3 3 2" xfId="46623"/>
    <cellStyle name="Separador de milhares 2 3 2 2 6 3 4" xfId="15642"/>
    <cellStyle name="Separador de milhares 2 3 2 2 6 3 4 2" xfId="40709"/>
    <cellStyle name="Separador de milhares 2 3 2 2 6 3 5" xfId="34801"/>
    <cellStyle name="Separador de milhares 2 3 2 2 6 4" xfId="5881"/>
    <cellStyle name="Separador de milhares 2 3 2 2 6 4 2" xfId="24513"/>
    <cellStyle name="Separador de milhares 2 3 2 2 6 4 2 2" xfId="49580"/>
    <cellStyle name="Separador de milhares 2 3 2 2 6 4 3" xfId="31844"/>
    <cellStyle name="Separador de milhares 2 3 2 2 6 5" xfId="18599"/>
    <cellStyle name="Separador de milhares 2 3 2 2 6 5 2" xfId="43666"/>
    <cellStyle name="Separador de milhares 2 3 2 2 6 6" xfId="12268"/>
    <cellStyle name="Separador de milhares 2 3 2 2 6 6 2" xfId="37755"/>
    <cellStyle name="Separador de milhares 2 3 2 2 6 7" xfId="30374"/>
    <cellStyle name="Separador de milhares 2 3 2 2 7" xfId="6604"/>
    <cellStyle name="Separador de milhares 2 3 2 2 7 2" xfId="9751"/>
    <cellStyle name="Separador de milhares 2 3 2 2 7 2 2" xfId="27965"/>
    <cellStyle name="Separador de milhares 2 3 2 2 7 2 2 2" xfId="53032"/>
    <cellStyle name="Separador de milhares 2 3 2 2 7 2 3" xfId="22051"/>
    <cellStyle name="Separador de milhares 2 3 2 2 7 2 3 2" xfId="47118"/>
    <cellStyle name="Separador de milhares 2 3 2 2 7 2 4" xfId="16137"/>
    <cellStyle name="Separador de milhares 2 3 2 2 7 2 4 2" xfId="41204"/>
    <cellStyle name="Separador de milhares 2 3 2 2 7 2 5" xfId="35296"/>
    <cellStyle name="Separador de milhares 2 3 2 2 7 3" xfId="25008"/>
    <cellStyle name="Separador de milhares 2 3 2 2 7 3 2" xfId="50075"/>
    <cellStyle name="Separador de milhares 2 3 2 2 7 4" xfId="19094"/>
    <cellStyle name="Separador de milhares 2 3 2 2 7 4 2" xfId="44161"/>
    <cellStyle name="Separador de milhares 2 3 2 2 7 5" xfId="12993"/>
    <cellStyle name="Separador de milhares 2 3 2 2 7 5 2" xfId="38250"/>
    <cellStyle name="Separador de milhares 2 3 2 2 7 6" xfId="32339"/>
    <cellStyle name="Separador de milhares 2 3 2 2 8" xfId="8283"/>
    <cellStyle name="Separador de milhares 2 3 2 2 8 2" xfId="26497"/>
    <cellStyle name="Separador de milhares 2 3 2 2 8 2 2" xfId="51564"/>
    <cellStyle name="Separador de milhares 2 3 2 2 8 3" xfId="20583"/>
    <cellStyle name="Separador de milhares 2 3 2 2 8 3 2" xfId="45650"/>
    <cellStyle name="Separador de milhares 2 3 2 2 8 4" xfId="14669"/>
    <cellStyle name="Separador de milhares 2 3 2 2 8 4 2" xfId="39736"/>
    <cellStyle name="Separador de milhares 2 3 2 2 8 5" xfId="33828"/>
    <cellStyle name="Separador de milhares 2 3 2 2 9" xfId="4905"/>
    <cellStyle name="Separador de milhares 2 3 2 2 9 2" xfId="23540"/>
    <cellStyle name="Separador de milhares 2 3 2 2 9 2 2" xfId="48607"/>
    <cellStyle name="Separador de milhares 2 3 2 2 9 3" xfId="30871"/>
    <cellStyle name="Separador de milhares 2 3 2 3" xfId="957"/>
    <cellStyle name="Separador de milhares 2 3 2 3 2" xfId="6702"/>
    <cellStyle name="Separador de milhares 2 3 2 3 2 2" xfId="9849"/>
    <cellStyle name="Separador de milhares 2 3 2 3 2 2 2" xfId="28063"/>
    <cellStyle name="Separador de milhares 2 3 2 3 2 2 2 2" xfId="53130"/>
    <cellStyle name="Separador de milhares 2 3 2 3 2 2 3" xfId="22149"/>
    <cellStyle name="Separador de milhares 2 3 2 3 2 2 3 2" xfId="47216"/>
    <cellStyle name="Separador de milhares 2 3 2 3 2 2 4" xfId="16235"/>
    <cellStyle name="Separador de milhares 2 3 2 3 2 2 4 2" xfId="41302"/>
    <cellStyle name="Separador de milhares 2 3 2 3 2 2 5" xfId="35394"/>
    <cellStyle name="Separador de milhares 2 3 2 3 2 3" xfId="25106"/>
    <cellStyle name="Separador de milhares 2 3 2 3 2 3 2" xfId="50173"/>
    <cellStyle name="Separador de milhares 2 3 2 3 2 4" xfId="19192"/>
    <cellStyle name="Separador de milhares 2 3 2 3 2 4 2" xfId="44259"/>
    <cellStyle name="Separador de milhares 2 3 2 3 2 5" xfId="13091"/>
    <cellStyle name="Separador de milhares 2 3 2 3 2 5 2" xfId="38348"/>
    <cellStyle name="Separador de milhares 2 3 2 3 2 6" xfId="32437"/>
    <cellStyle name="Separador de milhares 2 3 2 3 3" xfId="8381"/>
    <cellStyle name="Separador de milhares 2 3 2 3 3 2" xfId="26595"/>
    <cellStyle name="Separador de milhares 2 3 2 3 3 2 2" xfId="51662"/>
    <cellStyle name="Separador de milhares 2 3 2 3 3 3" xfId="20681"/>
    <cellStyle name="Separador de milhares 2 3 2 3 3 3 2" xfId="45748"/>
    <cellStyle name="Separador de milhares 2 3 2 3 3 4" xfId="14767"/>
    <cellStyle name="Separador de milhares 2 3 2 3 3 4 2" xfId="39834"/>
    <cellStyle name="Separador de milhares 2 3 2 3 3 5" xfId="33926"/>
    <cellStyle name="Separador de milhares 2 3 2 3 4" xfId="5003"/>
    <cellStyle name="Separador de milhares 2 3 2 3 4 2" xfId="23638"/>
    <cellStyle name="Separador de milhares 2 3 2 3 4 2 2" xfId="48705"/>
    <cellStyle name="Separador de milhares 2 3 2 3 4 3" xfId="30969"/>
    <cellStyle name="Separador de milhares 2 3 2 3 5" xfId="17724"/>
    <cellStyle name="Separador de milhares 2 3 2 3 5 2" xfId="42791"/>
    <cellStyle name="Separador de milhares 2 3 2 3 6" xfId="11390"/>
    <cellStyle name="Separador de milhares 2 3 2 3 6 2" xfId="36880"/>
    <cellStyle name="Separador de milhares 2 3 2 3 7" xfId="29499"/>
    <cellStyle name="Separador de milhares 2 3 2 4" xfId="1308"/>
    <cellStyle name="Separador de milhares 2 3 2 4 2" xfId="6800"/>
    <cellStyle name="Separador de milhares 2 3 2 4 2 2" xfId="9947"/>
    <cellStyle name="Separador de milhares 2 3 2 4 2 2 2" xfId="28161"/>
    <cellStyle name="Separador de milhares 2 3 2 4 2 2 2 2" xfId="53228"/>
    <cellStyle name="Separador de milhares 2 3 2 4 2 2 3" xfId="22247"/>
    <cellStyle name="Separador de milhares 2 3 2 4 2 2 3 2" xfId="47314"/>
    <cellStyle name="Separador de milhares 2 3 2 4 2 2 4" xfId="16333"/>
    <cellStyle name="Separador de milhares 2 3 2 4 2 2 4 2" xfId="41400"/>
    <cellStyle name="Separador de milhares 2 3 2 4 2 2 5" xfId="35492"/>
    <cellStyle name="Separador de milhares 2 3 2 4 2 3" xfId="25204"/>
    <cellStyle name="Separador de milhares 2 3 2 4 2 3 2" xfId="50271"/>
    <cellStyle name="Separador de milhares 2 3 2 4 2 4" xfId="19290"/>
    <cellStyle name="Separador de milhares 2 3 2 4 2 4 2" xfId="44357"/>
    <cellStyle name="Separador de milhares 2 3 2 4 2 5" xfId="13189"/>
    <cellStyle name="Separador de milhares 2 3 2 4 2 5 2" xfId="38446"/>
    <cellStyle name="Separador de milhares 2 3 2 4 2 6" xfId="32535"/>
    <cellStyle name="Separador de milhares 2 3 2 4 3" xfId="8479"/>
    <cellStyle name="Separador de milhares 2 3 2 4 3 2" xfId="26693"/>
    <cellStyle name="Separador de milhares 2 3 2 4 3 2 2" xfId="51760"/>
    <cellStyle name="Separador de milhares 2 3 2 4 3 3" xfId="20779"/>
    <cellStyle name="Separador de milhares 2 3 2 4 3 3 2" xfId="45846"/>
    <cellStyle name="Separador de milhares 2 3 2 4 3 4" xfId="14865"/>
    <cellStyle name="Separador de milhares 2 3 2 4 3 4 2" xfId="39932"/>
    <cellStyle name="Separador de milhares 2 3 2 4 3 5" xfId="34024"/>
    <cellStyle name="Separador de milhares 2 3 2 4 4" xfId="5101"/>
    <cellStyle name="Separador de milhares 2 3 2 4 4 2" xfId="23736"/>
    <cellStyle name="Separador de milhares 2 3 2 4 4 2 2" xfId="48803"/>
    <cellStyle name="Separador de milhares 2 3 2 4 4 3" xfId="31067"/>
    <cellStyle name="Separador de milhares 2 3 2 4 5" xfId="17822"/>
    <cellStyle name="Separador de milhares 2 3 2 4 5 2" xfId="42889"/>
    <cellStyle name="Separador de milhares 2 3 2 4 6" xfId="11488"/>
    <cellStyle name="Separador de milhares 2 3 2 4 6 2" xfId="36978"/>
    <cellStyle name="Separador de milhares 2 3 2 4 7" xfId="29597"/>
    <cellStyle name="Separador de milhares 2 3 2 5" xfId="1743"/>
    <cellStyle name="Separador de milhares 2 3 2 5 2" xfId="6919"/>
    <cellStyle name="Separador de milhares 2 3 2 5 2 2" xfId="10066"/>
    <cellStyle name="Separador de milhares 2 3 2 5 2 2 2" xfId="28280"/>
    <cellStyle name="Separador de milhares 2 3 2 5 2 2 2 2" xfId="53347"/>
    <cellStyle name="Separador de milhares 2 3 2 5 2 2 3" xfId="22366"/>
    <cellStyle name="Separador de milhares 2 3 2 5 2 2 3 2" xfId="47433"/>
    <cellStyle name="Separador de milhares 2 3 2 5 2 2 4" xfId="16452"/>
    <cellStyle name="Separador de milhares 2 3 2 5 2 2 4 2" xfId="41519"/>
    <cellStyle name="Separador de milhares 2 3 2 5 2 2 5" xfId="35611"/>
    <cellStyle name="Separador de milhares 2 3 2 5 2 3" xfId="25323"/>
    <cellStyle name="Separador de milhares 2 3 2 5 2 3 2" xfId="50390"/>
    <cellStyle name="Separador de milhares 2 3 2 5 2 4" xfId="19409"/>
    <cellStyle name="Separador de milhares 2 3 2 5 2 4 2" xfId="44476"/>
    <cellStyle name="Separador de milhares 2 3 2 5 2 5" xfId="13308"/>
    <cellStyle name="Separador de milhares 2 3 2 5 2 5 2" xfId="38565"/>
    <cellStyle name="Separador de milhares 2 3 2 5 2 6" xfId="32654"/>
    <cellStyle name="Separador de milhares 2 3 2 5 3" xfId="8598"/>
    <cellStyle name="Separador de milhares 2 3 2 5 3 2" xfId="26812"/>
    <cellStyle name="Separador de milhares 2 3 2 5 3 2 2" xfId="51879"/>
    <cellStyle name="Separador de milhares 2 3 2 5 3 3" xfId="20898"/>
    <cellStyle name="Separador de milhares 2 3 2 5 3 3 2" xfId="45965"/>
    <cellStyle name="Separador de milhares 2 3 2 5 3 4" xfId="14984"/>
    <cellStyle name="Separador de milhares 2 3 2 5 3 4 2" xfId="40051"/>
    <cellStyle name="Separador de milhares 2 3 2 5 3 5" xfId="34143"/>
    <cellStyle name="Separador de milhares 2 3 2 5 4" xfId="5220"/>
    <cellStyle name="Separador de milhares 2 3 2 5 4 2" xfId="23855"/>
    <cellStyle name="Separador de milhares 2 3 2 5 4 2 2" xfId="48922"/>
    <cellStyle name="Separador de milhares 2 3 2 5 4 3" xfId="31186"/>
    <cellStyle name="Separador de milhares 2 3 2 5 5" xfId="17941"/>
    <cellStyle name="Separador de milhares 2 3 2 5 5 2" xfId="43008"/>
    <cellStyle name="Separador de milhares 2 3 2 5 6" xfId="11607"/>
    <cellStyle name="Separador de milhares 2 3 2 5 6 2" xfId="37097"/>
    <cellStyle name="Separador de milhares 2 3 2 5 7" xfId="29716"/>
    <cellStyle name="Separador de milhares 2 3 2 6" xfId="2273"/>
    <cellStyle name="Separador de milhares 2 3 2 6 2" xfId="7069"/>
    <cellStyle name="Separador de milhares 2 3 2 6 2 2" xfId="10213"/>
    <cellStyle name="Separador de milhares 2 3 2 6 2 2 2" xfId="28427"/>
    <cellStyle name="Separador de milhares 2 3 2 6 2 2 2 2" xfId="53494"/>
    <cellStyle name="Separador de milhares 2 3 2 6 2 2 3" xfId="22513"/>
    <cellStyle name="Separador de milhares 2 3 2 6 2 2 3 2" xfId="47580"/>
    <cellStyle name="Separador de milhares 2 3 2 6 2 2 4" xfId="16599"/>
    <cellStyle name="Separador de milhares 2 3 2 6 2 2 4 2" xfId="41666"/>
    <cellStyle name="Separador de milhares 2 3 2 6 2 2 5" xfId="35758"/>
    <cellStyle name="Separador de milhares 2 3 2 6 2 3" xfId="25470"/>
    <cellStyle name="Separador de milhares 2 3 2 6 2 3 2" xfId="50537"/>
    <cellStyle name="Separador de milhares 2 3 2 6 2 4" xfId="19556"/>
    <cellStyle name="Separador de milhares 2 3 2 6 2 4 2" xfId="44623"/>
    <cellStyle name="Separador de milhares 2 3 2 6 2 5" xfId="13458"/>
    <cellStyle name="Separador de milhares 2 3 2 6 2 5 2" xfId="38712"/>
    <cellStyle name="Separador de milhares 2 3 2 6 2 6" xfId="32801"/>
    <cellStyle name="Separador de milhares 2 3 2 6 3" xfId="8745"/>
    <cellStyle name="Separador de milhares 2 3 2 6 3 2" xfId="26959"/>
    <cellStyle name="Separador de milhares 2 3 2 6 3 2 2" xfId="52026"/>
    <cellStyle name="Separador de milhares 2 3 2 6 3 3" xfId="21045"/>
    <cellStyle name="Separador de milhares 2 3 2 6 3 3 2" xfId="46112"/>
    <cellStyle name="Separador de milhares 2 3 2 6 3 4" xfId="15131"/>
    <cellStyle name="Separador de milhares 2 3 2 6 3 4 2" xfId="40198"/>
    <cellStyle name="Separador de milhares 2 3 2 6 3 5" xfId="34290"/>
    <cellStyle name="Separador de milhares 2 3 2 6 4" xfId="5370"/>
    <cellStyle name="Separador de milhares 2 3 2 6 4 2" xfId="24002"/>
    <cellStyle name="Separador de milhares 2 3 2 6 4 2 2" xfId="49069"/>
    <cellStyle name="Separador de milhares 2 3 2 6 4 3" xfId="31333"/>
    <cellStyle name="Separador de milhares 2 3 2 6 5" xfId="18088"/>
    <cellStyle name="Separador de milhares 2 3 2 6 5 2" xfId="43155"/>
    <cellStyle name="Separador de milhares 2 3 2 6 6" xfId="11757"/>
    <cellStyle name="Separador de milhares 2 3 2 6 6 2" xfId="37244"/>
    <cellStyle name="Separador de milhares 2 3 2 6 7" xfId="29863"/>
    <cellStyle name="Separador de milhares 2 3 2 7" xfId="2800"/>
    <cellStyle name="Separador de milhares 2 3 2 7 2" xfId="7216"/>
    <cellStyle name="Separador de milhares 2 3 2 7 2 2" xfId="10360"/>
    <cellStyle name="Separador de milhares 2 3 2 7 2 2 2" xfId="28574"/>
    <cellStyle name="Separador de milhares 2 3 2 7 2 2 2 2" xfId="53641"/>
    <cellStyle name="Separador de milhares 2 3 2 7 2 2 3" xfId="22660"/>
    <cellStyle name="Separador de milhares 2 3 2 7 2 2 3 2" xfId="47727"/>
    <cellStyle name="Separador de milhares 2 3 2 7 2 2 4" xfId="16746"/>
    <cellStyle name="Separador de milhares 2 3 2 7 2 2 4 2" xfId="41813"/>
    <cellStyle name="Separador de milhares 2 3 2 7 2 2 5" xfId="35905"/>
    <cellStyle name="Separador de milhares 2 3 2 7 2 3" xfId="25617"/>
    <cellStyle name="Separador de milhares 2 3 2 7 2 3 2" xfId="50684"/>
    <cellStyle name="Separador de milhares 2 3 2 7 2 4" xfId="19703"/>
    <cellStyle name="Separador de milhares 2 3 2 7 2 4 2" xfId="44770"/>
    <cellStyle name="Separador de milhares 2 3 2 7 2 5" xfId="13605"/>
    <cellStyle name="Separador de milhares 2 3 2 7 2 5 2" xfId="38859"/>
    <cellStyle name="Separador de milhares 2 3 2 7 2 6" xfId="32948"/>
    <cellStyle name="Separador de milhares 2 3 2 7 3" xfId="8892"/>
    <cellStyle name="Separador de milhares 2 3 2 7 3 2" xfId="27106"/>
    <cellStyle name="Separador de milhares 2 3 2 7 3 2 2" xfId="52173"/>
    <cellStyle name="Separador de milhares 2 3 2 7 3 3" xfId="21192"/>
    <cellStyle name="Separador de milhares 2 3 2 7 3 3 2" xfId="46259"/>
    <cellStyle name="Separador de milhares 2 3 2 7 3 4" xfId="15278"/>
    <cellStyle name="Separador de milhares 2 3 2 7 3 4 2" xfId="40345"/>
    <cellStyle name="Separador de milhares 2 3 2 7 3 5" xfId="34437"/>
    <cellStyle name="Separador de milhares 2 3 2 7 4" xfId="5517"/>
    <cellStyle name="Separador de milhares 2 3 2 7 4 2" xfId="24149"/>
    <cellStyle name="Separador de milhares 2 3 2 7 4 2 2" xfId="49216"/>
    <cellStyle name="Separador de milhares 2 3 2 7 4 3" xfId="31480"/>
    <cellStyle name="Separador de milhares 2 3 2 7 5" xfId="18235"/>
    <cellStyle name="Separador de milhares 2 3 2 7 5 2" xfId="43302"/>
    <cellStyle name="Separador de milhares 2 3 2 7 6" xfId="11904"/>
    <cellStyle name="Separador de milhares 2 3 2 7 6 2" xfId="37391"/>
    <cellStyle name="Separador de milhares 2 3 2 7 7" xfId="30010"/>
    <cellStyle name="Separador de milhares 2 3 2 8" xfId="3327"/>
    <cellStyle name="Separador de milhares 2 3 2 8 2" xfId="7363"/>
    <cellStyle name="Separador de milhares 2 3 2 8 2 2" xfId="10507"/>
    <cellStyle name="Separador de milhares 2 3 2 8 2 2 2" xfId="28721"/>
    <cellStyle name="Separador de milhares 2 3 2 8 2 2 2 2" xfId="53788"/>
    <cellStyle name="Separador de milhares 2 3 2 8 2 2 3" xfId="22807"/>
    <cellStyle name="Separador de milhares 2 3 2 8 2 2 3 2" xfId="47874"/>
    <cellStyle name="Separador de milhares 2 3 2 8 2 2 4" xfId="16893"/>
    <cellStyle name="Separador de milhares 2 3 2 8 2 2 4 2" xfId="41960"/>
    <cellStyle name="Separador de milhares 2 3 2 8 2 2 5" xfId="36052"/>
    <cellStyle name="Separador de milhares 2 3 2 8 2 3" xfId="25764"/>
    <cellStyle name="Separador de milhares 2 3 2 8 2 3 2" xfId="50831"/>
    <cellStyle name="Separador de milhares 2 3 2 8 2 4" xfId="19850"/>
    <cellStyle name="Separador de milhares 2 3 2 8 2 4 2" xfId="44917"/>
    <cellStyle name="Separador de milhares 2 3 2 8 2 5" xfId="13752"/>
    <cellStyle name="Separador de milhares 2 3 2 8 2 5 2" xfId="39006"/>
    <cellStyle name="Separador de milhares 2 3 2 8 2 6" xfId="33095"/>
    <cellStyle name="Separador de milhares 2 3 2 8 3" xfId="9039"/>
    <cellStyle name="Separador de milhares 2 3 2 8 3 2" xfId="27253"/>
    <cellStyle name="Separador de milhares 2 3 2 8 3 2 2" xfId="52320"/>
    <cellStyle name="Separador de milhares 2 3 2 8 3 3" xfId="21339"/>
    <cellStyle name="Separador de milhares 2 3 2 8 3 3 2" xfId="46406"/>
    <cellStyle name="Separador de milhares 2 3 2 8 3 4" xfId="15425"/>
    <cellStyle name="Separador de milhares 2 3 2 8 3 4 2" xfId="40492"/>
    <cellStyle name="Separador de milhares 2 3 2 8 3 5" xfId="34584"/>
    <cellStyle name="Separador de milhares 2 3 2 8 4" xfId="5664"/>
    <cellStyle name="Separador de milhares 2 3 2 8 4 2" xfId="24296"/>
    <cellStyle name="Separador de milhares 2 3 2 8 4 2 2" xfId="49363"/>
    <cellStyle name="Separador de milhares 2 3 2 8 4 3" xfId="31627"/>
    <cellStyle name="Separador de milhares 2 3 2 8 5" xfId="18382"/>
    <cellStyle name="Separador de milhares 2 3 2 8 5 2" xfId="43449"/>
    <cellStyle name="Separador de milhares 2 3 2 8 6" xfId="12051"/>
    <cellStyle name="Separador de milhares 2 3 2 8 6 2" xfId="37538"/>
    <cellStyle name="Separador de milhares 2 3 2 8 7" xfId="30157"/>
    <cellStyle name="Separador de milhares 2 3 2 9" xfId="3854"/>
    <cellStyle name="Separador de milhares 2 3 2 9 2" xfId="7510"/>
    <cellStyle name="Separador de milhares 2 3 2 9 2 2" xfId="10654"/>
    <cellStyle name="Separador de milhares 2 3 2 9 2 2 2" xfId="28868"/>
    <cellStyle name="Separador de milhares 2 3 2 9 2 2 2 2" xfId="53935"/>
    <cellStyle name="Separador de milhares 2 3 2 9 2 2 3" xfId="22954"/>
    <cellStyle name="Separador de milhares 2 3 2 9 2 2 3 2" xfId="48021"/>
    <cellStyle name="Separador de milhares 2 3 2 9 2 2 4" xfId="17040"/>
    <cellStyle name="Separador de milhares 2 3 2 9 2 2 4 2" xfId="42107"/>
    <cellStyle name="Separador de milhares 2 3 2 9 2 2 5" xfId="36199"/>
    <cellStyle name="Separador de milhares 2 3 2 9 2 3" xfId="25911"/>
    <cellStyle name="Separador de milhares 2 3 2 9 2 3 2" xfId="50978"/>
    <cellStyle name="Separador de milhares 2 3 2 9 2 4" xfId="19997"/>
    <cellStyle name="Separador de milhares 2 3 2 9 2 4 2" xfId="45064"/>
    <cellStyle name="Separador de milhares 2 3 2 9 2 5" xfId="13899"/>
    <cellStyle name="Separador de milhares 2 3 2 9 2 5 2" xfId="39153"/>
    <cellStyle name="Separador de milhares 2 3 2 9 2 6" xfId="33242"/>
    <cellStyle name="Separador de milhares 2 3 2 9 3" xfId="9186"/>
    <cellStyle name="Separador de milhares 2 3 2 9 3 2" xfId="27400"/>
    <cellStyle name="Separador de milhares 2 3 2 9 3 2 2" xfId="52467"/>
    <cellStyle name="Separador de milhares 2 3 2 9 3 3" xfId="21486"/>
    <cellStyle name="Separador de milhares 2 3 2 9 3 3 2" xfId="46553"/>
    <cellStyle name="Separador de milhares 2 3 2 9 3 4" xfId="15572"/>
    <cellStyle name="Separador de milhares 2 3 2 9 3 4 2" xfId="40639"/>
    <cellStyle name="Separador de milhares 2 3 2 9 3 5" xfId="34731"/>
    <cellStyle name="Separador de milhares 2 3 2 9 4" xfId="5811"/>
    <cellStyle name="Separador de milhares 2 3 2 9 4 2" xfId="24443"/>
    <cellStyle name="Separador de milhares 2 3 2 9 4 2 2" xfId="49510"/>
    <cellStyle name="Separador de milhares 2 3 2 9 4 3" xfId="31774"/>
    <cellStyle name="Separador de milhares 2 3 2 9 5" xfId="18529"/>
    <cellStyle name="Separador de milhares 2 3 2 9 5 2" xfId="43596"/>
    <cellStyle name="Separador de milhares 2 3 2 9 6" xfId="12198"/>
    <cellStyle name="Separador de milhares 2 3 2 9 6 2" xfId="37685"/>
    <cellStyle name="Separador de milhares 2 3 2 9 7" xfId="30304"/>
    <cellStyle name="Separador de milhares 2 3 3" xfId="307"/>
    <cellStyle name="Separador de milhares 2 3 3 10" xfId="6502"/>
    <cellStyle name="Separador de milhares 2 3 3 10 2" xfId="9652"/>
    <cellStyle name="Separador de milhares 2 3 3 10 2 2" xfId="27866"/>
    <cellStyle name="Separador de milhares 2 3 3 10 2 2 2" xfId="52933"/>
    <cellStyle name="Separador de milhares 2 3 3 10 2 3" xfId="21952"/>
    <cellStyle name="Separador de milhares 2 3 3 10 2 3 2" xfId="47019"/>
    <cellStyle name="Separador de milhares 2 3 3 10 2 4" xfId="16038"/>
    <cellStyle name="Separador de milhares 2 3 3 10 2 4 2" xfId="41105"/>
    <cellStyle name="Separador de milhares 2 3 3 10 2 5" xfId="35197"/>
    <cellStyle name="Separador de milhares 2 3 3 10 3" xfId="24909"/>
    <cellStyle name="Separador de milhares 2 3 3 10 3 2" xfId="49976"/>
    <cellStyle name="Separador de milhares 2 3 3 10 4" xfId="18995"/>
    <cellStyle name="Separador de milhares 2 3 3 10 4 2" xfId="44062"/>
    <cellStyle name="Separador de milhares 2 3 3 10 5" xfId="12891"/>
    <cellStyle name="Separador de milhares 2 3 3 10 5 2" xfId="38151"/>
    <cellStyle name="Separador de milhares 2 3 3 10 6" xfId="32240"/>
    <cellStyle name="Separador de milhares 2 3 3 11" xfId="8181"/>
    <cellStyle name="Separador de milhares 2 3 3 11 2" xfId="26395"/>
    <cellStyle name="Separador de milhares 2 3 3 11 2 2" xfId="51462"/>
    <cellStyle name="Separador de milhares 2 3 3 11 3" xfId="20481"/>
    <cellStyle name="Separador de milhares 2 3 3 11 3 2" xfId="45548"/>
    <cellStyle name="Separador de milhares 2 3 3 11 4" xfId="14570"/>
    <cellStyle name="Separador de milhares 2 3 3 11 4 2" xfId="39637"/>
    <cellStyle name="Separador de milhares 2 3 3 11 5" xfId="33726"/>
    <cellStyle name="Separador de milhares 2 3 3 12" xfId="4801"/>
    <cellStyle name="Separador de milhares 2 3 3 12 2" xfId="23438"/>
    <cellStyle name="Separador de milhares 2 3 3 12 2 2" xfId="48505"/>
    <cellStyle name="Separador de milhares 2 3 3 12 3" xfId="30770"/>
    <cellStyle name="Separador de milhares 2 3 3 13" xfId="17524"/>
    <cellStyle name="Separador de milhares 2 3 3 13 2" xfId="42591"/>
    <cellStyle name="Separador de milhares 2 3 3 14" xfId="11190"/>
    <cellStyle name="Separador de milhares 2 3 3 14 2" xfId="36683"/>
    <cellStyle name="Separador de milhares 2 3 3 15" xfId="29299"/>
    <cellStyle name="Separador de milhares 2 3 3 2" xfId="662"/>
    <cellStyle name="Separador de milhares 2 3 3 2 2" xfId="6597"/>
    <cellStyle name="Separador de milhares 2 3 3 2 2 2" xfId="9744"/>
    <cellStyle name="Separador de milhares 2 3 3 2 2 2 2" xfId="27958"/>
    <cellStyle name="Separador de milhares 2 3 3 2 2 2 2 2" xfId="53025"/>
    <cellStyle name="Separador de milhares 2 3 3 2 2 2 3" xfId="22044"/>
    <cellStyle name="Separador de milhares 2 3 3 2 2 2 3 2" xfId="47111"/>
    <cellStyle name="Separador de milhares 2 3 3 2 2 2 4" xfId="16130"/>
    <cellStyle name="Separador de milhares 2 3 3 2 2 2 4 2" xfId="41197"/>
    <cellStyle name="Separador de milhares 2 3 3 2 2 2 5" xfId="35289"/>
    <cellStyle name="Separador de milhares 2 3 3 2 2 3" xfId="25001"/>
    <cellStyle name="Separador de milhares 2 3 3 2 2 3 2" xfId="50068"/>
    <cellStyle name="Separador de milhares 2 3 3 2 2 4" xfId="19087"/>
    <cellStyle name="Separador de milhares 2 3 3 2 2 4 2" xfId="44154"/>
    <cellStyle name="Separador de milhares 2 3 3 2 2 5" xfId="12986"/>
    <cellStyle name="Separador de milhares 2 3 3 2 2 5 2" xfId="38243"/>
    <cellStyle name="Separador de milhares 2 3 3 2 2 6" xfId="32332"/>
    <cellStyle name="Separador de milhares 2 3 3 2 3" xfId="8276"/>
    <cellStyle name="Separador de milhares 2 3 3 2 3 2" xfId="26490"/>
    <cellStyle name="Separador de milhares 2 3 3 2 3 2 2" xfId="51557"/>
    <cellStyle name="Separador de milhares 2 3 3 2 3 3" xfId="20576"/>
    <cellStyle name="Separador de milhares 2 3 3 2 3 3 2" xfId="45643"/>
    <cellStyle name="Separador de milhares 2 3 3 2 3 4" xfId="14662"/>
    <cellStyle name="Separador de milhares 2 3 3 2 3 4 2" xfId="39729"/>
    <cellStyle name="Separador de milhares 2 3 3 2 3 5" xfId="33821"/>
    <cellStyle name="Separador de milhares 2 3 3 2 4" xfId="4898"/>
    <cellStyle name="Separador de milhares 2 3 3 2 4 2" xfId="23533"/>
    <cellStyle name="Separador de milhares 2 3 3 2 4 2 2" xfId="48600"/>
    <cellStyle name="Separador de milhares 2 3 3 2 4 3" xfId="30864"/>
    <cellStyle name="Separador de milhares 2 3 3 2 5" xfId="17619"/>
    <cellStyle name="Separador de milhares 2 3 3 2 5 2" xfId="42686"/>
    <cellStyle name="Separador de milhares 2 3 3 2 6" xfId="11285"/>
    <cellStyle name="Separador de milhares 2 3 3 2 6 2" xfId="36775"/>
    <cellStyle name="Separador de milhares 2 3 3 2 7" xfId="29394"/>
    <cellStyle name="Separador de milhares 2 3 3 3" xfId="866"/>
    <cellStyle name="Separador de milhares 2 3 3 3 2" xfId="6674"/>
    <cellStyle name="Separador de milhares 2 3 3 3 2 2" xfId="9821"/>
    <cellStyle name="Separador de milhares 2 3 3 3 2 2 2" xfId="28035"/>
    <cellStyle name="Separador de milhares 2 3 3 3 2 2 2 2" xfId="53102"/>
    <cellStyle name="Separador de milhares 2 3 3 3 2 2 3" xfId="22121"/>
    <cellStyle name="Separador de milhares 2 3 3 3 2 2 3 2" xfId="47188"/>
    <cellStyle name="Separador de milhares 2 3 3 3 2 2 4" xfId="16207"/>
    <cellStyle name="Separador de milhares 2 3 3 3 2 2 4 2" xfId="41274"/>
    <cellStyle name="Separador de milhares 2 3 3 3 2 2 5" xfId="35366"/>
    <cellStyle name="Separador de milhares 2 3 3 3 2 3" xfId="25078"/>
    <cellStyle name="Separador de milhares 2 3 3 3 2 3 2" xfId="50145"/>
    <cellStyle name="Separador de milhares 2 3 3 3 2 4" xfId="19164"/>
    <cellStyle name="Separador de milhares 2 3 3 3 2 4 2" xfId="44231"/>
    <cellStyle name="Separador de milhares 2 3 3 3 2 5" xfId="13063"/>
    <cellStyle name="Separador de milhares 2 3 3 3 2 5 2" xfId="38320"/>
    <cellStyle name="Separador de milhares 2 3 3 3 2 6" xfId="32409"/>
    <cellStyle name="Separador de milhares 2 3 3 3 3" xfId="8353"/>
    <cellStyle name="Separador de milhares 2 3 3 3 3 2" xfId="26567"/>
    <cellStyle name="Separador de milhares 2 3 3 3 3 2 2" xfId="51634"/>
    <cellStyle name="Separador de milhares 2 3 3 3 3 3" xfId="20653"/>
    <cellStyle name="Separador de milhares 2 3 3 3 3 3 2" xfId="45720"/>
    <cellStyle name="Separador de milhares 2 3 3 3 3 4" xfId="14739"/>
    <cellStyle name="Separador de milhares 2 3 3 3 3 4 2" xfId="39806"/>
    <cellStyle name="Separador de milhares 2 3 3 3 3 5" xfId="33898"/>
    <cellStyle name="Separador de milhares 2 3 3 3 4" xfId="4975"/>
    <cellStyle name="Separador de milhares 2 3 3 3 4 2" xfId="23610"/>
    <cellStyle name="Separador de milhares 2 3 3 3 4 2 2" xfId="48677"/>
    <cellStyle name="Separador de milhares 2 3 3 3 4 3" xfId="30941"/>
    <cellStyle name="Separador de milhares 2 3 3 3 5" xfId="17696"/>
    <cellStyle name="Separador de milhares 2 3 3 3 5 2" xfId="42763"/>
    <cellStyle name="Separador de milhares 2 3 3 3 6" xfId="11362"/>
    <cellStyle name="Separador de milhares 2 3 3 3 6 2" xfId="36852"/>
    <cellStyle name="Separador de milhares 2 3 3 3 7" xfId="29471"/>
    <cellStyle name="Separador de milhares 2 3 3 4" xfId="1217"/>
    <cellStyle name="Separador de milhares 2 3 3 4 2" xfId="6772"/>
    <cellStyle name="Separador de milhares 2 3 3 4 2 2" xfId="9919"/>
    <cellStyle name="Separador de milhares 2 3 3 4 2 2 2" xfId="28133"/>
    <cellStyle name="Separador de milhares 2 3 3 4 2 2 2 2" xfId="53200"/>
    <cellStyle name="Separador de milhares 2 3 3 4 2 2 3" xfId="22219"/>
    <cellStyle name="Separador de milhares 2 3 3 4 2 2 3 2" xfId="47286"/>
    <cellStyle name="Separador de milhares 2 3 3 4 2 2 4" xfId="16305"/>
    <cellStyle name="Separador de milhares 2 3 3 4 2 2 4 2" xfId="41372"/>
    <cellStyle name="Separador de milhares 2 3 3 4 2 2 5" xfId="35464"/>
    <cellStyle name="Separador de milhares 2 3 3 4 2 3" xfId="25176"/>
    <cellStyle name="Separador de milhares 2 3 3 4 2 3 2" xfId="50243"/>
    <cellStyle name="Separador de milhares 2 3 3 4 2 4" xfId="19262"/>
    <cellStyle name="Separador de milhares 2 3 3 4 2 4 2" xfId="44329"/>
    <cellStyle name="Separador de milhares 2 3 3 4 2 5" xfId="13161"/>
    <cellStyle name="Separador de milhares 2 3 3 4 2 5 2" xfId="38418"/>
    <cellStyle name="Separador de milhares 2 3 3 4 2 6" xfId="32507"/>
    <cellStyle name="Separador de milhares 2 3 3 4 3" xfId="8451"/>
    <cellStyle name="Separador de milhares 2 3 3 4 3 2" xfId="26665"/>
    <cellStyle name="Separador de milhares 2 3 3 4 3 2 2" xfId="51732"/>
    <cellStyle name="Separador de milhares 2 3 3 4 3 3" xfId="20751"/>
    <cellStyle name="Separador de milhares 2 3 3 4 3 3 2" xfId="45818"/>
    <cellStyle name="Separador de milhares 2 3 3 4 3 4" xfId="14837"/>
    <cellStyle name="Separador de milhares 2 3 3 4 3 4 2" xfId="39904"/>
    <cellStyle name="Separador de milhares 2 3 3 4 3 5" xfId="33996"/>
    <cellStyle name="Separador de milhares 2 3 3 4 4" xfId="5073"/>
    <cellStyle name="Separador de milhares 2 3 3 4 4 2" xfId="23708"/>
    <cellStyle name="Separador de milhares 2 3 3 4 4 2 2" xfId="48775"/>
    <cellStyle name="Separador de milhares 2 3 3 4 4 3" xfId="31039"/>
    <cellStyle name="Separador de milhares 2 3 3 4 5" xfId="17794"/>
    <cellStyle name="Separador de milhares 2 3 3 4 5 2" xfId="42861"/>
    <cellStyle name="Separador de milhares 2 3 3 4 6" xfId="11460"/>
    <cellStyle name="Separador de milhares 2 3 3 4 6 2" xfId="36950"/>
    <cellStyle name="Separador de milhares 2 3 3 4 7" xfId="29569"/>
    <cellStyle name="Separador de milhares 2 3 3 5" xfId="1652"/>
    <cellStyle name="Separador de milhares 2 3 3 5 2" xfId="6891"/>
    <cellStyle name="Separador de milhares 2 3 3 5 2 2" xfId="10038"/>
    <cellStyle name="Separador de milhares 2 3 3 5 2 2 2" xfId="28252"/>
    <cellStyle name="Separador de milhares 2 3 3 5 2 2 2 2" xfId="53319"/>
    <cellStyle name="Separador de milhares 2 3 3 5 2 2 3" xfId="22338"/>
    <cellStyle name="Separador de milhares 2 3 3 5 2 2 3 2" xfId="47405"/>
    <cellStyle name="Separador de milhares 2 3 3 5 2 2 4" xfId="16424"/>
    <cellStyle name="Separador de milhares 2 3 3 5 2 2 4 2" xfId="41491"/>
    <cellStyle name="Separador de milhares 2 3 3 5 2 2 5" xfId="35583"/>
    <cellStyle name="Separador de milhares 2 3 3 5 2 3" xfId="25295"/>
    <cellStyle name="Separador de milhares 2 3 3 5 2 3 2" xfId="50362"/>
    <cellStyle name="Separador de milhares 2 3 3 5 2 4" xfId="19381"/>
    <cellStyle name="Separador de milhares 2 3 3 5 2 4 2" xfId="44448"/>
    <cellStyle name="Separador de milhares 2 3 3 5 2 5" xfId="13280"/>
    <cellStyle name="Separador de milhares 2 3 3 5 2 5 2" xfId="38537"/>
    <cellStyle name="Separador de milhares 2 3 3 5 2 6" xfId="32626"/>
    <cellStyle name="Separador de milhares 2 3 3 5 3" xfId="8570"/>
    <cellStyle name="Separador de milhares 2 3 3 5 3 2" xfId="26784"/>
    <cellStyle name="Separador de milhares 2 3 3 5 3 2 2" xfId="51851"/>
    <cellStyle name="Separador de milhares 2 3 3 5 3 3" xfId="20870"/>
    <cellStyle name="Separador de milhares 2 3 3 5 3 3 2" xfId="45937"/>
    <cellStyle name="Separador de milhares 2 3 3 5 3 4" xfId="14956"/>
    <cellStyle name="Separador de milhares 2 3 3 5 3 4 2" xfId="40023"/>
    <cellStyle name="Separador de milhares 2 3 3 5 3 5" xfId="34115"/>
    <cellStyle name="Separador de milhares 2 3 3 5 4" xfId="5192"/>
    <cellStyle name="Separador de milhares 2 3 3 5 4 2" xfId="23827"/>
    <cellStyle name="Separador de milhares 2 3 3 5 4 2 2" xfId="48894"/>
    <cellStyle name="Separador de milhares 2 3 3 5 4 3" xfId="31158"/>
    <cellStyle name="Separador de milhares 2 3 3 5 5" xfId="17913"/>
    <cellStyle name="Separador de milhares 2 3 3 5 5 2" xfId="42980"/>
    <cellStyle name="Separador de milhares 2 3 3 5 6" xfId="11579"/>
    <cellStyle name="Separador de milhares 2 3 3 5 6 2" xfId="37069"/>
    <cellStyle name="Separador de milhares 2 3 3 5 7" xfId="29688"/>
    <cellStyle name="Separador de milhares 2 3 3 6" xfId="2182"/>
    <cellStyle name="Separador de milhares 2 3 3 6 2" xfId="7041"/>
    <cellStyle name="Separador de milhares 2 3 3 6 2 2" xfId="10185"/>
    <cellStyle name="Separador de milhares 2 3 3 6 2 2 2" xfId="28399"/>
    <cellStyle name="Separador de milhares 2 3 3 6 2 2 2 2" xfId="53466"/>
    <cellStyle name="Separador de milhares 2 3 3 6 2 2 3" xfId="22485"/>
    <cellStyle name="Separador de milhares 2 3 3 6 2 2 3 2" xfId="47552"/>
    <cellStyle name="Separador de milhares 2 3 3 6 2 2 4" xfId="16571"/>
    <cellStyle name="Separador de milhares 2 3 3 6 2 2 4 2" xfId="41638"/>
    <cellStyle name="Separador de milhares 2 3 3 6 2 2 5" xfId="35730"/>
    <cellStyle name="Separador de milhares 2 3 3 6 2 3" xfId="25442"/>
    <cellStyle name="Separador de milhares 2 3 3 6 2 3 2" xfId="50509"/>
    <cellStyle name="Separador de milhares 2 3 3 6 2 4" xfId="19528"/>
    <cellStyle name="Separador de milhares 2 3 3 6 2 4 2" xfId="44595"/>
    <cellStyle name="Separador de milhares 2 3 3 6 2 5" xfId="13430"/>
    <cellStyle name="Separador de milhares 2 3 3 6 2 5 2" xfId="38684"/>
    <cellStyle name="Separador de milhares 2 3 3 6 2 6" xfId="32773"/>
    <cellStyle name="Separador de milhares 2 3 3 6 3" xfId="8717"/>
    <cellStyle name="Separador de milhares 2 3 3 6 3 2" xfId="26931"/>
    <cellStyle name="Separador de milhares 2 3 3 6 3 2 2" xfId="51998"/>
    <cellStyle name="Separador de milhares 2 3 3 6 3 3" xfId="21017"/>
    <cellStyle name="Separador de milhares 2 3 3 6 3 3 2" xfId="46084"/>
    <cellStyle name="Separador de milhares 2 3 3 6 3 4" xfId="15103"/>
    <cellStyle name="Separador de milhares 2 3 3 6 3 4 2" xfId="40170"/>
    <cellStyle name="Separador de milhares 2 3 3 6 3 5" xfId="34262"/>
    <cellStyle name="Separador de milhares 2 3 3 6 4" xfId="5342"/>
    <cellStyle name="Separador de milhares 2 3 3 6 4 2" xfId="23974"/>
    <cellStyle name="Separador de milhares 2 3 3 6 4 2 2" xfId="49041"/>
    <cellStyle name="Separador de milhares 2 3 3 6 4 3" xfId="31305"/>
    <cellStyle name="Separador de milhares 2 3 3 6 5" xfId="18060"/>
    <cellStyle name="Separador de milhares 2 3 3 6 5 2" xfId="43127"/>
    <cellStyle name="Separador de milhares 2 3 3 6 6" xfId="11729"/>
    <cellStyle name="Separador de milhares 2 3 3 6 6 2" xfId="37216"/>
    <cellStyle name="Separador de milhares 2 3 3 6 7" xfId="29835"/>
    <cellStyle name="Separador de milhares 2 3 3 7" xfId="2709"/>
    <cellStyle name="Separador de milhares 2 3 3 7 2" xfId="7188"/>
    <cellStyle name="Separador de milhares 2 3 3 7 2 2" xfId="10332"/>
    <cellStyle name="Separador de milhares 2 3 3 7 2 2 2" xfId="28546"/>
    <cellStyle name="Separador de milhares 2 3 3 7 2 2 2 2" xfId="53613"/>
    <cellStyle name="Separador de milhares 2 3 3 7 2 2 3" xfId="22632"/>
    <cellStyle name="Separador de milhares 2 3 3 7 2 2 3 2" xfId="47699"/>
    <cellStyle name="Separador de milhares 2 3 3 7 2 2 4" xfId="16718"/>
    <cellStyle name="Separador de milhares 2 3 3 7 2 2 4 2" xfId="41785"/>
    <cellStyle name="Separador de milhares 2 3 3 7 2 2 5" xfId="35877"/>
    <cellStyle name="Separador de milhares 2 3 3 7 2 3" xfId="25589"/>
    <cellStyle name="Separador de milhares 2 3 3 7 2 3 2" xfId="50656"/>
    <cellStyle name="Separador de milhares 2 3 3 7 2 4" xfId="19675"/>
    <cellStyle name="Separador de milhares 2 3 3 7 2 4 2" xfId="44742"/>
    <cellStyle name="Separador de milhares 2 3 3 7 2 5" xfId="13577"/>
    <cellStyle name="Separador de milhares 2 3 3 7 2 5 2" xfId="38831"/>
    <cellStyle name="Separador de milhares 2 3 3 7 2 6" xfId="32920"/>
    <cellStyle name="Separador de milhares 2 3 3 7 3" xfId="8864"/>
    <cellStyle name="Separador de milhares 2 3 3 7 3 2" xfId="27078"/>
    <cellStyle name="Separador de milhares 2 3 3 7 3 2 2" xfId="52145"/>
    <cellStyle name="Separador de milhares 2 3 3 7 3 3" xfId="21164"/>
    <cellStyle name="Separador de milhares 2 3 3 7 3 3 2" xfId="46231"/>
    <cellStyle name="Separador de milhares 2 3 3 7 3 4" xfId="15250"/>
    <cellStyle name="Separador de milhares 2 3 3 7 3 4 2" xfId="40317"/>
    <cellStyle name="Separador de milhares 2 3 3 7 3 5" xfId="34409"/>
    <cellStyle name="Separador de milhares 2 3 3 7 4" xfId="5489"/>
    <cellStyle name="Separador de milhares 2 3 3 7 4 2" xfId="24121"/>
    <cellStyle name="Separador de milhares 2 3 3 7 4 2 2" xfId="49188"/>
    <cellStyle name="Separador de milhares 2 3 3 7 4 3" xfId="31452"/>
    <cellStyle name="Separador de milhares 2 3 3 7 5" xfId="18207"/>
    <cellStyle name="Separador de milhares 2 3 3 7 5 2" xfId="43274"/>
    <cellStyle name="Separador de milhares 2 3 3 7 6" xfId="11876"/>
    <cellStyle name="Separador de milhares 2 3 3 7 6 2" xfId="37363"/>
    <cellStyle name="Separador de milhares 2 3 3 7 7" xfId="29982"/>
    <cellStyle name="Separador de milhares 2 3 3 8" xfId="3236"/>
    <cellStyle name="Separador de milhares 2 3 3 8 2" xfId="7335"/>
    <cellStyle name="Separador de milhares 2 3 3 8 2 2" xfId="10479"/>
    <cellStyle name="Separador de milhares 2 3 3 8 2 2 2" xfId="28693"/>
    <cellStyle name="Separador de milhares 2 3 3 8 2 2 2 2" xfId="53760"/>
    <cellStyle name="Separador de milhares 2 3 3 8 2 2 3" xfId="22779"/>
    <cellStyle name="Separador de milhares 2 3 3 8 2 2 3 2" xfId="47846"/>
    <cellStyle name="Separador de milhares 2 3 3 8 2 2 4" xfId="16865"/>
    <cellStyle name="Separador de milhares 2 3 3 8 2 2 4 2" xfId="41932"/>
    <cellStyle name="Separador de milhares 2 3 3 8 2 2 5" xfId="36024"/>
    <cellStyle name="Separador de milhares 2 3 3 8 2 3" xfId="25736"/>
    <cellStyle name="Separador de milhares 2 3 3 8 2 3 2" xfId="50803"/>
    <cellStyle name="Separador de milhares 2 3 3 8 2 4" xfId="19822"/>
    <cellStyle name="Separador de milhares 2 3 3 8 2 4 2" xfId="44889"/>
    <cellStyle name="Separador de milhares 2 3 3 8 2 5" xfId="13724"/>
    <cellStyle name="Separador de milhares 2 3 3 8 2 5 2" xfId="38978"/>
    <cellStyle name="Separador de milhares 2 3 3 8 2 6" xfId="33067"/>
    <cellStyle name="Separador de milhares 2 3 3 8 3" xfId="9011"/>
    <cellStyle name="Separador de milhares 2 3 3 8 3 2" xfId="27225"/>
    <cellStyle name="Separador de milhares 2 3 3 8 3 2 2" xfId="52292"/>
    <cellStyle name="Separador de milhares 2 3 3 8 3 3" xfId="21311"/>
    <cellStyle name="Separador de milhares 2 3 3 8 3 3 2" xfId="46378"/>
    <cellStyle name="Separador de milhares 2 3 3 8 3 4" xfId="15397"/>
    <cellStyle name="Separador de milhares 2 3 3 8 3 4 2" xfId="40464"/>
    <cellStyle name="Separador de milhares 2 3 3 8 3 5" xfId="34556"/>
    <cellStyle name="Separador de milhares 2 3 3 8 4" xfId="5636"/>
    <cellStyle name="Separador de milhares 2 3 3 8 4 2" xfId="24268"/>
    <cellStyle name="Separador de milhares 2 3 3 8 4 2 2" xfId="49335"/>
    <cellStyle name="Separador de milhares 2 3 3 8 4 3" xfId="31599"/>
    <cellStyle name="Separador de milhares 2 3 3 8 5" xfId="18354"/>
    <cellStyle name="Separador de milhares 2 3 3 8 5 2" xfId="43421"/>
    <cellStyle name="Separador de milhares 2 3 3 8 6" xfId="12023"/>
    <cellStyle name="Separador de milhares 2 3 3 8 6 2" xfId="37510"/>
    <cellStyle name="Separador de milhares 2 3 3 8 7" xfId="30129"/>
    <cellStyle name="Separador de milhares 2 3 3 9" xfId="3763"/>
    <cellStyle name="Separador de milhares 2 3 3 9 2" xfId="7482"/>
    <cellStyle name="Separador de milhares 2 3 3 9 2 2" xfId="10626"/>
    <cellStyle name="Separador de milhares 2 3 3 9 2 2 2" xfId="28840"/>
    <cellStyle name="Separador de milhares 2 3 3 9 2 2 2 2" xfId="53907"/>
    <cellStyle name="Separador de milhares 2 3 3 9 2 2 3" xfId="22926"/>
    <cellStyle name="Separador de milhares 2 3 3 9 2 2 3 2" xfId="47993"/>
    <cellStyle name="Separador de milhares 2 3 3 9 2 2 4" xfId="17012"/>
    <cellStyle name="Separador de milhares 2 3 3 9 2 2 4 2" xfId="42079"/>
    <cellStyle name="Separador de milhares 2 3 3 9 2 2 5" xfId="36171"/>
    <cellStyle name="Separador de milhares 2 3 3 9 2 3" xfId="25883"/>
    <cellStyle name="Separador de milhares 2 3 3 9 2 3 2" xfId="50950"/>
    <cellStyle name="Separador de milhares 2 3 3 9 2 4" xfId="19969"/>
    <cellStyle name="Separador de milhares 2 3 3 9 2 4 2" xfId="45036"/>
    <cellStyle name="Separador de milhares 2 3 3 9 2 5" xfId="13871"/>
    <cellStyle name="Separador de milhares 2 3 3 9 2 5 2" xfId="39125"/>
    <cellStyle name="Separador de milhares 2 3 3 9 2 6" xfId="33214"/>
    <cellStyle name="Separador de milhares 2 3 3 9 3" xfId="9158"/>
    <cellStyle name="Separador de milhares 2 3 3 9 3 2" xfId="27372"/>
    <cellStyle name="Separador de milhares 2 3 3 9 3 2 2" xfId="52439"/>
    <cellStyle name="Separador de milhares 2 3 3 9 3 3" xfId="21458"/>
    <cellStyle name="Separador de milhares 2 3 3 9 3 3 2" xfId="46525"/>
    <cellStyle name="Separador de milhares 2 3 3 9 3 4" xfId="15544"/>
    <cellStyle name="Separador de milhares 2 3 3 9 3 4 2" xfId="40611"/>
    <cellStyle name="Separador de milhares 2 3 3 9 3 5" xfId="34703"/>
    <cellStyle name="Separador de milhares 2 3 3 9 4" xfId="5783"/>
    <cellStyle name="Separador de milhares 2 3 3 9 4 2" xfId="24415"/>
    <cellStyle name="Separador de milhares 2 3 3 9 4 2 2" xfId="49482"/>
    <cellStyle name="Separador de milhares 2 3 3 9 4 3" xfId="31746"/>
    <cellStyle name="Separador de milhares 2 3 3 9 5" xfId="18501"/>
    <cellStyle name="Separador de milhares 2 3 3 9 5 2" xfId="43568"/>
    <cellStyle name="Separador de milhares 2 3 3 9 6" xfId="12170"/>
    <cellStyle name="Separador de milhares 2 3 3 9 6 2" xfId="37657"/>
    <cellStyle name="Separador de milhares 2 3 3 9 7" xfId="30276"/>
    <cellStyle name="Separador de milhares 2 3 4" xfId="6441"/>
    <cellStyle name="Separador de milhares 2 3 4 2" xfId="9596"/>
    <cellStyle name="Separador de milhares 2 3 4 2 2" xfId="27810"/>
    <cellStyle name="Separador de milhares 2 3 4 2 2 2" xfId="52877"/>
    <cellStyle name="Separador de milhares 2 3 4 2 3" xfId="21896"/>
    <cellStyle name="Separador de milhares 2 3 4 2 3 2" xfId="46963"/>
    <cellStyle name="Separador de milhares 2 3 4 2 4" xfId="15982"/>
    <cellStyle name="Separador de milhares 2 3 4 2 4 2" xfId="41049"/>
    <cellStyle name="Separador de milhares 2 3 4 2 5" xfId="35141"/>
    <cellStyle name="Separador de milhares 2 3 4 3" xfId="24853"/>
    <cellStyle name="Separador de milhares 2 3 4 3 2" xfId="49920"/>
    <cellStyle name="Separador de milhares 2 3 4 4" xfId="18939"/>
    <cellStyle name="Separador de milhares 2 3 4 4 2" xfId="44006"/>
    <cellStyle name="Separador de milhares 2 3 4 5" xfId="12830"/>
    <cellStyle name="Separador de milhares 2 3 4 5 2" xfId="38095"/>
    <cellStyle name="Separador de milhares 2 3 4 6" xfId="32184"/>
    <cellStyle name="Separador de milhares 2 3 5" xfId="8125"/>
    <cellStyle name="Separador de milhares 2 3 5 2" xfId="26339"/>
    <cellStyle name="Separador de milhares 2 3 5 2 2" xfId="51406"/>
    <cellStyle name="Separador de milhares 2 3 5 3" xfId="20425"/>
    <cellStyle name="Separador de milhares 2 3 5 3 2" xfId="45492"/>
    <cellStyle name="Separador de milhares 2 3 5 4" xfId="14514"/>
    <cellStyle name="Separador de milhares 2 3 5 4 2" xfId="39581"/>
    <cellStyle name="Separador de milhares 2 3 5 5" xfId="33670"/>
    <cellStyle name="Separador de milhares 2 3 6" xfId="4739"/>
    <cellStyle name="Separador de milhares 2 3 6 2" xfId="23382"/>
    <cellStyle name="Separador de milhares 2 3 6 2 2" xfId="48449"/>
    <cellStyle name="Separador de milhares 2 3 6 3" xfId="30714"/>
    <cellStyle name="Separador de milhares 2 3 7" xfId="17468"/>
    <cellStyle name="Separador de milhares 2 3 7 2" xfId="42535"/>
    <cellStyle name="Separador de milhares 2 3 8" xfId="11129"/>
    <cellStyle name="Separador de milhares 2 3 8 2" xfId="36627"/>
    <cellStyle name="Separador de milhares 2 3 9" xfId="29243"/>
    <cellStyle name="Separador de milhares 2 4" xfId="125"/>
    <cellStyle name="Separador de milhares 2 4 10" xfId="6445"/>
    <cellStyle name="Separador de milhares 2 4 10 2" xfId="9599"/>
    <cellStyle name="Separador de milhares 2 4 10 2 2" xfId="27813"/>
    <cellStyle name="Separador de milhares 2 4 10 2 2 2" xfId="52880"/>
    <cellStyle name="Separador de milhares 2 4 10 2 3" xfId="21899"/>
    <cellStyle name="Separador de milhares 2 4 10 2 3 2" xfId="46966"/>
    <cellStyle name="Separador de milhares 2 4 10 2 4" xfId="15985"/>
    <cellStyle name="Separador de milhares 2 4 10 2 4 2" xfId="41052"/>
    <cellStyle name="Separador de milhares 2 4 10 2 5" xfId="35144"/>
    <cellStyle name="Separador de milhares 2 4 10 3" xfId="24856"/>
    <cellStyle name="Separador de milhares 2 4 10 3 2" xfId="49923"/>
    <cellStyle name="Separador de milhares 2 4 10 4" xfId="18942"/>
    <cellStyle name="Separador de milhares 2 4 10 4 2" xfId="44009"/>
    <cellStyle name="Separador de milhares 2 4 10 5" xfId="12834"/>
    <cellStyle name="Separador de milhares 2 4 10 5 2" xfId="38098"/>
    <cellStyle name="Separador de milhares 2 4 10 6" xfId="32187"/>
    <cellStyle name="Separador de milhares 2 4 11" xfId="8128"/>
    <cellStyle name="Separador de milhares 2 4 11 2" xfId="26342"/>
    <cellStyle name="Separador de milhares 2 4 11 2 2" xfId="51409"/>
    <cellStyle name="Separador de milhares 2 4 11 3" xfId="20428"/>
    <cellStyle name="Separador de milhares 2 4 11 3 2" xfId="45495"/>
    <cellStyle name="Separador de milhares 2 4 11 4" xfId="14517"/>
    <cellStyle name="Separador de milhares 2 4 11 4 2" xfId="39584"/>
    <cellStyle name="Separador de milhares 2 4 11 5" xfId="33673"/>
    <cellStyle name="Separador de milhares 2 4 12" xfId="4744"/>
    <cellStyle name="Separador de milhares 2 4 12 2" xfId="23385"/>
    <cellStyle name="Separador de milhares 2 4 12 2 2" xfId="48452"/>
    <cellStyle name="Separador de milhares 2 4 12 3" xfId="30717"/>
    <cellStyle name="Separador de milhares 2 4 13" xfId="17471"/>
    <cellStyle name="Separador de milhares 2 4 13 2" xfId="42538"/>
    <cellStyle name="Separador de milhares 2 4 14" xfId="11133"/>
    <cellStyle name="Separador de milhares 2 4 14 2" xfId="36630"/>
    <cellStyle name="Separador de milhares 2 4 15" xfId="29246"/>
    <cellStyle name="Separador de milhares 2 4 2" xfId="665"/>
    <cellStyle name="Separador de milhares 2 4 2 10" xfId="17622"/>
    <cellStyle name="Separador de milhares 2 4 2 10 2" xfId="42689"/>
    <cellStyle name="Separador de milhares 2 4 2 11" xfId="11288"/>
    <cellStyle name="Separador de milhares 2 4 2 11 2" xfId="36778"/>
    <cellStyle name="Separador de milhares 2 4 2 12" xfId="29397"/>
    <cellStyle name="Separador de milhares 2 4 2 2" xfId="1917"/>
    <cellStyle name="Separador de milhares 2 4 2 2 2" xfId="6964"/>
    <cellStyle name="Separador de milhares 2 4 2 2 2 2" xfId="10111"/>
    <cellStyle name="Separador de milhares 2 4 2 2 2 2 2" xfId="28325"/>
    <cellStyle name="Separador de milhares 2 4 2 2 2 2 2 2" xfId="53392"/>
    <cellStyle name="Separador de milhares 2 4 2 2 2 2 3" xfId="22411"/>
    <cellStyle name="Separador de milhares 2 4 2 2 2 2 3 2" xfId="47478"/>
    <cellStyle name="Separador de milhares 2 4 2 2 2 2 4" xfId="16497"/>
    <cellStyle name="Separador de milhares 2 4 2 2 2 2 4 2" xfId="41564"/>
    <cellStyle name="Separador de milhares 2 4 2 2 2 2 5" xfId="35656"/>
    <cellStyle name="Separador de milhares 2 4 2 2 2 3" xfId="25368"/>
    <cellStyle name="Separador de milhares 2 4 2 2 2 3 2" xfId="50435"/>
    <cellStyle name="Separador de milhares 2 4 2 2 2 4" xfId="19454"/>
    <cellStyle name="Separador de milhares 2 4 2 2 2 4 2" xfId="44521"/>
    <cellStyle name="Separador de milhares 2 4 2 2 2 5" xfId="13353"/>
    <cellStyle name="Separador de milhares 2 4 2 2 2 5 2" xfId="38610"/>
    <cellStyle name="Separador de milhares 2 4 2 2 2 6" xfId="32699"/>
    <cellStyle name="Separador de milhares 2 4 2 2 3" xfId="8643"/>
    <cellStyle name="Separador de milhares 2 4 2 2 3 2" xfId="26857"/>
    <cellStyle name="Separador de milhares 2 4 2 2 3 2 2" xfId="51924"/>
    <cellStyle name="Separador de milhares 2 4 2 2 3 3" xfId="20943"/>
    <cellStyle name="Separador de milhares 2 4 2 2 3 3 2" xfId="46010"/>
    <cellStyle name="Separador de milhares 2 4 2 2 3 4" xfId="15029"/>
    <cellStyle name="Separador de milhares 2 4 2 2 3 4 2" xfId="40096"/>
    <cellStyle name="Separador de milhares 2 4 2 2 3 5" xfId="34188"/>
    <cellStyle name="Separador de milhares 2 4 2 2 4" xfId="5265"/>
    <cellStyle name="Separador de milhares 2 4 2 2 4 2" xfId="23900"/>
    <cellStyle name="Separador de milhares 2 4 2 2 4 2 2" xfId="48967"/>
    <cellStyle name="Separador de milhares 2 4 2 2 4 3" xfId="31231"/>
    <cellStyle name="Separador de milhares 2 4 2 2 5" xfId="17986"/>
    <cellStyle name="Separador de milhares 2 4 2 2 5 2" xfId="43053"/>
    <cellStyle name="Separador de milhares 2 4 2 2 6" xfId="11652"/>
    <cellStyle name="Separador de milhares 2 4 2 2 6 2" xfId="37142"/>
    <cellStyle name="Separador de milhares 2 4 2 2 7" xfId="29761"/>
    <cellStyle name="Separador de milhares 2 4 2 3" xfId="2447"/>
    <cellStyle name="Separador de milhares 2 4 2 3 2" xfId="7114"/>
    <cellStyle name="Separador de milhares 2 4 2 3 2 2" xfId="10258"/>
    <cellStyle name="Separador de milhares 2 4 2 3 2 2 2" xfId="28472"/>
    <cellStyle name="Separador de milhares 2 4 2 3 2 2 2 2" xfId="53539"/>
    <cellStyle name="Separador de milhares 2 4 2 3 2 2 3" xfId="22558"/>
    <cellStyle name="Separador de milhares 2 4 2 3 2 2 3 2" xfId="47625"/>
    <cellStyle name="Separador de milhares 2 4 2 3 2 2 4" xfId="16644"/>
    <cellStyle name="Separador de milhares 2 4 2 3 2 2 4 2" xfId="41711"/>
    <cellStyle name="Separador de milhares 2 4 2 3 2 2 5" xfId="35803"/>
    <cellStyle name="Separador de milhares 2 4 2 3 2 3" xfId="25515"/>
    <cellStyle name="Separador de milhares 2 4 2 3 2 3 2" xfId="50582"/>
    <cellStyle name="Separador de milhares 2 4 2 3 2 4" xfId="19601"/>
    <cellStyle name="Separador de milhares 2 4 2 3 2 4 2" xfId="44668"/>
    <cellStyle name="Separador de milhares 2 4 2 3 2 5" xfId="13503"/>
    <cellStyle name="Separador de milhares 2 4 2 3 2 5 2" xfId="38757"/>
    <cellStyle name="Separador de milhares 2 4 2 3 2 6" xfId="32846"/>
    <cellStyle name="Separador de milhares 2 4 2 3 3" xfId="8790"/>
    <cellStyle name="Separador de milhares 2 4 2 3 3 2" xfId="27004"/>
    <cellStyle name="Separador de milhares 2 4 2 3 3 2 2" xfId="52071"/>
    <cellStyle name="Separador de milhares 2 4 2 3 3 3" xfId="21090"/>
    <cellStyle name="Separador de milhares 2 4 2 3 3 3 2" xfId="46157"/>
    <cellStyle name="Separador de milhares 2 4 2 3 3 4" xfId="15176"/>
    <cellStyle name="Separador de milhares 2 4 2 3 3 4 2" xfId="40243"/>
    <cellStyle name="Separador de milhares 2 4 2 3 3 5" xfId="34335"/>
    <cellStyle name="Separador de milhares 2 4 2 3 4" xfId="5415"/>
    <cellStyle name="Separador de milhares 2 4 2 3 4 2" xfId="24047"/>
    <cellStyle name="Separador de milhares 2 4 2 3 4 2 2" xfId="49114"/>
    <cellStyle name="Separador de milhares 2 4 2 3 4 3" xfId="31378"/>
    <cellStyle name="Separador de milhares 2 4 2 3 5" xfId="18133"/>
    <cellStyle name="Separador de milhares 2 4 2 3 5 2" xfId="43200"/>
    <cellStyle name="Separador de milhares 2 4 2 3 6" xfId="11802"/>
    <cellStyle name="Separador de milhares 2 4 2 3 6 2" xfId="37289"/>
    <cellStyle name="Separador de milhares 2 4 2 3 7" xfId="29908"/>
    <cellStyle name="Separador de milhares 2 4 2 4" xfId="2974"/>
    <cellStyle name="Separador de milhares 2 4 2 4 2" xfId="7261"/>
    <cellStyle name="Separador de milhares 2 4 2 4 2 2" xfId="10405"/>
    <cellStyle name="Separador de milhares 2 4 2 4 2 2 2" xfId="28619"/>
    <cellStyle name="Separador de milhares 2 4 2 4 2 2 2 2" xfId="53686"/>
    <cellStyle name="Separador de milhares 2 4 2 4 2 2 3" xfId="22705"/>
    <cellStyle name="Separador de milhares 2 4 2 4 2 2 3 2" xfId="47772"/>
    <cellStyle name="Separador de milhares 2 4 2 4 2 2 4" xfId="16791"/>
    <cellStyle name="Separador de milhares 2 4 2 4 2 2 4 2" xfId="41858"/>
    <cellStyle name="Separador de milhares 2 4 2 4 2 2 5" xfId="35950"/>
    <cellStyle name="Separador de milhares 2 4 2 4 2 3" xfId="25662"/>
    <cellStyle name="Separador de milhares 2 4 2 4 2 3 2" xfId="50729"/>
    <cellStyle name="Separador de milhares 2 4 2 4 2 4" xfId="19748"/>
    <cellStyle name="Separador de milhares 2 4 2 4 2 4 2" xfId="44815"/>
    <cellStyle name="Separador de milhares 2 4 2 4 2 5" xfId="13650"/>
    <cellStyle name="Separador de milhares 2 4 2 4 2 5 2" xfId="38904"/>
    <cellStyle name="Separador de milhares 2 4 2 4 2 6" xfId="32993"/>
    <cellStyle name="Separador de milhares 2 4 2 4 3" xfId="8937"/>
    <cellStyle name="Separador de milhares 2 4 2 4 3 2" xfId="27151"/>
    <cellStyle name="Separador de milhares 2 4 2 4 3 2 2" xfId="52218"/>
    <cellStyle name="Separador de milhares 2 4 2 4 3 3" xfId="21237"/>
    <cellStyle name="Separador de milhares 2 4 2 4 3 3 2" xfId="46304"/>
    <cellStyle name="Separador de milhares 2 4 2 4 3 4" xfId="15323"/>
    <cellStyle name="Separador de milhares 2 4 2 4 3 4 2" xfId="40390"/>
    <cellStyle name="Separador de milhares 2 4 2 4 3 5" xfId="34482"/>
    <cellStyle name="Separador de milhares 2 4 2 4 4" xfId="5562"/>
    <cellStyle name="Separador de milhares 2 4 2 4 4 2" xfId="24194"/>
    <cellStyle name="Separador de milhares 2 4 2 4 4 2 2" xfId="49261"/>
    <cellStyle name="Separador de milhares 2 4 2 4 4 3" xfId="31525"/>
    <cellStyle name="Separador de milhares 2 4 2 4 5" xfId="18280"/>
    <cellStyle name="Separador de milhares 2 4 2 4 5 2" xfId="43347"/>
    <cellStyle name="Separador de milhares 2 4 2 4 6" xfId="11949"/>
    <cellStyle name="Separador de milhares 2 4 2 4 6 2" xfId="37436"/>
    <cellStyle name="Separador de milhares 2 4 2 4 7" xfId="30055"/>
    <cellStyle name="Separador de milhares 2 4 2 5" xfId="3501"/>
    <cellStyle name="Separador de milhares 2 4 2 5 2" xfId="7408"/>
    <cellStyle name="Separador de milhares 2 4 2 5 2 2" xfId="10552"/>
    <cellStyle name="Separador de milhares 2 4 2 5 2 2 2" xfId="28766"/>
    <cellStyle name="Separador de milhares 2 4 2 5 2 2 2 2" xfId="53833"/>
    <cellStyle name="Separador de milhares 2 4 2 5 2 2 3" xfId="22852"/>
    <cellStyle name="Separador de milhares 2 4 2 5 2 2 3 2" xfId="47919"/>
    <cellStyle name="Separador de milhares 2 4 2 5 2 2 4" xfId="16938"/>
    <cellStyle name="Separador de milhares 2 4 2 5 2 2 4 2" xfId="42005"/>
    <cellStyle name="Separador de milhares 2 4 2 5 2 2 5" xfId="36097"/>
    <cellStyle name="Separador de milhares 2 4 2 5 2 3" xfId="25809"/>
    <cellStyle name="Separador de milhares 2 4 2 5 2 3 2" xfId="50876"/>
    <cellStyle name="Separador de milhares 2 4 2 5 2 4" xfId="19895"/>
    <cellStyle name="Separador de milhares 2 4 2 5 2 4 2" xfId="44962"/>
    <cellStyle name="Separador de milhares 2 4 2 5 2 5" xfId="13797"/>
    <cellStyle name="Separador de milhares 2 4 2 5 2 5 2" xfId="39051"/>
    <cellStyle name="Separador de milhares 2 4 2 5 2 6" xfId="33140"/>
    <cellStyle name="Separador de milhares 2 4 2 5 3" xfId="9084"/>
    <cellStyle name="Separador de milhares 2 4 2 5 3 2" xfId="27298"/>
    <cellStyle name="Separador de milhares 2 4 2 5 3 2 2" xfId="52365"/>
    <cellStyle name="Separador de milhares 2 4 2 5 3 3" xfId="21384"/>
    <cellStyle name="Separador de milhares 2 4 2 5 3 3 2" xfId="46451"/>
    <cellStyle name="Separador de milhares 2 4 2 5 3 4" xfId="15470"/>
    <cellStyle name="Separador de milhares 2 4 2 5 3 4 2" xfId="40537"/>
    <cellStyle name="Separador de milhares 2 4 2 5 3 5" xfId="34629"/>
    <cellStyle name="Separador de milhares 2 4 2 5 4" xfId="5709"/>
    <cellStyle name="Separador de milhares 2 4 2 5 4 2" xfId="24341"/>
    <cellStyle name="Separador de milhares 2 4 2 5 4 2 2" xfId="49408"/>
    <cellStyle name="Separador de milhares 2 4 2 5 4 3" xfId="31672"/>
    <cellStyle name="Separador de milhares 2 4 2 5 5" xfId="18427"/>
    <cellStyle name="Separador de milhares 2 4 2 5 5 2" xfId="43494"/>
    <cellStyle name="Separador de milhares 2 4 2 5 6" xfId="12096"/>
    <cellStyle name="Separador de milhares 2 4 2 5 6 2" xfId="37583"/>
    <cellStyle name="Separador de milhares 2 4 2 5 7" xfId="30202"/>
    <cellStyle name="Separador de milhares 2 4 2 6" xfId="4028"/>
    <cellStyle name="Separador de milhares 2 4 2 6 2" xfId="7555"/>
    <cellStyle name="Separador de milhares 2 4 2 6 2 2" xfId="10699"/>
    <cellStyle name="Separador de milhares 2 4 2 6 2 2 2" xfId="28913"/>
    <cellStyle name="Separador de milhares 2 4 2 6 2 2 2 2" xfId="53980"/>
    <cellStyle name="Separador de milhares 2 4 2 6 2 2 3" xfId="22999"/>
    <cellStyle name="Separador de milhares 2 4 2 6 2 2 3 2" xfId="48066"/>
    <cellStyle name="Separador de milhares 2 4 2 6 2 2 4" xfId="17085"/>
    <cellStyle name="Separador de milhares 2 4 2 6 2 2 4 2" xfId="42152"/>
    <cellStyle name="Separador de milhares 2 4 2 6 2 2 5" xfId="36244"/>
    <cellStyle name="Separador de milhares 2 4 2 6 2 3" xfId="25956"/>
    <cellStyle name="Separador de milhares 2 4 2 6 2 3 2" xfId="51023"/>
    <cellStyle name="Separador de milhares 2 4 2 6 2 4" xfId="20042"/>
    <cellStyle name="Separador de milhares 2 4 2 6 2 4 2" xfId="45109"/>
    <cellStyle name="Separador de milhares 2 4 2 6 2 5" xfId="13944"/>
    <cellStyle name="Separador de milhares 2 4 2 6 2 5 2" xfId="39198"/>
    <cellStyle name="Separador de milhares 2 4 2 6 2 6" xfId="33287"/>
    <cellStyle name="Separador de milhares 2 4 2 6 3" xfId="9231"/>
    <cellStyle name="Separador de milhares 2 4 2 6 3 2" xfId="27445"/>
    <cellStyle name="Separador de milhares 2 4 2 6 3 2 2" xfId="52512"/>
    <cellStyle name="Separador de milhares 2 4 2 6 3 3" xfId="21531"/>
    <cellStyle name="Separador de milhares 2 4 2 6 3 3 2" xfId="46598"/>
    <cellStyle name="Separador de milhares 2 4 2 6 3 4" xfId="15617"/>
    <cellStyle name="Separador de milhares 2 4 2 6 3 4 2" xfId="40684"/>
    <cellStyle name="Separador de milhares 2 4 2 6 3 5" xfId="34776"/>
    <cellStyle name="Separador de milhares 2 4 2 6 4" xfId="5856"/>
    <cellStyle name="Separador de milhares 2 4 2 6 4 2" xfId="24488"/>
    <cellStyle name="Separador de milhares 2 4 2 6 4 2 2" xfId="49555"/>
    <cellStyle name="Separador de milhares 2 4 2 6 4 3" xfId="31819"/>
    <cellStyle name="Separador de milhares 2 4 2 6 5" xfId="18574"/>
    <cellStyle name="Separador de milhares 2 4 2 6 5 2" xfId="43641"/>
    <cellStyle name="Separador de milhares 2 4 2 6 6" xfId="12243"/>
    <cellStyle name="Separador de milhares 2 4 2 6 6 2" xfId="37730"/>
    <cellStyle name="Separador de milhares 2 4 2 6 7" xfId="30349"/>
    <cellStyle name="Separador de milhares 2 4 2 7" xfId="6600"/>
    <cellStyle name="Separador de milhares 2 4 2 7 2" xfId="9747"/>
    <cellStyle name="Separador de milhares 2 4 2 7 2 2" xfId="27961"/>
    <cellStyle name="Separador de milhares 2 4 2 7 2 2 2" xfId="53028"/>
    <cellStyle name="Separador de milhares 2 4 2 7 2 3" xfId="22047"/>
    <cellStyle name="Separador de milhares 2 4 2 7 2 3 2" xfId="47114"/>
    <cellStyle name="Separador de milhares 2 4 2 7 2 4" xfId="16133"/>
    <cellStyle name="Separador de milhares 2 4 2 7 2 4 2" xfId="41200"/>
    <cellStyle name="Separador de milhares 2 4 2 7 2 5" xfId="35292"/>
    <cellStyle name="Separador de milhares 2 4 2 7 3" xfId="25004"/>
    <cellStyle name="Separador de milhares 2 4 2 7 3 2" xfId="50071"/>
    <cellStyle name="Separador de milhares 2 4 2 7 4" xfId="19090"/>
    <cellStyle name="Separador de milhares 2 4 2 7 4 2" xfId="44157"/>
    <cellStyle name="Separador de milhares 2 4 2 7 5" xfId="12989"/>
    <cellStyle name="Separador de milhares 2 4 2 7 5 2" xfId="38246"/>
    <cellStyle name="Separador de milhares 2 4 2 7 6" xfId="32335"/>
    <cellStyle name="Separador de milhares 2 4 2 8" xfId="8279"/>
    <cellStyle name="Separador de milhares 2 4 2 8 2" xfId="26493"/>
    <cellStyle name="Separador de milhares 2 4 2 8 2 2" xfId="51560"/>
    <cellStyle name="Separador de milhares 2 4 2 8 3" xfId="20579"/>
    <cellStyle name="Separador de milhares 2 4 2 8 3 2" xfId="45646"/>
    <cellStyle name="Separador de milhares 2 4 2 8 4" xfId="14665"/>
    <cellStyle name="Separador de milhares 2 4 2 8 4 2" xfId="39732"/>
    <cellStyle name="Separador de milhares 2 4 2 8 5" xfId="33824"/>
    <cellStyle name="Separador de milhares 2 4 2 9" xfId="4901"/>
    <cellStyle name="Separador de milhares 2 4 2 9 2" xfId="23536"/>
    <cellStyle name="Separador de milhares 2 4 2 9 2 2" xfId="48603"/>
    <cellStyle name="Separador de milhares 2 4 2 9 3" xfId="30867"/>
    <cellStyle name="Separador de milhares 2 4 3" xfId="871"/>
    <cellStyle name="Separador de milhares 2 4 3 2" xfId="6677"/>
    <cellStyle name="Separador de milhares 2 4 3 2 2" xfId="9824"/>
    <cellStyle name="Separador de milhares 2 4 3 2 2 2" xfId="28038"/>
    <cellStyle name="Separador de milhares 2 4 3 2 2 2 2" xfId="53105"/>
    <cellStyle name="Separador de milhares 2 4 3 2 2 3" xfId="22124"/>
    <cellStyle name="Separador de milhares 2 4 3 2 2 3 2" xfId="47191"/>
    <cellStyle name="Separador de milhares 2 4 3 2 2 4" xfId="16210"/>
    <cellStyle name="Separador de milhares 2 4 3 2 2 4 2" xfId="41277"/>
    <cellStyle name="Separador de milhares 2 4 3 2 2 5" xfId="35369"/>
    <cellStyle name="Separador de milhares 2 4 3 2 3" xfId="25081"/>
    <cellStyle name="Separador de milhares 2 4 3 2 3 2" xfId="50148"/>
    <cellStyle name="Separador de milhares 2 4 3 2 4" xfId="19167"/>
    <cellStyle name="Separador de milhares 2 4 3 2 4 2" xfId="44234"/>
    <cellStyle name="Separador de milhares 2 4 3 2 5" xfId="13066"/>
    <cellStyle name="Separador de milhares 2 4 3 2 5 2" xfId="38323"/>
    <cellStyle name="Separador de milhares 2 4 3 2 6" xfId="32412"/>
    <cellStyle name="Separador de milhares 2 4 3 3" xfId="8356"/>
    <cellStyle name="Separador de milhares 2 4 3 3 2" xfId="26570"/>
    <cellStyle name="Separador de milhares 2 4 3 3 2 2" xfId="51637"/>
    <cellStyle name="Separador de milhares 2 4 3 3 3" xfId="20656"/>
    <cellStyle name="Separador de milhares 2 4 3 3 3 2" xfId="45723"/>
    <cellStyle name="Separador de milhares 2 4 3 3 4" xfId="14742"/>
    <cellStyle name="Separador de milhares 2 4 3 3 4 2" xfId="39809"/>
    <cellStyle name="Separador de milhares 2 4 3 3 5" xfId="33901"/>
    <cellStyle name="Separador de milhares 2 4 3 4" xfId="4978"/>
    <cellStyle name="Separador de milhares 2 4 3 4 2" xfId="23613"/>
    <cellStyle name="Separador de milhares 2 4 3 4 2 2" xfId="48680"/>
    <cellStyle name="Separador de milhares 2 4 3 4 3" xfId="30944"/>
    <cellStyle name="Separador de milhares 2 4 3 5" xfId="17699"/>
    <cellStyle name="Separador de milhares 2 4 3 5 2" xfId="42766"/>
    <cellStyle name="Separador de milhares 2 4 3 6" xfId="11365"/>
    <cellStyle name="Separador de milhares 2 4 3 6 2" xfId="36855"/>
    <cellStyle name="Separador de milhares 2 4 3 7" xfId="29474"/>
    <cellStyle name="Separador de milhares 2 4 4" xfId="1222"/>
    <cellStyle name="Separador de milhares 2 4 4 2" xfId="6775"/>
    <cellStyle name="Separador de milhares 2 4 4 2 2" xfId="9922"/>
    <cellStyle name="Separador de milhares 2 4 4 2 2 2" xfId="28136"/>
    <cellStyle name="Separador de milhares 2 4 4 2 2 2 2" xfId="53203"/>
    <cellStyle name="Separador de milhares 2 4 4 2 2 3" xfId="22222"/>
    <cellStyle name="Separador de milhares 2 4 4 2 2 3 2" xfId="47289"/>
    <cellStyle name="Separador de milhares 2 4 4 2 2 4" xfId="16308"/>
    <cellStyle name="Separador de milhares 2 4 4 2 2 4 2" xfId="41375"/>
    <cellStyle name="Separador de milhares 2 4 4 2 2 5" xfId="35467"/>
    <cellStyle name="Separador de milhares 2 4 4 2 3" xfId="25179"/>
    <cellStyle name="Separador de milhares 2 4 4 2 3 2" xfId="50246"/>
    <cellStyle name="Separador de milhares 2 4 4 2 4" xfId="19265"/>
    <cellStyle name="Separador de milhares 2 4 4 2 4 2" xfId="44332"/>
    <cellStyle name="Separador de milhares 2 4 4 2 5" xfId="13164"/>
    <cellStyle name="Separador de milhares 2 4 4 2 5 2" xfId="38421"/>
    <cellStyle name="Separador de milhares 2 4 4 2 6" xfId="32510"/>
    <cellStyle name="Separador de milhares 2 4 4 3" xfId="8454"/>
    <cellStyle name="Separador de milhares 2 4 4 3 2" xfId="26668"/>
    <cellStyle name="Separador de milhares 2 4 4 3 2 2" xfId="51735"/>
    <cellStyle name="Separador de milhares 2 4 4 3 3" xfId="20754"/>
    <cellStyle name="Separador de milhares 2 4 4 3 3 2" xfId="45821"/>
    <cellStyle name="Separador de milhares 2 4 4 3 4" xfId="14840"/>
    <cellStyle name="Separador de milhares 2 4 4 3 4 2" xfId="39907"/>
    <cellStyle name="Separador de milhares 2 4 4 3 5" xfId="33999"/>
    <cellStyle name="Separador de milhares 2 4 4 4" xfId="5076"/>
    <cellStyle name="Separador de milhares 2 4 4 4 2" xfId="23711"/>
    <cellStyle name="Separador de milhares 2 4 4 4 2 2" xfId="48778"/>
    <cellStyle name="Separador de milhares 2 4 4 4 3" xfId="31042"/>
    <cellStyle name="Separador de milhares 2 4 4 5" xfId="17797"/>
    <cellStyle name="Separador de milhares 2 4 4 5 2" xfId="42864"/>
    <cellStyle name="Separador de milhares 2 4 4 6" xfId="11463"/>
    <cellStyle name="Separador de milhares 2 4 4 6 2" xfId="36953"/>
    <cellStyle name="Separador de milhares 2 4 4 7" xfId="29572"/>
    <cellStyle name="Separador de milhares 2 4 5" xfId="1657"/>
    <cellStyle name="Separador de milhares 2 4 5 2" xfId="6894"/>
    <cellStyle name="Separador de milhares 2 4 5 2 2" xfId="10041"/>
    <cellStyle name="Separador de milhares 2 4 5 2 2 2" xfId="28255"/>
    <cellStyle name="Separador de milhares 2 4 5 2 2 2 2" xfId="53322"/>
    <cellStyle name="Separador de milhares 2 4 5 2 2 3" xfId="22341"/>
    <cellStyle name="Separador de milhares 2 4 5 2 2 3 2" xfId="47408"/>
    <cellStyle name="Separador de milhares 2 4 5 2 2 4" xfId="16427"/>
    <cellStyle name="Separador de milhares 2 4 5 2 2 4 2" xfId="41494"/>
    <cellStyle name="Separador de milhares 2 4 5 2 2 5" xfId="35586"/>
    <cellStyle name="Separador de milhares 2 4 5 2 3" xfId="25298"/>
    <cellStyle name="Separador de milhares 2 4 5 2 3 2" xfId="50365"/>
    <cellStyle name="Separador de milhares 2 4 5 2 4" xfId="19384"/>
    <cellStyle name="Separador de milhares 2 4 5 2 4 2" xfId="44451"/>
    <cellStyle name="Separador de milhares 2 4 5 2 5" xfId="13283"/>
    <cellStyle name="Separador de milhares 2 4 5 2 5 2" xfId="38540"/>
    <cellStyle name="Separador de milhares 2 4 5 2 6" xfId="32629"/>
    <cellStyle name="Separador de milhares 2 4 5 3" xfId="8573"/>
    <cellStyle name="Separador de milhares 2 4 5 3 2" xfId="26787"/>
    <cellStyle name="Separador de milhares 2 4 5 3 2 2" xfId="51854"/>
    <cellStyle name="Separador de milhares 2 4 5 3 3" xfId="20873"/>
    <cellStyle name="Separador de milhares 2 4 5 3 3 2" xfId="45940"/>
    <cellStyle name="Separador de milhares 2 4 5 3 4" xfId="14959"/>
    <cellStyle name="Separador de milhares 2 4 5 3 4 2" xfId="40026"/>
    <cellStyle name="Separador de milhares 2 4 5 3 5" xfId="34118"/>
    <cellStyle name="Separador de milhares 2 4 5 4" xfId="5195"/>
    <cellStyle name="Separador de milhares 2 4 5 4 2" xfId="23830"/>
    <cellStyle name="Separador de milhares 2 4 5 4 2 2" xfId="48897"/>
    <cellStyle name="Separador de milhares 2 4 5 4 3" xfId="31161"/>
    <cellStyle name="Separador de milhares 2 4 5 5" xfId="17916"/>
    <cellStyle name="Separador de milhares 2 4 5 5 2" xfId="42983"/>
    <cellStyle name="Separador de milhares 2 4 5 6" xfId="11582"/>
    <cellStyle name="Separador de milhares 2 4 5 6 2" xfId="37072"/>
    <cellStyle name="Separador de milhares 2 4 5 7" xfId="29691"/>
    <cellStyle name="Separador de milhares 2 4 6" xfId="2187"/>
    <cellStyle name="Separador de milhares 2 4 6 2" xfId="7044"/>
    <cellStyle name="Separador de milhares 2 4 6 2 2" xfId="10188"/>
    <cellStyle name="Separador de milhares 2 4 6 2 2 2" xfId="28402"/>
    <cellStyle name="Separador de milhares 2 4 6 2 2 2 2" xfId="53469"/>
    <cellStyle name="Separador de milhares 2 4 6 2 2 3" xfId="22488"/>
    <cellStyle name="Separador de milhares 2 4 6 2 2 3 2" xfId="47555"/>
    <cellStyle name="Separador de milhares 2 4 6 2 2 4" xfId="16574"/>
    <cellStyle name="Separador de milhares 2 4 6 2 2 4 2" xfId="41641"/>
    <cellStyle name="Separador de milhares 2 4 6 2 2 5" xfId="35733"/>
    <cellStyle name="Separador de milhares 2 4 6 2 3" xfId="25445"/>
    <cellStyle name="Separador de milhares 2 4 6 2 3 2" xfId="50512"/>
    <cellStyle name="Separador de milhares 2 4 6 2 4" xfId="19531"/>
    <cellStyle name="Separador de milhares 2 4 6 2 4 2" xfId="44598"/>
    <cellStyle name="Separador de milhares 2 4 6 2 5" xfId="13433"/>
    <cellStyle name="Separador de milhares 2 4 6 2 5 2" xfId="38687"/>
    <cellStyle name="Separador de milhares 2 4 6 2 6" xfId="32776"/>
    <cellStyle name="Separador de milhares 2 4 6 3" xfId="8720"/>
    <cellStyle name="Separador de milhares 2 4 6 3 2" xfId="26934"/>
    <cellStyle name="Separador de milhares 2 4 6 3 2 2" xfId="52001"/>
    <cellStyle name="Separador de milhares 2 4 6 3 3" xfId="21020"/>
    <cellStyle name="Separador de milhares 2 4 6 3 3 2" xfId="46087"/>
    <cellStyle name="Separador de milhares 2 4 6 3 4" xfId="15106"/>
    <cellStyle name="Separador de milhares 2 4 6 3 4 2" xfId="40173"/>
    <cellStyle name="Separador de milhares 2 4 6 3 5" xfId="34265"/>
    <cellStyle name="Separador de milhares 2 4 6 4" xfId="5345"/>
    <cellStyle name="Separador de milhares 2 4 6 4 2" xfId="23977"/>
    <cellStyle name="Separador de milhares 2 4 6 4 2 2" xfId="49044"/>
    <cellStyle name="Separador de milhares 2 4 6 4 3" xfId="31308"/>
    <cellStyle name="Separador de milhares 2 4 6 5" xfId="18063"/>
    <cellStyle name="Separador de milhares 2 4 6 5 2" xfId="43130"/>
    <cellStyle name="Separador de milhares 2 4 6 6" xfId="11732"/>
    <cellStyle name="Separador de milhares 2 4 6 6 2" xfId="37219"/>
    <cellStyle name="Separador de milhares 2 4 6 7" xfId="29838"/>
    <cellStyle name="Separador de milhares 2 4 7" xfId="2714"/>
    <cellStyle name="Separador de milhares 2 4 7 2" xfId="7191"/>
    <cellStyle name="Separador de milhares 2 4 7 2 2" xfId="10335"/>
    <cellStyle name="Separador de milhares 2 4 7 2 2 2" xfId="28549"/>
    <cellStyle name="Separador de milhares 2 4 7 2 2 2 2" xfId="53616"/>
    <cellStyle name="Separador de milhares 2 4 7 2 2 3" xfId="22635"/>
    <cellStyle name="Separador de milhares 2 4 7 2 2 3 2" xfId="47702"/>
    <cellStyle name="Separador de milhares 2 4 7 2 2 4" xfId="16721"/>
    <cellStyle name="Separador de milhares 2 4 7 2 2 4 2" xfId="41788"/>
    <cellStyle name="Separador de milhares 2 4 7 2 2 5" xfId="35880"/>
    <cellStyle name="Separador de milhares 2 4 7 2 3" xfId="25592"/>
    <cellStyle name="Separador de milhares 2 4 7 2 3 2" xfId="50659"/>
    <cellStyle name="Separador de milhares 2 4 7 2 4" xfId="19678"/>
    <cellStyle name="Separador de milhares 2 4 7 2 4 2" xfId="44745"/>
    <cellStyle name="Separador de milhares 2 4 7 2 5" xfId="13580"/>
    <cellStyle name="Separador de milhares 2 4 7 2 5 2" xfId="38834"/>
    <cellStyle name="Separador de milhares 2 4 7 2 6" xfId="32923"/>
    <cellStyle name="Separador de milhares 2 4 7 3" xfId="8867"/>
    <cellStyle name="Separador de milhares 2 4 7 3 2" xfId="27081"/>
    <cellStyle name="Separador de milhares 2 4 7 3 2 2" xfId="52148"/>
    <cellStyle name="Separador de milhares 2 4 7 3 3" xfId="21167"/>
    <cellStyle name="Separador de milhares 2 4 7 3 3 2" xfId="46234"/>
    <cellStyle name="Separador de milhares 2 4 7 3 4" xfId="15253"/>
    <cellStyle name="Separador de milhares 2 4 7 3 4 2" xfId="40320"/>
    <cellStyle name="Separador de milhares 2 4 7 3 5" xfId="34412"/>
    <cellStyle name="Separador de milhares 2 4 7 4" xfId="5492"/>
    <cellStyle name="Separador de milhares 2 4 7 4 2" xfId="24124"/>
    <cellStyle name="Separador de milhares 2 4 7 4 2 2" xfId="49191"/>
    <cellStyle name="Separador de milhares 2 4 7 4 3" xfId="31455"/>
    <cellStyle name="Separador de milhares 2 4 7 5" xfId="18210"/>
    <cellStyle name="Separador de milhares 2 4 7 5 2" xfId="43277"/>
    <cellStyle name="Separador de milhares 2 4 7 6" xfId="11879"/>
    <cellStyle name="Separador de milhares 2 4 7 6 2" xfId="37366"/>
    <cellStyle name="Separador de milhares 2 4 7 7" xfId="29985"/>
    <cellStyle name="Separador de milhares 2 4 8" xfId="3241"/>
    <cellStyle name="Separador de milhares 2 4 8 2" xfId="7338"/>
    <cellStyle name="Separador de milhares 2 4 8 2 2" xfId="10482"/>
    <cellStyle name="Separador de milhares 2 4 8 2 2 2" xfId="28696"/>
    <cellStyle name="Separador de milhares 2 4 8 2 2 2 2" xfId="53763"/>
    <cellStyle name="Separador de milhares 2 4 8 2 2 3" xfId="22782"/>
    <cellStyle name="Separador de milhares 2 4 8 2 2 3 2" xfId="47849"/>
    <cellStyle name="Separador de milhares 2 4 8 2 2 4" xfId="16868"/>
    <cellStyle name="Separador de milhares 2 4 8 2 2 4 2" xfId="41935"/>
    <cellStyle name="Separador de milhares 2 4 8 2 2 5" xfId="36027"/>
    <cellStyle name="Separador de milhares 2 4 8 2 3" xfId="25739"/>
    <cellStyle name="Separador de milhares 2 4 8 2 3 2" xfId="50806"/>
    <cellStyle name="Separador de milhares 2 4 8 2 4" xfId="19825"/>
    <cellStyle name="Separador de milhares 2 4 8 2 4 2" xfId="44892"/>
    <cellStyle name="Separador de milhares 2 4 8 2 5" xfId="13727"/>
    <cellStyle name="Separador de milhares 2 4 8 2 5 2" xfId="38981"/>
    <cellStyle name="Separador de milhares 2 4 8 2 6" xfId="33070"/>
    <cellStyle name="Separador de milhares 2 4 8 3" xfId="9014"/>
    <cellStyle name="Separador de milhares 2 4 8 3 2" xfId="27228"/>
    <cellStyle name="Separador de milhares 2 4 8 3 2 2" xfId="52295"/>
    <cellStyle name="Separador de milhares 2 4 8 3 3" xfId="21314"/>
    <cellStyle name="Separador de milhares 2 4 8 3 3 2" xfId="46381"/>
    <cellStyle name="Separador de milhares 2 4 8 3 4" xfId="15400"/>
    <cellStyle name="Separador de milhares 2 4 8 3 4 2" xfId="40467"/>
    <cellStyle name="Separador de milhares 2 4 8 3 5" xfId="34559"/>
    <cellStyle name="Separador de milhares 2 4 8 4" xfId="5639"/>
    <cellStyle name="Separador de milhares 2 4 8 4 2" xfId="24271"/>
    <cellStyle name="Separador de milhares 2 4 8 4 2 2" xfId="49338"/>
    <cellStyle name="Separador de milhares 2 4 8 4 3" xfId="31602"/>
    <cellStyle name="Separador de milhares 2 4 8 5" xfId="18357"/>
    <cellStyle name="Separador de milhares 2 4 8 5 2" xfId="43424"/>
    <cellStyle name="Separador de milhares 2 4 8 6" xfId="12026"/>
    <cellStyle name="Separador de milhares 2 4 8 6 2" xfId="37513"/>
    <cellStyle name="Separador de milhares 2 4 8 7" xfId="30132"/>
    <cellStyle name="Separador de milhares 2 4 9" xfId="3768"/>
    <cellStyle name="Separador de milhares 2 4 9 2" xfId="7485"/>
    <cellStyle name="Separador de milhares 2 4 9 2 2" xfId="10629"/>
    <cellStyle name="Separador de milhares 2 4 9 2 2 2" xfId="28843"/>
    <cellStyle name="Separador de milhares 2 4 9 2 2 2 2" xfId="53910"/>
    <cellStyle name="Separador de milhares 2 4 9 2 2 3" xfId="22929"/>
    <cellStyle name="Separador de milhares 2 4 9 2 2 3 2" xfId="47996"/>
    <cellStyle name="Separador de milhares 2 4 9 2 2 4" xfId="17015"/>
    <cellStyle name="Separador de milhares 2 4 9 2 2 4 2" xfId="42082"/>
    <cellStyle name="Separador de milhares 2 4 9 2 2 5" xfId="36174"/>
    <cellStyle name="Separador de milhares 2 4 9 2 3" xfId="25886"/>
    <cellStyle name="Separador de milhares 2 4 9 2 3 2" xfId="50953"/>
    <cellStyle name="Separador de milhares 2 4 9 2 4" xfId="19972"/>
    <cellStyle name="Separador de milhares 2 4 9 2 4 2" xfId="45039"/>
    <cellStyle name="Separador de milhares 2 4 9 2 5" xfId="13874"/>
    <cellStyle name="Separador de milhares 2 4 9 2 5 2" xfId="39128"/>
    <cellStyle name="Separador de milhares 2 4 9 2 6" xfId="33217"/>
    <cellStyle name="Separador de milhares 2 4 9 3" xfId="9161"/>
    <cellStyle name="Separador de milhares 2 4 9 3 2" xfId="27375"/>
    <cellStyle name="Separador de milhares 2 4 9 3 2 2" xfId="52442"/>
    <cellStyle name="Separador de milhares 2 4 9 3 3" xfId="21461"/>
    <cellStyle name="Separador de milhares 2 4 9 3 3 2" xfId="46528"/>
    <cellStyle name="Separador de milhares 2 4 9 3 4" xfId="15547"/>
    <cellStyle name="Separador de milhares 2 4 9 3 4 2" xfId="40614"/>
    <cellStyle name="Separador de milhares 2 4 9 3 5" xfId="34706"/>
    <cellStyle name="Separador de milhares 2 4 9 4" xfId="5786"/>
    <cellStyle name="Separador de milhares 2 4 9 4 2" xfId="24418"/>
    <cellStyle name="Separador de milhares 2 4 9 4 2 2" xfId="49485"/>
    <cellStyle name="Separador de milhares 2 4 9 4 3" xfId="31749"/>
    <cellStyle name="Separador de milhares 2 4 9 5" xfId="18504"/>
    <cellStyle name="Separador de milhares 2 4 9 5 2" xfId="43571"/>
    <cellStyle name="Separador de milhares 2 4 9 6" xfId="12173"/>
    <cellStyle name="Separador de milhares 2 4 9 6 2" xfId="37660"/>
    <cellStyle name="Separador de milhares 2 4 9 7" xfId="30279"/>
    <cellStyle name="Separador de milhares 2 5" xfId="220"/>
    <cellStyle name="Separador de milhares 2 5 10" xfId="6476"/>
    <cellStyle name="Separador de milhares 2 5 10 2" xfId="9627"/>
    <cellStyle name="Separador de milhares 2 5 10 2 2" xfId="27841"/>
    <cellStyle name="Separador de milhares 2 5 10 2 2 2" xfId="52908"/>
    <cellStyle name="Separador de milhares 2 5 10 2 3" xfId="21927"/>
    <cellStyle name="Separador de milhares 2 5 10 2 3 2" xfId="46994"/>
    <cellStyle name="Separador de milhares 2 5 10 2 4" xfId="16013"/>
    <cellStyle name="Separador de milhares 2 5 10 2 4 2" xfId="41080"/>
    <cellStyle name="Separador de milhares 2 5 10 2 5" xfId="35172"/>
    <cellStyle name="Separador de milhares 2 5 10 3" xfId="24884"/>
    <cellStyle name="Separador de milhares 2 5 10 3 2" xfId="49951"/>
    <cellStyle name="Separador de milhares 2 5 10 4" xfId="18970"/>
    <cellStyle name="Separador de milhares 2 5 10 4 2" xfId="44037"/>
    <cellStyle name="Separador de milhares 2 5 10 5" xfId="12865"/>
    <cellStyle name="Separador de milhares 2 5 10 5 2" xfId="38126"/>
    <cellStyle name="Separador de milhares 2 5 10 6" xfId="32215"/>
    <cellStyle name="Separador de milhares 2 5 11" xfId="8156"/>
    <cellStyle name="Separador de milhares 2 5 11 2" xfId="26370"/>
    <cellStyle name="Separador de milhares 2 5 11 2 2" xfId="51437"/>
    <cellStyle name="Separador de milhares 2 5 11 3" xfId="20456"/>
    <cellStyle name="Separador de milhares 2 5 11 3 2" xfId="45523"/>
    <cellStyle name="Separador de milhares 2 5 11 4" xfId="14545"/>
    <cellStyle name="Separador de milhares 2 5 11 4 2" xfId="39612"/>
    <cellStyle name="Separador de milhares 2 5 11 5" xfId="33701"/>
    <cellStyle name="Separador de milhares 2 5 12" xfId="4775"/>
    <cellStyle name="Separador de milhares 2 5 12 2" xfId="23413"/>
    <cellStyle name="Separador de milhares 2 5 12 2 2" xfId="48480"/>
    <cellStyle name="Separador de milhares 2 5 12 3" xfId="30745"/>
    <cellStyle name="Separador de milhares 2 5 13" xfId="17499"/>
    <cellStyle name="Separador de milhares 2 5 13 2" xfId="42566"/>
    <cellStyle name="Separador de milhares 2 5 14" xfId="11164"/>
    <cellStyle name="Separador de milhares 2 5 14 2" xfId="36658"/>
    <cellStyle name="Separador de milhares 2 5 15" xfId="29274"/>
    <cellStyle name="Separador de milhares 2 5 2" xfId="658"/>
    <cellStyle name="Separador de milhares 2 5 2 2" xfId="6593"/>
    <cellStyle name="Separador de milhares 2 5 2 2 2" xfId="9740"/>
    <cellStyle name="Separador de milhares 2 5 2 2 2 2" xfId="27954"/>
    <cellStyle name="Separador de milhares 2 5 2 2 2 2 2" xfId="53021"/>
    <cellStyle name="Separador de milhares 2 5 2 2 2 3" xfId="22040"/>
    <cellStyle name="Separador de milhares 2 5 2 2 2 3 2" xfId="47107"/>
    <cellStyle name="Separador de milhares 2 5 2 2 2 4" xfId="16126"/>
    <cellStyle name="Separador de milhares 2 5 2 2 2 4 2" xfId="41193"/>
    <cellStyle name="Separador de milhares 2 5 2 2 2 5" xfId="35285"/>
    <cellStyle name="Separador de milhares 2 5 2 2 3" xfId="24997"/>
    <cellStyle name="Separador de milhares 2 5 2 2 3 2" xfId="50064"/>
    <cellStyle name="Separador de milhares 2 5 2 2 4" xfId="19083"/>
    <cellStyle name="Separador de milhares 2 5 2 2 4 2" xfId="44150"/>
    <cellStyle name="Separador de milhares 2 5 2 2 5" xfId="12982"/>
    <cellStyle name="Separador de milhares 2 5 2 2 5 2" xfId="38239"/>
    <cellStyle name="Separador de milhares 2 5 2 2 6" xfId="32328"/>
    <cellStyle name="Separador de milhares 2 5 2 3" xfId="8272"/>
    <cellStyle name="Separador de milhares 2 5 2 3 2" xfId="26486"/>
    <cellStyle name="Separador de milhares 2 5 2 3 2 2" xfId="51553"/>
    <cellStyle name="Separador de milhares 2 5 2 3 3" xfId="20572"/>
    <cellStyle name="Separador de milhares 2 5 2 3 3 2" xfId="45639"/>
    <cellStyle name="Separador de milhares 2 5 2 3 4" xfId="14658"/>
    <cellStyle name="Separador de milhares 2 5 2 3 4 2" xfId="39725"/>
    <cellStyle name="Separador de milhares 2 5 2 3 5" xfId="33817"/>
    <cellStyle name="Separador de milhares 2 5 2 4" xfId="4894"/>
    <cellStyle name="Separador de milhares 2 5 2 4 2" xfId="23529"/>
    <cellStyle name="Separador de milhares 2 5 2 4 2 2" xfId="48596"/>
    <cellStyle name="Separador de milhares 2 5 2 4 3" xfId="30860"/>
    <cellStyle name="Separador de milhares 2 5 2 5" xfId="17615"/>
    <cellStyle name="Separador de milhares 2 5 2 5 2" xfId="42682"/>
    <cellStyle name="Separador de milhares 2 5 2 6" xfId="11281"/>
    <cellStyle name="Separador de milhares 2 5 2 6 2" xfId="36771"/>
    <cellStyle name="Separador de milhares 2 5 2 7" xfId="29390"/>
    <cellStyle name="Separador de milhares 2 5 3" xfId="780"/>
    <cellStyle name="Separador de milhares 2 5 3 2" xfId="6649"/>
    <cellStyle name="Separador de milhares 2 5 3 2 2" xfId="9796"/>
    <cellStyle name="Separador de milhares 2 5 3 2 2 2" xfId="28010"/>
    <cellStyle name="Separador de milhares 2 5 3 2 2 2 2" xfId="53077"/>
    <cellStyle name="Separador de milhares 2 5 3 2 2 3" xfId="22096"/>
    <cellStyle name="Separador de milhares 2 5 3 2 2 3 2" xfId="47163"/>
    <cellStyle name="Separador de milhares 2 5 3 2 2 4" xfId="16182"/>
    <cellStyle name="Separador de milhares 2 5 3 2 2 4 2" xfId="41249"/>
    <cellStyle name="Separador de milhares 2 5 3 2 2 5" xfId="35341"/>
    <cellStyle name="Separador de milhares 2 5 3 2 3" xfId="25053"/>
    <cellStyle name="Separador de milhares 2 5 3 2 3 2" xfId="50120"/>
    <cellStyle name="Separador de milhares 2 5 3 2 4" xfId="19139"/>
    <cellStyle name="Separador de milhares 2 5 3 2 4 2" xfId="44206"/>
    <cellStyle name="Separador de milhares 2 5 3 2 5" xfId="13038"/>
    <cellStyle name="Separador de milhares 2 5 3 2 5 2" xfId="38295"/>
    <cellStyle name="Separador de milhares 2 5 3 2 6" xfId="32384"/>
    <cellStyle name="Separador de milhares 2 5 3 3" xfId="8328"/>
    <cellStyle name="Separador de milhares 2 5 3 3 2" xfId="26542"/>
    <cellStyle name="Separador de milhares 2 5 3 3 2 2" xfId="51609"/>
    <cellStyle name="Separador de milhares 2 5 3 3 3" xfId="20628"/>
    <cellStyle name="Separador de milhares 2 5 3 3 3 2" xfId="45695"/>
    <cellStyle name="Separador de milhares 2 5 3 3 4" xfId="14714"/>
    <cellStyle name="Separador de milhares 2 5 3 3 4 2" xfId="39781"/>
    <cellStyle name="Separador de milhares 2 5 3 3 5" xfId="33873"/>
    <cellStyle name="Separador de milhares 2 5 3 4" xfId="4950"/>
    <cellStyle name="Separador de milhares 2 5 3 4 2" xfId="23585"/>
    <cellStyle name="Separador de milhares 2 5 3 4 2 2" xfId="48652"/>
    <cellStyle name="Separador de milhares 2 5 3 4 3" xfId="30916"/>
    <cellStyle name="Separador de milhares 2 5 3 5" xfId="17671"/>
    <cellStyle name="Separador de milhares 2 5 3 5 2" xfId="42738"/>
    <cellStyle name="Separador de milhares 2 5 3 6" xfId="11337"/>
    <cellStyle name="Separador de milhares 2 5 3 6 2" xfId="36827"/>
    <cellStyle name="Separador de milhares 2 5 3 7" xfId="29446"/>
    <cellStyle name="Separador de milhares 2 5 4" xfId="1131"/>
    <cellStyle name="Separador de milhares 2 5 4 2" xfId="6747"/>
    <cellStyle name="Separador de milhares 2 5 4 2 2" xfId="9894"/>
    <cellStyle name="Separador de milhares 2 5 4 2 2 2" xfId="28108"/>
    <cellStyle name="Separador de milhares 2 5 4 2 2 2 2" xfId="53175"/>
    <cellStyle name="Separador de milhares 2 5 4 2 2 3" xfId="22194"/>
    <cellStyle name="Separador de milhares 2 5 4 2 2 3 2" xfId="47261"/>
    <cellStyle name="Separador de milhares 2 5 4 2 2 4" xfId="16280"/>
    <cellStyle name="Separador de milhares 2 5 4 2 2 4 2" xfId="41347"/>
    <cellStyle name="Separador de milhares 2 5 4 2 2 5" xfId="35439"/>
    <cellStyle name="Separador de milhares 2 5 4 2 3" xfId="25151"/>
    <cellStyle name="Separador de milhares 2 5 4 2 3 2" xfId="50218"/>
    <cellStyle name="Separador de milhares 2 5 4 2 4" xfId="19237"/>
    <cellStyle name="Separador de milhares 2 5 4 2 4 2" xfId="44304"/>
    <cellStyle name="Separador de milhares 2 5 4 2 5" xfId="13136"/>
    <cellStyle name="Separador de milhares 2 5 4 2 5 2" xfId="38393"/>
    <cellStyle name="Separador de milhares 2 5 4 2 6" xfId="32482"/>
    <cellStyle name="Separador de milhares 2 5 4 3" xfId="8426"/>
    <cellStyle name="Separador de milhares 2 5 4 3 2" xfId="26640"/>
    <cellStyle name="Separador de milhares 2 5 4 3 2 2" xfId="51707"/>
    <cellStyle name="Separador de milhares 2 5 4 3 3" xfId="20726"/>
    <cellStyle name="Separador de milhares 2 5 4 3 3 2" xfId="45793"/>
    <cellStyle name="Separador de milhares 2 5 4 3 4" xfId="14812"/>
    <cellStyle name="Separador de milhares 2 5 4 3 4 2" xfId="39879"/>
    <cellStyle name="Separador de milhares 2 5 4 3 5" xfId="33971"/>
    <cellStyle name="Separador de milhares 2 5 4 4" xfId="5048"/>
    <cellStyle name="Separador de milhares 2 5 4 4 2" xfId="23683"/>
    <cellStyle name="Separador de milhares 2 5 4 4 2 2" xfId="48750"/>
    <cellStyle name="Separador de milhares 2 5 4 4 3" xfId="31014"/>
    <cellStyle name="Separador de milhares 2 5 4 5" xfId="17769"/>
    <cellStyle name="Separador de milhares 2 5 4 5 2" xfId="42836"/>
    <cellStyle name="Separador de milhares 2 5 4 6" xfId="11435"/>
    <cellStyle name="Separador de milhares 2 5 4 6 2" xfId="36925"/>
    <cellStyle name="Separador de milhares 2 5 4 7" xfId="29544"/>
    <cellStyle name="Separador de milhares 2 5 5" xfId="1566"/>
    <cellStyle name="Separador de milhares 2 5 5 2" xfId="6866"/>
    <cellStyle name="Separador de milhares 2 5 5 2 2" xfId="10013"/>
    <cellStyle name="Separador de milhares 2 5 5 2 2 2" xfId="28227"/>
    <cellStyle name="Separador de milhares 2 5 5 2 2 2 2" xfId="53294"/>
    <cellStyle name="Separador de milhares 2 5 5 2 2 3" xfId="22313"/>
    <cellStyle name="Separador de milhares 2 5 5 2 2 3 2" xfId="47380"/>
    <cellStyle name="Separador de milhares 2 5 5 2 2 4" xfId="16399"/>
    <cellStyle name="Separador de milhares 2 5 5 2 2 4 2" xfId="41466"/>
    <cellStyle name="Separador de milhares 2 5 5 2 2 5" xfId="35558"/>
    <cellStyle name="Separador de milhares 2 5 5 2 3" xfId="25270"/>
    <cellStyle name="Separador de milhares 2 5 5 2 3 2" xfId="50337"/>
    <cellStyle name="Separador de milhares 2 5 5 2 4" xfId="19356"/>
    <cellStyle name="Separador de milhares 2 5 5 2 4 2" xfId="44423"/>
    <cellStyle name="Separador de milhares 2 5 5 2 5" xfId="13255"/>
    <cellStyle name="Separador de milhares 2 5 5 2 5 2" xfId="38512"/>
    <cellStyle name="Separador de milhares 2 5 5 2 6" xfId="32601"/>
    <cellStyle name="Separador de milhares 2 5 5 3" xfId="8545"/>
    <cellStyle name="Separador de milhares 2 5 5 3 2" xfId="26759"/>
    <cellStyle name="Separador de milhares 2 5 5 3 2 2" xfId="51826"/>
    <cellStyle name="Separador de milhares 2 5 5 3 3" xfId="20845"/>
    <cellStyle name="Separador de milhares 2 5 5 3 3 2" xfId="45912"/>
    <cellStyle name="Separador de milhares 2 5 5 3 4" xfId="14931"/>
    <cellStyle name="Separador de milhares 2 5 5 3 4 2" xfId="39998"/>
    <cellStyle name="Separador de milhares 2 5 5 3 5" xfId="34090"/>
    <cellStyle name="Separador de milhares 2 5 5 4" xfId="5167"/>
    <cellStyle name="Separador de milhares 2 5 5 4 2" xfId="23802"/>
    <cellStyle name="Separador de milhares 2 5 5 4 2 2" xfId="48869"/>
    <cellStyle name="Separador de milhares 2 5 5 4 3" xfId="31133"/>
    <cellStyle name="Separador de milhares 2 5 5 5" xfId="17888"/>
    <cellStyle name="Separador de milhares 2 5 5 5 2" xfId="42955"/>
    <cellStyle name="Separador de milhares 2 5 5 6" xfId="11554"/>
    <cellStyle name="Separador de milhares 2 5 5 6 2" xfId="37044"/>
    <cellStyle name="Separador de milhares 2 5 5 7" xfId="29663"/>
    <cellStyle name="Separador de milhares 2 5 6" xfId="2096"/>
    <cellStyle name="Separador de milhares 2 5 6 2" xfId="7016"/>
    <cellStyle name="Separador de milhares 2 5 6 2 2" xfId="10160"/>
    <cellStyle name="Separador de milhares 2 5 6 2 2 2" xfId="28374"/>
    <cellStyle name="Separador de milhares 2 5 6 2 2 2 2" xfId="53441"/>
    <cellStyle name="Separador de milhares 2 5 6 2 2 3" xfId="22460"/>
    <cellStyle name="Separador de milhares 2 5 6 2 2 3 2" xfId="47527"/>
    <cellStyle name="Separador de milhares 2 5 6 2 2 4" xfId="16546"/>
    <cellStyle name="Separador de milhares 2 5 6 2 2 4 2" xfId="41613"/>
    <cellStyle name="Separador de milhares 2 5 6 2 2 5" xfId="35705"/>
    <cellStyle name="Separador de milhares 2 5 6 2 3" xfId="25417"/>
    <cellStyle name="Separador de milhares 2 5 6 2 3 2" xfId="50484"/>
    <cellStyle name="Separador de milhares 2 5 6 2 4" xfId="19503"/>
    <cellStyle name="Separador de milhares 2 5 6 2 4 2" xfId="44570"/>
    <cellStyle name="Separador de milhares 2 5 6 2 5" xfId="13405"/>
    <cellStyle name="Separador de milhares 2 5 6 2 5 2" xfId="38659"/>
    <cellStyle name="Separador de milhares 2 5 6 2 6" xfId="32748"/>
    <cellStyle name="Separador de milhares 2 5 6 3" xfId="8692"/>
    <cellStyle name="Separador de milhares 2 5 6 3 2" xfId="26906"/>
    <cellStyle name="Separador de milhares 2 5 6 3 2 2" xfId="51973"/>
    <cellStyle name="Separador de milhares 2 5 6 3 3" xfId="20992"/>
    <cellStyle name="Separador de milhares 2 5 6 3 3 2" xfId="46059"/>
    <cellStyle name="Separador de milhares 2 5 6 3 4" xfId="15078"/>
    <cellStyle name="Separador de milhares 2 5 6 3 4 2" xfId="40145"/>
    <cellStyle name="Separador de milhares 2 5 6 3 5" xfId="34237"/>
    <cellStyle name="Separador de milhares 2 5 6 4" xfId="5317"/>
    <cellStyle name="Separador de milhares 2 5 6 4 2" xfId="23949"/>
    <cellStyle name="Separador de milhares 2 5 6 4 2 2" xfId="49016"/>
    <cellStyle name="Separador de milhares 2 5 6 4 3" xfId="31280"/>
    <cellStyle name="Separador de milhares 2 5 6 5" xfId="18035"/>
    <cellStyle name="Separador de milhares 2 5 6 5 2" xfId="43102"/>
    <cellStyle name="Separador de milhares 2 5 6 6" xfId="11704"/>
    <cellStyle name="Separador de milhares 2 5 6 6 2" xfId="37191"/>
    <cellStyle name="Separador de milhares 2 5 6 7" xfId="29810"/>
    <cellStyle name="Separador de milhares 2 5 7" xfId="2623"/>
    <cellStyle name="Separador de milhares 2 5 7 2" xfId="7163"/>
    <cellStyle name="Separador de milhares 2 5 7 2 2" xfId="10307"/>
    <cellStyle name="Separador de milhares 2 5 7 2 2 2" xfId="28521"/>
    <cellStyle name="Separador de milhares 2 5 7 2 2 2 2" xfId="53588"/>
    <cellStyle name="Separador de milhares 2 5 7 2 2 3" xfId="22607"/>
    <cellStyle name="Separador de milhares 2 5 7 2 2 3 2" xfId="47674"/>
    <cellStyle name="Separador de milhares 2 5 7 2 2 4" xfId="16693"/>
    <cellStyle name="Separador de milhares 2 5 7 2 2 4 2" xfId="41760"/>
    <cellStyle name="Separador de milhares 2 5 7 2 2 5" xfId="35852"/>
    <cellStyle name="Separador de milhares 2 5 7 2 3" xfId="25564"/>
    <cellStyle name="Separador de milhares 2 5 7 2 3 2" xfId="50631"/>
    <cellStyle name="Separador de milhares 2 5 7 2 4" xfId="19650"/>
    <cellStyle name="Separador de milhares 2 5 7 2 4 2" xfId="44717"/>
    <cellStyle name="Separador de milhares 2 5 7 2 5" xfId="13552"/>
    <cellStyle name="Separador de milhares 2 5 7 2 5 2" xfId="38806"/>
    <cellStyle name="Separador de milhares 2 5 7 2 6" xfId="32895"/>
    <cellStyle name="Separador de milhares 2 5 7 3" xfId="8839"/>
    <cellStyle name="Separador de milhares 2 5 7 3 2" xfId="27053"/>
    <cellStyle name="Separador de milhares 2 5 7 3 2 2" xfId="52120"/>
    <cellStyle name="Separador de milhares 2 5 7 3 3" xfId="21139"/>
    <cellStyle name="Separador de milhares 2 5 7 3 3 2" xfId="46206"/>
    <cellStyle name="Separador de milhares 2 5 7 3 4" xfId="15225"/>
    <cellStyle name="Separador de milhares 2 5 7 3 4 2" xfId="40292"/>
    <cellStyle name="Separador de milhares 2 5 7 3 5" xfId="34384"/>
    <cellStyle name="Separador de milhares 2 5 7 4" xfId="5464"/>
    <cellStyle name="Separador de milhares 2 5 7 4 2" xfId="24096"/>
    <cellStyle name="Separador de milhares 2 5 7 4 2 2" xfId="49163"/>
    <cellStyle name="Separador de milhares 2 5 7 4 3" xfId="31427"/>
    <cellStyle name="Separador de milhares 2 5 7 5" xfId="18182"/>
    <cellStyle name="Separador de milhares 2 5 7 5 2" xfId="43249"/>
    <cellStyle name="Separador de milhares 2 5 7 6" xfId="11851"/>
    <cellStyle name="Separador de milhares 2 5 7 6 2" xfId="37338"/>
    <cellStyle name="Separador de milhares 2 5 7 7" xfId="29957"/>
    <cellStyle name="Separador de milhares 2 5 8" xfId="3150"/>
    <cellStyle name="Separador de milhares 2 5 8 2" xfId="7310"/>
    <cellStyle name="Separador de milhares 2 5 8 2 2" xfId="10454"/>
    <cellStyle name="Separador de milhares 2 5 8 2 2 2" xfId="28668"/>
    <cellStyle name="Separador de milhares 2 5 8 2 2 2 2" xfId="53735"/>
    <cellStyle name="Separador de milhares 2 5 8 2 2 3" xfId="22754"/>
    <cellStyle name="Separador de milhares 2 5 8 2 2 3 2" xfId="47821"/>
    <cellStyle name="Separador de milhares 2 5 8 2 2 4" xfId="16840"/>
    <cellStyle name="Separador de milhares 2 5 8 2 2 4 2" xfId="41907"/>
    <cellStyle name="Separador de milhares 2 5 8 2 2 5" xfId="35999"/>
    <cellStyle name="Separador de milhares 2 5 8 2 3" xfId="25711"/>
    <cellStyle name="Separador de milhares 2 5 8 2 3 2" xfId="50778"/>
    <cellStyle name="Separador de milhares 2 5 8 2 4" xfId="19797"/>
    <cellStyle name="Separador de milhares 2 5 8 2 4 2" xfId="44864"/>
    <cellStyle name="Separador de milhares 2 5 8 2 5" xfId="13699"/>
    <cellStyle name="Separador de milhares 2 5 8 2 5 2" xfId="38953"/>
    <cellStyle name="Separador de milhares 2 5 8 2 6" xfId="33042"/>
    <cellStyle name="Separador de milhares 2 5 8 3" xfId="8986"/>
    <cellStyle name="Separador de milhares 2 5 8 3 2" xfId="27200"/>
    <cellStyle name="Separador de milhares 2 5 8 3 2 2" xfId="52267"/>
    <cellStyle name="Separador de milhares 2 5 8 3 3" xfId="21286"/>
    <cellStyle name="Separador de milhares 2 5 8 3 3 2" xfId="46353"/>
    <cellStyle name="Separador de milhares 2 5 8 3 4" xfId="15372"/>
    <cellStyle name="Separador de milhares 2 5 8 3 4 2" xfId="40439"/>
    <cellStyle name="Separador de milhares 2 5 8 3 5" xfId="34531"/>
    <cellStyle name="Separador de milhares 2 5 8 4" xfId="5611"/>
    <cellStyle name="Separador de milhares 2 5 8 4 2" xfId="24243"/>
    <cellStyle name="Separador de milhares 2 5 8 4 2 2" xfId="49310"/>
    <cellStyle name="Separador de milhares 2 5 8 4 3" xfId="31574"/>
    <cellStyle name="Separador de milhares 2 5 8 5" xfId="18329"/>
    <cellStyle name="Separador de milhares 2 5 8 5 2" xfId="43396"/>
    <cellStyle name="Separador de milhares 2 5 8 6" xfId="11998"/>
    <cellStyle name="Separador de milhares 2 5 8 6 2" xfId="37485"/>
    <cellStyle name="Separador de milhares 2 5 8 7" xfId="30104"/>
    <cellStyle name="Separador de milhares 2 5 9" xfId="3677"/>
    <cellStyle name="Separador de milhares 2 5 9 2" xfId="7457"/>
    <cellStyle name="Separador de milhares 2 5 9 2 2" xfId="10601"/>
    <cellStyle name="Separador de milhares 2 5 9 2 2 2" xfId="28815"/>
    <cellStyle name="Separador de milhares 2 5 9 2 2 2 2" xfId="53882"/>
    <cellStyle name="Separador de milhares 2 5 9 2 2 3" xfId="22901"/>
    <cellStyle name="Separador de milhares 2 5 9 2 2 3 2" xfId="47968"/>
    <cellStyle name="Separador de milhares 2 5 9 2 2 4" xfId="16987"/>
    <cellStyle name="Separador de milhares 2 5 9 2 2 4 2" xfId="42054"/>
    <cellStyle name="Separador de milhares 2 5 9 2 2 5" xfId="36146"/>
    <cellStyle name="Separador de milhares 2 5 9 2 3" xfId="25858"/>
    <cellStyle name="Separador de milhares 2 5 9 2 3 2" xfId="50925"/>
    <cellStyle name="Separador de milhares 2 5 9 2 4" xfId="19944"/>
    <cellStyle name="Separador de milhares 2 5 9 2 4 2" xfId="45011"/>
    <cellStyle name="Separador de milhares 2 5 9 2 5" xfId="13846"/>
    <cellStyle name="Separador de milhares 2 5 9 2 5 2" xfId="39100"/>
    <cellStyle name="Separador de milhares 2 5 9 2 6" xfId="33189"/>
    <cellStyle name="Separador de milhares 2 5 9 3" xfId="9133"/>
    <cellStyle name="Separador de milhares 2 5 9 3 2" xfId="27347"/>
    <cellStyle name="Separador de milhares 2 5 9 3 2 2" xfId="52414"/>
    <cellStyle name="Separador de milhares 2 5 9 3 3" xfId="21433"/>
    <cellStyle name="Separador de milhares 2 5 9 3 3 2" xfId="46500"/>
    <cellStyle name="Separador de milhares 2 5 9 3 4" xfId="15519"/>
    <cellStyle name="Separador de milhares 2 5 9 3 4 2" xfId="40586"/>
    <cellStyle name="Separador de milhares 2 5 9 3 5" xfId="34678"/>
    <cellStyle name="Separador de milhares 2 5 9 4" xfId="5758"/>
    <cellStyle name="Separador de milhares 2 5 9 4 2" xfId="24390"/>
    <cellStyle name="Separador de milhares 2 5 9 4 2 2" xfId="49457"/>
    <cellStyle name="Separador de milhares 2 5 9 4 3" xfId="31721"/>
    <cellStyle name="Separador de milhares 2 5 9 5" xfId="18476"/>
    <cellStyle name="Separador de milhares 2 5 9 5 2" xfId="43543"/>
    <cellStyle name="Separador de milhares 2 5 9 6" xfId="12145"/>
    <cellStyle name="Separador de milhares 2 5 9 6 2" xfId="37632"/>
    <cellStyle name="Separador de milhares 2 5 9 7" xfId="30251"/>
    <cellStyle name="Separador de milhares 2 6" xfId="6416"/>
    <cellStyle name="Separador de milhares 2 6 2" xfId="9572"/>
    <cellStyle name="Separador de milhares 2 6 2 2" xfId="27786"/>
    <cellStyle name="Separador de milhares 2 6 2 2 2" xfId="52853"/>
    <cellStyle name="Separador de milhares 2 6 2 3" xfId="21872"/>
    <cellStyle name="Separador de milhares 2 6 2 3 2" xfId="46939"/>
    <cellStyle name="Separador de milhares 2 6 2 4" xfId="15958"/>
    <cellStyle name="Separador de milhares 2 6 2 4 2" xfId="41025"/>
    <cellStyle name="Separador de milhares 2 6 2 5" xfId="35117"/>
    <cellStyle name="Separador de milhares 2 6 3" xfId="24829"/>
    <cellStyle name="Separador de milhares 2 6 3 2" xfId="49896"/>
    <cellStyle name="Separador de milhares 2 6 4" xfId="18915"/>
    <cellStyle name="Separador de milhares 2 6 4 2" xfId="43982"/>
    <cellStyle name="Separador de milhares 2 6 5" xfId="12805"/>
    <cellStyle name="Separador de milhares 2 6 5 2" xfId="38071"/>
    <cellStyle name="Separador de milhares 2 6 6" xfId="32160"/>
    <cellStyle name="Separador de milhares 2 7" xfId="8101"/>
    <cellStyle name="Separador de milhares 2 7 2" xfId="26315"/>
    <cellStyle name="Separador de milhares 2 7 2 2" xfId="51382"/>
    <cellStyle name="Separador de milhares 2 7 3" xfId="20401"/>
    <cellStyle name="Separador de milhares 2 7 3 2" xfId="45468"/>
    <cellStyle name="Separador de milhares 2 7 4" xfId="14490"/>
    <cellStyle name="Separador de milhares 2 7 4 2" xfId="39557"/>
    <cellStyle name="Separador de milhares 2 7 5" xfId="33646"/>
    <cellStyle name="Separador de milhares 2 8" xfId="4714"/>
    <cellStyle name="Separador de milhares 2 8 2" xfId="23358"/>
    <cellStyle name="Separador de milhares 2 8 2 2" xfId="48425"/>
    <cellStyle name="Separador de milhares 2 8 3" xfId="30690"/>
    <cellStyle name="Separador de milhares 2 9" xfId="17444"/>
    <cellStyle name="Separador de milhares 2 9 2" xfId="42511"/>
    <cellStyle name="Separador de milhares 3" xfId="33"/>
    <cellStyle name="Separador de milhares 3 10" xfId="86"/>
    <cellStyle name="Separador de milhares 3 10 10" xfId="2589"/>
    <cellStyle name="Separador de milhares 3 10 10 2" xfId="7154"/>
    <cellStyle name="Separador de milhares 3 10 10 2 2" xfId="10298"/>
    <cellStyle name="Separador de milhares 3 10 10 2 2 2" xfId="28512"/>
    <cellStyle name="Separador de milhares 3 10 10 2 2 2 2" xfId="53579"/>
    <cellStyle name="Separador de milhares 3 10 10 2 2 3" xfId="22598"/>
    <cellStyle name="Separador de milhares 3 10 10 2 2 3 2" xfId="47665"/>
    <cellStyle name="Separador de milhares 3 10 10 2 2 4" xfId="16684"/>
    <cellStyle name="Separador de milhares 3 10 10 2 2 4 2" xfId="41751"/>
    <cellStyle name="Separador de milhares 3 10 10 2 2 5" xfId="35843"/>
    <cellStyle name="Separador de milhares 3 10 10 2 3" xfId="25555"/>
    <cellStyle name="Separador de milhares 3 10 10 2 3 2" xfId="50622"/>
    <cellStyle name="Separador de milhares 3 10 10 2 4" xfId="19641"/>
    <cellStyle name="Separador de milhares 3 10 10 2 4 2" xfId="44708"/>
    <cellStyle name="Separador de milhares 3 10 10 2 5" xfId="13543"/>
    <cellStyle name="Separador de milhares 3 10 10 2 5 2" xfId="38797"/>
    <cellStyle name="Separador de milhares 3 10 10 2 6" xfId="32886"/>
    <cellStyle name="Separador de milhares 3 10 10 3" xfId="8830"/>
    <cellStyle name="Separador de milhares 3 10 10 3 2" xfId="27044"/>
    <cellStyle name="Separador de milhares 3 10 10 3 2 2" xfId="52111"/>
    <cellStyle name="Separador de milhares 3 10 10 3 3" xfId="21130"/>
    <cellStyle name="Separador de milhares 3 10 10 3 3 2" xfId="46197"/>
    <cellStyle name="Separador de milhares 3 10 10 3 4" xfId="15216"/>
    <cellStyle name="Separador de milhares 3 10 10 3 4 2" xfId="40283"/>
    <cellStyle name="Separador de milhares 3 10 10 3 5" xfId="34375"/>
    <cellStyle name="Separador de milhares 3 10 10 4" xfId="5455"/>
    <cellStyle name="Separador de milhares 3 10 10 4 2" xfId="24087"/>
    <cellStyle name="Separador de milhares 3 10 10 4 2 2" xfId="49154"/>
    <cellStyle name="Separador de milhares 3 10 10 4 3" xfId="31418"/>
    <cellStyle name="Separador de milhares 3 10 10 5" xfId="18173"/>
    <cellStyle name="Separador de milhares 3 10 10 5 2" xfId="43240"/>
    <cellStyle name="Separador de milhares 3 10 10 6" xfId="11842"/>
    <cellStyle name="Separador de milhares 3 10 10 6 2" xfId="37329"/>
    <cellStyle name="Separador de milhares 3 10 10 7" xfId="29948"/>
    <cellStyle name="Separador de milhares 3 10 11" xfId="3116"/>
    <cellStyle name="Separador de milhares 3 10 11 2" xfId="7301"/>
    <cellStyle name="Separador de milhares 3 10 11 2 2" xfId="10445"/>
    <cellStyle name="Separador de milhares 3 10 11 2 2 2" xfId="28659"/>
    <cellStyle name="Separador de milhares 3 10 11 2 2 2 2" xfId="53726"/>
    <cellStyle name="Separador de milhares 3 10 11 2 2 3" xfId="22745"/>
    <cellStyle name="Separador de milhares 3 10 11 2 2 3 2" xfId="47812"/>
    <cellStyle name="Separador de milhares 3 10 11 2 2 4" xfId="16831"/>
    <cellStyle name="Separador de milhares 3 10 11 2 2 4 2" xfId="41898"/>
    <cellStyle name="Separador de milhares 3 10 11 2 2 5" xfId="35990"/>
    <cellStyle name="Separador de milhares 3 10 11 2 3" xfId="25702"/>
    <cellStyle name="Separador de milhares 3 10 11 2 3 2" xfId="50769"/>
    <cellStyle name="Separador de milhares 3 10 11 2 4" xfId="19788"/>
    <cellStyle name="Separador de milhares 3 10 11 2 4 2" xfId="44855"/>
    <cellStyle name="Separador de milhares 3 10 11 2 5" xfId="13690"/>
    <cellStyle name="Separador de milhares 3 10 11 2 5 2" xfId="38944"/>
    <cellStyle name="Separador de milhares 3 10 11 2 6" xfId="33033"/>
    <cellStyle name="Separador de milhares 3 10 11 3" xfId="8977"/>
    <cellStyle name="Separador de milhares 3 10 11 3 2" xfId="27191"/>
    <cellStyle name="Separador de milhares 3 10 11 3 2 2" xfId="52258"/>
    <cellStyle name="Separador de milhares 3 10 11 3 3" xfId="21277"/>
    <cellStyle name="Separador de milhares 3 10 11 3 3 2" xfId="46344"/>
    <cellStyle name="Separador de milhares 3 10 11 3 4" xfId="15363"/>
    <cellStyle name="Separador de milhares 3 10 11 3 4 2" xfId="40430"/>
    <cellStyle name="Separador de milhares 3 10 11 3 5" xfId="34522"/>
    <cellStyle name="Separador de milhares 3 10 11 4" xfId="5602"/>
    <cellStyle name="Separador de milhares 3 10 11 4 2" xfId="24234"/>
    <cellStyle name="Separador de milhares 3 10 11 4 2 2" xfId="49301"/>
    <cellStyle name="Separador de milhares 3 10 11 4 3" xfId="31565"/>
    <cellStyle name="Separador de milhares 3 10 11 5" xfId="18320"/>
    <cellStyle name="Separador de milhares 3 10 11 5 2" xfId="43387"/>
    <cellStyle name="Separador de milhares 3 10 11 6" xfId="11989"/>
    <cellStyle name="Separador de milhares 3 10 11 6 2" xfId="37476"/>
    <cellStyle name="Separador de milhares 3 10 11 7" xfId="30095"/>
    <cellStyle name="Separador de milhares 3 10 12" xfId="3643"/>
    <cellStyle name="Separador de milhares 3 10 12 2" xfId="7448"/>
    <cellStyle name="Separador de milhares 3 10 12 2 2" xfId="10592"/>
    <cellStyle name="Separador de milhares 3 10 12 2 2 2" xfId="28806"/>
    <cellStyle name="Separador de milhares 3 10 12 2 2 2 2" xfId="53873"/>
    <cellStyle name="Separador de milhares 3 10 12 2 2 3" xfId="22892"/>
    <cellStyle name="Separador de milhares 3 10 12 2 2 3 2" xfId="47959"/>
    <cellStyle name="Separador de milhares 3 10 12 2 2 4" xfId="16978"/>
    <cellStyle name="Separador de milhares 3 10 12 2 2 4 2" xfId="42045"/>
    <cellStyle name="Separador de milhares 3 10 12 2 2 5" xfId="36137"/>
    <cellStyle name="Separador de milhares 3 10 12 2 3" xfId="25849"/>
    <cellStyle name="Separador de milhares 3 10 12 2 3 2" xfId="50916"/>
    <cellStyle name="Separador de milhares 3 10 12 2 4" xfId="19935"/>
    <cellStyle name="Separador de milhares 3 10 12 2 4 2" xfId="45002"/>
    <cellStyle name="Separador de milhares 3 10 12 2 5" xfId="13837"/>
    <cellStyle name="Separador de milhares 3 10 12 2 5 2" xfId="39091"/>
    <cellStyle name="Separador de milhares 3 10 12 2 6" xfId="33180"/>
    <cellStyle name="Separador de milhares 3 10 12 3" xfId="9124"/>
    <cellStyle name="Separador de milhares 3 10 12 3 2" xfId="27338"/>
    <cellStyle name="Separador de milhares 3 10 12 3 2 2" xfId="52405"/>
    <cellStyle name="Separador de milhares 3 10 12 3 3" xfId="21424"/>
    <cellStyle name="Separador de milhares 3 10 12 3 3 2" xfId="46491"/>
    <cellStyle name="Separador de milhares 3 10 12 3 4" xfId="15510"/>
    <cellStyle name="Separador de milhares 3 10 12 3 4 2" xfId="40577"/>
    <cellStyle name="Separador de milhares 3 10 12 3 5" xfId="34669"/>
    <cellStyle name="Separador de milhares 3 10 12 4" xfId="5749"/>
    <cellStyle name="Separador de milhares 3 10 12 4 2" xfId="24381"/>
    <cellStyle name="Separador de milhares 3 10 12 4 2 2" xfId="49448"/>
    <cellStyle name="Separador de milhares 3 10 12 4 3" xfId="31712"/>
    <cellStyle name="Separador de milhares 3 10 12 5" xfId="18467"/>
    <cellStyle name="Separador de milhares 3 10 12 5 2" xfId="43534"/>
    <cellStyle name="Separador de milhares 3 10 12 6" xfId="12136"/>
    <cellStyle name="Separador de milhares 3 10 12 6 2" xfId="37623"/>
    <cellStyle name="Separador de milhares 3 10 12 7" xfId="30242"/>
    <cellStyle name="Separador de milhares 3 10 13" xfId="6432"/>
    <cellStyle name="Separador de milhares 3 10 13 2" xfId="9588"/>
    <cellStyle name="Separador de milhares 3 10 13 2 2" xfId="27802"/>
    <cellStyle name="Separador de milhares 3 10 13 2 2 2" xfId="52869"/>
    <cellStyle name="Separador de milhares 3 10 13 2 3" xfId="21888"/>
    <cellStyle name="Separador de milhares 3 10 13 2 3 2" xfId="46955"/>
    <cellStyle name="Separador de milhares 3 10 13 2 4" xfId="15974"/>
    <cellStyle name="Separador de milhares 3 10 13 2 4 2" xfId="41041"/>
    <cellStyle name="Separador de milhares 3 10 13 2 5" xfId="35133"/>
    <cellStyle name="Separador de milhares 3 10 13 3" xfId="24845"/>
    <cellStyle name="Separador de milhares 3 10 13 3 2" xfId="49912"/>
    <cellStyle name="Separador de milhares 3 10 13 4" xfId="18931"/>
    <cellStyle name="Separador de milhares 3 10 13 4 2" xfId="43998"/>
    <cellStyle name="Separador de milhares 3 10 13 5" xfId="12821"/>
    <cellStyle name="Separador de milhares 3 10 13 5 2" xfId="38087"/>
    <cellStyle name="Separador de milhares 3 10 13 6" xfId="32176"/>
    <cellStyle name="Separador de milhares 3 10 14" xfId="8117"/>
    <cellStyle name="Separador de milhares 3 10 14 2" xfId="26331"/>
    <cellStyle name="Separador de milhares 3 10 14 2 2" xfId="51398"/>
    <cellStyle name="Separador de milhares 3 10 14 3" xfId="20417"/>
    <cellStyle name="Separador de milhares 3 10 14 3 2" xfId="45484"/>
    <cellStyle name="Separador de milhares 3 10 14 4" xfId="14506"/>
    <cellStyle name="Separador de milhares 3 10 14 4 2" xfId="39573"/>
    <cellStyle name="Separador de milhares 3 10 14 5" xfId="33662"/>
    <cellStyle name="Separador de milhares 3 10 15" xfId="4730"/>
    <cellStyle name="Separador de milhares 3 10 15 2" xfId="23374"/>
    <cellStyle name="Separador de milhares 3 10 15 2 2" xfId="48441"/>
    <cellStyle name="Separador de milhares 3 10 15 3" xfId="30706"/>
    <cellStyle name="Separador de milhares 3 10 16" xfId="17460"/>
    <cellStyle name="Separador de milhares 3 10 16 2" xfId="42527"/>
    <cellStyle name="Separador de milhares 3 10 17" xfId="11120"/>
    <cellStyle name="Separador de milhares 3 10 17 2" xfId="36619"/>
    <cellStyle name="Separador de milhares 3 10 18" xfId="29234"/>
    <cellStyle name="Separador de milhares 3 10 2" xfId="180"/>
    <cellStyle name="Separador de milhares 3 10 2 10" xfId="6461"/>
    <cellStyle name="Separador de milhares 3 10 2 10 2" xfId="9615"/>
    <cellStyle name="Separador de milhares 3 10 2 10 2 2" xfId="27829"/>
    <cellStyle name="Separador de milhares 3 10 2 10 2 2 2" xfId="52896"/>
    <cellStyle name="Separador de milhares 3 10 2 10 2 3" xfId="21915"/>
    <cellStyle name="Separador de milhares 3 10 2 10 2 3 2" xfId="46982"/>
    <cellStyle name="Separador de milhares 3 10 2 10 2 4" xfId="16001"/>
    <cellStyle name="Separador de milhares 3 10 2 10 2 4 2" xfId="41068"/>
    <cellStyle name="Separador de milhares 3 10 2 10 2 5" xfId="35160"/>
    <cellStyle name="Separador de milhares 3 10 2 10 3" xfId="24872"/>
    <cellStyle name="Separador de milhares 3 10 2 10 3 2" xfId="49939"/>
    <cellStyle name="Separador de milhares 3 10 2 10 4" xfId="18958"/>
    <cellStyle name="Separador de milhares 3 10 2 10 4 2" xfId="44025"/>
    <cellStyle name="Separador de milhares 3 10 2 10 5" xfId="12850"/>
    <cellStyle name="Separador de milhares 3 10 2 10 5 2" xfId="38114"/>
    <cellStyle name="Separador de milhares 3 10 2 10 6" xfId="32203"/>
    <cellStyle name="Separador de milhares 3 10 2 11" xfId="8144"/>
    <cellStyle name="Separador de milhares 3 10 2 11 2" xfId="26358"/>
    <cellStyle name="Separador de milhares 3 10 2 11 2 2" xfId="51425"/>
    <cellStyle name="Separador de milhares 3 10 2 11 3" xfId="20444"/>
    <cellStyle name="Separador de milhares 3 10 2 11 3 2" xfId="45511"/>
    <cellStyle name="Separador de milhares 3 10 2 11 4" xfId="14533"/>
    <cellStyle name="Separador de milhares 3 10 2 11 4 2" xfId="39600"/>
    <cellStyle name="Separador de milhares 3 10 2 11 5" xfId="33689"/>
    <cellStyle name="Separador de milhares 3 10 2 12" xfId="4760"/>
    <cellStyle name="Separador de milhares 3 10 2 12 2" xfId="23401"/>
    <cellStyle name="Separador de milhares 3 10 2 12 2 2" xfId="48468"/>
    <cellStyle name="Separador de milhares 3 10 2 12 3" xfId="30733"/>
    <cellStyle name="Separador de milhares 3 10 2 13" xfId="17487"/>
    <cellStyle name="Separador de milhares 3 10 2 13 2" xfId="42554"/>
    <cellStyle name="Separador de milhares 3 10 2 14" xfId="11149"/>
    <cellStyle name="Separador de milhares 3 10 2 14 2" xfId="36646"/>
    <cellStyle name="Separador de milhares 3 10 2 15" xfId="29262"/>
    <cellStyle name="Separador de milhares 3 10 2 2" xfId="453"/>
    <cellStyle name="Separador de milhares 3 10 2 2 10" xfId="17561"/>
    <cellStyle name="Separador de milhares 3 10 2 2 10 2" xfId="42628"/>
    <cellStyle name="Separador de milhares 3 10 2 2 11" xfId="11230"/>
    <cellStyle name="Separador de milhares 3 10 2 2 11 2" xfId="36720"/>
    <cellStyle name="Separador de milhares 3 10 2 2 12" xfId="29336"/>
    <cellStyle name="Separador de milhares 3 10 2 2 2" xfId="1972"/>
    <cellStyle name="Separador de milhares 3 10 2 2 2 2" xfId="6980"/>
    <cellStyle name="Separador de milhares 3 10 2 2 2 2 2" xfId="10127"/>
    <cellStyle name="Separador de milhares 3 10 2 2 2 2 2 2" xfId="28341"/>
    <cellStyle name="Separador de milhares 3 10 2 2 2 2 2 2 2" xfId="53408"/>
    <cellStyle name="Separador de milhares 3 10 2 2 2 2 2 3" xfId="22427"/>
    <cellStyle name="Separador de milhares 3 10 2 2 2 2 2 3 2" xfId="47494"/>
    <cellStyle name="Separador de milhares 3 10 2 2 2 2 2 4" xfId="16513"/>
    <cellStyle name="Separador de milhares 3 10 2 2 2 2 2 4 2" xfId="41580"/>
    <cellStyle name="Separador de milhares 3 10 2 2 2 2 2 5" xfId="35672"/>
    <cellStyle name="Separador de milhares 3 10 2 2 2 2 3" xfId="25384"/>
    <cellStyle name="Separador de milhares 3 10 2 2 2 2 3 2" xfId="50451"/>
    <cellStyle name="Separador de milhares 3 10 2 2 2 2 4" xfId="19470"/>
    <cellStyle name="Separador de milhares 3 10 2 2 2 2 4 2" xfId="44537"/>
    <cellStyle name="Separador de milhares 3 10 2 2 2 2 5" xfId="13369"/>
    <cellStyle name="Separador de milhares 3 10 2 2 2 2 5 2" xfId="38626"/>
    <cellStyle name="Separador de milhares 3 10 2 2 2 2 6" xfId="32715"/>
    <cellStyle name="Separador de milhares 3 10 2 2 2 3" xfId="8659"/>
    <cellStyle name="Separador de milhares 3 10 2 2 2 3 2" xfId="26873"/>
    <cellStyle name="Separador de milhares 3 10 2 2 2 3 2 2" xfId="51940"/>
    <cellStyle name="Separador de milhares 3 10 2 2 2 3 3" xfId="20959"/>
    <cellStyle name="Separador de milhares 3 10 2 2 2 3 3 2" xfId="46026"/>
    <cellStyle name="Separador de milhares 3 10 2 2 2 3 4" xfId="15045"/>
    <cellStyle name="Separador de milhares 3 10 2 2 2 3 4 2" xfId="40112"/>
    <cellStyle name="Separador de milhares 3 10 2 2 2 3 5" xfId="34204"/>
    <cellStyle name="Separador de milhares 3 10 2 2 2 4" xfId="5281"/>
    <cellStyle name="Separador de milhares 3 10 2 2 2 4 2" xfId="23916"/>
    <cellStyle name="Separador de milhares 3 10 2 2 2 4 2 2" xfId="48983"/>
    <cellStyle name="Separador de milhares 3 10 2 2 2 4 3" xfId="31247"/>
    <cellStyle name="Separador de milhares 3 10 2 2 2 5" xfId="18002"/>
    <cellStyle name="Separador de milhares 3 10 2 2 2 5 2" xfId="43069"/>
    <cellStyle name="Separador de milhares 3 10 2 2 2 6" xfId="11668"/>
    <cellStyle name="Separador de milhares 3 10 2 2 2 6 2" xfId="37158"/>
    <cellStyle name="Separador de milhares 3 10 2 2 2 7" xfId="29777"/>
    <cellStyle name="Separador de milhares 3 10 2 2 3" xfId="2502"/>
    <cellStyle name="Separador de milhares 3 10 2 2 3 2" xfId="7130"/>
    <cellStyle name="Separador de milhares 3 10 2 2 3 2 2" xfId="10274"/>
    <cellStyle name="Separador de milhares 3 10 2 2 3 2 2 2" xfId="28488"/>
    <cellStyle name="Separador de milhares 3 10 2 2 3 2 2 2 2" xfId="53555"/>
    <cellStyle name="Separador de milhares 3 10 2 2 3 2 2 3" xfId="22574"/>
    <cellStyle name="Separador de milhares 3 10 2 2 3 2 2 3 2" xfId="47641"/>
    <cellStyle name="Separador de milhares 3 10 2 2 3 2 2 4" xfId="16660"/>
    <cellStyle name="Separador de milhares 3 10 2 2 3 2 2 4 2" xfId="41727"/>
    <cellStyle name="Separador de milhares 3 10 2 2 3 2 2 5" xfId="35819"/>
    <cellStyle name="Separador de milhares 3 10 2 2 3 2 3" xfId="25531"/>
    <cellStyle name="Separador de milhares 3 10 2 2 3 2 3 2" xfId="50598"/>
    <cellStyle name="Separador de milhares 3 10 2 2 3 2 4" xfId="19617"/>
    <cellStyle name="Separador de milhares 3 10 2 2 3 2 4 2" xfId="44684"/>
    <cellStyle name="Separador de milhares 3 10 2 2 3 2 5" xfId="13519"/>
    <cellStyle name="Separador de milhares 3 10 2 2 3 2 5 2" xfId="38773"/>
    <cellStyle name="Separador de milhares 3 10 2 2 3 2 6" xfId="32862"/>
    <cellStyle name="Separador de milhares 3 10 2 2 3 3" xfId="8806"/>
    <cellStyle name="Separador de milhares 3 10 2 2 3 3 2" xfId="27020"/>
    <cellStyle name="Separador de milhares 3 10 2 2 3 3 2 2" xfId="52087"/>
    <cellStyle name="Separador de milhares 3 10 2 2 3 3 3" xfId="21106"/>
    <cellStyle name="Separador de milhares 3 10 2 2 3 3 3 2" xfId="46173"/>
    <cellStyle name="Separador de milhares 3 10 2 2 3 3 4" xfId="15192"/>
    <cellStyle name="Separador de milhares 3 10 2 2 3 3 4 2" xfId="40259"/>
    <cellStyle name="Separador de milhares 3 10 2 2 3 3 5" xfId="34351"/>
    <cellStyle name="Separador de milhares 3 10 2 2 3 4" xfId="5431"/>
    <cellStyle name="Separador de milhares 3 10 2 2 3 4 2" xfId="24063"/>
    <cellStyle name="Separador de milhares 3 10 2 2 3 4 2 2" xfId="49130"/>
    <cellStyle name="Separador de milhares 3 10 2 2 3 4 3" xfId="31394"/>
    <cellStyle name="Separador de milhares 3 10 2 2 3 5" xfId="18149"/>
    <cellStyle name="Separador de milhares 3 10 2 2 3 5 2" xfId="43216"/>
    <cellStyle name="Separador de milhares 3 10 2 2 3 6" xfId="11818"/>
    <cellStyle name="Separador de milhares 3 10 2 2 3 6 2" xfId="37305"/>
    <cellStyle name="Separador de milhares 3 10 2 2 3 7" xfId="29924"/>
    <cellStyle name="Separador de milhares 3 10 2 2 4" xfId="3029"/>
    <cellStyle name="Separador de milhares 3 10 2 2 4 2" xfId="7277"/>
    <cellStyle name="Separador de milhares 3 10 2 2 4 2 2" xfId="10421"/>
    <cellStyle name="Separador de milhares 3 10 2 2 4 2 2 2" xfId="28635"/>
    <cellStyle name="Separador de milhares 3 10 2 2 4 2 2 2 2" xfId="53702"/>
    <cellStyle name="Separador de milhares 3 10 2 2 4 2 2 3" xfId="22721"/>
    <cellStyle name="Separador de milhares 3 10 2 2 4 2 2 3 2" xfId="47788"/>
    <cellStyle name="Separador de milhares 3 10 2 2 4 2 2 4" xfId="16807"/>
    <cellStyle name="Separador de milhares 3 10 2 2 4 2 2 4 2" xfId="41874"/>
    <cellStyle name="Separador de milhares 3 10 2 2 4 2 2 5" xfId="35966"/>
    <cellStyle name="Separador de milhares 3 10 2 2 4 2 3" xfId="25678"/>
    <cellStyle name="Separador de milhares 3 10 2 2 4 2 3 2" xfId="50745"/>
    <cellStyle name="Separador de milhares 3 10 2 2 4 2 4" xfId="19764"/>
    <cellStyle name="Separador de milhares 3 10 2 2 4 2 4 2" xfId="44831"/>
    <cellStyle name="Separador de milhares 3 10 2 2 4 2 5" xfId="13666"/>
    <cellStyle name="Separador de milhares 3 10 2 2 4 2 5 2" xfId="38920"/>
    <cellStyle name="Separador de milhares 3 10 2 2 4 2 6" xfId="33009"/>
    <cellStyle name="Separador de milhares 3 10 2 2 4 3" xfId="8953"/>
    <cellStyle name="Separador de milhares 3 10 2 2 4 3 2" xfId="27167"/>
    <cellStyle name="Separador de milhares 3 10 2 2 4 3 2 2" xfId="52234"/>
    <cellStyle name="Separador de milhares 3 10 2 2 4 3 3" xfId="21253"/>
    <cellStyle name="Separador de milhares 3 10 2 2 4 3 3 2" xfId="46320"/>
    <cellStyle name="Separador de milhares 3 10 2 2 4 3 4" xfId="15339"/>
    <cellStyle name="Separador de milhares 3 10 2 2 4 3 4 2" xfId="40406"/>
    <cellStyle name="Separador de milhares 3 10 2 2 4 3 5" xfId="34498"/>
    <cellStyle name="Separador de milhares 3 10 2 2 4 4" xfId="5578"/>
    <cellStyle name="Separador de milhares 3 10 2 2 4 4 2" xfId="24210"/>
    <cellStyle name="Separador de milhares 3 10 2 2 4 4 2 2" xfId="49277"/>
    <cellStyle name="Separador de milhares 3 10 2 2 4 4 3" xfId="31541"/>
    <cellStyle name="Separador de milhares 3 10 2 2 4 5" xfId="18296"/>
    <cellStyle name="Separador de milhares 3 10 2 2 4 5 2" xfId="43363"/>
    <cellStyle name="Separador de milhares 3 10 2 2 4 6" xfId="11965"/>
    <cellStyle name="Separador de milhares 3 10 2 2 4 6 2" xfId="37452"/>
    <cellStyle name="Separador de milhares 3 10 2 2 4 7" xfId="30071"/>
    <cellStyle name="Separador de milhares 3 10 2 2 5" xfId="3556"/>
    <cellStyle name="Separador de milhares 3 10 2 2 5 2" xfId="7424"/>
    <cellStyle name="Separador de milhares 3 10 2 2 5 2 2" xfId="10568"/>
    <cellStyle name="Separador de milhares 3 10 2 2 5 2 2 2" xfId="28782"/>
    <cellStyle name="Separador de milhares 3 10 2 2 5 2 2 2 2" xfId="53849"/>
    <cellStyle name="Separador de milhares 3 10 2 2 5 2 2 3" xfId="22868"/>
    <cellStyle name="Separador de milhares 3 10 2 2 5 2 2 3 2" xfId="47935"/>
    <cellStyle name="Separador de milhares 3 10 2 2 5 2 2 4" xfId="16954"/>
    <cellStyle name="Separador de milhares 3 10 2 2 5 2 2 4 2" xfId="42021"/>
    <cellStyle name="Separador de milhares 3 10 2 2 5 2 2 5" xfId="36113"/>
    <cellStyle name="Separador de milhares 3 10 2 2 5 2 3" xfId="25825"/>
    <cellStyle name="Separador de milhares 3 10 2 2 5 2 3 2" xfId="50892"/>
    <cellStyle name="Separador de milhares 3 10 2 2 5 2 4" xfId="19911"/>
    <cellStyle name="Separador de milhares 3 10 2 2 5 2 4 2" xfId="44978"/>
    <cellStyle name="Separador de milhares 3 10 2 2 5 2 5" xfId="13813"/>
    <cellStyle name="Separador de milhares 3 10 2 2 5 2 5 2" xfId="39067"/>
    <cellStyle name="Separador de milhares 3 10 2 2 5 2 6" xfId="33156"/>
    <cellStyle name="Separador de milhares 3 10 2 2 5 3" xfId="9100"/>
    <cellStyle name="Separador de milhares 3 10 2 2 5 3 2" xfId="27314"/>
    <cellStyle name="Separador de milhares 3 10 2 2 5 3 2 2" xfId="52381"/>
    <cellStyle name="Separador de milhares 3 10 2 2 5 3 3" xfId="21400"/>
    <cellStyle name="Separador de milhares 3 10 2 2 5 3 3 2" xfId="46467"/>
    <cellStyle name="Separador de milhares 3 10 2 2 5 3 4" xfId="15486"/>
    <cellStyle name="Separador de milhares 3 10 2 2 5 3 4 2" xfId="40553"/>
    <cellStyle name="Separador de milhares 3 10 2 2 5 3 5" xfId="34645"/>
    <cellStyle name="Separador de milhares 3 10 2 2 5 4" xfId="5725"/>
    <cellStyle name="Separador de milhares 3 10 2 2 5 4 2" xfId="24357"/>
    <cellStyle name="Separador de milhares 3 10 2 2 5 4 2 2" xfId="49424"/>
    <cellStyle name="Separador de milhares 3 10 2 2 5 4 3" xfId="31688"/>
    <cellStyle name="Separador de milhares 3 10 2 2 5 5" xfId="18443"/>
    <cellStyle name="Separador de milhares 3 10 2 2 5 5 2" xfId="43510"/>
    <cellStyle name="Separador de milhares 3 10 2 2 5 6" xfId="12112"/>
    <cellStyle name="Separador de milhares 3 10 2 2 5 6 2" xfId="37599"/>
    <cellStyle name="Separador de milhares 3 10 2 2 5 7" xfId="30218"/>
    <cellStyle name="Separador de milhares 3 10 2 2 6" xfId="4083"/>
    <cellStyle name="Separador de milhares 3 10 2 2 6 2" xfId="7571"/>
    <cellStyle name="Separador de milhares 3 10 2 2 6 2 2" xfId="10715"/>
    <cellStyle name="Separador de milhares 3 10 2 2 6 2 2 2" xfId="28929"/>
    <cellStyle name="Separador de milhares 3 10 2 2 6 2 2 2 2" xfId="53996"/>
    <cellStyle name="Separador de milhares 3 10 2 2 6 2 2 3" xfId="23015"/>
    <cellStyle name="Separador de milhares 3 10 2 2 6 2 2 3 2" xfId="48082"/>
    <cellStyle name="Separador de milhares 3 10 2 2 6 2 2 4" xfId="17101"/>
    <cellStyle name="Separador de milhares 3 10 2 2 6 2 2 4 2" xfId="42168"/>
    <cellStyle name="Separador de milhares 3 10 2 2 6 2 2 5" xfId="36260"/>
    <cellStyle name="Separador de milhares 3 10 2 2 6 2 3" xfId="25972"/>
    <cellStyle name="Separador de milhares 3 10 2 2 6 2 3 2" xfId="51039"/>
    <cellStyle name="Separador de milhares 3 10 2 2 6 2 4" xfId="20058"/>
    <cellStyle name="Separador de milhares 3 10 2 2 6 2 4 2" xfId="45125"/>
    <cellStyle name="Separador de milhares 3 10 2 2 6 2 5" xfId="13960"/>
    <cellStyle name="Separador de milhares 3 10 2 2 6 2 5 2" xfId="39214"/>
    <cellStyle name="Separador de milhares 3 10 2 2 6 2 6" xfId="33303"/>
    <cellStyle name="Separador de milhares 3 10 2 2 6 3" xfId="9247"/>
    <cellStyle name="Separador de milhares 3 10 2 2 6 3 2" xfId="27461"/>
    <cellStyle name="Separador de milhares 3 10 2 2 6 3 2 2" xfId="52528"/>
    <cellStyle name="Separador de milhares 3 10 2 2 6 3 3" xfId="21547"/>
    <cellStyle name="Separador de milhares 3 10 2 2 6 3 3 2" xfId="46614"/>
    <cellStyle name="Separador de milhares 3 10 2 2 6 3 4" xfId="15633"/>
    <cellStyle name="Separador de milhares 3 10 2 2 6 3 4 2" xfId="40700"/>
    <cellStyle name="Separador de milhares 3 10 2 2 6 3 5" xfId="34792"/>
    <cellStyle name="Separador de milhares 3 10 2 2 6 4" xfId="5872"/>
    <cellStyle name="Separador de milhares 3 10 2 2 6 4 2" xfId="24504"/>
    <cellStyle name="Separador de milhares 3 10 2 2 6 4 2 2" xfId="49571"/>
    <cellStyle name="Separador de milhares 3 10 2 2 6 4 3" xfId="31835"/>
    <cellStyle name="Separador de milhares 3 10 2 2 6 5" xfId="18590"/>
    <cellStyle name="Separador de milhares 3 10 2 2 6 5 2" xfId="43657"/>
    <cellStyle name="Separador de milhares 3 10 2 2 6 6" xfId="12259"/>
    <cellStyle name="Separador de milhares 3 10 2 2 6 6 2" xfId="37746"/>
    <cellStyle name="Separador de milhares 3 10 2 2 6 7" xfId="30365"/>
    <cellStyle name="Separador de milhares 3 10 2 2 7" xfId="6542"/>
    <cellStyle name="Separador de milhares 3 10 2 2 7 2" xfId="9689"/>
    <cellStyle name="Separador de milhares 3 10 2 2 7 2 2" xfId="27903"/>
    <cellStyle name="Separador de milhares 3 10 2 2 7 2 2 2" xfId="52970"/>
    <cellStyle name="Separador de milhares 3 10 2 2 7 2 3" xfId="21989"/>
    <cellStyle name="Separador de milhares 3 10 2 2 7 2 3 2" xfId="47056"/>
    <cellStyle name="Separador de milhares 3 10 2 2 7 2 4" xfId="16075"/>
    <cellStyle name="Separador de milhares 3 10 2 2 7 2 4 2" xfId="41142"/>
    <cellStyle name="Separador de milhares 3 10 2 2 7 2 5" xfId="35234"/>
    <cellStyle name="Separador de milhares 3 10 2 2 7 3" xfId="24946"/>
    <cellStyle name="Separador de milhares 3 10 2 2 7 3 2" xfId="50013"/>
    <cellStyle name="Separador de milhares 3 10 2 2 7 4" xfId="19032"/>
    <cellStyle name="Separador de milhares 3 10 2 2 7 4 2" xfId="44099"/>
    <cellStyle name="Separador de milhares 3 10 2 2 7 5" xfId="12931"/>
    <cellStyle name="Separador de milhares 3 10 2 2 7 5 2" xfId="38188"/>
    <cellStyle name="Separador de milhares 3 10 2 2 7 6" xfId="32277"/>
    <cellStyle name="Separador de milhares 3 10 2 2 8" xfId="8218"/>
    <cellStyle name="Separador de milhares 3 10 2 2 8 2" xfId="26432"/>
    <cellStyle name="Separador de milhares 3 10 2 2 8 2 2" xfId="51499"/>
    <cellStyle name="Separador de milhares 3 10 2 2 8 3" xfId="20518"/>
    <cellStyle name="Separador de milhares 3 10 2 2 8 3 2" xfId="45585"/>
    <cellStyle name="Separador de milhares 3 10 2 2 8 4" xfId="14607"/>
    <cellStyle name="Separador de milhares 3 10 2 2 8 4 2" xfId="39674"/>
    <cellStyle name="Separador de milhares 3 10 2 2 8 5" xfId="33763"/>
    <cellStyle name="Separador de milhares 3 10 2 2 9" xfId="4841"/>
    <cellStyle name="Separador de milhares 3 10 2 2 9 2" xfId="23475"/>
    <cellStyle name="Separador de milhares 3 10 2 2 9 2 2" xfId="48542"/>
    <cellStyle name="Separador de milhares 3 10 2 2 9 3" xfId="30807"/>
    <cellStyle name="Separador de milhares 3 10 2 3" xfId="926"/>
    <cellStyle name="Separador de milhares 3 10 2 3 2" xfId="6693"/>
    <cellStyle name="Separador de milhares 3 10 2 3 2 2" xfId="9840"/>
    <cellStyle name="Separador de milhares 3 10 2 3 2 2 2" xfId="28054"/>
    <cellStyle name="Separador de milhares 3 10 2 3 2 2 2 2" xfId="53121"/>
    <cellStyle name="Separador de milhares 3 10 2 3 2 2 3" xfId="22140"/>
    <cellStyle name="Separador de milhares 3 10 2 3 2 2 3 2" xfId="47207"/>
    <cellStyle name="Separador de milhares 3 10 2 3 2 2 4" xfId="16226"/>
    <cellStyle name="Separador de milhares 3 10 2 3 2 2 4 2" xfId="41293"/>
    <cellStyle name="Separador de milhares 3 10 2 3 2 2 5" xfId="35385"/>
    <cellStyle name="Separador de milhares 3 10 2 3 2 3" xfId="25097"/>
    <cellStyle name="Separador de milhares 3 10 2 3 2 3 2" xfId="50164"/>
    <cellStyle name="Separador de milhares 3 10 2 3 2 4" xfId="19183"/>
    <cellStyle name="Separador de milhares 3 10 2 3 2 4 2" xfId="44250"/>
    <cellStyle name="Separador de milhares 3 10 2 3 2 5" xfId="13082"/>
    <cellStyle name="Separador de milhares 3 10 2 3 2 5 2" xfId="38339"/>
    <cellStyle name="Separador de milhares 3 10 2 3 2 6" xfId="32428"/>
    <cellStyle name="Separador de milhares 3 10 2 3 3" xfId="8372"/>
    <cellStyle name="Separador de milhares 3 10 2 3 3 2" xfId="26586"/>
    <cellStyle name="Separador de milhares 3 10 2 3 3 2 2" xfId="51653"/>
    <cellStyle name="Separador de milhares 3 10 2 3 3 3" xfId="20672"/>
    <cellStyle name="Separador de milhares 3 10 2 3 3 3 2" xfId="45739"/>
    <cellStyle name="Separador de milhares 3 10 2 3 3 4" xfId="14758"/>
    <cellStyle name="Separador de milhares 3 10 2 3 3 4 2" xfId="39825"/>
    <cellStyle name="Separador de milhares 3 10 2 3 3 5" xfId="33917"/>
    <cellStyle name="Separador de milhares 3 10 2 3 4" xfId="4994"/>
    <cellStyle name="Separador de milhares 3 10 2 3 4 2" xfId="23629"/>
    <cellStyle name="Separador de milhares 3 10 2 3 4 2 2" xfId="48696"/>
    <cellStyle name="Separador de milhares 3 10 2 3 4 3" xfId="30960"/>
    <cellStyle name="Separador de milhares 3 10 2 3 5" xfId="17715"/>
    <cellStyle name="Separador de milhares 3 10 2 3 5 2" xfId="42782"/>
    <cellStyle name="Separador de milhares 3 10 2 3 6" xfId="11381"/>
    <cellStyle name="Separador de milhares 3 10 2 3 6 2" xfId="36871"/>
    <cellStyle name="Separador de milhares 3 10 2 3 7" xfId="29490"/>
    <cellStyle name="Separador de milhares 3 10 2 4" xfId="1277"/>
    <cellStyle name="Separador de milhares 3 10 2 4 2" xfId="6791"/>
    <cellStyle name="Separador de milhares 3 10 2 4 2 2" xfId="9938"/>
    <cellStyle name="Separador de milhares 3 10 2 4 2 2 2" xfId="28152"/>
    <cellStyle name="Separador de milhares 3 10 2 4 2 2 2 2" xfId="53219"/>
    <cellStyle name="Separador de milhares 3 10 2 4 2 2 3" xfId="22238"/>
    <cellStyle name="Separador de milhares 3 10 2 4 2 2 3 2" xfId="47305"/>
    <cellStyle name="Separador de milhares 3 10 2 4 2 2 4" xfId="16324"/>
    <cellStyle name="Separador de milhares 3 10 2 4 2 2 4 2" xfId="41391"/>
    <cellStyle name="Separador de milhares 3 10 2 4 2 2 5" xfId="35483"/>
    <cellStyle name="Separador de milhares 3 10 2 4 2 3" xfId="25195"/>
    <cellStyle name="Separador de milhares 3 10 2 4 2 3 2" xfId="50262"/>
    <cellStyle name="Separador de milhares 3 10 2 4 2 4" xfId="19281"/>
    <cellStyle name="Separador de milhares 3 10 2 4 2 4 2" xfId="44348"/>
    <cellStyle name="Separador de milhares 3 10 2 4 2 5" xfId="13180"/>
    <cellStyle name="Separador de milhares 3 10 2 4 2 5 2" xfId="38437"/>
    <cellStyle name="Separador de milhares 3 10 2 4 2 6" xfId="32526"/>
    <cellStyle name="Separador de milhares 3 10 2 4 3" xfId="8470"/>
    <cellStyle name="Separador de milhares 3 10 2 4 3 2" xfId="26684"/>
    <cellStyle name="Separador de milhares 3 10 2 4 3 2 2" xfId="51751"/>
    <cellStyle name="Separador de milhares 3 10 2 4 3 3" xfId="20770"/>
    <cellStyle name="Separador de milhares 3 10 2 4 3 3 2" xfId="45837"/>
    <cellStyle name="Separador de milhares 3 10 2 4 3 4" xfId="14856"/>
    <cellStyle name="Separador de milhares 3 10 2 4 3 4 2" xfId="39923"/>
    <cellStyle name="Separador de milhares 3 10 2 4 3 5" xfId="34015"/>
    <cellStyle name="Separador de milhares 3 10 2 4 4" xfId="5092"/>
    <cellStyle name="Separador de milhares 3 10 2 4 4 2" xfId="23727"/>
    <cellStyle name="Separador de milhares 3 10 2 4 4 2 2" xfId="48794"/>
    <cellStyle name="Separador de milhares 3 10 2 4 4 3" xfId="31058"/>
    <cellStyle name="Separador de milhares 3 10 2 4 5" xfId="17813"/>
    <cellStyle name="Separador de milhares 3 10 2 4 5 2" xfId="42880"/>
    <cellStyle name="Separador de milhares 3 10 2 4 6" xfId="11479"/>
    <cellStyle name="Separador de milhares 3 10 2 4 6 2" xfId="36969"/>
    <cellStyle name="Separador de milhares 3 10 2 4 7" xfId="29588"/>
    <cellStyle name="Separador de milhares 3 10 2 5" xfId="1712"/>
    <cellStyle name="Separador de milhares 3 10 2 5 2" xfId="6910"/>
    <cellStyle name="Separador de milhares 3 10 2 5 2 2" xfId="10057"/>
    <cellStyle name="Separador de milhares 3 10 2 5 2 2 2" xfId="28271"/>
    <cellStyle name="Separador de milhares 3 10 2 5 2 2 2 2" xfId="53338"/>
    <cellStyle name="Separador de milhares 3 10 2 5 2 2 3" xfId="22357"/>
    <cellStyle name="Separador de milhares 3 10 2 5 2 2 3 2" xfId="47424"/>
    <cellStyle name="Separador de milhares 3 10 2 5 2 2 4" xfId="16443"/>
    <cellStyle name="Separador de milhares 3 10 2 5 2 2 4 2" xfId="41510"/>
    <cellStyle name="Separador de milhares 3 10 2 5 2 2 5" xfId="35602"/>
    <cellStyle name="Separador de milhares 3 10 2 5 2 3" xfId="25314"/>
    <cellStyle name="Separador de milhares 3 10 2 5 2 3 2" xfId="50381"/>
    <cellStyle name="Separador de milhares 3 10 2 5 2 4" xfId="19400"/>
    <cellStyle name="Separador de milhares 3 10 2 5 2 4 2" xfId="44467"/>
    <cellStyle name="Separador de milhares 3 10 2 5 2 5" xfId="13299"/>
    <cellStyle name="Separador de milhares 3 10 2 5 2 5 2" xfId="38556"/>
    <cellStyle name="Separador de milhares 3 10 2 5 2 6" xfId="32645"/>
    <cellStyle name="Separador de milhares 3 10 2 5 3" xfId="8589"/>
    <cellStyle name="Separador de milhares 3 10 2 5 3 2" xfId="26803"/>
    <cellStyle name="Separador de milhares 3 10 2 5 3 2 2" xfId="51870"/>
    <cellStyle name="Separador de milhares 3 10 2 5 3 3" xfId="20889"/>
    <cellStyle name="Separador de milhares 3 10 2 5 3 3 2" xfId="45956"/>
    <cellStyle name="Separador de milhares 3 10 2 5 3 4" xfId="14975"/>
    <cellStyle name="Separador de milhares 3 10 2 5 3 4 2" xfId="40042"/>
    <cellStyle name="Separador de milhares 3 10 2 5 3 5" xfId="34134"/>
    <cellStyle name="Separador de milhares 3 10 2 5 4" xfId="5211"/>
    <cellStyle name="Separador de milhares 3 10 2 5 4 2" xfId="23846"/>
    <cellStyle name="Separador de milhares 3 10 2 5 4 2 2" xfId="48913"/>
    <cellStyle name="Separador de milhares 3 10 2 5 4 3" xfId="31177"/>
    <cellStyle name="Separador de milhares 3 10 2 5 5" xfId="17932"/>
    <cellStyle name="Separador de milhares 3 10 2 5 5 2" xfId="42999"/>
    <cellStyle name="Separador de milhares 3 10 2 5 6" xfId="11598"/>
    <cellStyle name="Separador de milhares 3 10 2 5 6 2" xfId="37088"/>
    <cellStyle name="Separador de milhares 3 10 2 5 7" xfId="29707"/>
    <cellStyle name="Separador de milhares 3 10 2 6" xfId="2242"/>
    <cellStyle name="Separador de milhares 3 10 2 6 2" xfId="7060"/>
    <cellStyle name="Separador de milhares 3 10 2 6 2 2" xfId="10204"/>
    <cellStyle name="Separador de milhares 3 10 2 6 2 2 2" xfId="28418"/>
    <cellStyle name="Separador de milhares 3 10 2 6 2 2 2 2" xfId="53485"/>
    <cellStyle name="Separador de milhares 3 10 2 6 2 2 3" xfId="22504"/>
    <cellStyle name="Separador de milhares 3 10 2 6 2 2 3 2" xfId="47571"/>
    <cellStyle name="Separador de milhares 3 10 2 6 2 2 4" xfId="16590"/>
    <cellStyle name="Separador de milhares 3 10 2 6 2 2 4 2" xfId="41657"/>
    <cellStyle name="Separador de milhares 3 10 2 6 2 2 5" xfId="35749"/>
    <cellStyle name="Separador de milhares 3 10 2 6 2 3" xfId="25461"/>
    <cellStyle name="Separador de milhares 3 10 2 6 2 3 2" xfId="50528"/>
    <cellStyle name="Separador de milhares 3 10 2 6 2 4" xfId="19547"/>
    <cellStyle name="Separador de milhares 3 10 2 6 2 4 2" xfId="44614"/>
    <cellStyle name="Separador de milhares 3 10 2 6 2 5" xfId="13449"/>
    <cellStyle name="Separador de milhares 3 10 2 6 2 5 2" xfId="38703"/>
    <cellStyle name="Separador de milhares 3 10 2 6 2 6" xfId="32792"/>
    <cellStyle name="Separador de milhares 3 10 2 6 3" xfId="8736"/>
    <cellStyle name="Separador de milhares 3 10 2 6 3 2" xfId="26950"/>
    <cellStyle name="Separador de milhares 3 10 2 6 3 2 2" xfId="52017"/>
    <cellStyle name="Separador de milhares 3 10 2 6 3 3" xfId="21036"/>
    <cellStyle name="Separador de milhares 3 10 2 6 3 3 2" xfId="46103"/>
    <cellStyle name="Separador de milhares 3 10 2 6 3 4" xfId="15122"/>
    <cellStyle name="Separador de milhares 3 10 2 6 3 4 2" xfId="40189"/>
    <cellStyle name="Separador de milhares 3 10 2 6 3 5" xfId="34281"/>
    <cellStyle name="Separador de milhares 3 10 2 6 4" xfId="5361"/>
    <cellStyle name="Separador de milhares 3 10 2 6 4 2" xfId="23993"/>
    <cellStyle name="Separador de milhares 3 10 2 6 4 2 2" xfId="49060"/>
    <cellStyle name="Separador de milhares 3 10 2 6 4 3" xfId="31324"/>
    <cellStyle name="Separador de milhares 3 10 2 6 5" xfId="18079"/>
    <cellStyle name="Separador de milhares 3 10 2 6 5 2" xfId="43146"/>
    <cellStyle name="Separador de milhares 3 10 2 6 6" xfId="11748"/>
    <cellStyle name="Separador de milhares 3 10 2 6 6 2" xfId="37235"/>
    <cellStyle name="Separador de milhares 3 10 2 6 7" xfId="29854"/>
    <cellStyle name="Separador de milhares 3 10 2 7" xfId="2769"/>
    <cellStyle name="Separador de milhares 3 10 2 7 2" xfId="7207"/>
    <cellStyle name="Separador de milhares 3 10 2 7 2 2" xfId="10351"/>
    <cellStyle name="Separador de milhares 3 10 2 7 2 2 2" xfId="28565"/>
    <cellStyle name="Separador de milhares 3 10 2 7 2 2 2 2" xfId="53632"/>
    <cellStyle name="Separador de milhares 3 10 2 7 2 2 3" xfId="22651"/>
    <cellStyle name="Separador de milhares 3 10 2 7 2 2 3 2" xfId="47718"/>
    <cellStyle name="Separador de milhares 3 10 2 7 2 2 4" xfId="16737"/>
    <cellStyle name="Separador de milhares 3 10 2 7 2 2 4 2" xfId="41804"/>
    <cellStyle name="Separador de milhares 3 10 2 7 2 2 5" xfId="35896"/>
    <cellStyle name="Separador de milhares 3 10 2 7 2 3" xfId="25608"/>
    <cellStyle name="Separador de milhares 3 10 2 7 2 3 2" xfId="50675"/>
    <cellStyle name="Separador de milhares 3 10 2 7 2 4" xfId="19694"/>
    <cellStyle name="Separador de milhares 3 10 2 7 2 4 2" xfId="44761"/>
    <cellStyle name="Separador de milhares 3 10 2 7 2 5" xfId="13596"/>
    <cellStyle name="Separador de milhares 3 10 2 7 2 5 2" xfId="38850"/>
    <cellStyle name="Separador de milhares 3 10 2 7 2 6" xfId="32939"/>
    <cellStyle name="Separador de milhares 3 10 2 7 3" xfId="8883"/>
    <cellStyle name="Separador de milhares 3 10 2 7 3 2" xfId="27097"/>
    <cellStyle name="Separador de milhares 3 10 2 7 3 2 2" xfId="52164"/>
    <cellStyle name="Separador de milhares 3 10 2 7 3 3" xfId="21183"/>
    <cellStyle name="Separador de milhares 3 10 2 7 3 3 2" xfId="46250"/>
    <cellStyle name="Separador de milhares 3 10 2 7 3 4" xfId="15269"/>
    <cellStyle name="Separador de milhares 3 10 2 7 3 4 2" xfId="40336"/>
    <cellStyle name="Separador de milhares 3 10 2 7 3 5" xfId="34428"/>
    <cellStyle name="Separador de milhares 3 10 2 7 4" xfId="5508"/>
    <cellStyle name="Separador de milhares 3 10 2 7 4 2" xfId="24140"/>
    <cellStyle name="Separador de milhares 3 10 2 7 4 2 2" xfId="49207"/>
    <cellStyle name="Separador de milhares 3 10 2 7 4 3" xfId="31471"/>
    <cellStyle name="Separador de milhares 3 10 2 7 5" xfId="18226"/>
    <cellStyle name="Separador de milhares 3 10 2 7 5 2" xfId="43293"/>
    <cellStyle name="Separador de milhares 3 10 2 7 6" xfId="11895"/>
    <cellStyle name="Separador de milhares 3 10 2 7 6 2" xfId="37382"/>
    <cellStyle name="Separador de milhares 3 10 2 7 7" xfId="30001"/>
    <cellStyle name="Separador de milhares 3 10 2 8" xfId="3296"/>
    <cellStyle name="Separador de milhares 3 10 2 8 2" xfId="7354"/>
    <cellStyle name="Separador de milhares 3 10 2 8 2 2" xfId="10498"/>
    <cellStyle name="Separador de milhares 3 10 2 8 2 2 2" xfId="28712"/>
    <cellStyle name="Separador de milhares 3 10 2 8 2 2 2 2" xfId="53779"/>
    <cellStyle name="Separador de milhares 3 10 2 8 2 2 3" xfId="22798"/>
    <cellStyle name="Separador de milhares 3 10 2 8 2 2 3 2" xfId="47865"/>
    <cellStyle name="Separador de milhares 3 10 2 8 2 2 4" xfId="16884"/>
    <cellStyle name="Separador de milhares 3 10 2 8 2 2 4 2" xfId="41951"/>
    <cellStyle name="Separador de milhares 3 10 2 8 2 2 5" xfId="36043"/>
    <cellStyle name="Separador de milhares 3 10 2 8 2 3" xfId="25755"/>
    <cellStyle name="Separador de milhares 3 10 2 8 2 3 2" xfId="50822"/>
    <cellStyle name="Separador de milhares 3 10 2 8 2 4" xfId="19841"/>
    <cellStyle name="Separador de milhares 3 10 2 8 2 4 2" xfId="44908"/>
    <cellStyle name="Separador de milhares 3 10 2 8 2 5" xfId="13743"/>
    <cellStyle name="Separador de milhares 3 10 2 8 2 5 2" xfId="38997"/>
    <cellStyle name="Separador de milhares 3 10 2 8 2 6" xfId="33086"/>
    <cellStyle name="Separador de milhares 3 10 2 8 3" xfId="9030"/>
    <cellStyle name="Separador de milhares 3 10 2 8 3 2" xfId="27244"/>
    <cellStyle name="Separador de milhares 3 10 2 8 3 2 2" xfId="52311"/>
    <cellStyle name="Separador de milhares 3 10 2 8 3 3" xfId="21330"/>
    <cellStyle name="Separador de milhares 3 10 2 8 3 3 2" xfId="46397"/>
    <cellStyle name="Separador de milhares 3 10 2 8 3 4" xfId="15416"/>
    <cellStyle name="Separador de milhares 3 10 2 8 3 4 2" xfId="40483"/>
    <cellStyle name="Separador de milhares 3 10 2 8 3 5" xfId="34575"/>
    <cellStyle name="Separador de milhares 3 10 2 8 4" xfId="5655"/>
    <cellStyle name="Separador de milhares 3 10 2 8 4 2" xfId="24287"/>
    <cellStyle name="Separador de milhares 3 10 2 8 4 2 2" xfId="49354"/>
    <cellStyle name="Separador de milhares 3 10 2 8 4 3" xfId="31618"/>
    <cellStyle name="Separador de milhares 3 10 2 8 5" xfId="18373"/>
    <cellStyle name="Separador de milhares 3 10 2 8 5 2" xfId="43440"/>
    <cellStyle name="Separador de milhares 3 10 2 8 6" xfId="12042"/>
    <cellStyle name="Separador de milhares 3 10 2 8 6 2" xfId="37529"/>
    <cellStyle name="Separador de milhares 3 10 2 8 7" xfId="30148"/>
    <cellStyle name="Separador de milhares 3 10 2 9" xfId="3823"/>
    <cellStyle name="Separador de milhares 3 10 2 9 2" xfId="7501"/>
    <cellStyle name="Separador de milhares 3 10 2 9 2 2" xfId="10645"/>
    <cellStyle name="Separador de milhares 3 10 2 9 2 2 2" xfId="28859"/>
    <cellStyle name="Separador de milhares 3 10 2 9 2 2 2 2" xfId="53926"/>
    <cellStyle name="Separador de milhares 3 10 2 9 2 2 3" xfId="22945"/>
    <cellStyle name="Separador de milhares 3 10 2 9 2 2 3 2" xfId="48012"/>
    <cellStyle name="Separador de milhares 3 10 2 9 2 2 4" xfId="17031"/>
    <cellStyle name="Separador de milhares 3 10 2 9 2 2 4 2" xfId="42098"/>
    <cellStyle name="Separador de milhares 3 10 2 9 2 2 5" xfId="36190"/>
    <cellStyle name="Separador de milhares 3 10 2 9 2 3" xfId="25902"/>
    <cellStyle name="Separador de milhares 3 10 2 9 2 3 2" xfId="50969"/>
    <cellStyle name="Separador de milhares 3 10 2 9 2 4" xfId="19988"/>
    <cellStyle name="Separador de milhares 3 10 2 9 2 4 2" xfId="45055"/>
    <cellStyle name="Separador de milhares 3 10 2 9 2 5" xfId="13890"/>
    <cellStyle name="Separador de milhares 3 10 2 9 2 5 2" xfId="39144"/>
    <cellStyle name="Separador de milhares 3 10 2 9 2 6" xfId="33233"/>
    <cellStyle name="Separador de milhares 3 10 2 9 3" xfId="9177"/>
    <cellStyle name="Separador de milhares 3 10 2 9 3 2" xfId="27391"/>
    <cellStyle name="Separador de milhares 3 10 2 9 3 2 2" xfId="52458"/>
    <cellStyle name="Separador de milhares 3 10 2 9 3 3" xfId="21477"/>
    <cellStyle name="Separador de milhares 3 10 2 9 3 3 2" xfId="46544"/>
    <cellStyle name="Separador de milhares 3 10 2 9 3 4" xfId="15563"/>
    <cellStyle name="Separador de milhares 3 10 2 9 3 4 2" xfId="40630"/>
    <cellStyle name="Separador de milhares 3 10 2 9 3 5" xfId="34722"/>
    <cellStyle name="Separador de milhares 3 10 2 9 4" xfId="5802"/>
    <cellStyle name="Separador de milhares 3 10 2 9 4 2" xfId="24434"/>
    <cellStyle name="Separador de milhares 3 10 2 9 4 2 2" xfId="49501"/>
    <cellStyle name="Separador de milhares 3 10 2 9 4 3" xfId="31765"/>
    <cellStyle name="Separador de milhares 3 10 2 9 5" xfId="18520"/>
    <cellStyle name="Separador de milhares 3 10 2 9 5 2" xfId="43587"/>
    <cellStyle name="Separador de milhares 3 10 2 9 6" xfId="12189"/>
    <cellStyle name="Separador de milhares 3 10 2 9 6 2" xfId="37676"/>
    <cellStyle name="Separador de milhares 3 10 2 9 7" xfId="30295"/>
    <cellStyle name="Separador de milhares 3 10 3" xfId="275"/>
    <cellStyle name="Separador de milhares 3 10 3 10" xfId="6492"/>
    <cellStyle name="Separador de milhares 3 10 3 10 2" xfId="9643"/>
    <cellStyle name="Separador de milhares 3 10 3 10 2 2" xfId="27857"/>
    <cellStyle name="Separador de milhares 3 10 3 10 2 2 2" xfId="52924"/>
    <cellStyle name="Separador de milhares 3 10 3 10 2 3" xfId="21943"/>
    <cellStyle name="Separador de milhares 3 10 3 10 2 3 2" xfId="47010"/>
    <cellStyle name="Separador de milhares 3 10 3 10 2 4" xfId="16029"/>
    <cellStyle name="Separador de milhares 3 10 3 10 2 4 2" xfId="41096"/>
    <cellStyle name="Separador de milhares 3 10 3 10 2 5" xfId="35188"/>
    <cellStyle name="Separador de milhares 3 10 3 10 3" xfId="24900"/>
    <cellStyle name="Separador de milhares 3 10 3 10 3 2" xfId="49967"/>
    <cellStyle name="Separador de milhares 3 10 3 10 4" xfId="18986"/>
    <cellStyle name="Separador de milhares 3 10 3 10 4 2" xfId="44053"/>
    <cellStyle name="Separador de milhares 3 10 3 10 5" xfId="12881"/>
    <cellStyle name="Separador de milhares 3 10 3 10 5 2" xfId="38142"/>
    <cellStyle name="Separador de milhares 3 10 3 10 6" xfId="32231"/>
    <cellStyle name="Separador de milhares 3 10 3 11" xfId="8172"/>
    <cellStyle name="Separador de milhares 3 10 3 11 2" xfId="26386"/>
    <cellStyle name="Separador de milhares 3 10 3 11 2 2" xfId="51453"/>
    <cellStyle name="Separador de milhares 3 10 3 11 3" xfId="20472"/>
    <cellStyle name="Separador de milhares 3 10 3 11 3 2" xfId="45539"/>
    <cellStyle name="Separador de milhares 3 10 3 11 4" xfId="14561"/>
    <cellStyle name="Separador de milhares 3 10 3 11 4 2" xfId="39628"/>
    <cellStyle name="Separador de milhares 3 10 3 11 5" xfId="33717"/>
    <cellStyle name="Separador de milhares 3 10 3 12" xfId="4791"/>
    <cellStyle name="Separador de milhares 3 10 3 12 2" xfId="23429"/>
    <cellStyle name="Separador de milhares 3 10 3 12 2 2" xfId="48496"/>
    <cellStyle name="Separador de milhares 3 10 3 12 3" xfId="30761"/>
    <cellStyle name="Separador de milhares 3 10 3 13" xfId="17515"/>
    <cellStyle name="Separador de milhares 3 10 3 13 2" xfId="42582"/>
    <cellStyle name="Separador de milhares 3 10 3 14" xfId="11180"/>
    <cellStyle name="Separador de milhares 3 10 3 14 2" xfId="36674"/>
    <cellStyle name="Separador de milhares 3 10 3 15" xfId="29290"/>
    <cellStyle name="Separador de milhares 3 10 3 2" xfId="538"/>
    <cellStyle name="Separador de milhares 3 10 3 2 2" xfId="6563"/>
    <cellStyle name="Separador de milhares 3 10 3 2 2 2" xfId="9710"/>
    <cellStyle name="Separador de milhares 3 10 3 2 2 2 2" xfId="27924"/>
    <cellStyle name="Separador de milhares 3 10 3 2 2 2 2 2" xfId="52991"/>
    <cellStyle name="Separador de milhares 3 10 3 2 2 2 3" xfId="22010"/>
    <cellStyle name="Separador de milhares 3 10 3 2 2 2 3 2" xfId="47077"/>
    <cellStyle name="Separador de milhares 3 10 3 2 2 2 4" xfId="16096"/>
    <cellStyle name="Separador de milhares 3 10 3 2 2 2 4 2" xfId="41163"/>
    <cellStyle name="Separador de milhares 3 10 3 2 2 2 5" xfId="35255"/>
    <cellStyle name="Separador de milhares 3 10 3 2 2 3" xfId="24967"/>
    <cellStyle name="Separador de milhares 3 10 3 2 2 3 2" xfId="50034"/>
    <cellStyle name="Separador de milhares 3 10 3 2 2 4" xfId="19053"/>
    <cellStyle name="Separador de milhares 3 10 3 2 2 4 2" xfId="44120"/>
    <cellStyle name="Separador de milhares 3 10 3 2 2 5" xfId="12952"/>
    <cellStyle name="Separador de milhares 3 10 3 2 2 5 2" xfId="38209"/>
    <cellStyle name="Separador de milhares 3 10 3 2 2 6" xfId="32298"/>
    <cellStyle name="Separador de milhares 3 10 3 2 3" xfId="8239"/>
    <cellStyle name="Separador de milhares 3 10 3 2 3 2" xfId="26453"/>
    <cellStyle name="Separador de milhares 3 10 3 2 3 2 2" xfId="51520"/>
    <cellStyle name="Separador de milhares 3 10 3 2 3 3" xfId="20539"/>
    <cellStyle name="Separador de milhares 3 10 3 2 3 3 2" xfId="45606"/>
    <cellStyle name="Separador de milhares 3 10 3 2 3 4" xfId="14628"/>
    <cellStyle name="Separador de milhares 3 10 3 2 3 4 2" xfId="39695"/>
    <cellStyle name="Separador de milhares 3 10 3 2 3 5" xfId="33784"/>
    <cellStyle name="Separador de milhares 3 10 3 2 4" xfId="4862"/>
    <cellStyle name="Separador de milhares 3 10 3 2 4 2" xfId="23496"/>
    <cellStyle name="Separador de milhares 3 10 3 2 4 2 2" xfId="48563"/>
    <cellStyle name="Separador de milhares 3 10 3 2 4 3" xfId="30828"/>
    <cellStyle name="Separador de milhares 3 10 3 2 5" xfId="17582"/>
    <cellStyle name="Separador de milhares 3 10 3 2 5 2" xfId="42649"/>
    <cellStyle name="Separador de milhares 3 10 3 2 6" xfId="11251"/>
    <cellStyle name="Separador de milhares 3 10 3 2 6 2" xfId="36741"/>
    <cellStyle name="Separador de milhares 3 10 3 2 7" xfId="29357"/>
    <cellStyle name="Separador de milhares 3 10 3 3" xfId="835"/>
    <cellStyle name="Separador de milhares 3 10 3 3 2" xfId="6665"/>
    <cellStyle name="Separador de milhares 3 10 3 3 2 2" xfId="9812"/>
    <cellStyle name="Separador de milhares 3 10 3 3 2 2 2" xfId="28026"/>
    <cellStyle name="Separador de milhares 3 10 3 3 2 2 2 2" xfId="53093"/>
    <cellStyle name="Separador de milhares 3 10 3 3 2 2 3" xfId="22112"/>
    <cellStyle name="Separador de milhares 3 10 3 3 2 2 3 2" xfId="47179"/>
    <cellStyle name="Separador de milhares 3 10 3 3 2 2 4" xfId="16198"/>
    <cellStyle name="Separador de milhares 3 10 3 3 2 2 4 2" xfId="41265"/>
    <cellStyle name="Separador de milhares 3 10 3 3 2 2 5" xfId="35357"/>
    <cellStyle name="Separador de milhares 3 10 3 3 2 3" xfId="25069"/>
    <cellStyle name="Separador de milhares 3 10 3 3 2 3 2" xfId="50136"/>
    <cellStyle name="Separador de milhares 3 10 3 3 2 4" xfId="19155"/>
    <cellStyle name="Separador de milhares 3 10 3 3 2 4 2" xfId="44222"/>
    <cellStyle name="Separador de milhares 3 10 3 3 2 5" xfId="13054"/>
    <cellStyle name="Separador de milhares 3 10 3 3 2 5 2" xfId="38311"/>
    <cellStyle name="Separador de milhares 3 10 3 3 2 6" xfId="32400"/>
    <cellStyle name="Separador de milhares 3 10 3 3 3" xfId="8344"/>
    <cellStyle name="Separador de milhares 3 10 3 3 3 2" xfId="26558"/>
    <cellStyle name="Separador de milhares 3 10 3 3 3 2 2" xfId="51625"/>
    <cellStyle name="Separador de milhares 3 10 3 3 3 3" xfId="20644"/>
    <cellStyle name="Separador de milhares 3 10 3 3 3 3 2" xfId="45711"/>
    <cellStyle name="Separador de milhares 3 10 3 3 3 4" xfId="14730"/>
    <cellStyle name="Separador de milhares 3 10 3 3 3 4 2" xfId="39797"/>
    <cellStyle name="Separador de milhares 3 10 3 3 3 5" xfId="33889"/>
    <cellStyle name="Separador de milhares 3 10 3 3 4" xfId="4966"/>
    <cellStyle name="Separador de milhares 3 10 3 3 4 2" xfId="23601"/>
    <cellStyle name="Separador de milhares 3 10 3 3 4 2 2" xfId="48668"/>
    <cellStyle name="Separador de milhares 3 10 3 3 4 3" xfId="30932"/>
    <cellStyle name="Separador de milhares 3 10 3 3 5" xfId="17687"/>
    <cellStyle name="Separador de milhares 3 10 3 3 5 2" xfId="42754"/>
    <cellStyle name="Separador de milhares 3 10 3 3 6" xfId="11353"/>
    <cellStyle name="Separador de milhares 3 10 3 3 6 2" xfId="36843"/>
    <cellStyle name="Separador de milhares 3 10 3 3 7" xfId="29462"/>
    <cellStyle name="Separador de milhares 3 10 3 4" xfId="1186"/>
    <cellStyle name="Separador de milhares 3 10 3 4 2" xfId="6763"/>
    <cellStyle name="Separador de milhares 3 10 3 4 2 2" xfId="9910"/>
    <cellStyle name="Separador de milhares 3 10 3 4 2 2 2" xfId="28124"/>
    <cellStyle name="Separador de milhares 3 10 3 4 2 2 2 2" xfId="53191"/>
    <cellStyle name="Separador de milhares 3 10 3 4 2 2 3" xfId="22210"/>
    <cellStyle name="Separador de milhares 3 10 3 4 2 2 3 2" xfId="47277"/>
    <cellStyle name="Separador de milhares 3 10 3 4 2 2 4" xfId="16296"/>
    <cellStyle name="Separador de milhares 3 10 3 4 2 2 4 2" xfId="41363"/>
    <cellStyle name="Separador de milhares 3 10 3 4 2 2 5" xfId="35455"/>
    <cellStyle name="Separador de milhares 3 10 3 4 2 3" xfId="25167"/>
    <cellStyle name="Separador de milhares 3 10 3 4 2 3 2" xfId="50234"/>
    <cellStyle name="Separador de milhares 3 10 3 4 2 4" xfId="19253"/>
    <cellStyle name="Separador de milhares 3 10 3 4 2 4 2" xfId="44320"/>
    <cellStyle name="Separador de milhares 3 10 3 4 2 5" xfId="13152"/>
    <cellStyle name="Separador de milhares 3 10 3 4 2 5 2" xfId="38409"/>
    <cellStyle name="Separador de milhares 3 10 3 4 2 6" xfId="32498"/>
    <cellStyle name="Separador de milhares 3 10 3 4 3" xfId="8442"/>
    <cellStyle name="Separador de milhares 3 10 3 4 3 2" xfId="26656"/>
    <cellStyle name="Separador de milhares 3 10 3 4 3 2 2" xfId="51723"/>
    <cellStyle name="Separador de milhares 3 10 3 4 3 3" xfId="20742"/>
    <cellStyle name="Separador de milhares 3 10 3 4 3 3 2" xfId="45809"/>
    <cellStyle name="Separador de milhares 3 10 3 4 3 4" xfId="14828"/>
    <cellStyle name="Separador de milhares 3 10 3 4 3 4 2" xfId="39895"/>
    <cellStyle name="Separador de milhares 3 10 3 4 3 5" xfId="33987"/>
    <cellStyle name="Separador de milhares 3 10 3 4 4" xfId="5064"/>
    <cellStyle name="Separador de milhares 3 10 3 4 4 2" xfId="23699"/>
    <cellStyle name="Separador de milhares 3 10 3 4 4 2 2" xfId="48766"/>
    <cellStyle name="Separador de milhares 3 10 3 4 4 3" xfId="31030"/>
    <cellStyle name="Separador de milhares 3 10 3 4 5" xfId="17785"/>
    <cellStyle name="Separador de milhares 3 10 3 4 5 2" xfId="42852"/>
    <cellStyle name="Separador de milhares 3 10 3 4 6" xfId="11451"/>
    <cellStyle name="Separador de milhares 3 10 3 4 6 2" xfId="36941"/>
    <cellStyle name="Separador de milhares 3 10 3 4 7" xfId="29560"/>
    <cellStyle name="Separador de milhares 3 10 3 5" xfId="1621"/>
    <cellStyle name="Separador de milhares 3 10 3 5 2" xfId="6882"/>
    <cellStyle name="Separador de milhares 3 10 3 5 2 2" xfId="10029"/>
    <cellStyle name="Separador de milhares 3 10 3 5 2 2 2" xfId="28243"/>
    <cellStyle name="Separador de milhares 3 10 3 5 2 2 2 2" xfId="53310"/>
    <cellStyle name="Separador de milhares 3 10 3 5 2 2 3" xfId="22329"/>
    <cellStyle name="Separador de milhares 3 10 3 5 2 2 3 2" xfId="47396"/>
    <cellStyle name="Separador de milhares 3 10 3 5 2 2 4" xfId="16415"/>
    <cellStyle name="Separador de milhares 3 10 3 5 2 2 4 2" xfId="41482"/>
    <cellStyle name="Separador de milhares 3 10 3 5 2 2 5" xfId="35574"/>
    <cellStyle name="Separador de milhares 3 10 3 5 2 3" xfId="25286"/>
    <cellStyle name="Separador de milhares 3 10 3 5 2 3 2" xfId="50353"/>
    <cellStyle name="Separador de milhares 3 10 3 5 2 4" xfId="19372"/>
    <cellStyle name="Separador de milhares 3 10 3 5 2 4 2" xfId="44439"/>
    <cellStyle name="Separador de milhares 3 10 3 5 2 5" xfId="13271"/>
    <cellStyle name="Separador de milhares 3 10 3 5 2 5 2" xfId="38528"/>
    <cellStyle name="Separador de milhares 3 10 3 5 2 6" xfId="32617"/>
    <cellStyle name="Separador de milhares 3 10 3 5 3" xfId="8561"/>
    <cellStyle name="Separador de milhares 3 10 3 5 3 2" xfId="26775"/>
    <cellStyle name="Separador de milhares 3 10 3 5 3 2 2" xfId="51842"/>
    <cellStyle name="Separador de milhares 3 10 3 5 3 3" xfId="20861"/>
    <cellStyle name="Separador de milhares 3 10 3 5 3 3 2" xfId="45928"/>
    <cellStyle name="Separador de milhares 3 10 3 5 3 4" xfId="14947"/>
    <cellStyle name="Separador de milhares 3 10 3 5 3 4 2" xfId="40014"/>
    <cellStyle name="Separador de milhares 3 10 3 5 3 5" xfId="34106"/>
    <cellStyle name="Separador de milhares 3 10 3 5 4" xfId="5183"/>
    <cellStyle name="Separador de milhares 3 10 3 5 4 2" xfId="23818"/>
    <cellStyle name="Separador de milhares 3 10 3 5 4 2 2" xfId="48885"/>
    <cellStyle name="Separador de milhares 3 10 3 5 4 3" xfId="31149"/>
    <cellStyle name="Separador de milhares 3 10 3 5 5" xfId="17904"/>
    <cellStyle name="Separador de milhares 3 10 3 5 5 2" xfId="42971"/>
    <cellStyle name="Separador de milhares 3 10 3 5 6" xfId="11570"/>
    <cellStyle name="Separador de milhares 3 10 3 5 6 2" xfId="37060"/>
    <cellStyle name="Separador de milhares 3 10 3 5 7" xfId="29679"/>
    <cellStyle name="Separador de milhares 3 10 3 6" xfId="2151"/>
    <cellStyle name="Separador de milhares 3 10 3 6 2" xfId="7032"/>
    <cellStyle name="Separador de milhares 3 10 3 6 2 2" xfId="10176"/>
    <cellStyle name="Separador de milhares 3 10 3 6 2 2 2" xfId="28390"/>
    <cellStyle name="Separador de milhares 3 10 3 6 2 2 2 2" xfId="53457"/>
    <cellStyle name="Separador de milhares 3 10 3 6 2 2 3" xfId="22476"/>
    <cellStyle name="Separador de milhares 3 10 3 6 2 2 3 2" xfId="47543"/>
    <cellStyle name="Separador de milhares 3 10 3 6 2 2 4" xfId="16562"/>
    <cellStyle name="Separador de milhares 3 10 3 6 2 2 4 2" xfId="41629"/>
    <cellStyle name="Separador de milhares 3 10 3 6 2 2 5" xfId="35721"/>
    <cellStyle name="Separador de milhares 3 10 3 6 2 3" xfId="25433"/>
    <cellStyle name="Separador de milhares 3 10 3 6 2 3 2" xfId="50500"/>
    <cellStyle name="Separador de milhares 3 10 3 6 2 4" xfId="19519"/>
    <cellStyle name="Separador de milhares 3 10 3 6 2 4 2" xfId="44586"/>
    <cellStyle name="Separador de milhares 3 10 3 6 2 5" xfId="13421"/>
    <cellStyle name="Separador de milhares 3 10 3 6 2 5 2" xfId="38675"/>
    <cellStyle name="Separador de milhares 3 10 3 6 2 6" xfId="32764"/>
    <cellStyle name="Separador de milhares 3 10 3 6 3" xfId="8708"/>
    <cellStyle name="Separador de milhares 3 10 3 6 3 2" xfId="26922"/>
    <cellStyle name="Separador de milhares 3 10 3 6 3 2 2" xfId="51989"/>
    <cellStyle name="Separador de milhares 3 10 3 6 3 3" xfId="21008"/>
    <cellStyle name="Separador de milhares 3 10 3 6 3 3 2" xfId="46075"/>
    <cellStyle name="Separador de milhares 3 10 3 6 3 4" xfId="15094"/>
    <cellStyle name="Separador de milhares 3 10 3 6 3 4 2" xfId="40161"/>
    <cellStyle name="Separador de milhares 3 10 3 6 3 5" xfId="34253"/>
    <cellStyle name="Separador de milhares 3 10 3 6 4" xfId="5333"/>
    <cellStyle name="Separador de milhares 3 10 3 6 4 2" xfId="23965"/>
    <cellStyle name="Separador de milhares 3 10 3 6 4 2 2" xfId="49032"/>
    <cellStyle name="Separador de milhares 3 10 3 6 4 3" xfId="31296"/>
    <cellStyle name="Separador de milhares 3 10 3 6 5" xfId="18051"/>
    <cellStyle name="Separador de milhares 3 10 3 6 5 2" xfId="43118"/>
    <cellStyle name="Separador de milhares 3 10 3 6 6" xfId="11720"/>
    <cellStyle name="Separador de milhares 3 10 3 6 6 2" xfId="37207"/>
    <cellStyle name="Separador de milhares 3 10 3 6 7" xfId="29826"/>
    <cellStyle name="Separador de milhares 3 10 3 7" xfId="2678"/>
    <cellStyle name="Separador de milhares 3 10 3 7 2" xfId="7179"/>
    <cellStyle name="Separador de milhares 3 10 3 7 2 2" xfId="10323"/>
    <cellStyle name="Separador de milhares 3 10 3 7 2 2 2" xfId="28537"/>
    <cellStyle name="Separador de milhares 3 10 3 7 2 2 2 2" xfId="53604"/>
    <cellStyle name="Separador de milhares 3 10 3 7 2 2 3" xfId="22623"/>
    <cellStyle name="Separador de milhares 3 10 3 7 2 2 3 2" xfId="47690"/>
    <cellStyle name="Separador de milhares 3 10 3 7 2 2 4" xfId="16709"/>
    <cellStyle name="Separador de milhares 3 10 3 7 2 2 4 2" xfId="41776"/>
    <cellStyle name="Separador de milhares 3 10 3 7 2 2 5" xfId="35868"/>
    <cellStyle name="Separador de milhares 3 10 3 7 2 3" xfId="25580"/>
    <cellStyle name="Separador de milhares 3 10 3 7 2 3 2" xfId="50647"/>
    <cellStyle name="Separador de milhares 3 10 3 7 2 4" xfId="19666"/>
    <cellStyle name="Separador de milhares 3 10 3 7 2 4 2" xfId="44733"/>
    <cellStyle name="Separador de milhares 3 10 3 7 2 5" xfId="13568"/>
    <cellStyle name="Separador de milhares 3 10 3 7 2 5 2" xfId="38822"/>
    <cellStyle name="Separador de milhares 3 10 3 7 2 6" xfId="32911"/>
    <cellStyle name="Separador de milhares 3 10 3 7 3" xfId="8855"/>
    <cellStyle name="Separador de milhares 3 10 3 7 3 2" xfId="27069"/>
    <cellStyle name="Separador de milhares 3 10 3 7 3 2 2" xfId="52136"/>
    <cellStyle name="Separador de milhares 3 10 3 7 3 3" xfId="21155"/>
    <cellStyle name="Separador de milhares 3 10 3 7 3 3 2" xfId="46222"/>
    <cellStyle name="Separador de milhares 3 10 3 7 3 4" xfId="15241"/>
    <cellStyle name="Separador de milhares 3 10 3 7 3 4 2" xfId="40308"/>
    <cellStyle name="Separador de milhares 3 10 3 7 3 5" xfId="34400"/>
    <cellStyle name="Separador de milhares 3 10 3 7 4" xfId="5480"/>
    <cellStyle name="Separador de milhares 3 10 3 7 4 2" xfId="24112"/>
    <cellStyle name="Separador de milhares 3 10 3 7 4 2 2" xfId="49179"/>
    <cellStyle name="Separador de milhares 3 10 3 7 4 3" xfId="31443"/>
    <cellStyle name="Separador de milhares 3 10 3 7 5" xfId="18198"/>
    <cellStyle name="Separador de milhares 3 10 3 7 5 2" xfId="43265"/>
    <cellStyle name="Separador de milhares 3 10 3 7 6" xfId="11867"/>
    <cellStyle name="Separador de milhares 3 10 3 7 6 2" xfId="37354"/>
    <cellStyle name="Separador de milhares 3 10 3 7 7" xfId="29973"/>
    <cellStyle name="Separador de milhares 3 10 3 8" xfId="3205"/>
    <cellStyle name="Separador de milhares 3 10 3 8 2" xfId="7326"/>
    <cellStyle name="Separador de milhares 3 10 3 8 2 2" xfId="10470"/>
    <cellStyle name="Separador de milhares 3 10 3 8 2 2 2" xfId="28684"/>
    <cellStyle name="Separador de milhares 3 10 3 8 2 2 2 2" xfId="53751"/>
    <cellStyle name="Separador de milhares 3 10 3 8 2 2 3" xfId="22770"/>
    <cellStyle name="Separador de milhares 3 10 3 8 2 2 3 2" xfId="47837"/>
    <cellStyle name="Separador de milhares 3 10 3 8 2 2 4" xfId="16856"/>
    <cellStyle name="Separador de milhares 3 10 3 8 2 2 4 2" xfId="41923"/>
    <cellStyle name="Separador de milhares 3 10 3 8 2 2 5" xfId="36015"/>
    <cellStyle name="Separador de milhares 3 10 3 8 2 3" xfId="25727"/>
    <cellStyle name="Separador de milhares 3 10 3 8 2 3 2" xfId="50794"/>
    <cellStyle name="Separador de milhares 3 10 3 8 2 4" xfId="19813"/>
    <cellStyle name="Separador de milhares 3 10 3 8 2 4 2" xfId="44880"/>
    <cellStyle name="Separador de milhares 3 10 3 8 2 5" xfId="13715"/>
    <cellStyle name="Separador de milhares 3 10 3 8 2 5 2" xfId="38969"/>
    <cellStyle name="Separador de milhares 3 10 3 8 2 6" xfId="33058"/>
    <cellStyle name="Separador de milhares 3 10 3 8 3" xfId="9002"/>
    <cellStyle name="Separador de milhares 3 10 3 8 3 2" xfId="27216"/>
    <cellStyle name="Separador de milhares 3 10 3 8 3 2 2" xfId="52283"/>
    <cellStyle name="Separador de milhares 3 10 3 8 3 3" xfId="21302"/>
    <cellStyle name="Separador de milhares 3 10 3 8 3 3 2" xfId="46369"/>
    <cellStyle name="Separador de milhares 3 10 3 8 3 4" xfId="15388"/>
    <cellStyle name="Separador de milhares 3 10 3 8 3 4 2" xfId="40455"/>
    <cellStyle name="Separador de milhares 3 10 3 8 3 5" xfId="34547"/>
    <cellStyle name="Separador de milhares 3 10 3 8 4" xfId="5627"/>
    <cellStyle name="Separador de milhares 3 10 3 8 4 2" xfId="24259"/>
    <cellStyle name="Separador de milhares 3 10 3 8 4 2 2" xfId="49326"/>
    <cellStyle name="Separador de milhares 3 10 3 8 4 3" xfId="31590"/>
    <cellStyle name="Separador de milhares 3 10 3 8 5" xfId="18345"/>
    <cellStyle name="Separador de milhares 3 10 3 8 5 2" xfId="43412"/>
    <cellStyle name="Separador de milhares 3 10 3 8 6" xfId="12014"/>
    <cellStyle name="Separador de milhares 3 10 3 8 6 2" xfId="37501"/>
    <cellStyle name="Separador de milhares 3 10 3 8 7" xfId="30120"/>
    <cellStyle name="Separador de milhares 3 10 3 9" xfId="3732"/>
    <cellStyle name="Separador de milhares 3 10 3 9 2" xfId="7473"/>
    <cellStyle name="Separador de milhares 3 10 3 9 2 2" xfId="10617"/>
    <cellStyle name="Separador de milhares 3 10 3 9 2 2 2" xfId="28831"/>
    <cellStyle name="Separador de milhares 3 10 3 9 2 2 2 2" xfId="53898"/>
    <cellStyle name="Separador de milhares 3 10 3 9 2 2 3" xfId="22917"/>
    <cellStyle name="Separador de milhares 3 10 3 9 2 2 3 2" xfId="47984"/>
    <cellStyle name="Separador de milhares 3 10 3 9 2 2 4" xfId="17003"/>
    <cellStyle name="Separador de milhares 3 10 3 9 2 2 4 2" xfId="42070"/>
    <cellStyle name="Separador de milhares 3 10 3 9 2 2 5" xfId="36162"/>
    <cellStyle name="Separador de milhares 3 10 3 9 2 3" xfId="25874"/>
    <cellStyle name="Separador de milhares 3 10 3 9 2 3 2" xfId="50941"/>
    <cellStyle name="Separador de milhares 3 10 3 9 2 4" xfId="19960"/>
    <cellStyle name="Separador de milhares 3 10 3 9 2 4 2" xfId="45027"/>
    <cellStyle name="Separador de milhares 3 10 3 9 2 5" xfId="13862"/>
    <cellStyle name="Separador de milhares 3 10 3 9 2 5 2" xfId="39116"/>
    <cellStyle name="Separador de milhares 3 10 3 9 2 6" xfId="33205"/>
    <cellStyle name="Separador de milhares 3 10 3 9 3" xfId="9149"/>
    <cellStyle name="Separador de milhares 3 10 3 9 3 2" xfId="27363"/>
    <cellStyle name="Separador de milhares 3 10 3 9 3 2 2" xfId="52430"/>
    <cellStyle name="Separador de milhares 3 10 3 9 3 3" xfId="21449"/>
    <cellStyle name="Separador de milhares 3 10 3 9 3 3 2" xfId="46516"/>
    <cellStyle name="Separador de milhares 3 10 3 9 3 4" xfId="15535"/>
    <cellStyle name="Separador de milhares 3 10 3 9 3 4 2" xfId="40602"/>
    <cellStyle name="Separador de milhares 3 10 3 9 3 5" xfId="34694"/>
    <cellStyle name="Separador de milhares 3 10 3 9 4" xfId="5774"/>
    <cellStyle name="Separador de milhares 3 10 3 9 4 2" xfId="24406"/>
    <cellStyle name="Separador de milhares 3 10 3 9 4 2 2" xfId="49473"/>
    <cellStyle name="Separador de milhares 3 10 3 9 4 3" xfId="31737"/>
    <cellStyle name="Separador de milhares 3 10 3 9 5" xfId="18492"/>
    <cellStyle name="Separador de milhares 3 10 3 9 5 2" xfId="43559"/>
    <cellStyle name="Separador de milhares 3 10 3 9 6" xfId="12161"/>
    <cellStyle name="Separador de milhares 3 10 3 9 6 2" xfId="37648"/>
    <cellStyle name="Separador de milhares 3 10 3 9 7" xfId="30267"/>
    <cellStyle name="Separador de milhares 3 10 4" xfId="368"/>
    <cellStyle name="Separador de milhares 3 10 4 10" xfId="6520"/>
    <cellStyle name="Separador de milhares 3 10 4 10 2" xfId="9668"/>
    <cellStyle name="Separador de milhares 3 10 4 10 2 2" xfId="27882"/>
    <cellStyle name="Separador de milhares 3 10 4 10 2 2 2" xfId="52949"/>
    <cellStyle name="Separador de milhares 3 10 4 10 2 3" xfId="21968"/>
    <cellStyle name="Separador de milhares 3 10 4 10 2 3 2" xfId="47035"/>
    <cellStyle name="Separador de milhares 3 10 4 10 2 4" xfId="16054"/>
    <cellStyle name="Separador de milhares 3 10 4 10 2 4 2" xfId="41121"/>
    <cellStyle name="Separador de milhares 3 10 4 10 2 5" xfId="35213"/>
    <cellStyle name="Separador de milhares 3 10 4 10 3" xfId="24925"/>
    <cellStyle name="Separador de milhares 3 10 4 10 3 2" xfId="49992"/>
    <cellStyle name="Separador de milhares 3 10 4 10 4" xfId="19011"/>
    <cellStyle name="Separador de milhares 3 10 4 10 4 2" xfId="44078"/>
    <cellStyle name="Separador de milhares 3 10 4 10 5" xfId="12909"/>
    <cellStyle name="Separador de milhares 3 10 4 10 5 2" xfId="38167"/>
    <cellStyle name="Separador de milhares 3 10 4 10 6" xfId="32256"/>
    <cellStyle name="Separador de milhares 3 10 4 11" xfId="8197"/>
    <cellStyle name="Separador de milhares 3 10 4 11 2" xfId="26411"/>
    <cellStyle name="Separador de milhares 3 10 4 11 2 2" xfId="51478"/>
    <cellStyle name="Separador de milhares 3 10 4 11 3" xfId="20497"/>
    <cellStyle name="Separador de milhares 3 10 4 11 3 2" xfId="45564"/>
    <cellStyle name="Separador de milhares 3 10 4 11 4" xfId="14586"/>
    <cellStyle name="Separador de milhares 3 10 4 11 4 2" xfId="39653"/>
    <cellStyle name="Separador de milhares 3 10 4 11 5" xfId="33742"/>
    <cellStyle name="Separador de milhares 3 10 4 12" xfId="4819"/>
    <cellStyle name="Separador de milhares 3 10 4 12 2" xfId="23454"/>
    <cellStyle name="Separador de milhares 3 10 4 12 2 2" xfId="48521"/>
    <cellStyle name="Separador de milhares 3 10 4 12 3" xfId="30786"/>
    <cellStyle name="Separador de milhares 3 10 4 13" xfId="17540"/>
    <cellStyle name="Separador de milhares 3 10 4 13 2" xfId="42607"/>
    <cellStyle name="Separador de milhares 3 10 4 14" xfId="11208"/>
    <cellStyle name="Separador de milhares 3 10 4 14 2" xfId="36699"/>
    <cellStyle name="Separador de milhares 3 10 4 15" xfId="29315"/>
    <cellStyle name="Separador de milhares 3 10 4 2" xfId="1013"/>
    <cellStyle name="Separador de milhares 3 10 4 2 2" xfId="6717"/>
    <cellStyle name="Separador de milhares 3 10 4 2 2 2" xfId="9864"/>
    <cellStyle name="Separador de milhares 3 10 4 2 2 2 2" xfId="28078"/>
    <cellStyle name="Separador de milhares 3 10 4 2 2 2 2 2" xfId="53145"/>
    <cellStyle name="Separador de milhares 3 10 4 2 2 2 3" xfId="22164"/>
    <cellStyle name="Separador de milhares 3 10 4 2 2 2 3 2" xfId="47231"/>
    <cellStyle name="Separador de milhares 3 10 4 2 2 2 4" xfId="16250"/>
    <cellStyle name="Separador de milhares 3 10 4 2 2 2 4 2" xfId="41317"/>
    <cellStyle name="Separador de milhares 3 10 4 2 2 2 5" xfId="35409"/>
    <cellStyle name="Separador de milhares 3 10 4 2 2 3" xfId="25121"/>
    <cellStyle name="Separador de milhares 3 10 4 2 2 3 2" xfId="50188"/>
    <cellStyle name="Separador de milhares 3 10 4 2 2 4" xfId="19207"/>
    <cellStyle name="Separador de milhares 3 10 4 2 2 4 2" xfId="44274"/>
    <cellStyle name="Separador de milhares 3 10 4 2 2 5" xfId="13106"/>
    <cellStyle name="Separador de milhares 3 10 4 2 2 5 2" xfId="38363"/>
    <cellStyle name="Separador de milhares 3 10 4 2 2 6" xfId="32452"/>
    <cellStyle name="Separador de milhares 3 10 4 2 3" xfId="8396"/>
    <cellStyle name="Separador de milhares 3 10 4 2 3 2" xfId="26610"/>
    <cellStyle name="Separador de milhares 3 10 4 2 3 2 2" xfId="51677"/>
    <cellStyle name="Separador de milhares 3 10 4 2 3 3" xfId="20696"/>
    <cellStyle name="Separador de milhares 3 10 4 2 3 3 2" xfId="45763"/>
    <cellStyle name="Separador de milhares 3 10 4 2 3 4" xfId="14782"/>
    <cellStyle name="Separador de milhares 3 10 4 2 3 4 2" xfId="39849"/>
    <cellStyle name="Separador de milhares 3 10 4 2 3 5" xfId="33941"/>
    <cellStyle name="Separador de milhares 3 10 4 2 4" xfId="5018"/>
    <cellStyle name="Separador de milhares 3 10 4 2 4 2" xfId="23653"/>
    <cellStyle name="Separador de milhares 3 10 4 2 4 2 2" xfId="48720"/>
    <cellStyle name="Separador de milhares 3 10 4 2 4 3" xfId="30984"/>
    <cellStyle name="Separador de milhares 3 10 4 2 5" xfId="17739"/>
    <cellStyle name="Separador de milhares 3 10 4 2 5 2" xfId="42806"/>
    <cellStyle name="Separador de milhares 3 10 4 2 6" xfId="11405"/>
    <cellStyle name="Separador de milhares 3 10 4 2 6 2" xfId="36895"/>
    <cellStyle name="Separador de milhares 3 10 4 2 7" xfId="29514"/>
    <cellStyle name="Separador de milhares 3 10 4 3" xfId="1364"/>
    <cellStyle name="Separador de milhares 3 10 4 3 2" xfId="6815"/>
    <cellStyle name="Separador de milhares 3 10 4 3 2 2" xfId="9962"/>
    <cellStyle name="Separador de milhares 3 10 4 3 2 2 2" xfId="28176"/>
    <cellStyle name="Separador de milhares 3 10 4 3 2 2 2 2" xfId="53243"/>
    <cellStyle name="Separador de milhares 3 10 4 3 2 2 3" xfId="22262"/>
    <cellStyle name="Separador de milhares 3 10 4 3 2 2 3 2" xfId="47329"/>
    <cellStyle name="Separador de milhares 3 10 4 3 2 2 4" xfId="16348"/>
    <cellStyle name="Separador de milhares 3 10 4 3 2 2 4 2" xfId="41415"/>
    <cellStyle name="Separador de milhares 3 10 4 3 2 2 5" xfId="35507"/>
    <cellStyle name="Separador de milhares 3 10 4 3 2 3" xfId="25219"/>
    <cellStyle name="Separador de milhares 3 10 4 3 2 3 2" xfId="50286"/>
    <cellStyle name="Separador de milhares 3 10 4 3 2 4" xfId="19305"/>
    <cellStyle name="Separador de milhares 3 10 4 3 2 4 2" xfId="44372"/>
    <cellStyle name="Separador de milhares 3 10 4 3 2 5" xfId="13204"/>
    <cellStyle name="Separador de milhares 3 10 4 3 2 5 2" xfId="38461"/>
    <cellStyle name="Separador de milhares 3 10 4 3 2 6" xfId="32550"/>
    <cellStyle name="Separador de milhares 3 10 4 3 3" xfId="8494"/>
    <cellStyle name="Separador de milhares 3 10 4 3 3 2" xfId="26708"/>
    <cellStyle name="Separador de milhares 3 10 4 3 3 2 2" xfId="51775"/>
    <cellStyle name="Separador de milhares 3 10 4 3 3 3" xfId="20794"/>
    <cellStyle name="Separador de milhares 3 10 4 3 3 3 2" xfId="45861"/>
    <cellStyle name="Separador de milhares 3 10 4 3 3 4" xfId="14880"/>
    <cellStyle name="Separador de milhares 3 10 4 3 3 4 2" xfId="39947"/>
    <cellStyle name="Separador de milhares 3 10 4 3 3 5" xfId="34039"/>
    <cellStyle name="Separador de milhares 3 10 4 3 4" xfId="5116"/>
    <cellStyle name="Separador de milhares 3 10 4 3 4 2" xfId="23751"/>
    <cellStyle name="Separador de milhares 3 10 4 3 4 2 2" xfId="48818"/>
    <cellStyle name="Separador de milhares 3 10 4 3 4 3" xfId="31082"/>
    <cellStyle name="Separador de milhares 3 10 4 3 5" xfId="17837"/>
    <cellStyle name="Separador de milhares 3 10 4 3 5 2" xfId="42904"/>
    <cellStyle name="Separador de milhares 3 10 4 3 6" xfId="11503"/>
    <cellStyle name="Separador de milhares 3 10 4 3 6 2" xfId="36993"/>
    <cellStyle name="Separador de milhares 3 10 4 3 7" xfId="29612"/>
    <cellStyle name="Separador de milhares 3 10 4 4" xfId="1799"/>
    <cellStyle name="Separador de milhares 3 10 4 4 2" xfId="6934"/>
    <cellStyle name="Separador de milhares 3 10 4 4 2 2" xfId="10081"/>
    <cellStyle name="Separador de milhares 3 10 4 4 2 2 2" xfId="28295"/>
    <cellStyle name="Separador de milhares 3 10 4 4 2 2 2 2" xfId="53362"/>
    <cellStyle name="Separador de milhares 3 10 4 4 2 2 3" xfId="22381"/>
    <cellStyle name="Separador de milhares 3 10 4 4 2 2 3 2" xfId="47448"/>
    <cellStyle name="Separador de milhares 3 10 4 4 2 2 4" xfId="16467"/>
    <cellStyle name="Separador de milhares 3 10 4 4 2 2 4 2" xfId="41534"/>
    <cellStyle name="Separador de milhares 3 10 4 4 2 2 5" xfId="35626"/>
    <cellStyle name="Separador de milhares 3 10 4 4 2 3" xfId="25338"/>
    <cellStyle name="Separador de milhares 3 10 4 4 2 3 2" xfId="50405"/>
    <cellStyle name="Separador de milhares 3 10 4 4 2 4" xfId="19424"/>
    <cellStyle name="Separador de milhares 3 10 4 4 2 4 2" xfId="44491"/>
    <cellStyle name="Separador de milhares 3 10 4 4 2 5" xfId="13323"/>
    <cellStyle name="Separador de milhares 3 10 4 4 2 5 2" xfId="38580"/>
    <cellStyle name="Separador de milhares 3 10 4 4 2 6" xfId="32669"/>
    <cellStyle name="Separador de milhares 3 10 4 4 3" xfId="8613"/>
    <cellStyle name="Separador de milhares 3 10 4 4 3 2" xfId="26827"/>
    <cellStyle name="Separador de milhares 3 10 4 4 3 2 2" xfId="51894"/>
    <cellStyle name="Separador de milhares 3 10 4 4 3 3" xfId="20913"/>
    <cellStyle name="Separador de milhares 3 10 4 4 3 3 2" xfId="45980"/>
    <cellStyle name="Separador de milhares 3 10 4 4 3 4" xfId="14999"/>
    <cellStyle name="Separador de milhares 3 10 4 4 3 4 2" xfId="40066"/>
    <cellStyle name="Separador de milhares 3 10 4 4 3 5" xfId="34158"/>
    <cellStyle name="Separador de milhares 3 10 4 4 4" xfId="5235"/>
    <cellStyle name="Separador de milhares 3 10 4 4 4 2" xfId="23870"/>
    <cellStyle name="Separador de milhares 3 10 4 4 4 2 2" xfId="48937"/>
    <cellStyle name="Separador de milhares 3 10 4 4 4 3" xfId="31201"/>
    <cellStyle name="Separador de milhares 3 10 4 4 5" xfId="17956"/>
    <cellStyle name="Separador de milhares 3 10 4 4 5 2" xfId="43023"/>
    <cellStyle name="Separador de milhares 3 10 4 4 6" xfId="11622"/>
    <cellStyle name="Separador de milhares 3 10 4 4 6 2" xfId="37112"/>
    <cellStyle name="Separador de milhares 3 10 4 4 7" xfId="29731"/>
    <cellStyle name="Separador de milhares 3 10 4 5" xfId="2329"/>
    <cellStyle name="Separador de milhares 3 10 4 5 2" xfId="7084"/>
    <cellStyle name="Separador de milhares 3 10 4 5 2 2" xfId="10228"/>
    <cellStyle name="Separador de milhares 3 10 4 5 2 2 2" xfId="28442"/>
    <cellStyle name="Separador de milhares 3 10 4 5 2 2 2 2" xfId="53509"/>
    <cellStyle name="Separador de milhares 3 10 4 5 2 2 3" xfId="22528"/>
    <cellStyle name="Separador de milhares 3 10 4 5 2 2 3 2" xfId="47595"/>
    <cellStyle name="Separador de milhares 3 10 4 5 2 2 4" xfId="16614"/>
    <cellStyle name="Separador de milhares 3 10 4 5 2 2 4 2" xfId="41681"/>
    <cellStyle name="Separador de milhares 3 10 4 5 2 2 5" xfId="35773"/>
    <cellStyle name="Separador de milhares 3 10 4 5 2 3" xfId="25485"/>
    <cellStyle name="Separador de milhares 3 10 4 5 2 3 2" xfId="50552"/>
    <cellStyle name="Separador de milhares 3 10 4 5 2 4" xfId="19571"/>
    <cellStyle name="Separador de milhares 3 10 4 5 2 4 2" xfId="44638"/>
    <cellStyle name="Separador de milhares 3 10 4 5 2 5" xfId="13473"/>
    <cellStyle name="Separador de milhares 3 10 4 5 2 5 2" xfId="38727"/>
    <cellStyle name="Separador de milhares 3 10 4 5 2 6" xfId="32816"/>
    <cellStyle name="Separador de milhares 3 10 4 5 3" xfId="8760"/>
    <cellStyle name="Separador de milhares 3 10 4 5 3 2" xfId="26974"/>
    <cellStyle name="Separador de milhares 3 10 4 5 3 2 2" xfId="52041"/>
    <cellStyle name="Separador de milhares 3 10 4 5 3 3" xfId="21060"/>
    <cellStyle name="Separador de milhares 3 10 4 5 3 3 2" xfId="46127"/>
    <cellStyle name="Separador de milhares 3 10 4 5 3 4" xfId="15146"/>
    <cellStyle name="Separador de milhares 3 10 4 5 3 4 2" xfId="40213"/>
    <cellStyle name="Separador de milhares 3 10 4 5 3 5" xfId="34305"/>
    <cellStyle name="Separador de milhares 3 10 4 5 4" xfId="5385"/>
    <cellStyle name="Separador de milhares 3 10 4 5 4 2" xfId="24017"/>
    <cellStyle name="Separador de milhares 3 10 4 5 4 2 2" xfId="49084"/>
    <cellStyle name="Separador de milhares 3 10 4 5 4 3" xfId="31348"/>
    <cellStyle name="Separador de milhares 3 10 4 5 5" xfId="18103"/>
    <cellStyle name="Separador de milhares 3 10 4 5 5 2" xfId="43170"/>
    <cellStyle name="Separador de milhares 3 10 4 5 6" xfId="11772"/>
    <cellStyle name="Separador de milhares 3 10 4 5 6 2" xfId="37259"/>
    <cellStyle name="Separador de milhares 3 10 4 5 7" xfId="29878"/>
    <cellStyle name="Separador de milhares 3 10 4 6" xfId="2856"/>
    <cellStyle name="Separador de milhares 3 10 4 6 2" xfId="7231"/>
    <cellStyle name="Separador de milhares 3 10 4 6 2 2" xfId="10375"/>
    <cellStyle name="Separador de milhares 3 10 4 6 2 2 2" xfId="28589"/>
    <cellStyle name="Separador de milhares 3 10 4 6 2 2 2 2" xfId="53656"/>
    <cellStyle name="Separador de milhares 3 10 4 6 2 2 3" xfId="22675"/>
    <cellStyle name="Separador de milhares 3 10 4 6 2 2 3 2" xfId="47742"/>
    <cellStyle name="Separador de milhares 3 10 4 6 2 2 4" xfId="16761"/>
    <cellStyle name="Separador de milhares 3 10 4 6 2 2 4 2" xfId="41828"/>
    <cellStyle name="Separador de milhares 3 10 4 6 2 2 5" xfId="35920"/>
    <cellStyle name="Separador de milhares 3 10 4 6 2 3" xfId="25632"/>
    <cellStyle name="Separador de milhares 3 10 4 6 2 3 2" xfId="50699"/>
    <cellStyle name="Separador de milhares 3 10 4 6 2 4" xfId="19718"/>
    <cellStyle name="Separador de milhares 3 10 4 6 2 4 2" xfId="44785"/>
    <cellStyle name="Separador de milhares 3 10 4 6 2 5" xfId="13620"/>
    <cellStyle name="Separador de milhares 3 10 4 6 2 5 2" xfId="38874"/>
    <cellStyle name="Separador de milhares 3 10 4 6 2 6" xfId="32963"/>
    <cellStyle name="Separador de milhares 3 10 4 6 3" xfId="8907"/>
    <cellStyle name="Separador de milhares 3 10 4 6 3 2" xfId="27121"/>
    <cellStyle name="Separador de milhares 3 10 4 6 3 2 2" xfId="52188"/>
    <cellStyle name="Separador de milhares 3 10 4 6 3 3" xfId="21207"/>
    <cellStyle name="Separador de milhares 3 10 4 6 3 3 2" xfId="46274"/>
    <cellStyle name="Separador de milhares 3 10 4 6 3 4" xfId="15293"/>
    <cellStyle name="Separador de milhares 3 10 4 6 3 4 2" xfId="40360"/>
    <cellStyle name="Separador de milhares 3 10 4 6 3 5" xfId="34452"/>
    <cellStyle name="Separador de milhares 3 10 4 6 4" xfId="5532"/>
    <cellStyle name="Separador de milhares 3 10 4 6 4 2" xfId="24164"/>
    <cellStyle name="Separador de milhares 3 10 4 6 4 2 2" xfId="49231"/>
    <cellStyle name="Separador de milhares 3 10 4 6 4 3" xfId="31495"/>
    <cellStyle name="Separador de milhares 3 10 4 6 5" xfId="18250"/>
    <cellStyle name="Separador de milhares 3 10 4 6 5 2" xfId="43317"/>
    <cellStyle name="Separador de milhares 3 10 4 6 6" xfId="11919"/>
    <cellStyle name="Separador de milhares 3 10 4 6 6 2" xfId="37406"/>
    <cellStyle name="Separador de milhares 3 10 4 6 7" xfId="30025"/>
    <cellStyle name="Separador de milhares 3 10 4 7" xfId="3383"/>
    <cellStyle name="Separador de milhares 3 10 4 7 2" xfId="7378"/>
    <cellStyle name="Separador de milhares 3 10 4 7 2 2" xfId="10522"/>
    <cellStyle name="Separador de milhares 3 10 4 7 2 2 2" xfId="28736"/>
    <cellStyle name="Separador de milhares 3 10 4 7 2 2 2 2" xfId="53803"/>
    <cellStyle name="Separador de milhares 3 10 4 7 2 2 3" xfId="22822"/>
    <cellStyle name="Separador de milhares 3 10 4 7 2 2 3 2" xfId="47889"/>
    <cellStyle name="Separador de milhares 3 10 4 7 2 2 4" xfId="16908"/>
    <cellStyle name="Separador de milhares 3 10 4 7 2 2 4 2" xfId="41975"/>
    <cellStyle name="Separador de milhares 3 10 4 7 2 2 5" xfId="36067"/>
    <cellStyle name="Separador de milhares 3 10 4 7 2 3" xfId="25779"/>
    <cellStyle name="Separador de milhares 3 10 4 7 2 3 2" xfId="50846"/>
    <cellStyle name="Separador de milhares 3 10 4 7 2 4" xfId="19865"/>
    <cellStyle name="Separador de milhares 3 10 4 7 2 4 2" xfId="44932"/>
    <cellStyle name="Separador de milhares 3 10 4 7 2 5" xfId="13767"/>
    <cellStyle name="Separador de milhares 3 10 4 7 2 5 2" xfId="39021"/>
    <cellStyle name="Separador de milhares 3 10 4 7 2 6" xfId="33110"/>
    <cellStyle name="Separador de milhares 3 10 4 7 3" xfId="9054"/>
    <cellStyle name="Separador de milhares 3 10 4 7 3 2" xfId="27268"/>
    <cellStyle name="Separador de milhares 3 10 4 7 3 2 2" xfId="52335"/>
    <cellStyle name="Separador de milhares 3 10 4 7 3 3" xfId="21354"/>
    <cellStyle name="Separador de milhares 3 10 4 7 3 3 2" xfId="46421"/>
    <cellStyle name="Separador de milhares 3 10 4 7 3 4" xfId="15440"/>
    <cellStyle name="Separador de milhares 3 10 4 7 3 4 2" xfId="40507"/>
    <cellStyle name="Separador de milhares 3 10 4 7 3 5" xfId="34599"/>
    <cellStyle name="Separador de milhares 3 10 4 7 4" xfId="5679"/>
    <cellStyle name="Separador de milhares 3 10 4 7 4 2" xfId="24311"/>
    <cellStyle name="Separador de milhares 3 10 4 7 4 2 2" xfId="49378"/>
    <cellStyle name="Separador de milhares 3 10 4 7 4 3" xfId="31642"/>
    <cellStyle name="Separador de milhares 3 10 4 7 5" xfId="18397"/>
    <cellStyle name="Separador de milhares 3 10 4 7 5 2" xfId="43464"/>
    <cellStyle name="Separador de milhares 3 10 4 7 6" xfId="12066"/>
    <cellStyle name="Separador de milhares 3 10 4 7 6 2" xfId="37553"/>
    <cellStyle name="Separador de milhares 3 10 4 7 7" xfId="30172"/>
    <cellStyle name="Separador de milhares 3 10 4 8" xfId="3910"/>
    <cellStyle name="Separador de milhares 3 10 4 8 2" xfId="7525"/>
    <cellStyle name="Separador de milhares 3 10 4 8 2 2" xfId="10669"/>
    <cellStyle name="Separador de milhares 3 10 4 8 2 2 2" xfId="28883"/>
    <cellStyle name="Separador de milhares 3 10 4 8 2 2 2 2" xfId="53950"/>
    <cellStyle name="Separador de milhares 3 10 4 8 2 2 3" xfId="22969"/>
    <cellStyle name="Separador de milhares 3 10 4 8 2 2 3 2" xfId="48036"/>
    <cellStyle name="Separador de milhares 3 10 4 8 2 2 4" xfId="17055"/>
    <cellStyle name="Separador de milhares 3 10 4 8 2 2 4 2" xfId="42122"/>
    <cellStyle name="Separador de milhares 3 10 4 8 2 2 5" xfId="36214"/>
    <cellStyle name="Separador de milhares 3 10 4 8 2 3" xfId="25926"/>
    <cellStyle name="Separador de milhares 3 10 4 8 2 3 2" xfId="50993"/>
    <cellStyle name="Separador de milhares 3 10 4 8 2 4" xfId="20012"/>
    <cellStyle name="Separador de milhares 3 10 4 8 2 4 2" xfId="45079"/>
    <cellStyle name="Separador de milhares 3 10 4 8 2 5" xfId="13914"/>
    <cellStyle name="Separador de milhares 3 10 4 8 2 5 2" xfId="39168"/>
    <cellStyle name="Separador de milhares 3 10 4 8 2 6" xfId="33257"/>
    <cellStyle name="Separador de milhares 3 10 4 8 3" xfId="9201"/>
    <cellStyle name="Separador de milhares 3 10 4 8 3 2" xfId="27415"/>
    <cellStyle name="Separador de milhares 3 10 4 8 3 2 2" xfId="52482"/>
    <cellStyle name="Separador de milhares 3 10 4 8 3 3" xfId="21501"/>
    <cellStyle name="Separador de milhares 3 10 4 8 3 3 2" xfId="46568"/>
    <cellStyle name="Separador de milhares 3 10 4 8 3 4" xfId="15587"/>
    <cellStyle name="Separador de milhares 3 10 4 8 3 4 2" xfId="40654"/>
    <cellStyle name="Separador de milhares 3 10 4 8 3 5" xfId="34746"/>
    <cellStyle name="Separador de milhares 3 10 4 8 4" xfId="5826"/>
    <cellStyle name="Separador de milhares 3 10 4 8 4 2" xfId="24458"/>
    <cellStyle name="Separador de milhares 3 10 4 8 4 2 2" xfId="49525"/>
    <cellStyle name="Separador de milhares 3 10 4 8 4 3" xfId="31789"/>
    <cellStyle name="Separador de milhares 3 10 4 8 5" xfId="18544"/>
    <cellStyle name="Separador de milhares 3 10 4 8 5 2" xfId="43611"/>
    <cellStyle name="Separador de milhares 3 10 4 8 6" xfId="12213"/>
    <cellStyle name="Separador de milhares 3 10 4 8 6 2" xfId="37700"/>
    <cellStyle name="Separador de milhares 3 10 4 8 7" xfId="30319"/>
    <cellStyle name="Separador de milhares 3 10 4 9" xfId="684"/>
    <cellStyle name="Separador de milhares 3 10 4 9 2" xfId="6619"/>
    <cellStyle name="Separador de milhares 3 10 4 9 2 2" xfId="9766"/>
    <cellStyle name="Separador de milhares 3 10 4 9 2 2 2" xfId="27980"/>
    <cellStyle name="Separador de milhares 3 10 4 9 2 2 2 2" xfId="53047"/>
    <cellStyle name="Separador de milhares 3 10 4 9 2 2 3" xfId="22066"/>
    <cellStyle name="Separador de milhares 3 10 4 9 2 2 3 2" xfId="47133"/>
    <cellStyle name="Separador de milhares 3 10 4 9 2 2 4" xfId="16152"/>
    <cellStyle name="Separador de milhares 3 10 4 9 2 2 4 2" xfId="41219"/>
    <cellStyle name="Separador de milhares 3 10 4 9 2 2 5" xfId="35311"/>
    <cellStyle name="Separador de milhares 3 10 4 9 2 3" xfId="25023"/>
    <cellStyle name="Separador de milhares 3 10 4 9 2 3 2" xfId="50090"/>
    <cellStyle name="Separador de milhares 3 10 4 9 2 4" xfId="19109"/>
    <cellStyle name="Separador de milhares 3 10 4 9 2 4 2" xfId="44176"/>
    <cellStyle name="Separador de milhares 3 10 4 9 2 5" xfId="13008"/>
    <cellStyle name="Separador de milhares 3 10 4 9 2 5 2" xfId="38265"/>
    <cellStyle name="Separador de milhares 3 10 4 9 2 6" xfId="32354"/>
    <cellStyle name="Separador de milhares 3 10 4 9 3" xfId="8298"/>
    <cellStyle name="Separador de milhares 3 10 4 9 3 2" xfId="26512"/>
    <cellStyle name="Separador de milhares 3 10 4 9 3 2 2" xfId="51579"/>
    <cellStyle name="Separador de milhares 3 10 4 9 3 3" xfId="20598"/>
    <cellStyle name="Separador de milhares 3 10 4 9 3 3 2" xfId="45665"/>
    <cellStyle name="Separador de milhares 3 10 4 9 3 4" xfId="14684"/>
    <cellStyle name="Separador de milhares 3 10 4 9 3 4 2" xfId="39751"/>
    <cellStyle name="Separador de milhares 3 10 4 9 3 5" xfId="33843"/>
    <cellStyle name="Separador de milhares 3 10 4 9 4" xfId="4920"/>
    <cellStyle name="Separador de milhares 3 10 4 9 4 2" xfId="23555"/>
    <cellStyle name="Separador de milhares 3 10 4 9 4 2 2" xfId="48622"/>
    <cellStyle name="Separador de milhares 3 10 4 9 4 3" xfId="30886"/>
    <cellStyle name="Separador de milhares 3 10 4 9 5" xfId="17641"/>
    <cellStyle name="Separador de milhares 3 10 4 9 5 2" xfId="42708"/>
    <cellStyle name="Separador de milhares 3 10 4 9 6" xfId="11307"/>
    <cellStyle name="Separador de milhares 3 10 4 9 6 2" xfId="36797"/>
    <cellStyle name="Separador de milhares 3 10 4 9 7" xfId="29416"/>
    <cellStyle name="Separador de milhares 3 10 5" xfId="625"/>
    <cellStyle name="Separador de milhares 3 10 5 10" xfId="4884"/>
    <cellStyle name="Separador de milhares 3 10 5 10 2" xfId="23518"/>
    <cellStyle name="Separador de milhares 3 10 5 10 2 2" xfId="48585"/>
    <cellStyle name="Separador de milhares 3 10 5 10 3" xfId="30850"/>
    <cellStyle name="Separador de milhares 3 10 5 11" xfId="17604"/>
    <cellStyle name="Separador de milhares 3 10 5 11 2" xfId="42671"/>
    <cellStyle name="Separador de milhares 3 10 5 12" xfId="11273"/>
    <cellStyle name="Separador de milhares 3 10 5 12 2" xfId="36763"/>
    <cellStyle name="Separador de milhares 3 10 5 13" xfId="29379"/>
    <cellStyle name="Separador de milhares 3 10 5 2" xfId="1448"/>
    <cellStyle name="Separador de milhares 3 10 5 2 2" xfId="6836"/>
    <cellStyle name="Separador de milhares 3 10 5 2 2 2" xfId="9983"/>
    <cellStyle name="Separador de milhares 3 10 5 2 2 2 2" xfId="28197"/>
    <cellStyle name="Separador de milhares 3 10 5 2 2 2 2 2" xfId="53264"/>
    <cellStyle name="Separador de milhares 3 10 5 2 2 2 3" xfId="22283"/>
    <cellStyle name="Separador de milhares 3 10 5 2 2 2 3 2" xfId="47350"/>
    <cellStyle name="Separador de milhares 3 10 5 2 2 2 4" xfId="16369"/>
    <cellStyle name="Separador de milhares 3 10 5 2 2 2 4 2" xfId="41436"/>
    <cellStyle name="Separador de milhares 3 10 5 2 2 2 5" xfId="35528"/>
    <cellStyle name="Separador de milhares 3 10 5 2 2 3" xfId="25240"/>
    <cellStyle name="Separador de milhares 3 10 5 2 2 3 2" xfId="50307"/>
    <cellStyle name="Separador de milhares 3 10 5 2 2 4" xfId="19326"/>
    <cellStyle name="Separador de milhares 3 10 5 2 2 4 2" xfId="44393"/>
    <cellStyle name="Separador de milhares 3 10 5 2 2 5" xfId="13225"/>
    <cellStyle name="Separador de milhares 3 10 5 2 2 5 2" xfId="38482"/>
    <cellStyle name="Separador de milhares 3 10 5 2 2 6" xfId="32571"/>
    <cellStyle name="Separador de milhares 3 10 5 2 3" xfId="8515"/>
    <cellStyle name="Separador de milhares 3 10 5 2 3 2" xfId="26729"/>
    <cellStyle name="Separador de milhares 3 10 5 2 3 2 2" xfId="51796"/>
    <cellStyle name="Separador de milhares 3 10 5 2 3 3" xfId="20815"/>
    <cellStyle name="Separador de milhares 3 10 5 2 3 3 2" xfId="45882"/>
    <cellStyle name="Separador de milhares 3 10 5 2 3 4" xfId="14901"/>
    <cellStyle name="Separador de milhares 3 10 5 2 3 4 2" xfId="39968"/>
    <cellStyle name="Separador de milhares 3 10 5 2 3 5" xfId="34060"/>
    <cellStyle name="Separador de milhares 3 10 5 2 4" xfId="5137"/>
    <cellStyle name="Separador de milhares 3 10 5 2 4 2" xfId="23772"/>
    <cellStyle name="Separador de milhares 3 10 5 2 4 2 2" xfId="48839"/>
    <cellStyle name="Separador de milhares 3 10 5 2 4 3" xfId="31103"/>
    <cellStyle name="Separador de milhares 3 10 5 2 5" xfId="17858"/>
    <cellStyle name="Separador de milhares 3 10 5 2 5 2" xfId="42925"/>
    <cellStyle name="Separador de milhares 3 10 5 2 6" xfId="11524"/>
    <cellStyle name="Separador de milhares 3 10 5 2 6 2" xfId="37014"/>
    <cellStyle name="Separador de milhares 3 10 5 2 7" xfId="29633"/>
    <cellStyle name="Separador de milhares 3 10 5 3" xfId="1883"/>
    <cellStyle name="Separador de milhares 3 10 5 3 2" xfId="6955"/>
    <cellStyle name="Separador de milhares 3 10 5 3 2 2" xfId="10102"/>
    <cellStyle name="Separador de milhares 3 10 5 3 2 2 2" xfId="28316"/>
    <cellStyle name="Separador de milhares 3 10 5 3 2 2 2 2" xfId="53383"/>
    <cellStyle name="Separador de milhares 3 10 5 3 2 2 3" xfId="22402"/>
    <cellStyle name="Separador de milhares 3 10 5 3 2 2 3 2" xfId="47469"/>
    <cellStyle name="Separador de milhares 3 10 5 3 2 2 4" xfId="16488"/>
    <cellStyle name="Separador de milhares 3 10 5 3 2 2 4 2" xfId="41555"/>
    <cellStyle name="Separador de milhares 3 10 5 3 2 2 5" xfId="35647"/>
    <cellStyle name="Separador de milhares 3 10 5 3 2 3" xfId="25359"/>
    <cellStyle name="Separador de milhares 3 10 5 3 2 3 2" xfId="50426"/>
    <cellStyle name="Separador de milhares 3 10 5 3 2 4" xfId="19445"/>
    <cellStyle name="Separador de milhares 3 10 5 3 2 4 2" xfId="44512"/>
    <cellStyle name="Separador de milhares 3 10 5 3 2 5" xfId="13344"/>
    <cellStyle name="Separador de milhares 3 10 5 3 2 5 2" xfId="38601"/>
    <cellStyle name="Separador de milhares 3 10 5 3 2 6" xfId="32690"/>
    <cellStyle name="Separador de milhares 3 10 5 3 3" xfId="8634"/>
    <cellStyle name="Separador de milhares 3 10 5 3 3 2" xfId="26848"/>
    <cellStyle name="Separador de milhares 3 10 5 3 3 2 2" xfId="51915"/>
    <cellStyle name="Separador de milhares 3 10 5 3 3 3" xfId="20934"/>
    <cellStyle name="Separador de milhares 3 10 5 3 3 3 2" xfId="46001"/>
    <cellStyle name="Separador de milhares 3 10 5 3 3 4" xfId="15020"/>
    <cellStyle name="Separador de milhares 3 10 5 3 3 4 2" xfId="40087"/>
    <cellStyle name="Separador de milhares 3 10 5 3 3 5" xfId="34179"/>
    <cellStyle name="Separador de milhares 3 10 5 3 4" xfId="5256"/>
    <cellStyle name="Separador de milhares 3 10 5 3 4 2" xfId="23891"/>
    <cellStyle name="Separador de milhares 3 10 5 3 4 2 2" xfId="48958"/>
    <cellStyle name="Separador de milhares 3 10 5 3 4 3" xfId="31222"/>
    <cellStyle name="Separador de milhares 3 10 5 3 5" xfId="17977"/>
    <cellStyle name="Separador de milhares 3 10 5 3 5 2" xfId="43044"/>
    <cellStyle name="Separador de milhares 3 10 5 3 6" xfId="11643"/>
    <cellStyle name="Separador de milhares 3 10 5 3 6 2" xfId="37133"/>
    <cellStyle name="Separador de milhares 3 10 5 3 7" xfId="29752"/>
    <cellStyle name="Separador de milhares 3 10 5 4" xfId="2413"/>
    <cellStyle name="Separador de milhares 3 10 5 4 2" xfId="7105"/>
    <cellStyle name="Separador de milhares 3 10 5 4 2 2" xfId="10249"/>
    <cellStyle name="Separador de milhares 3 10 5 4 2 2 2" xfId="28463"/>
    <cellStyle name="Separador de milhares 3 10 5 4 2 2 2 2" xfId="53530"/>
    <cellStyle name="Separador de milhares 3 10 5 4 2 2 3" xfId="22549"/>
    <cellStyle name="Separador de milhares 3 10 5 4 2 2 3 2" xfId="47616"/>
    <cellStyle name="Separador de milhares 3 10 5 4 2 2 4" xfId="16635"/>
    <cellStyle name="Separador de milhares 3 10 5 4 2 2 4 2" xfId="41702"/>
    <cellStyle name="Separador de milhares 3 10 5 4 2 2 5" xfId="35794"/>
    <cellStyle name="Separador de milhares 3 10 5 4 2 3" xfId="25506"/>
    <cellStyle name="Separador de milhares 3 10 5 4 2 3 2" xfId="50573"/>
    <cellStyle name="Separador de milhares 3 10 5 4 2 4" xfId="19592"/>
    <cellStyle name="Separador de milhares 3 10 5 4 2 4 2" xfId="44659"/>
    <cellStyle name="Separador de milhares 3 10 5 4 2 5" xfId="13494"/>
    <cellStyle name="Separador de milhares 3 10 5 4 2 5 2" xfId="38748"/>
    <cellStyle name="Separador de milhares 3 10 5 4 2 6" xfId="32837"/>
    <cellStyle name="Separador de milhares 3 10 5 4 3" xfId="8781"/>
    <cellStyle name="Separador de milhares 3 10 5 4 3 2" xfId="26995"/>
    <cellStyle name="Separador de milhares 3 10 5 4 3 2 2" xfId="52062"/>
    <cellStyle name="Separador de milhares 3 10 5 4 3 3" xfId="21081"/>
    <cellStyle name="Separador de milhares 3 10 5 4 3 3 2" xfId="46148"/>
    <cellStyle name="Separador de milhares 3 10 5 4 3 4" xfId="15167"/>
    <cellStyle name="Separador de milhares 3 10 5 4 3 4 2" xfId="40234"/>
    <cellStyle name="Separador de milhares 3 10 5 4 3 5" xfId="34326"/>
    <cellStyle name="Separador de milhares 3 10 5 4 4" xfId="5406"/>
    <cellStyle name="Separador de milhares 3 10 5 4 4 2" xfId="24038"/>
    <cellStyle name="Separador de milhares 3 10 5 4 4 2 2" xfId="49105"/>
    <cellStyle name="Separador de milhares 3 10 5 4 4 3" xfId="31369"/>
    <cellStyle name="Separador de milhares 3 10 5 4 5" xfId="18124"/>
    <cellStyle name="Separador de milhares 3 10 5 4 5 2" xfId="43191"/>
    <cellStyle name="Separador de milhares 3 10 5 4 6" xfId="11793"/>
    <cellStyle name="Separador de milhares 3 10 5 4 6 2" xfId="37280"/>
    <cellStyle name="Separador de milhares 3 10 5 4 7" xfId="29899"/>
    <cellStyle name="Separador de milhares 3 10 5 5" xfId="2940"/>
    <cellStyle name="Separador de milhares 3 10 5 5 2" xfId="7252"/>
    <cellStyle name="Separador de milhares 3 10 5 5 2 2" xfId="10396"/>
    <cellStyle name="Separador de milhares 3 10 5 5 2 2 2" xfId="28610"/>
    <cellStyle name="Separador de milhares 3 10 5 5 2 2 2 2" xfId="53677"/>
    <cellStyle name="Separador de milhares 3 10 5 5 2 2 3" xfId="22696"/>
    <cellStyle name="Separador de milhares 3 10 5 5 2 2 3 2" xfId="47763"/>
    <cellStyle name="Separador de milhares 3 10 5 5 2 2 4" xfId="16782"/>
    <cellStyle name="Separador de milhares 3 10 5 5 2 2 4 2" xfId="41849"/>
    <cellStyle name="Separador de milhares 3 10 5 5 2 2 5" xfId="35941"/>
    <cellStyle name="Separador de milhares 3 10 5 5 2 3" xfId="25653"/>
    <cellStyle name="Separador de milhares 3 10 5 5 2 3 2" xfId="50720"/>
    <cellStyle name="Separador de milhares 3 10 5 5 2 4" xfId="19739"/>
    <cellStyle name="Separador de milhares 3 10 5 5 2 4 2" xfId="44806"/>
    <cellStyle name="Separador de milhares 3 10 5 5 2 5" xfId="13641"/>
    <cellStyle name="Separador de milhares 3 10 5 5 2 5 2" xfId="38895"/>
    <cellStyle name="Separador de milhares 3 10 5 5 2 6" xfId="32984"/>
    <cellStyle name="Separador de milhares 3 10 5 5 3" xfId="8928"/>
    <cellStyle name="Separador de milhares 3 10 5 5 3 2" xfId="27142"/>
    <cellStyle name="Separador de milhares 3 10 5 5 3 2 2" xfId="52209"/>
    <cellStyle name="Separador de milhares 3 10 5 5 3 3" xfId="21228"/>
    <cellStyle name="Separador de milhares 3 10 5 5 3 3 2" xfId="46295"/>
    <cellStyle name="Separador de milhares 3 10 5 5 3 4" xfId="15314"/>
    <cellStyle name="Separador de milhares 3 10 5 5 3 4 2" xfId="40381"/>
    <cellStyle name="Separador de milhares 3 10 5 5 3 5" xfId="34473"/>
    <cellStyle name="Separador de milhares 3 10 5 5 4" xfId="5553"/>
    <cellStyle name="Separador de milhares 3 10 5 5 4 2" xfId="24185"/>
    <cellStyle name="Separador de milhares 3 10 5 5 4 2 2" xfId="49252"/>
    <cellStyle name="Separador de milhares 3 10 5 5 4 3" xfId="31516"/>
    <cellStyle name="Separador de milhares 3 10 5 5 5" xfId="18271"/>
    <cellStyle name="Separador de milhares 3 10 5 5 5 2" xfId="43338"/>
    <cellStyle name="Separador de milhares 3 10 5 5 6" xfId="11940"/>
    <cellStyle name="Separador de milhares 3 10 5 5 6 2" xfId="37427"/>
    <cellStyle name="Separador de milhares 3 10 5 5 7" xfId="30046"/>
    <cellStyle name="Separador de milhares 3 10 5 6" xfId="3467"/>
    <cellStyle name="Separador de milhares 3 10 5 6 2" xfId="7399"/>
    <cellStyle name="Separador de milhares 3 10 5 6 2 2" xfId="10543"/>
    <cellStyle name="Separador de milhares 3 10 5 6 2 2 2" xfId="28757"/>
    <cellStyle name="Separador de milhares 3 10 5 6 2 2 2 2" xfId="53824"/>
    <cellStyle name="Separador de milhares 3 10 5 6 2 2 3" xfId="22843"/>
    <cellStyle name="Separador de milhares 3 10 5 6 2 2 3 2" xfId="47910"/>
    <cellStyle name="Separador de milhares 3 10 5 6 2 2 4" xfId="16929"/>
    <cellStyle name="Separador de milhares 3 10 5 6 2 2 4 2" xfId="41996"/>
    <cellStyle name="Separador de milhares 3 10 5 6 2 2 5" xfId="36088"/>
    <cellStyle name="Separador de milhares 3 10 5 6 2 3" xfId="25800"/>
    <cellStyle name="Separador de milhares 3 10 5 6 2 3 2" xfId="50867"/>
    <cellStyle name="Separador de milhares 3 10 5 6 2 4" xfId="19886"/>
    <cellStyle name="Separador de milhares 3 10 5 6 2 4 2" xfId="44953"/>
    <cellStyle name="Separador de milhares 3 10 5 6 2 5" xfId="13788"/>
    <cellStyle name="Separador de milhares 3 10 5 6 2 5 2" xfId="39042"/>
    <cellStyle name="Separador de milhares 3 10 5 6 2 6" xfId="33131"/>
    <cellStyle name="Separador de milhares 3 10 5 6 3" xfId="9075"/>
    <cellStyle name="Separador de milhares 3 10 5 6 3 2" xfId="27289"/>
    <cellStyle name="Separador de milhares 3 10 5 6 3 2 2" xfId="52356"/>
    <cellStyle name="Separador de milhares 3 10 5 6 3 3" xfId="21375"/>
    <cellStyle name="Separador de milhares 3 10 5 6 3 3 2" xfId="46442"/>
    <cellStyle name="Separador de milhares 3 10 5 6 3 4" xfId="15461"/>
    <cellStyle name="Separador de milhares 3 10 5 6 3 4 2" xfId="40528"/>
    <cellStyle name="Separador de milhares 3 10 5 6 3 5" xfId="34620"/>
    <cellStyle name="Separador de milhares 3 10 5 6 4" xfId="5700"/>
    <cellStyle name="Separador de milhares 3 10 5 6 4 2" xfId="24332"/>
    <cellStyle name="Separador de milhares 3 10 5 6 4 2 2" xfId="49399"/>
    <cellStyle name="Separador de milhares 3 10 5 6 4 3" xfId="31663"/>
    <cellStyle name="Separador de milhares 3 10 5 6 5" xfId="18418"/>
    <cellStyle name="Separador de milhares 3 10 5 6 5 2" xfId="43485"/>
    <cellStyle name="Separador de milhares 3 10 5 6 6" xfId="12087"/>
    <cellStyle name="Separador de milhares 3 10 5 6 6 2" xfId="37574"/>
    <cellStyle name="Separador de milhares 3 10 5 6 7" xfId="30193"/>
    <cellStyle name="Separador de milhares 3 10 5 7" xfId="3994"/>
    <cellStyle name="Separador de milhares 3 10 5 7 2" xfId="7546"/>
    <cellStyle name="Separador de milhares 3 10 5 7 2 2" xfId="10690"/>
    <cellStyle name="Separador de milhares 3 10 5 7 2 2 2" xfId="28904"/>
    <cellStyle name="Separador de milhares 3 10 5 7 2 2 2 2" xfId="53971"/>
    <cellStyle name="Separador de milhares 3 10 5 7 2 2 3" xfId="22990"/>
    <cellStyle name="Separador de milhares 3 10 5 7 2 2 3 2" xfId="48057"/>
    <cellStyle name="Separador de milhares 3 10 5 7 2 2 4" xfId="17076"/>
    <cellStyle name="Separador de milhares 3 10 5 7 2 2 4 2" xfId="42143"/>
    <cellStyle name="Separador de milhares 3 10 5 7 2 2 5" xfId="36235"/>
    <cellStyle name="Separador de milhares 3 10 5 7 2 3" xfId="25947"/>
    <cellStyle name="Separador de milhares 3 10 5 7 2 3 2" xfId="51014"/>
    <cellStyle name="Separador de milhares 3 10 5 7 2 4" xfId="20033"/>
    <cellStyle name="Separador de milhares 3 10 5 7 2 4 2" xfId="45100"/>
    <cellStyle name="Separador de milhares 3 10 5 7 2 5" xfId="13935"/>
    <cellStyle name="Separador de milhares 3 10 5 7 2 5 2" xfId="39189"/>
    <cellStyle name="Separador de milhares 3 10 5 7 2 6" xfId="33278"/>
    <cellStyle name="Separador de milhares 3 10 5 7 3" xfId="9222"/>
    <cellStyle name="Separador de milhares 3 10 5 7 3 2" xfId="27436"/>
    <cellStyle name="Separador de milhares 3 10 5 7 3 2 2" xfId="52503"/>
    <cellStyle name="Separador de milhares 3 10 5 7 3 3" xfId="21522"/>
    <cellStyle name="Separador de milhares 3 10 5 7 3 3 2" xfId="46589"/>
    <cellStyle name="Separador de milhares 3 10 5 7 3 4" xfId="15608"/>
    <cellStyle name="Separador de milhares 3 10 5 7 3 4 2" xfId="40675"/>
    <cellStyle name="Separador de milhares 3 10 5 7 3 5" xfId="34767"/>
    <cellStyle name="Separador de milhares 3 10 5 7 4" xfId="5847"/>
    <cellStyle name="Separador de milhares 3 10 5 7 4 2" xfId="24479"/>
    <cellStyle name="Separador de milhares 3 10 5 7 4 2 2" xfId="49546"/>
    <cellStyle name="Separador de milhares 3 10 5 7 4 3" xfId="31810"/>
    <cellStyle name="Separador de milhares 3 10 5 7 5" xfId="18565"/>
    <cellStyle name="Separador de milhares 3 10 5 7 5 2" xfId="43632"/>
    <cellStyle name="Separador de milhares 3 10 5 7 6" xfId="12234"/>
    <cellStyle name="Separador de milhares 3 10 5 7 6 2" xfId="37721"/>
    <cellStyle name="Separador de milhares 3 10 5 7 7" xfId="30340"/>
    <cellStyle name="Separador de milhares 3 10 5 8" xfId="6585"/>
    <cellStyle name="Separador de milhares 3 10 5 8 2" xfId="9732"/>
    <cellStyle name="Separador de milhares 3 10 5 8 2 2" xfId="27946"/>
    <cellStyle name="Separador de milhares 3 10 5 8 2 2 2" xfId="53013"/>
    <cellStyle name="Separador de milhares 3 10 5 8 2 3" xfId="22032"/>
    <cellStyle name="Separador de milhares 3 10 5 8 2 3 2" xfId="47099"/>
    <cellStyle name="Separador de milhares 3 10 5 8 2 4" xfId="16118"/>
    <cellStyle name="Separador de milhares 3 10 5 8 2 4 2" xfId="41185"/>
    <cellStyle name="Separador de milhares 3 10 5 8 2 5" xfId="35277"/>
    <cellStyle name="Separador de milhares 3 10 5 8 3" xfId="24989"/>
    <cellStyle name="Separador de milhares 3 10 5 8 3 2" xfId="50056"/>
    <cellStyle name="Separador de milhares 3 10 5 8 4" xfId="19075"/>
    <cellStyle name="Separador de milhares 3 10 5 8 4 2" xfId="44142"/>
    <cellStyle name="Separador de milhares 3 10 5 8 5" xfId="12974"/>
    <cellStyle name="Separador de milhares 3 10 5 8 5 2" xfId="38231"/>
    <cellStyle name="Separador de milhares 3 10 5 8 6" xfId="32320"/>
    <cellStyle name="Separador de milhares 3 10 5 9" xfId="8261"/>
    <cellStyle name="Separador de milhares 3 10 5 9 2" xfId="26475"/>
    <cellStyle name="Separador de milhares 3 10 5 9 2 2" xfId="51542"/>
    <cellStyle name="Separador de milhares 3 10 5 9 3" xfId="20561"/>
    <cellStyle name="Separador de milhares 3 10 5 9 3 2" xfId="45628"/>
    <cellStyle name="Separador de milhares 3 10 5 9 4" xfId="14650"/>
    <cellStyle name="Separador de milhares 3 10 5 9 4 2" xfId="39717"/>
    <cellStyle name="Separador de milhares 3 10 5 9 5" xfId="33806"/>
    <cellStyle name="Separador de milhares 3 10 6" xfId="746"/>
    <cellStyle name="Separador de milhares 3 10 6 2" xfId="4170"/>
    <cellStyle name="Separador de milhares 3 10 6 2 2" xfId="7595"/>
    <cellStyle name="Separador de milhares 3 10 6 2 2 2" xfId="10739"/>
    <cellStyle name="Separador de milhares 3 10 6 2 2 2 2" xfId="28953"/>
    <cellStyle name="Separador de milhares 3 10 6 2 2 2 2 2" xfId="54020"/>
    <cellStyle name="Separador de milhares 3 10 6 2 2 2 3" xfId="23039"/>
    <cellStyle name="Separador de milhares 3 10 6 2 2 2 3 2" xfId="48106"/>
    <cellStyle name="Separador de milhares 3 10 6 2 2 2 4" xfId="17125"/>
    <cellStyle name="Separador de milhares 3 10 6 2 2 2 4 2" xfId="42192"/>
    <cellStyle name="Separador de milhares 3 10 6 2 2 2 5" xfId="36284"/>
    <cellStyle name="Separador de milhares 3 10 6 2 2 3" xfId="25996"/>
    <cellStyle name="Separador de milhares 3 10 6 2 2 3 2" xfId="51063"/>
    <cellStyle name="Separador de milhares 3 10 6 2 2 4" xfId="20082"/>
    <cellStyle name="Separador de milhares 3 10 6 2 2 4 2" xfId="45149"/>
    <cellStyle name="Separador de milhares 3 10 6 2 2 5" xfId="13984"/>
    <cellStyle name="Separador de milhares 3 10 6 2 2 5 2" xfId="39238"/>
    <cellStyle name="Separador de milhares 3 10 6 2 2 6" xfId="33327"/>
    <cellStyle name="Separador de milhares 3 10 6 2 3" xfId="9271"/>
    <cellStyle name="Separador de milhares 3 10 6 2 3 2" xfId="27485"/>
    <cellStyle name="Separador de milhares 3 10 6 2 3 2 2" xfId="52552"/>
    <cellStyle name="Separador de milhares 3 10 6 2 3 3" xfId="21571"/>
    <cellStyle name="Separador de milhares 3 10 6 2 3 3 2" xfId="46638"/>
    <cellStyle name="Separador de milhares 3 10 6 2 3 4" xfId="15657"/>
    <cellStyle name="Separador de milhares 3 10 6 2 3 4 2" xfId="40724"/>
    <cellStyle name="Separador de milhares 3 10 6 2 3 5" xfId="34816"/>
    <cellStyle name="Separador de milhares 3 10 6 2 4" xfId="5896"/>
    <cellStyle name="Separador de milhares 3 10 6 2 4 2" xfId="24528"/>
    <cellStyle name="Separador de milhares 3 10 6 2 4 2 2" xfId="49595"/>
    <cellStyle name="Separador de milhares 3 10 6 2 4 3" xfId="31859"/>
    <cellStyle name="Separador de milhares 3 10 6 2 5" xfId="18614"/>
    <cellStyle name="Separador de milhares 3 10 6 2 5 2" xfId="43681"/>
    <cellStyle name="Separador de milhares 3 10 6 2 6" xfId="12283"/>
    <cellStyle name="Separador de milhares 3 10 6 2 6 2" xfId="37770"/>
    <cellStyle name="Separador de milhares 3 10 6 2 7" xfId="30389"/>
    <cellStyle name="Separador de milhares 3 10 6 3" xfId="6640"/>
    <cellStyle name="Separador de milhares 3 10 6 3 2" xfId="9787"/>
    <cellStyle name="Separador de milhares 3 10 6 3 2 2" xfId="28001"/>
    <cellStyle name="Separador de milhares 3 10 6 3 2 2 2" xfId="53068"/>
    <cellStyle name="Separador de milhares 3 10 6 3 2 3" xfId="22087"/>
    <cellStyle name="Separador de milhares 3 10 6 3 2 3 2" xfId="47154"/>
    <cellStyle name="Separador de milhares 3 10 6 3 2 4" xfId="16173"/>
    <cellStyle name="Separador de milhares 3 10 6 3 2 4 2" xfId="41240"/>
    <cellStyle name="Separador de milhares 3 10 6 3 2 5" xfId="35332"/>
    <cellStyle name="Separador de milhares 3 10 6 3 3" xfId="25044"/>
    <cellStyle name="Separador de milhares 3 10 6 3 3 2" xfId="50111"/>
    <cellStyle name="Separador de milhares 3 10 6 3 4" xfId="19130"/>
    <cellStyle name="Separador de milhares 3 10 6 3 4 2" xfId="44197"/>
    <cellStyle name="Separador de milhares 3 10 6 3 5" xfId="13029"/>
    <cellStyle name="Separador de milhares 3 10 6 3 5 2" xfId="38286"/>
    <cellStyle name="Separador de milhares 3 10 6 3 6" xfId="32375"/>
    <cellStyle name="Separador de milhares 3 10 6 4" xfId="8319"/>
    <cellStyle name="Separador de milhares 3 10 6 4 2" xfId="26533"/>
    <cellStyle name="Separador de milhares 3 10 6 4 2 2" xfId="51600"/>
    <cellStyle name="Separador de milhares 3 10 6 4 3" xfId="20619"/>
    <cellStyle name="Separador de milhares 3 10 6 4 3 2" xfId="45686"/>
    <cellStyle name="Separador de milhares 3 10 6 4 4" xfId="14705"/>
    <cellStyle name="Separador de milhares 3 10 6 4 4 2" xfId="39772"/>
    <cellStyle name="Separador de milhares 3 10 6 4 5" xfId="33864"/>
    <cellStyle name="Separador de milhares 3 10 6 5" xfId="4941"/>
    <cellStyle name="Separador de milhares 3 10 6 5 2" xfId="23576"/>
    <cellStyle name="Separador de milhares 3 10 6 5 2 2" xfId="48643"/>
    <cellStyle name="Separador de milhares 3 10 6 5 3" xfId="30907"/>
    <cellStyle name="Separador de milhares 3 10 6 6" xfId="17662"/>
    <cellStyle name="Separador de milhares 3 10 6 6 2" xfId="42729"/>
    <cellStyle name="Separador de milhares 3 10 6 7" xfId="11328"/>
    <cellStyle name="Separador de milhares 3 10 6 7 2" xfId="36818"/>
    <cellStyle name="Separador de milhares 3 10 6 8" xfId="29437"/>
    <cellStyle name="Separador de milhares 3 10 7" xfId="1097"/>
    <cellStyle name="Separador de milhares 3 10 7 2" xfId="6738"/>
    <cellStyle name="Separador de milhares 3 10 7 2 2" xfId="9885"/>
    <cellStyle name="Separador de milhares 3 10 7 2 2 2" xfId="28099"/>
    <cellStyle name="Separador de milhares 3 10 7 2 2 2 2" xfId="53166"/>
    <cellStyle name="Separador de milhares 3 10 7 2 2 3" xfId="22185"/>
    <cellStyle name="Separador de milhares 3 10 7 2 2 3 2" xfId="47252"/>
    <cellStyle name="Separador de milhares 3 10 7 2 2 4" xfId="16271"/>
    <cellStyle name="Separador de milhares 3 10 7 2 2 4 2" xfId="41338"/>
    <cellStyle name="Separador de milhares 3 10 7 2 2 5" xfId="35430"/>
    <cellStyle name="Separador de milhares 3 10 7 2 3" xfId="25142"/>
    <cellStyle name="Separador de milhares 3 10 7 2 3 2" xfId="50209"/>
    <cellStyle name="Separador de milhares 3 10 7 2 4" xfId="19228"/>
    <cellStyle name="Separador de milhares 3 10 7 2 4 2" xfId="44295"/>
    <cellStyle name="Separador de milhares 3 10 7 2 5" xfId="13127"/>
    <cellStyle name="Separador de milhares 3 10 7 2 5 2" xfId="38384"/>
    <cellStyle name="Separador de milhares 3 10 7 2 6" xfId="32473"/>
    <cellStyle name="Separador de milhares 3 10 7 3" xfId="8417"/>
    <cellStyle name="Separador de milhares 3 10 7 3 2" xfId="26631"/>
    <cellStyle name="Separador de milhares 3 10 7 3 2 2" xfId="51698"/>
    <cellStyle name="Separador de milhares 3 10 7 3 3" xfId="20717"/>
    <cellStyle name="Separador de milhares 3 10 7 3 3 2" xfId="45784"/>
    <cellStyle name="Separador de milhares 3 10 7 3 4" xfId="14803"/>
    <cellStyle name="Separador de milhares 3 10 7 3 4 2" xfId="39870"/>
    <cellStyle name="Separador de milhares 3 10 7 3 5" xfId="33962"/>
    <cellStyle name="Separador de milhares 3 10 7 4" xfId="5039"/>
    <cellStyle name="Separador de milhares 3 10 7 4 2" xfId="23674"/>
    <cellStyle name="Separador de milhares 3 10 7 4 2 2" xfId="48741"/>
    <cellStyle name="Separador de milhares 3 10 7 4 3" xfId="31005"/>
    <cellStyle name="Separador de milhares 3 10 7 5" xfId="17760"/>
    <cellStyle name="Separador de milhares 3 10 7 5 2" xfId="42827"/>
    <cellStyle name="Separador de milhares 3 10 7 6" xfId="11426"/>
    <cellStyle name="Separador de milhares 3 10 7 6 2" xfId="36916"/>
    <cellStyle name="Separador de milhares 3 10 7 7" xfId="29535"/>
    <cellStyle name="Separador de milhares 3 10 8" xfId="1532"/>
    <cellStyle name="Separador de milhares 3 10 8 2" xfId="6857"/>
    <cellStyle name="Separador de milhares 3 10 8 2 2" xfId="10004"/>
    <cellStyle name="Separador de milhares 3 10 8 2 2 2" xfId="28218"/>
    <cellStyle name="Separador de milhares 3 10 8 2 2 2 2" xfId="53285"/>
    <cellStyle name="Separador de milhares 3 10 8 2 2 3" xfId="22304"/>
    <cellStyle name="Separador de milhares 3 10 8 2 2 3 2" xfId="47371"/>
    <cellStyle name="Separador de milhares 3 10 8 2 2 4" xfId="16390"/>
    <cellStyle name="Separador de milhares 3 10 8 2 2 4 2" xfId="41457"/>
    <cellStyle name="Separador de milhares 3 10 8 2 2 5" xfId="35549"/>
    <cellStyle name="Separador de milhares 3 10 8 2 3" xfId="25261"/>
    <cellStyle name="Separador de milhares 3 10 8 2 3 2" xfId="50328"/>
    <cellStyle name="Separador de milhares 3 10 8 2 4" xfId="19347"/>
    <cellStyle name="Separador de milhares 3 10 8 2 4 2" xfId="44414"/>
    <cellStyle name="Separador de milhares 3 10 8 2 5" xfId="13246"/>
    <cellStyle name="Separador de milhares 3 10 8 2 5 2" xfId="38503"/>
    <cellStyle name="Separador de milhares 3 10 8 2 6" xfId="32592"/>
    <cellStyle name="Separador de milhares 3 10 8 3" xfId="8536"/>
    <cellStyle name="Separador de milhares 3 10 8 3 2" xfId="26750"/>
    <cellStyle name="Separador de milhares 3 10 8 3 2 2" xfId="51817"/>
    <cellStyle name="Separador de milhares 3 10 8 3 3" xfId="20836"/>
    <cellStyle name="Separador de milhares 3 10 8 3 3 2" xfId="45903"/>
    <cellStyle name="Separador de milhares 3 10 8 3 4" xfId="14922"/>
    <cellStyle name="Separador de milhares 3 10 8 3 4 2" xfId="39989"/>
    <cellStyle name="Separador de milhares 3 10 8 3 5" xfId="34081"/>
    <cellStyle name="Separador de milhares 3 10 8 4" xfId="5158"/>
    <cellStyle name="Separador de milhares 3 10 8 4 2" xfId="23793"/>
    <cellStyle name="Separador de milhares 3 10 8 4 2 2" xfId="48860"/>
    <cellStyle name="Separador de milhares 3 10 8 4 3" xfId="31124"/>
    <cellStyle name="Separador de milhares 3 10 8 5" xfId="17879"/>
    <cellStyle name="Separador de milhares 3 10 8 5 2" xfId="42946"/>
    <cellStyle name="Separador de milhares 3 10 8 6" xfId="11545"/>
    <cellStyle name="Separador de milhares 3 10 8 6 2" xfId="37035"/>
    <cellStyle name="Separador de milhares 3 10 8 7" xfId="29654"/>
    <cellStyle name="Separador de milhares 3 10 9" xfId="2062"/>
    <cellStyle name="Separador de milhares 3 10 9 2" xfId="7007"/>
    <cellStyle name="Separador de milhares 3 10 9 2 2" xfId="10151"/>
    <cellStyle name="Separador de milhares 3 10 9 2 2 2" xfId="28365"/>
    <cellStyle name="Separador de milhares 3 10 9 2 2 2 2" xfId="53432"/>
    <cellStyle name="Separador de milhares 3 10 9 2 2 3" xfId="22451"/>
    <cellStyle name="Separador de milhares 3 10 9 2 2 3 2" xfId="47518"/>
    <cellStyle name="Separador de milhares 3 10 9 2 2 4" xfId="16537"/>
    <cellStyle name="Separador de milhares 3 10 9 2 2 4 2" xfId="41604"/>
    <cellStyle name="Separador de milhares 3 10 9 2 2 5" xfId="35696"/>
    <cellStyle name="Separador de milhares 3 10 9 2 3" xfId="25408"/>
    <cellStyle name="Separador de milhares 3 10 9 2 3 2" xfId="50475"/>
    <cellStyle name="Separador de milhares 3 10 9 2 4" xfId="19494"/>
    <cellStyle name="Separador de milhares 3 10 9 2 4 2" xfId="44561"/>
    <cellStyle name="Separador de milhares 3 10 9 2 5" xfId="13396"/>
    <cellStyle name="Separador de milhares 3 10 9 2 5 2" xfId="38650"/>
    <cellStyle name="Separador de milhares 3 10 9 2 6" xfId="32739"/>
    <cellStyle name="Separador de milhares 3 10 9 3" xfId="8683"/>
    <cellStyle name="Separador de milhares 3 10 9 3 2" xfId="26897"/>
    <cellStyle name="Separador de milhares 3 10 9 3 2 2" xfId="51964"/>
    <cellStyle name="Separador de milhares 3 10 9 3 3" xfId="20983"/>
    <cellStyle name="Separador de milhares 3 10 9 3 3 2" xfId="46050"/>
    <cellStyle name="Separador de milhares 3 10 9 3 4" xfId="15069"/>
    <cellStyle name="Separador de milhares 3 10 9 3 4 2" xfId="40136"/>
    <cellStyle name="Separador de milhares 3 10 9 3 5" xfId="34228"/>
    <cellStyle name="Separador de milhares 3 10 9 4" xfId="5308"/>
    <cellStyle name="Separador de milhares 3 10 9 4 2" xfId="23940"/>
    <cellStyle name="Separador de milhares 3 10 9 4 2 2" xfId="49007"/>
    <cellStyle name="Separador de milhares 3 10 9 4 3" xfId="31271"/>
    <cellStyle name="Separador de milhares 3 10 9 5" xfId="18026"/>
    <cellStyle name="Separador de milhares 3 10 9 5 2" xfId="43093"/>
    <cellStyle name="Separador de milhares 3 10 9 6" xfId="11695"/>
    <cellStyle name="Separador de milhares 3 10 9 6 2" xfId="37182"/>
    <cellStyle name="Separador de milhares 3 10 9 7" xfId="29801"/>
    <cellStyle name="Separador de milhares 3 11" xfId="94"/>
    <cellStyle name="Separador de milhares 3 11 10" xfId="2597"/>
    <cellStyle name="Separador de milhares 3 11 10 2" xfId="7156"/>
    <cellStyle name="Separador de milhares 3 11 10 2 2" xfId="10300"/>
    <cellStyle name="Separador de milhares 3 11 10 2 2 2" xfId="28514"/>
    <cellStyle name="Separador de milhares 3 11 10 2 2 2 2" xfId="53581"/>
    <cellStyle name="Separador de milhares 3 11 10 2 2 3" xfId="22600"/>
    <cellStyle name="Separador de milhares 3 11 10 2 2 3 2" xfId="47667"/>
    <cellStyle name="Separador de milhares 3 11 10 2 2 4" xfId="16686"/>
    <cellStyle name="Separador de milhares 3 11 10 2 2 4 2" xfId="41753"/>
    <cellStyle name="Separador de milhares 3 11 10 2 2 5" xfId="35845"/>
    <cellStyle name="Separador de milhares 3 11 10 2 3" xfId="25557"/>
    <cellStyle name="Separador de milhares 3 11 10 2 3 2" xfId="50624"/>
    <cellStyle name="Separador de milhares 3 11 10 2 4" xfId="19643"/>
    <cellStyle name="Separador de milhares 3 11 10 2 4 2" xfId="44710"/>
    <cellStyle name="Separador de milhares 3 11 10 2 5" xfId="13545"/>
    <cellStyle name="Separador de milhares 3 11 10 2 5 2" xfId="38799"/>
    <cellStyle name="Separador de milhares 3 11 10 2 6" xfId="32888"/>
    <cellStyle name="Separador de milhares 3 11 10 3" xfId="8832"/>
    <cellStyle name="Separador de milhares 3 11 10 3 2" xfId="27046"/>
    <cellStyle name="Separador de milhares 3 11 10 3 2 2" xfId="52113"/>
    <cellStyle name="Separador de milhares 3 11 10 3 3" xfId="21132"/>
    <cellStyle name="Separador de milhares 3 11 10 3 3 2" xfId="46199"/>
    <cellStyle name="Separador de milhares 3 11 10 3 4" xfId="15218"/>
    <cellStyle name="Separador de milhares 3 11 10 3 4 2" xfId="40285"/>
    <cellStyle name="Separador de milhares 3 11 10 3 5" xfId="34377"/>
    <cellStyle name="Separador de milhares 3 11 10 4" xfId="5457"/>
    <cellStyle name="Separador de milhares 3 11 10 4 2" xfId="24089"/>
    <cellStyle name="Separador de milhares 3 11 10 4 2 2" xfId="49156"/>
    <cellStyle name="Separador de milhares 3 11 10 4 3" xfId="31420"/>
    <cellStyle name="Separador de milhares 3 11 10 5" xfId="18175"/>
    <cellStyle name="Separador de milhares 3 11 10 5 2" xfId="43242"/>
    <cellStyle name="Separador de milhares 3 11 10 6" xfId="11844"/>
    <cellStyle name="Separador de milhares 3 11 10 6 2" xfId="37331"/>
    <cellStyle name="Separador de milhares 3 11 10 7" xfId="29950"/>
    <cellStyle name="Separador de milhares 3 11 11" xfId="3124"/>
    <cellStyle name="Separador de milhares 3 11 11 2" xfId="7303"/>
    <cellStyle name="Separador de milhares 3 11 11 2 2" xfId="10447"/>
    <cellStyle name="Separador de milhares 3 11 11 2 2 2" xfId="28661"/>
    <cellStyle name="Separador de milhares 3 11 11 2 2 2 2" xfId="53728"/>
    <cellStyle name="Separador de milhares 3 11 11 2 2 3" xfId="22747"/>
    <cellStyle name="Separador de milhares 3 11 11 2 2 3 2" xfId="47814"/>
    <cellStyle name="Separador de milhares 3 11 11 2 2 4" xfId="16833"/>
    <cellStyle name="Separador de milhares 3 11 11 2 2 4 2" xfId="41900"/>
    <cellStyle name="Separador de milhares 3 11 11 2 2 5" xfId="35992"/>
    <cellStyle name="Separador de milhares 3 11 11 2 3" xfId="25704"/>
    <cellStyle name="Separador de milhares 3 11 11 2 3 2" xfId="50771"/>
    <cellStyle name="Separador de milhares 3 11 11 2 4" xfId="19790"/>
    <cellStyle name="Separador de milhares 3 11 11 2 4 2" xfId="44857"/>
    <cellStyle name="Separador de milhares 3 11 11 2 5" xfId="13692"/>
    <cellStyle name="Separador de milhares 3 11 11 2 5 2" xfId="38946"/>
    <cellStyle name="Separador de milhares 3 11 11 2 6" xfId="33035"/>
    <cellStyle name="Separador de milhares 3 11 11 3" xfId="8979"/>
    <cellStyle name="Separador de milhares 3 11 11 3 2" xfId="27193"/>
    <cellStyle name="Separador de milhares 3 11 11 3 2 2" xfId="52260"/>
    <cellStyle name="Separador de milhares 3 11 11 3 3" xfId="21279"/>
    <cellStyle name="Separador de milhares 3 11 11 3 3 2" xfId="46346"/>
    <cellStyle name="Separador de milhares 3 11 11 3 4" xfId="15365"/>
    <cellStyle name="Separador de milhares 3 11 11 3 4 2" xfId="40432"/>
    <cellStyle name="Separador de milhares 3 11 11 3 5" xfId="34524"/>
    <cellStyle name="Separador de milhares 3 11 11 4" xfId="5604"/>
    <cellStyle name="Separador de milhares 3 11 11 4 2" xfId="24236"/>
    <cellStyle name="Separador de milhares 3 11 11 4 2 2" xfId="49303"/>
    <cellStyle name="Separador de milhares 3 11 11 4 3" xfId="31567"/>
    <cellStyle name="Separador de milhares 3 11 11 5" xfId="18322"/>
    <cellStyle name="Separador de milhares 3 11 11 5 2" xfId="43389"/>
    <cellStyle name="Separador de milhares 3 11 11 6" xfId="11991"/>
    <cellStyle name="Separador de milhares 3 11 11 6 2" xfId="37478"/>
    <cellStyle name="Separador de milhares 3 11 11 7" xfId="30097"/>
    <cellStyle name="Separador de milhares 3 11 12" xfId="3651"/>
    <cellStyle name="Separador de milhares 3 11 12 2" xfId="7450"/>
    <cellStyle name="Separador de milhares 3 11 12 2 2" xfId="10594"/>
    <cellStyle name="Separador de milhares 3 11 12 2 2 2" xfId="28808"/>
    <cellStyle name="Separador de milhares 3 11 12 2 2 2 2" xfId="53875"/>
    <cellStyle name="Separador de milhares 3 11 12 2 2 3" xfId="22894"/>
    <cellStyle name="Separador de milhares 3 11 12 2 2 3 2" xfId="47961"/>
    <cellStyle name="Separador de milhares 3 11 12 2 2 4" xfId="16980"/>
    <cellStyle name="Separador de milhares 3 11 12 2 2 4 2" xfId="42047"/>
    <cellStyle name="Separador de milhares 3 11 12 2 2 5" xfId="36139"/>
    <cellStyle name="Separador de milhares 3 11 12 2 3" xfId="25851"/>
    <cellStyle name="Separador de milhares 3 11 12 2 3 2" xfId="50918"/>
    <cellStyle name="Separador de milhares 3 11 12 2 4" xfId="19937"/>
    <cellStyle name="Separador de milhares 3 11 12 2 4 2" xfId="45004"/>
    <cellStyle name="Separador de milhares 3 11 12 2 5" xfId="13839"/>
    <cellStyle name="Separador de milhares 3 11 12 2 5 2" xfId="39093"/>
    <cellStyle name="Separador de milhares 3 11 12 2 6" xfId="33182"/>
    <cellStyle name="Separador de milhares 3 11 12 3" xfId="9126"/>
    <cellStyle name="Separador de milhares 3 11 12 3 2" xfId="27340"/>
    <cellStyle name="Separador de milhares 3 11 12 3 2 2" xfId="52407"/>
    <cellStyle name="Separador de milhares 3 11 12 3 3" xfId="21426"/>
    <cellStyle name="Separador de milhares 3 11 12 3 3 2" xfId="46493"/>
    <cellStyle name="Separador de milhares 3 11 12 3 4" xfId="15512"/>
    <cellStyle name="Separador de milhares 3 11 12 3 4 2" xfId="40579"/>
    <cellStyle name="Separador de milhares 3 11 12 3 5" xfId="34671"/>
    <cellStyle name="Separador de milhares 3 11 12 4" xfId="5751"/>
    <cellStyle name="Separador de milhares 3 11 12 4 2" xfId="24383"/>
    <cellStyle name="Separador de milhares 3 11 12 4 2 2" xfId="49450"/>
    <cellStyle name="Separador de milhares 3 11 12 4 3" xfId="31714"/>
    <cellStyle name="Separador de milhares 3 11 12 5" xfId="18469"/>
    <cellStyle name="Separador de milhares 3 11 12 5 2" xfId="43536"/>
    <cellStyle name="Separador de milhares 3 11 12 6" xfId="12138"/>
    <cellStyle name="Separador de milhares 3 11 12 6 2" xfId="37625"/>
    <cellStyle name="Separador de milhares 3 11 12 7" xfId="30244"/>
    <cellStyle name="Separador de milhares 3 11 13" xfId="6434"/>
    <cellStyle name="Separador de milhares 3 11 13 2" xfId="9590"/>
    <cellStyle name="Separador de milhares 3 11 13 2 2" xfId="27804"/>
    <cellStyle name="Separador de milhares 3 11 13 2 2 2" xfId="52871"/>
    <cellStyle name="Separador de milhares 3 11 13 2 3" xfId="21890"/>
    <cellStyle name="Separador de milhares 3 11 13 2 3 2" xfId="46957"/>
    <cellStyle name="Separador de milhares 3 11 13 2 4" xfId="15976"/>
    <cellStyle name="Separador de milhares 3 11 13 2 4 2" xfId="41043"/>
    <cellStyle name="Separador de milhares 3 11 13 2 5" xfId="35135"/>
    <cellStyle name="Separador de milhares 3 11 13 3" xfId="24847"/>
    <cellStyle name="Separador de milhares 3 11 13 3 2" xfId="49914"/>
    <cellStyle name="Separador de milhares 3 11 13 4" xfId="18933"/>
    <cellStyle name="Separador de milhares 3 11 13 4 2" xfId="44000"/>
    <cellStyle name="Separador de milhares 3 11 13 5" xfId="12823"/>
    <cellStyle name="Separador de milhares 3 11 13 5 2" xfId="38089"/>
    <cellStyle name="Separador de milhares 3 11 13 6" xfId="32178"/>
    <cellStyle name="Separador de milhares 3 11 14" xfId="8119"/>
    <cellStyle name="Separador de milhares 3 11 14 2" xfId="26333"/>
    <cellStyle name="Separador de milhares 3 11 14 2 2" xfId="51400"/>
    <cellStyle name="Separador de milhares 3 11 14 3" xfId="20419"/>
    <cellStyle name="Separador de milhares 3 11 14 3 2" xfId="45486"/>
    <cellStyle name="Separador de milhares 3 11 14 4" xfId="14508"/>
    <cellStyle name="Separador de milhares 3 11 14 4 2" xfId="39575"/>
    <cellStyle name="Separador de milhares 3 11 14 5" xfId="33664"/>
    <cellStyle name="Separador de milhares 3 11 15" xfId="4732"/>
    <cellStyle name="Separador de milhares 3 11 15 2" xfId="23376"/>
    <cellStyle name="Separador de milhares 3 11 15 2 2" xfId="48443"/>
    <cellStyle name="Separador de milhares 3 11 15 3" xfId="30708"/>
    <cellStyle name="Separador de milhares 3 11 16" xfId="17462"/>
    <cellStyle name="Separador de milhares 3 11 16 2" xfId="42529"/>
    <cellStyle name="Separador de milhares 3 11 17" xfId="11122"/>
    <cellStyle name="Separador de milhares 3 11 17 2" xfId="36621"/>
    <cellStyle name="Separador de milhares 3 11 18" xfId="29236"/>
    <cellStyle name="Separador de milhares 3 11 2" xfId="188"/>
    <cellStyle name="Separador de milhares 3 11 2 10" xfId="6463"/>
    <cellStyle name="Separador de milhares 3 11 2 10 2" xfId="9617"/>
    <cellStyle name="Separador de milhares 3 11 2 10 2 2" xfId="27831"/>
    <cellStyle name="Separador de milhares 3 11 2 10 2 2 2" xfId="52898"/>
    <cellStyle name="Separador de milhares 3 11 2 10 2 3" xfId="21917"/>
    <cellStyle name="Separador de milhares 3 11 2 10 2 3 2" xfId="46984"/>
    <cellStyle name="Separador de milhares 3 11 2 10 2 4" xfId="16003"/>
    <cellStyle name="Separador de milhares 3 11 2 10 2 4 2" xfId="41070"/>
    <cellStyle name="Separador de milhares 3 11 2 10 2 5" xfId="35162"/>
    <cellStyle name="Separador de milhares 3 11 2 10 3" xfId="24874"/>
    <cellStyle name="Separador de milhares 3 11 2 10 3 2" xfId="49941"/>
    <cellStyle name="Separador de milhares 3 11 2 10 4" xfId="18960"/>
    <cellStyle name="Separador de milhares 3 11 2 10 4 2" xfId="44027"/>
    <cellStyle name="Separador de milhares 3 11 2 10 5" xfId="12852"/>
    <cellStyle name="Separador de milhares 3 11 2 10 5 2" xfId="38116"/>
    <cellStyle name="Separador de milhares 3 11 2 10 6" xfId="32205"/>
    <cellStyle name="Separador de milhares 3 11 2 11" xfId="8146"/>
    <cellStyle name="Separador de milhares 3 11 2 11 2" xfId="26360"/>
    <cellStyle name="Separador de milhares 3 11 2 11 2 2" xfId="51427"/>
    <cellStyle name="Separador de milhares 3 11 2 11 3" xfId="20446"/>
    <cellStyle name="Separador de milhares 3 11 2 11 3 2" xfId="45513"/>
    <cellStyle name="Separador de milhares 3 11 2 11 4" xfId="14535"/>
    <cellStyle name="Separador de milhares 3 11 2 11 4 2" xfId="39602"/>
    <cellStyle name="Separador de milhares 3 11 2 11 5" xfId="33691"/>
    <cellStyle name="Separador de milhares 3 11 2 12" xfId="4762"/>
    <cellStyle name="Separador de milhares 3 11 2 12 2" xfId="23403"/>
    <cellStyle name="Separador de milhares 3 11 2 12 2 2" xfId="48470"/>
    <cellStyle name="Separador de milhares 3 11 2 12 3" xfId="30735"/>
    <cellStyle name="Separador de milhares 3 11 2 13" xfId="17489"/>
    <cellStyle name="Separador de milhares 3 11 2 13 2" xfId="42556"/>
    <cellStyle name="Separador de milhares 3 11 2 14" xfId="11151"/>
    <cellStyle name="Separador de milhares 3 11 2 14 2" xfId="36648"/>
    <cellStyle name="Separador de milhares 3 11 2 15" xfId="29264"/>
    <cellStyle name="Separador de milhares 3 11 2 2" xfId="461"/>
    <cellStyle name="Separador de milhares 3 11 2 2 10" xfId="17563"/>
    <cellStyle name="Separador de milhares 3 11 2 2 10 2" xfId="42630"/>
    <cellStyle name="Separador de milhares 3 11 2 2 11" xfId="11232"/>
    <cellStyle name="Separador de milhares 3 11 2 2 11 2" xfId="36722"/>
    <cellStyle name="Separador de milhares 3 11 2 2 12" xfId="29338"/>
    <cellStyle name="Separador de milhares 3 11 2 2 2" xfId="1980"/>
    <cellStyle name="Separador de milhares 3 11 2 2 2 2" xfId="6982"/>
    <cellStyle name="Separador de milhares 3 11 2 2 2 2 2" xfId="10129"/>
    <cellStyle name="Separador de milhares 3 11 2 2 2 2 2 2" xfId="28343"/>
    <cellStyle name="Separador de milhares 3 11 2 2 2 2 2 2 2" xfId="53410"/>
    <cellStyle name="Separador de milhares 3 11 2 2 2 2 2 3" xfId="22429"/>
    <cellStyle name="Separador de milhares 3 11 2 2 2 2 2 3 2" xfId="47496"/>
    <cellStyle name="Separador de milhares 3 11 2 2 2 2 2 4" xfId="16515"/>
    <cellStyle name="Separador de milhares 3 11 2 2 2 2 2 4 2" xfId="41582"/>
    <cellStyle name="Separador de milhares 3 11 2 2 2 2 2 5" xfId="35674"/>
    <cellStyle name="Separador de milhares 3 11 2 2 2 2 3" xfId="25386"/>
    <cellStyle name="Separador de milhares 3 11 2 2 2 2 3 2" xfId="50453"/>
    <cellStyle name="Separador de milhares 3 11 2 2 2 2 4" xfId="19472"/>
    <cellStyle name="Separador de milhares 3 11 2 2 2 2 4 2" xfId="44539"/>
    <cellStyle name="Separador de milhares 3 11 2 2 2 2 5" xfId="13371"/>
    <cellStyle name="Separador de milhares 3 11 2 2 2 2 5 2" xfId="38628"/>
    <cellStyle name="Separador de milhares 3 11 2 2 2 2 6" xfId="32717"/>
    <cellStyle name="Separador de milhares 3 11 2 2 2 3" xfId="8661"/>
    <cellStyle name="Separador de milhares 3 11 2 2 2 3 2" xfId="26875"/>
    <cellStyle name="Separador de milhares 3 11 2 2 2 3 2 2" xfId="51942"/>
    <cellStyle name="Separador de milhares 3 11 2 2 2 3 3" xfId="20961"/>
    <cellStyle name="Separador de milhares 3 11 2 2 2 3 3 2" xfId="46028"/>
    <cellStyle name="Separador de milhares 3 11 2 2 2 3 4" xfId="15047"/>
    <cellStyle name="Separador de milhares 3 11 2 2 2 3 4 2" xfId="40114"/>
    <cellStyle name="Separador de milhares 3 11 2 2 2 3 5" xfId="34206"/>
    <cellStyle name="Separador de milhares 3 11 2 2 2 4" xfId="5283"/>
    <cellStyle name="Separador de milhares 3 11 2 2 2 4 2" xfId="23918"/>
    <cellStyle name="Separador de milhares 3 11 2 2 2 4 2 2" xfId="48985"/>
    <cellStyle name="Separador de milhares 3 11 2 2 2 4 3" xfId="31249"/>
    <cellStyle name="Separador de milhares 3 11 2 2 2 5" xfId="18004"/>
    <cellStyle name="Separador de milhares 3 11 2 2 2 5 2" xfId="43071"/>
    <cellStyle name="Separador de milhares 3 11 2 2 2 6" xfId="11670"/>
    <cellStyle name="Separador de milhares 3 11 2 2 2 6 2" xfId="37160"/>
    <cellStyle name="Separador de milhares 3 11 2 2 2 7" xfId="29779"/>
    <cellStyle name="Separador de milhares 3 11 2 2 3" xfId="2510"/>
    <cellStyle name="Separador de milhares 3 11 2 2 3 2" xfId="7132"/>
    <cellStyle name="Separador de milhares 3 11 2 2 3 2 2" xfId="10276"/>
    <cellStyle name="Separador de milhares 3 11 2 2 3 2 2 2" xfId="28490"/>
    <cellStyle name="Separador de milhares 3 11 2 2 3 2 2 2 2" xfId="53557"/>
    <cellStyle name="Separador de milhares 3 11 2 2 3 2 2 3" xfId="22576"/>
    <cellStyle name="Separador de milhares 3 11 2 2 3 2 2 3 2" xfId="47643"/>
    <cellStyle name="Separador de milhares 3 11 2 2 3 2 2 4" xfId="16662"/>
    <cellStyle name="Separador de milhares 3 11 2 2 3 2 2 4 2" xfId="41729"/>
    <cellStyle name="Separador de milhares 3 11 2 2 3 2 2 5" xfId="35821"/>
    <cellStyle name="Separador de milhares 3 11 2 2 3 2 3" xfId="25533"/>
    <cellStyle name="Separador de milhares 3 11 2 2 3 2 3 2" xfId="50600"/>
    <cellStyle name="Separador de milhares 3 11 2 2 3 2 4" xfId="19619"/>
    <cellStyle name="Separador de milhares 3 11 2 2 3 2 4 2" xfId="44686"/>
    <cellStyle name="Separador de milhares 3 11 2 2 3 2 5" xfId="13521"/>
    <cellStyle name="Separador de milhares 3 11 2 2 3 2 5 2" xfId="38775"/>
    <cellStyle name="Separador de milhares 3 11 2 2 3 2 6" xfId="32864"/>
    <cellStyle name="Separador de milhares 3 11 2 2 3 3" xfId="8808"/>
    <cellStyle name="Separador de milhares 3 11 2 2 3 3 2" xfId="27022"/>
    <cellStyle name="Separador de milhares 3 11 2 2 3 3 2 2" xfId="52089"/>
    <cellStyle name="Separador de milhares 3 11 2 2 3 3 3" xfId="21108"/>
    <cellStyle name="Separador de milhares 3 11 2 2 3 3 3 2" xfId="46175"/>
    <cellStyle name="Separador de milhares 3 11 2 2 3 3 4" xfId="15194"/>
    <cellStyle name="Separador de milhares 3 11 2 2 3 3 4 2" xfId="40261"/>
    <cellStyle name="Separador de milhares 3 11 2 2 3 3 5" xfId="34353"/>
    <cellStyle name="Separador de milhares 3 11 2 2 3 4" xfId="5433"/>
    <cellStyle name="Separador de milhares 3 11 2 2 3 4 2" xfId="24065"/>
    <cellStyle name="Separador de milhares 3 11 2 2 3 4 2 2" xfId="49132"/>
    <cellStyle name="Separador de milhares 3 11 2 2 3 4 3" xfId="31396"/>
    <cellStyle name="Separador de milhares 3 11 2 2 3 5" xfId="18151"/>
    <cellStyle name="Separador de milhares 3 11 2 2 3 5 2" xfId="43218"/>
    <cellStyle name="Separador de milhares 3 11 2 2 3 6" xfId="11820"/>
    <cellStyle name="Separador de milhares 3 11 2 2 3 6 2" xfId="37307"/>
    <cellStyle name="Separador de milhares 3 11 2 2 3 7" xfId="29926"/>
    <cellStyle name="Separador de milhares 3 11 2 2 4" xfId="3037"/>
    <cellStyle name="Separador de milhares 3 11 2 2 4 2" xfId="7279"/>
    <cellStyle name="Separador de milhares 3 11 2 2 4 2 2" xfId="10423"/>
    <cellStyle name="Separador de milhares 3 11 2 2 4 2 2 2" xfId="28637"/>
    <cellStyle name="Separador de milhares 3 11 2 2 4 2 2 2 2" xfId="53704"/>
    <cellStyle name="Separador de milhares 3 11 2 2 4 2 2 3" xfId="22723"/>
    <cellStyle name="Separador de milhares 3 11 2 2 4 2 2 3 2" xfId="47790"/>
    <cellStyle name="Separador de milhares 3 11 2 2 4 2 2 4" xfId="16809"/>
    <cellStyle name="Separador de milhares 3 11 2 2 4 2 2 4 2" xfId="41876"/>
    <cellStyle name="Separador de milhares 3 11 2 2 4 2 2 5" xfId="35968"/>
    <cellStyle name="Separador de milhares 3 11 2 2 4 2 3" xfId="25680"/>
    <cellStyle name="Separador de milhares 3 11 2 2 4 2 3 2" xfId="50747"/>
    <cellStyle name="Separador de milhares 3 11 2 2 4 2 4" xfId="19766"/>
    <cellStyle name="Separador de milhares 3 11 2 2 4 2 4 2" xfId="44833"/>
    <cellStyle name="Separador de milhares 3 11 2 2 4 2 5" xfId="13668"/>
    <cellStyle name="Separador de milhares 3 11 2 2 4 2 5 2" xfId="38922"/>
    <cellStyle name="Separador de milhares 3 11 2 2 4 2 6" xfId="33011"/>
    <cellStyle name="Separador de milhares 3 11 2 2 4 3" xfId="8955"/>
    <cellStyle name="Separador de milhares 3 11 2 2 4 3 2" xfId="27169"/>
    <cellStyle name="Separador de milhares 3 11 2 2 4 3 2 2" xfId="52236"/>
    <cellStyle name="Separador de milhares 3 11 2 2 4 3 3" xfId="21255"/>
    <cellStyle name="Separador de milhares 3 11 2 2 4 3 3 2" xfId="46322"/>
    <cellStyle name="Separador de milhares 3 11 2 2 4 3 4" xfId="15341"/>
    <cellStyle name="Separador de milhares 3 11 2 2 4 3 4 2" xfId="40408"/>
    <cellStyle name="Separador de milhares 3 11 2 2 4 3 5" xfId="34500"/>
    <cellStyle name="Separador de milhares 3 11 2 2 4 4" xfId="5580"/>
    <cellStyle name="Separador de milhares 3 11 2 2 4 4 2" xfId="24212"/>
    <cellStyle name="Separador de milhares 3 11 2 2 4 4 2 2" xfId="49279"/>
    <cellStyle name="Separador de milhares 3 11 2 2 4 4 3" xfId="31543"/>
    <cellStyle name="Separador de milhares 3 11 2 2 4 5" xfId="18298"/>
    <cellStyle name="Separador de milhares 3 11 2 2 4 5 2" xfId="43365"/>
    <cellStyle name="Separador de milhares 3 11 2 2 4 6" xfId="11967"/>
    <cellStyle name="Separador de milhares 3 11 2 2 4 6 2" xfId="37454"/>
    <cellStyle name="Separador de milhares 3 11 2 2 4 7" xfId="30073"/>
    <cellStyle name="Separador de milhares 3 11 2 2 5" xfId="3564"/>
    <cellStyle name="Separador de milhares 3 11 2 2 5 2" xfId="7426"/>
    <cellStyle name="Separador de milhares 3 11 2 2 5 2 2" xfId="10570"/>
    <cellStyle name="Separador de milhares 3 11 2 2 5 2 2 2" xfId="28784"/>
    <cellStyle name="Separador de milhares 3 11 2 2 5 2 2 2 2" xfId="53851"/>
    <cellStyle name="Separador de milhares 3 11 2 2 5 2 2 3" xfId="22870"/>
    <cellStyle name="Separador de milhares 3 11 2 2 5 2 2 3 2" xfId="47937"/>
    <cellStyle name="Separador de milhares 3 11 2 2 5 2 2 4" xfId="16956"/>
    <cellStyle name="Separador de milhares 3 11 2 2 5 2 2 4 2" xfId="42023"/>
    <cellStyle name="Separador de milhares 3 11 2 2 5 2 2 5" xfId="36115"/>
    <cellStyle name="Separador de milhares 3 11 2 2 5 2 3" xfId="25827"/>
    <cellStyle name="Separador de milhares 3 11 2 2 5 2 3 2" xfId="50894"/>
    <cellStyle name="Separador de milhares 3 11 2 2 5 2 4" xfId="19913"/>
    <cellStyle name="Separador de milhares 3 11 2 2 5 2 4 2" xfId="44980"/>
    <cellStyle name="Separador de milhares 3 11 2 2 5 2 5" xfId="13815"/>
    <cellStyle name="Separador de milhares 3 11 2 2 5 2 5 2" xfId="39069"/>
    <cellStyle name="Separador de milhares 3 11 2 2 5 2 6" xfId="33158"/>
    <cellStyle name="Separador de milhares 3 11 2 2 5 3" xfId="9102"/>
    <cellStyle name="Separador de milhares 3 11 2 2 5 3 2" xfId="27316"/>
    <cellStyle name="Separador de milhares 3 11 2 2 5 3 2 2" xfId="52383"/>
    <cellStyle name="Separador de milhares 3 11 2 2 5 3 3" xfId="21402"/>
    <cellStyle name="Separador de milhares 3 11 2 2 5 3 3 2" xfId="46469"/>
    <cellStyle name="Separador de milhares 3 11 2 2 5 3 4" xfId="15488"/>
    <cellStyle name="Separador de milhares 3 11 2 2 5 3 4 2" xfId="40555"/>
    <cellStyle name="Separador de milhares 3 11 2 2 5 3 5" xfId="34647"/>
    <cellStyle name="Separador de milhares 3 11 2 2 5 4" xfId="5727"/>
    <cellStyle name="Separador de milhares 3 11 2 2 5 4 2" xfId="24359"/>
    <cellStyle name="Separador de milhares 3 11 2 2 5 4 2 2" xfId="49426"/>
    <cellStyle name="Separador de milhares 3 11 2 2 5 4 3" xfId="31690"/>
    <cellStyle name="Separador de milhares 3 11 2 2 5 5" xfId="18445"/>
    <cellStyle name="Separador de milhares 3 11 2 2 5 5 2" xfId="43512"/>
    <cellStyle name="Separador de milhares 3 11 2 2 5 6" xfId="12114"/>
    <cellStyle name="Separador de milhares 3 11 2 2 5 6 2" xfId="37601"/>
    <cellStyle name="Separador de milhares 3 11 2 2 5 7" xfId="30220"/>
    <cellStyle name="Separador de milhares 3 11 2 2 6" xfId="4091"/>
    <cellStyle name="Separador de milhares 3 11 2 2 6 2" xfId="7573"/>
    <cellStyle name="Separador de milhares 3 11 2 2 6 2 2" xfId="10717"/>
    <cellStyle name="Separador de milhares 3 11 2 2 6 2 2 2" xfId="28931"/>
    <cellStyle name="Separador de milhares 3 11 2 2 6 2 2 2 2" xfId="53998"/>
    <cellStyle name="Separador de milhares 3 11 2 2 6 2 2 3" xfId="23017"/>
    <cellStyle name="Separador de milhares 3 11 2 2 6 2 2 3 2" xfId="48084"/>
    <cellStyle name="Separador de milhares 3 11 2 2 6 2 2 4" xfId="17103"/>
    <cellStyle name="Separador de milhares 3 11 2 2 6 2 2 4 2" xfId="42170"/>
    <cellStyle name="Separador de milhares 3 11 2 2 6 2 2 5" xfId="36262"/>
    <cellStyle name="Separador de milhares 3 11 2 2 6 2 3" xfId="25974"/>
    <cellStyle name="Separador de milhares 3 11 2 2 6 2 3 2" xfId="51041"/>
    <cellStyle name="Separador de milhares 3 11 2 2 6 2 4" xfId="20060"/>
    <cellStyle name="Separador de milhares 3 11 2 2 6 2 4 2" xfId="45127"/>
    <cellStyle name="Separador de milhares 3 11 2 2 6 2 5" xfId="13962"/>
    <cellStyle name="Separador de milhares 3 11 2 2 6 2 5 2" xfId="39216"/>
    <cellStyle name="Separador de milhares 3 11 2 2 6 2 6" xfId="33305"/>
    <cellStyle name="Separador de milhares 3 11 2 2 6 3" xfId="9249"/>
    <cellStyle name="Separador de milhares 3 11 2 2 6 3 2" xfId="27463"/>
    <cellStyle name="Separador de milhares 3 11 2 2 6 3 2 2" xfId="52530"/>
    <cellStyle name="Separador de milhares 3 11 2 2 6 3 3" xfId="21549"/>
    <cellStyle name="Separador de milhares 3 11 2 2 6 3 3 2" xfId="46616"/>
    <cellStyle name="Separador de milhares 3 11 2 2 6 3 4" xfId="15635"/>
    <cellStyle name="Separador de milhares 3 11 2 2 6 3 4 2" xfId="40702"/>
    <cellStyle name="Separador de milhares 3 11 2 2 6 3 5" xfId="34794"/>
    <cellStyle name="Separador de milhares 3 11 2 2 6 4" xfId="5874"/>
    <cellStyle name="Separador de milhares 3 11 2 2 6 4 2" xfId="24506"/>
    <cellStyle name="Separador de milhares 3 11 2 2 6 4 2 2" xfId="49573"/>
    <cellStyle name="Separador de milhares 3 11 2 2 6 4 3" xfId="31837"/>
    <cellStyle name="Separador de milhares 3 11 2 2 6 5" xfId="18592"/>
    <cellStyle name="Separador de milhares 3 11 2 2 6 5 2" xfId="43659"/>
    <cellStyle name="Separador de milhares 3 11 2 2 6 6" xfId="12261"/>
    <cellStyle name="Separador de milhares 3 11 2 2 6 6 2" xfId="37748"/>
    <cellStyle name="Separador de milhares 3 11 2 2 6 7" xfId="30367"/>
    <cellStyle name="Separador de milhares 3 11 2 2 7" xfId="6544"/>
    <cellStyle name="Separador de milhares 3 11 2 2 7 2" xfId="9691"/>
    <cellStyle name="Separador de milhares 3 11 2 2 7 2 2" xfId="27905"/>
    <cellStyle name="Separador de milhares 3 11 2 2 7 2 2 2" xfId="52972"/>
    <cellStyle name="Separador de milhares 3 11 2 2 7 2 3" xfId="21991"/>
    <cellStyle name="Separador de milhares 3 11 2 2 7 2 3 2" xfId="47058"/>
    <cellStyle name="Separador de milhares 3 11 2 2 7 2 4" xfId="16077"/>
    <cellStyle name="Separador de milhares 3 11 2 2 7 2 4 2" xfId="41144"/>
    <cellStyle name="Separador de milhares 3 11 2 2 7 2 5" xfId="35236"/>
    <cellStyle name="Separador de milhares 3 11 2 2 7 3" xfId="24948"/>
    <cellStyle name="Separador de milhares 3 11 2 2 7 3 2" xfId="50015"/>
    <cellStyle name="Separador de milhares 3 11 2 2 7 4" xfId="19034"/>
    <cellStyle name="Separador de milhares 3 11 2 2 7 4 2" xfId="44101"/>
    <cellStyle name="Separador de milhares 3 11 2 2 7 5" xfId="12933"/>
    <cellStyle name="Separador de milhares 3 11 2 2 7 5 2" xfId="38190"/>
    <cellStyle name="Separador de milhares 3 11 2 2 7 6" xfId="32279"/>
    <cellStyle name="Separador de milhares 3 11 2 2 8" xfId="8220"/>
    <cellStyle name="Separador de milhares 3 11 2 2 8 2" xfId="26434"/>
    <cellStyle name="Separador de milhares 3 11 2 2 8 2 2" xfId="51501"/>
    <cellStyle name="Separador de milhares 3 11 2 2 8 3" xfId="20520"/>
    <cellStyle name="Separador de milhares 3 11 2 2 8 3 2" xfId="45587"/>
    <cellStyle name="Separador de milhares 3 11 2 2 8 4" xfId="14609"/>
    <cellStyle name="Separador de milhares 3 11 2 2 8 4 2" xfId="39676"/>
    <cellStyle name="Separador de milhares 3 11 2 2 8 5" xfId="33765"/>
    <cellStyle name="Separador de milhares 3 11 2 2 9" xfId="4843"/>
    <cellStyle name="Separador de milhares 3 11 2 2 9 2" xfId="23477"/>
    <cellStyle name="Separador de milhares 3 11 2 2 9 2 2" xfId="48544"/>
    <cellStyle name="Separador de milhares 3 11 2 2 9 3" xfId="30809"/>
    <cellStyle name="Separador de milhares 3 11 2 3" xfId="934"/>
    <cellStyle name="Separador de milhares 3 11 2 3 2" xfId="6695"/>
    <cellStyle name="Separador de milhares 3 11 2 3 2 2" xfId="9842"/>
    <cellStyle name="Separador de milhares 3 11 2 3 2 2 2" xfId="28056"/>
    <cellStyle name="Separador de milhares 3 11 2 3 2 2 2 2" xfId="53123"/>
    <cellStyle name="Separador de milhares 3 11 2 3 2 2 3" xfId="22142"/>
    <cellStyle name="Separador de milhares 3 11 2 3 2 2 3 2" xfId="47209"/>
    <cellStyle name="Separador de milhares 3 11 2 3 2 2 4" xfId="16228"/>
    <cellStyle name="Separador de milhares 3 11 2 3 2 2 4 2" xfId="41295"/>
    <cellStyle name="Separador de milhares 3 11 2 3 2 2 5" xfId="35387"/>
    <cellStyle name="Separador de milhares 3 11 2 3 2 3" xfId="25099"/>
    <cellStyle name="Separador de milhares 3 11 2 3 2 3 2" xfId="50166"/>
    <cellStyle name="Separador de milhares 3 11 2 3 2 4" xfId="19185"/>
    <cellStyle name="Separador de milhares 3 11 2 3 2 4 2" xfId="44252"/>
    <cellStyle name="Separador de milhares 3 11 2 3 2 5" xfId="13084"/>
    <cellStyle name="Separador de milhares 3 11 2 3 2 5 2" xfId="38341"/>
    <cellStyle name="Separador de milhares 3 11 2 3 2 6" xfId="32430"/>
    <cellStyle name="Separador de milhares 3 11 2 3 3" xfId="8374"/>
    <cellStyle name="Separador de milhares 3 11 2 3 3 2" xfId="26588"/>
    <cellStyle name="Separador de milhares 3 11 2 3 3 2 2" xfId="51655"/>
    <cellStyle name="Separador de milhares 3 11 2 3 3 3" xfId="20674"/>
    <cellStyle name="Separador de milhares 3 11 2 3 3 3 2" xfId="45741"/>
    <cellStyle name="Separador de milhares 3 11 2 3 3 4" xfId="14760"/>
    <cellStyle name="Separador de milhares 3 11 2 3 3 4 2" xfId="39827"/>
    <cellStyle name="Separador de milhares 3 11 2 3 3 5" xfId="33919"/>
    <cellStyle name="Separador de milhares 3 11 2 3 4" xfId="4996"/>
    <cellStyle name="Separador de milhares 3 11 2 3 4 2" xfId="23631"/>
    <cellStyle name="Separador de milhares 3 11 2 3 4 2 2" xfId="48698"/>
    <cellStyle name="Separador de milhares 3 11 2 3 4 3" xfId="30962"/>
    <cellStyle name="Separador de milhares 3 11 2 3 5" xfId="17717"/>
    <cellStyle name="Separador de milhares 3 11 2 3 5 2" xfId="42784"/>
    <cellStyle name="Separador de milhares 3 11 2 3 6" xfId="11383"/>
    <cellStyle name="Separador de milhares 3 11 2 3 6 2" xfId="36873"/>
    <cellStyle name="Separador de milhares 3 11 2 3 7" xfId="29492"/>
    <cellStyle name="Separador de milhares 3 11 2 4" xfId="1285"/>
    <cellStyle name="Separador de milhares 3 11 2 4 2" xfId="6793"/>
    <cellStyle name="Separador de milhares 3 11 2 4 2 2" xfId="9940"/>
    <cellStyle name="Separador de milhares 3 11 2 4 2 2 2" xfId="28154"/>
    <cellStyle name="Separador de milhares 3 11 2 4 2 2 2 2" xfId="53221"/>
    <cellStyle name="Separador de milhares 3 11 2 4 2 2 3" xfId="22240"/>
    <cellStyle name="Separador de milhares 3 11 2 4 2 2 3 2" xfId="47307"/>
    <cellStyle name="Separador de milhares 3 11 2 4 2 2 4" xfId="16326"/>
    <cellStyle name="Separador de milhares 3 11 2 4 2 2 4 2" xfId="41393"/>
    <cellStyle name="Separador de milhares 3 11 2 4 2 2 5" xfId="35485"/>
    <cellStyle name="Separador de milhares 3 11 2 4 2 3" xfId="25197"/>
    <cellStyle name="Separador de milhares 3 11 2 4 2 3 2" xfId="50264"/>
    <cellStyle name="Separador de milhares 3 11 2 4 2 4" xfId="19283"/>
    <cellStyle name="Separador de milhares 3 11 2 4 2 4 2" xfId="44350"/>
    <cellStyle name="Separador de milhares 3 11 2 4 2 5" xfId="13182"/>
    <cellStyle name="Separador de milhares 3 11 2 4 2 5 2" xfId="38439"/>
    <cellStyle name="Separador de milhares 3 11 2 4 2 6" xfId="32528"/>
    <cellStyle name="Separador de milhares 3 11 2 4 3" xfId="8472"/>
    <cellStyle name="Separador de milhares 3 11 2 4 3 2" xfId="26686"/>
    <cellStyle name="Separador de milhares 3 11 2 4 3 2 2" xfId="51753"/>
    <cellStyle name="Separador de milhares 3 11 2 4 3 3" xfId="20772"/>
    <cellStyle name="Separador de milhares 3 11 2 4 3 3 2" xfId="45839"/>
    <cellStyle name="Separador de milhares 3 11 2 4 3 4" xfId="14858"/>
    <cellStyle name="Separador de milhares 3 11 2 4 3 4 2" xfId="39925"/>
    <cellStyle name="Separador de milhares 3 11 2 4 3 5" xfId="34017"/>
    <cellStyle name="Separador de milhares 3 11 2 4 4" xfId="5094"/>
    <cellStyle name="Separador de milhares 3 11 2 4 4 2" xfId="23729"/>
    <cellStyle name="Separador de milhares 3 11 2 4 4 2 2" xfId="48796"/>
    <cellStyle name="Separador de milhares 3 11 2 4 4 3" xfId="31060"/>
    <cellStyle name="Separador de milhares 3 11 2 4 5" xfId="17815"/>
    <cellStyle name="Separador de milhares 3 11 2 4 5 2" xfId="42882"/>
    <cellStyle name="Separador de milhares 3 11 2 4 6" xfId="11481"/>
    <cellStyle name="Separador de milhares 3 11 2 4 6 2" xfId="36971"/>
    <cellStyle name="Separador de milhares 3 11 2 4 7" xfId="29590"/>
    <cellStyle name="Separador de milhares 3 11 2 5" xfId="1720"/>
    <cellStyle name="Separador de milhares 3 11 2 5 2" xfId="6912"/>
    <cellStyle name="Separador de milhares 3 11 2 5 2 2" xfId="10059"/>
    <cellStyle name="Separador de milhares 3 11 2 5 2 2 2" xfId="28273"/>
    <cellStyle name="Separador de milhares 3 11 2 5 2 2 2 2" xfId="53340"/>
    <cellStyle name="Separador de milhares 3 11 2 5 2 2 3" xfId="22359"/>
    <cellStyle name="Separador de milhares 3 11 2 5 2 2 3 2" xfId="47426"/>
    <cellStyle name="Separador de milhares 3 11 2 5 2 2 4" xfId="16445"/>
    <cellStyle name="Separador de milhares 3 11 2 5 2 2 4 2" xfId="41512"/>
    <cellStyle name="Separador de milhares 3 11 2 5 2 2 5" xfId="35604"/>
    <cellStyle name="Separador de milhares 3 11 2 5 2 3" xfId="25316"/>
    <cellStyle name="Separador de milhares 3 11 2 5 2 3 2" xfId="50383"/>
    <cellStyle name="Separador de milhares 3 11 2 5 2 4" xfId="19402"/>
    <cellStyle name="Separador de milhares 3 11 2 5 2 4 2" xfId="44469"/>
    <cellStyle name="Separador de milhares 3 11 2 5 2 5" xfId="13301"/>
    <cellStyle name="Separador de milhares 3 11 2 5 2 5 2" xfId="38558"/>
    <cellStyle name="Separador de milhares 3 11 2 5 2 6" xfId="32647"/>
    <cellStyle name="Separador de milhares 3 11 2 5 3" xfId="8591"/>
    <cellStyle name="Separador de milhares 3 11 2 5 3 2" xfId="26805"/>
    <cellStyle name="Separador de milhares 3 11 2 5 3 2 2" xfId="51872"/>
    <cellStyle name="Separador de milhares 3 11 2 5 3 3" xfId="20891"/>
    <cellStyle name="Separador de milhares 3 11 2 5 3 3 2" xfId="45958"/>
    <cellStyle name="Separador de milhares 3 11 2 5 3 4" xfId="14977"/>
    <cellStyle name="Separador de milhares 3 11 2 5 3 4 2" xfId="40044"/>
    <cellStyle name="Separador de milhares 3 11 2 5 3 5" xfId="34136"/>
    <cellStyle name="Separador de milhares 3 11 2 5 4" xfId="5213"/>
    <cellStyle name="Separador de milhares 3 11 2 5 4 2" xfId="23848"/>
    <cellStyle name="Separador de milhares 3 11 2 5 4 2 2" xfId="48915"/>
    <cellStyle name="Separador de milhares 3 11 2 5 4 3" xfId="31179"/>
    <cellStyle name="Separador de milhares 3 11 2 5 5" xfId="17934"/>
    <cellStyle name="Separador de milhares 3 11 2 5 5 2" xfId="43001"/>
    <cellStyle name="Separador de milhares 3 11 2 5 6" xfId="11600"/>
    <cellStyle name="Separador de milhares 3 11 2 5 6 2" xfId="37090"/>
    <cellStyle name="Separador de milhares 3 11 2 5 7" xfId="29709"/>
    <cellStyle name="Separador de milhares 3 11 2 6" xfId="2250"/>
    <cellStyle name="Separador de milhares 3 11 2 6 2" xfId="7062"/>
    <cellStyle name="Separador de milhares 3 11 2 6 2 2" xfId="10206"/>
    <cellStyle name="Separador de milhares 3 11 2 6 2 2 2" xfId="28420"/>
    <cellStyle name="Separador de milhares 3 11 2 6 2 2 2 2" xfId="53487"/>
    <cellStyle name="Separador de milhares 3 11 2 6 2 2 3" xfId="22506"/>
    <cellStyle name="Separador de milhares 3 11 2 6 2 2 3 2" xfId="47573"/>
    <cellStyle name="Separador de milhares 3 11 2 6 2 2 4" xfId="16592"/>
    <cellStyle name="Separador de milhares 3 11 2 6 2 2 4 2" xfId="41659"/>
    <cellStyle name="Separador de milhares 3 11 2 6 2 2 5" xfId="35751"/>
    <cellStyle name="Separador de milhares 3 11 2 6 2 3" xfId="25463"/>
    <cellStyle name="Separador de milhares 3 11 2 6 2 3 2" xfId="50530"/>
    <cellStyle name="Separador de milhares 3 11 2 6 2 4" xfId="19549"/>
    <cellStyle name="Separador de milhares 3 11 2 6 2 4 2" xfId="44616"/>
    <cellStyle name="Separador de milhares 3 11 2 6 2 5" xfId="13451"/>
    <cellStyle name="Separador de milhares 3 11 2 6 2 5 2" xfId="38705"/>
    <cellStyle name="Separador de milhares 3 11 2 6 2 6" xfId="32794"/>
    <cellStyle name="Separador de milhares 3 11 2 6 3" xfId="8738"/>
    <cellStyle name="Separador de milhares 3 11 2 6 3 2" xfId="26952"/>
    <cellStyle name="Separador de milhares 3 11 2 6 3 2 2" xfId="52019"/>
    <cellStyle name="Separador de milhares 3 11 2 6 3 3" xfId="21038"/>
    <cellStyle name="Separador de milhares 3 11 2 6 3 3 2" xfId="46105"/>
    <cellStyle name="Separador de milhares 3 11 2 6 3 4" xfId="15124"/>
    <cellStyle name="Separador de milhares 3 11 2 6 3 4 2" xfId="40191"/>
    <cellStyle name="Separador de milhares 3 11 2 6 3 5" xfId="34283"/>
    <cellStyle name="Separador de milhares 3 11 2 6 4" xfId="5363"/>
    <cellStyle name="Separador de milhares 3 11 2 6 4 2" xfId="23995"/>
    <cellStyle name="Separador de milhares 3 11 2 6 4 2 2" xfId="49062"/>
    <cellStyle name="Separador de milhares 3 11 2 6 4 3" xfId="31326"/>
    <cellStyle name="Separador de milhares 3 11 2 6 5" xfId="18081"/>
    <cellStyle name="Separador de milhares 3 11 2 6 5 2" xfId="43148"/>
    <cellStyle name="Separador de milhares 3 11 2 6 6" xfId="11750"/>
    <cellStyle name="Separador de milhares 3 11 2 6 6 2" xfId="37237"/>
    <cellStyle name="Separador de milhares 3 11 2 6 7" xfId="29856"/>
    <cellStyle name="Separador de milhares 3 11 2 7" xfId="2777"/>
    <cellStyle name="Separador de milhares 3 11 2 7 2" xfId="7209"/>
    <cellStyle name="Separador de milhares 3 11 2 7 2 2" xfId="10353"/>
    <cellStyle name="Separador de milhares 3 11 2 7 2 2 2" xfId="28567"/>
    <cellStyle name="Separador de milhares 3 11 2 7 2 2 2 2" xfId="53634"/>
    <cellStyle name="Separador de milhares 3 11 2 7 2 2 3" xfId="22653"/>
    <cellStyle name="Separador de milhares 3 11 2 7 2 2 3 2" xfId="47720"/>
    <cellStyle name="Separador de milhares 3 11 2 7 2 2 4" xfId="16739"/>
    <cellStyle name="Separador de milhares 3 11 2 7 2 2 4 2" xfId="41806"/>
    <cellStyle name="Separador de milhares 3 11 2 7 2 2 5" xfId="35898"/>
    <cellStyle name="Separador de milhares 3 11 2 7 2 3" xfId="25610"/>
    <cellStyle name="Separador de milhares 3 11 2 7 2 3 2" xfId="50677"/>
    <cellStyle name="Separador de milhares 3 11 2 7 2 4" xfId="19696"/>
    <cellStyle name="Separador de milhares 3 11 2 7 2 4 2" xfId="44763"/>
    <cellStyle name="Separador de milhares 3 11 2 7 2 5" xfId="13598"/>
    <cellStyle name="Separador de milhares 3 11 2 7 2 5 2" xfId="38852"/>
    <cellStyle name="Separador de milhares 3 11 2 7 2 6" xfId="32941"/>
    <cellStyle name="Separador de milhares 3 11 2 7 3" xfId="8885"/>
    <cellStyle name="Separador de milhares 3 11 2 7 3 2" xfId="27099"/>
    <cellStyle name="Separador de milhares 3 11 2 7 3 2 2" xfId="52166"/>
    <cellStyle name="Separador de milhares 3 11 2 7 3 3" xfId="21185"/>
    <cellStyle name="Separador de milhares 3 11 2 7 3 3 2" xfId="46252"/>
    <cellStyle name="Separador de milhares 3 11 2 7 3 4" xfId="15271"/>
    <cellStyle name="Separador de milhares 3 11 2 7 3 4 2" xfId="40338"/>
    <cellStyle name="Separador de milhares 3 11 2 7 3 5" xfId="34430"/>
    <cellStyle name="Separador de milhares 3 11 2 7 4" xfId="5510"/>
    <cellStyle name="Separador de milhares 3 11 2 7 4 2" xfId="24142"/>
    <cellStyle name="Separador de milhares 3 11 2 7 4 2 2" xfId="49209"/>
    <cellStyle name="Separador de milhares 3 11 2 7 4 3" xfId="31473"/>
    <cellStyle name="Separador de milhares 3 11 2 7 5" xfId="18228"/>
    <cellStyle name="Separador de milhares 3 11 2 7 5 2" xfId="43295"/>
    <cellStyle name="Separador de milhares 3 11 2 7 6" xfId="11897"/>
    <cellStyle name="Separador de milhares 3 11 2 7 6 2" xfId="37384"/>
    <cellStyle name="Separador de milhares 3 11 2 7 7" xfId="30003"/>
    <cellStyle name="Separador de milhares 3 11 2 8" xfId="3304"/>
    <cellStyle name="Separador de milhares 3 11 2 8 2" xfId="7356"/>
    <cellStyle name="Separador de milhares 3 11 2 8 2 2" xfId="10500"/>
    <cellStyle name="Separador de milhares 3 11 2 8 2 2 2" xfId="28714"/>
    <cellStyle name="Separador de milhares 3 11 2 8 2 2 2 2" xfId="53781"/>
    <cellStyle name="Separador de milhares 3 11 2 8 2 2 3" xfId="22800"/>
    <cellStyle name="Separador de milhares 3 11 2 8 2 2 3 2" xfId="47867"/>
    <cellStyle name="Separador de milhares 3 11 2 8 2 2 4" xfId="16886"/>
    <cellStyle name="Separador de milhares 3 11 2 8 2 2 4 2" xfId="41953"/>
    <cellStyle name="Separador de milhares 3 11 2 8 2 2 5" xfId="36045"/>
    <cellStyle name="Separador de milhares 3 11 2 8 2 3" xfId="25757"/>
    <cellStyle name="Separador de milhares 3 11 2 8 2 3 2" xfId="50824"/>
    <cellStyle name="Separador de milhares 3 11 2 8 2 4" xfId="19843"/>
    <cellStyle name="Separador de milhares 3 11 2 8 2 4 2" xfId="44910"/>
    <cellStyle name="Separador de milhares 3 11 2 8 2 5" xfId="13745"/>
    <cellStyle name="Separador de milhares 3 11 2 8 2 5 2" xfId="38999"/>
    <cellStyle name="Separador de milhares 3 11 2 8 2 6" xfId="33088"/>
    <cellStyle name="Separador de milhares 3 11 2 8 3" xfId="9032"/>
    <cellStyle name="Separador de milhares 3 11 2 8 3 2" xfId="27246"/>
    <cellStyle name="Separador de milhares 3 11 2 8 3 2 2" xfId="52313"/>
    <cellStyle name="Separador de milhares 3 11 2 8 3 3" xfId="21332"/>
    <cellStyle name="Separador de milhares 3 11 2 8 3 3 2" xfId="46399"/>
    <cellStyle name="Separador de milhares 3 11 2 8 3 4" xfId="15418"/>
    <cellStyle name="Separador de milhares 3 11 2 8 3 4 2" xfId="40485"/>
    <cellStyle name="Separador de milhares 3 11 2 8 3 5" xfId="34577"/>
    <cellStyle name="Separador de milhares 3 11 2 8 4" xfId="5657"/>
    <cellStyle name="Separador de milhares 3 11 2 8 4 2" xfId="24289"/>
    <cellStyle name="Separador de milhares 3 11 2 8 4 2 2" xfId="49356"/>
    <cellStyle name="Separador de milhares 3 11 2 8 4 3" xfId="31620"/>
    <cellStyle name="Separador de milhares 3 11 2 8 5" xfId="18375"/>
    <cellStyle name="Separador de milhares 3 11 2 8 5 2" xfId="43442"/>
    <cellStyle name="Separador de milhares 3 11 2 8 6" xfId="12044"/>
    <cellStyle name="Separador de milhares 3 11 2 8 6 2" xfId="37531"/>
    <cellStyle name="Separador de milhares 3 11 2 8 7" xfId="30150"/>
    <cellStyle name="Separador de milhares 3 11 2 9" xfId="3831"/>
    <cellStyle name="Separador de milhares 3 11 2 9 2" xfId="7503"/>
    <cellStyle name="Separador de milhares 3 11 2 9 2 2" xfId="10647"/>
    <cellStyle name="Separador de milhares 3 11 2 9 2 2 2" xfId="28861"/>
    <cellStyle name="Separador de milhares 3 11 2 9 2 2 2 2" xfId="53928"/>
    <cellStyle name="Separador de milhares 3 11 2 9 2 2 3" xfId="22947"/>
    <cellStyle name="Separador de milhares 3 11 2 9 2 2 3 2" xfId="48014"/>
    <cellStyle name="Separador de milhares 3 11 2 9 2 2 4" xfId="17033"/>
    <cellStyle name="Separador de milhares 3 11 2 9 2 2 4 2" xfId="42100"/>
    <cellStyle name="Separador de milhares 3 11 2 9 2 2 5" xfId="36192"/>
    <cellStyle name="Separador de milhares 3 11 2 9 2 3" xfId="25904"/>
    <cellStyle name="Separador de milhares 3 11 2 9 2 3 2" xfId="50971"/>
    <cellStyle name="Separador de milhares 3 11 2 9 2 4" xfId="19990"/>
    <cellStyle name="Separador de milhares 3 11 2 9 2 4 2" xfId="45057"/>
    <cellStyle name="Separador de milhares 3 11 2 9 2 5" xfId="13892"/>
    <cellStyle name="Separador de milhares 3 11 2 9 2 5 2" xfId="39146"/>
    <cellStyle name="Separador de milhares 3 11 2 9 2 6" xfId="33235"/>
    <cellStyle name="Separador de milhares 3 11 2 9 3" xfId="9179"/>
    <cellStyle name="Separador de milhares 3 11 2 9 3 2" xfId="27393"/>
    <cellStyle name="Separador de milhares 3 11 2 9 3 2 2" xfId="52460"/>
    <cellStyle name="Separador de milhares 3 11 2 9 3 3" xfId="21479"/>
    <cellStyle name="Separador de milhares 3 11 2 9 3 3 2" xfId="46546"/>
    <cellStyle name="Separador de milhares 3 11 2 9 3 4" xfId="15565"/>
    <cellStyle name="Separador de milhares 3 11 2 9 3 4 2" xfId="40632"/>
    <cellStyle name="Separador de milhares 3 11 2 9 3 5" xfId="34724"/>
    <cellStyle name="Separador de milhares 3 11 2 9 4" xfId="5804"/>
    <cellStyle name="Separador de milhares 3 11 2 9 4 2" xfId="24436"/>
    <cellStyle name="Separador de milhares 3 11 2 9 4 2 2" xfId="49503"/>
    <cellStyle name="Separador de milhares 3 11 2 9 4 3" xfId="31767"/>
    <cellStyle name="Separador de milhares 3 11 2 9 5" xfId="18522"/>
    <cellStyle name="Separador de milhares 3 11 2 9 5 2" xfId="43589"/>
    <cellStyle name="Separador de milhares 3 11 2 9 6" xfId="12191"/>
    <cellStyle name="Separador de milhares 3 11 2 9 6 2" xfId="37678"/>
    <cellStyle name="Separador de milhares 3 11 2 9 7" xfId="30297"/>
    <cellStyle name="Separador de milhares 3 11 3" xfId="283"/>
    <cellStyle name="Separador de milhares 3 11 3 10" xfId="6494"/>
    <cellStyle name="Separador de milhares 3 11 3 10 2" xfId="9645"/>
    <cellStyle name="Separador de milhares 3 11 3 10 2 2" xfId="27859"/>
    <cellStyle name="Separador de milhares 3 11 3 10 2 2 2" xfId="52926"/>
    <cellStyle name="Separador de milhares 3 11 3 10 2 3" xfId="21945"/>
    <cellStyle name="Separador de milhares 3 11 3 10 2 3 2" xfId="47012"/>
    <cellStyle name="Separador de milhares 3 11 3 10 2 4" xfId="16031"/>
    <cellStyle name="Separador de milhares 3 11 3 10 2 4 2" xfId="41098"/>
    <cellStyle name="Separador de milhares 3 11 3 10 2 5" xfId="35190"/>
    <cellStyle name="Separador de milhares 3 11 3 10 3" xfId="24902"/>
    <cellStyle name="Separador de milhares 3 11 3 10 3 2" xfId="49969"/>
    <cellStyle name="Separador de milhares 3 11 3 10 4" xfId="18988"/>
    <cellStyle name="Separador de milhares 3 11 3 10 4 2" xfId="44055"/>
    <cellStyle name="Separador de milhares 3 11 3 10 5" xfId="12883"/>
    <cellStyle name="Separador de milhares 3 11 3 10 5 2" xfId="38144"/>
    <cellStyle name="Separador de milhares 3 11 3 10 6" xfId="32233"/>
    <cellStyle name="Separador de milhares 3 11 3 11" xfId="8174"/>
    <cellStyle name="Separador de milhares 3 11 3 11 2" xfId="26388"/>
    <cellStyle name="Separador de milhares 3 11 3 11 2 2" xfId="51455"/>
    <cellStyle name="Separador de milhares 3 11 3 11 3" xfId="20474"/>
    <cellStyle name="Separador de milhares 3 11 3 11 3 2" xfId="45541"/>
    <cellStyle name="Separador de milhares 3 11 3 11 4" xfId="14563"/>
    <cellStyle name="Separador de milhares 3 11 3 11 4 2" xfId="39630"/>
    <cellStyle name="Separador de milhares 3 11 3 11 5" xfId="33719"/>
    <cellStyle name="Separador de milhares 3 11 3 12" xfId="4793"/>
    <cellStyle name="Separador de milhares 3 11 3 12 2" xfId="23431"/>
    <cellStyle name="Separador de milhares 3 11 3 12 2 2" xfId="48498"/>
    <cellStyle name="Separador de milhares 3 11 3 12 3" xfId="30763"/>
    <cellStyle name="Separador de milhares 3 11 3 13" xfId="17517"/>
    <cellStyle name="Separador de milhares 3 11 3 13 2" xfId="42584"/>
    <cellStyle name="Separador de milhares 3 11 3 14" xfId="11182"/>
    <cellStyle name="Separador de milhares 3 11 3 14 2" xfId="36676"/>
    <cellStyle name="Separador de milhares 3 11 3 15" xfId="29292"/>
    <cellStyle name="Separador de milhares 3 11 3 2" xfId="546"/>
    <cellStyle name="Separador de milhares 3 11 3 2 2" xfId="6565"/>
    <cellStyle name="Separador de milhares 3 11 3 2 2 2" xfId="9712"/>
    <cellStyle name="Separador de milhares 3 11 3 2 2 2 2" xfId="27926"/>
    <cellStyle name="Separador de milhares 3 11 3 2 2 2 2 2" xfId="52993"/>
    <cellStyle name="Separador de milhares 3 11 3 2 2 2 3" xfId="22012"/>
    <cellStyle name="Separador de milhares 3 11 3 2 2 2 3 2" xfId="47079"/>
    <cellStyle name="Separador de milhares 3 11 3 2 2 2 4" xfId="16098"/>
    <cellStyle name="Separador de milhares 3 11 3 2 2 2 4 2" xfId="41165"/>
    <cellStyle name="Separador de milhares 3 11 3 2 2 2 5" xfId="35257"/>
    <cellStyle name="Separador de milhares 3 11 3 2 2 3" xfId="24969"/>
    <cellStyle name="Separador de milhares 3 11 3 2 2 3 2" xfId="50036"/>
    <cellStyle name="Separador de milhares 3 11 3 2 2 4" xfId="19055"/>
    <cellStyle name="Separador de milhares 3 11 3 2 2 4 2" xfId="44122"/>
    <cellStyle name="Separador de milhares 3 11 3 2 2 5" xfId="12954"/>
    <cellStyle name="Separador de milhares 3 11 3 2 2 5 2" xfId="38211"/>
    <cellStyle name="Separador de milhares 3 11 3 2 2 6" xfId="32300"/>
    <cellStyle name="Separador de milhares 3 11 3 2 3" xfId="8241"/>
    <cellStyle name="Separador de milhares 3 11 3 2 3 2" xfId="26455"/>
    <cellStyle name="Separador de milhares 3 11 3 2 3 2 2" xfId="51522"/>
    <cellStyle name="Separador de milhares 3 11 3 2 3 3" xfId="20541"/>
    <cellStyle name="Separador de milhares 3 11 3 2 3 3 2" xfId="45608"/>
    <cellStyle name="Separador de milhares 3 11 3 2 3 4" xfId="14630"/>
    <cellStyle name="Separador de milhares 3 11 3 2 3 4 2" xfId="39697"/>
    <cellStyle name="Separador de milhares 3 11 3 2 3 5" xfId="33786"/>
    <cellStyle name="Separador de milhares 3 11 3 2 4" xfId="4864"/>
    <cellStyle name="Separador de milhares 3 11 3 2 4 2" xfId="23498"/>
    <cellStyle name="Separador de milhares 3 11 3 2 4 2 2" xfId="48565"/>
    <cellStyle name="Separador de milhares 3 11 3 2 4 3" xfId="30830"/>
    <cellStyle name="Separador de milhares 3 11 3 2 5" xfId="17584"/>
    <cellStyle name="Separador de milhares 3 11 3 2 5 2" xfId="42651"/>
    <cellStyle name="Separador de milhares 3 11 3 2 6" xfId="11253"/>
    <cellStyle name="Separador de milhares 3 11 3 2 6 2" xfId="36743"/>
    <cellStyle name="Separador de milhares 3 11 3 2 7" xfId="29359"/>
    <cellStyle name="Separador de milhares 3 11 3 3" xfId="843"/>
    <cellStyle name="Separador de milhares 3 11 3 3 2" xfId="6667"/>
    <cellStyle name="Separador de milhares 3 11 3 3 2 2" xfId="9814"/>
    <cellStyle name="Separador de milhares 3 11 3 3 2 2 2" xfId="28028"/>
    <cellStyle name="Separador de milhares 3 11 3 3 2 2 2 2" xfId="53095"/>
    <cellStyle name="Separador de milhares 3 11 3 3 2 2 3" xfId="22114"/>
    <cellStyle name="Separador de milhares 3 11 3 3 2 2 3 2" xfId="47181"/>
    <cellStyle name="Separador de milhares 3 11 3 3 2 2 4" xfId="16200"/>
    <cellStyle name="Separador de milhares 3 11 3 3 2 2 4 2" xfId="41267"/>
    <cellStyle name="Separador de milhares 3 11 3 3 2 2 5" xfId="35359"/>
    <cellStyle name="Separador de milhares 3 11 3 3 2 3" xfId="25071"/>
    <cellStyle name="Separador de milhares 3 11 3 3 2 3 2" xfId="50138"/>
    <cellStyle name="Separador de milhares 3 11 3 3 2 4" xfId="19157"/>
    <cellStyle name="Separador de milhares 3 11 3 3 2 4 2" xfId="44224"/>
    <cellStyle name="Separador de milhares 3 11 3 3 2 5" xfId="13056"/>
    <cellStyle name="Separador de milhares 3 11 3 3 2 5 2" xfId="38313"/>
    <cellStyle name="Separador de milhares 3 11 3 3 2 6" xfId="32402"/>
    <cellStyle name="Separador de milhares 3 11 3 3 3" xfId="8346"/>
    <cellStyle name="Separador de milhares 3 11 3 3 3 2" xfId="26560"/>
    <cellStyle name="Separador de milhares 3 11 3 3 3 2 2" xfId="51627"/>
    <cellStyle name="Separador de milhares 3 11 3 3 3 3" xfId="20646"/>
    <cellStyle name="Separador de milhares 3 11 3 3 3 3 2" xfId="45713"/>
    <cellStyle name="Separador de milhares 3 11 3 3 3 4" xfId="14732"/>
    <cellStyle name="Separador de milhares 3 11 3 3 3 4 2" xfId="39799"/>
    <cellStyle name="Separador de milhares 3 11 3 3 3 5" xfId="33891"/>
    <cellStyle name="Separador de milhares 3 11 3 3 4" xfId="4968"/>
    <cellStyle name="Separador de milhares 3 11 3 3 4 2" xfId="23603"/>
    <cellStyle name="Separador de milhares 3 11 3 3 4 2 2" xfId="48670"/>
    <cellStyle name="Separador de milhares 3 11 3 3 4 3" xfId="30934"/>
    <cellStyle name="Separador de milhares 3 11 3 3 5" xfId="17689"/>
    <cellStyle name="Separador de milhares 3 11 3 3 5 2" xfId="42756"/>
    <cellStyle name="Separador de milhares 3 11 3 3 6" xfId="11355"/>
    <cellStyle name="Separador de milhares 3 11 3 3 6 2" xfId="36845"/>
    <cellStyle name="Separador de milhares 3 11 3 3 7" xfId="29464"/>
    <cellStyle name="Separador de milhares 3 11 3 4" xfId="1194"/>
    <cellStyle name="Separador de milhares 3 11 3 4 2" xfId="6765"/>
    <cellStyle name="Separador de milhares 3 11 3 4 2 2" xfId="9912"/>
    <cellStyle name="Separador de milhares 3 11 3 4 2 2 2" xfId="28126"/>
    <cellStyle name="Separador de milhares 3 11 3 4 2 2 2 2" xfId="53193"/>
    <cellStyle name="Separador de milhares 3 11 3 4 2 2 3" xfId="22212"/>
    <cellStyle name="Separador de milhares 3 11 3 4 2 2 3 2" xfId="47279"/>
    <cellStyle name="Separador de milhares 3 11 3 4 2 2 4" xfId="16298"/>
    <cellStyle name="Separador de milhares 3 11 3 4 2 2 4 2" xfId="41365"/>
    <cellStyle name="Separador de milhares 3 11 3 4 2 2 5" xfId="35457"/>
    <cellStyle name="Separador de milhares 3 11 3 4 2 3" xfId="25169"/>
    <cellStyle name="Separador de milhares 3 11 3 4 2 3 2" xfId="50236"/>
    <cellStyle name="Separador de milhares 3 11 3 4 2 4" xfId="19255"/>
    <cellStyle name="Separador de milhares 3 11 3 4 2 4 2" xfId="44322"/>
    <cellStyle name="Separador de milhares 3 11 3 4 2 5" xfId="13154"/>
    <cellStyle name="Separador de milhares 3 11 3 4 2 5 2" xfId="38411"/>
    <cellStyle name="Separador de milhares 3 11 3 4 2 6" xfId="32500"/>
    <cellStyle name="Separador de milhares 3 11 3 4 3" xfId="8444"/>
    <cellStyle name="Separador de milhares 3 11 3 4 3 2" xfId="26658"/>
    <cellStyle name="Separador de milhares 3 11 3 4 3 2 2" xfId="51725"/>
    <cellStyle name="Separador de milhares 3 11 3 4 3 3" xfId="20744"/>
    <cellStyle name="Separador de milhares 3 11 3 4 3 3 2" xfId="45811"/>
    <cellStyle name="Separador de milhares 3 11 3 4 3 4" xfId="14830"/>
    <cellStyle name="Separador de milhares 3 11 3 4 3 4 2" xfId="39897"/>
    <cellStyle name="Separador de milhares 3 11 3 4 3 5" xfId="33989"/>
    <cellStyle name="Separador de milhares 3 11 3 4 4" xfId="5066"/>
    <cellStyle name="Separador de milhares 3 11 3 4 4 2" xfId="23701"/>
    <cellStyle name="Separador de milhares 3 11 3 4 4 2 2" xfId="48768"/>
    <cellStyle name="Separador de milhares 3 11 3 4 4 3" xfId="31032"/>
    <cellStyle name="Separador de milhares 3 11 3 4 5" xfId="17787"/>
    <cellStyle name="Separador de milhares 3 11 3 4 5 2" xfId="42854"/>
    <cellStyle name="Separador de milhares 3 11 3 4 6" xfId="11453"/>
    <cellStyle name="Separador de milhares 3 11 3 4 6 2" xfId="36943"/>
    <cellStyle name="Separador de milhares 3 11 3 4 7" xfId="29562"/>
    <cellStyle name="Separador de milhares 3 11 3 5" xfId="1629"/>
    <cellStyle name="Separador de milhares 3 11 3 5 2" xfId="6884"/>
    <cellStyle name="Separador de milhares 3 11 3 5 2 2" xfId="10031"/>
    <cellStyle name="Separador de milhares 3 11 3 5 2 2 2" xfId="28245"/>
    <cellStyle name="Separador de milhares 3 11 3 5 2 2 2 2" xfId="53312"/>
    <cellStyle name="Separador de milhares 3 11 3 5 2 2 3" xfId="22331"/>
    <cellStyle name="Separador de milhares 3 11 3 5 2 2 3 2" xfId="47398"/>
    <cellStyle name="Separador de milhares 3 11 3 5 2 2 4" xfId="16417"/>
    <cellStyle name="Separador de milhares 3 11 3 5 2 2 4 2" xfId="41484"/>
    <cellStyle name="Separador de milhares 3 11 3 5 2 2 5" xfId="35576"/>
    <cellStyle name="Separador de milhares 3 11 3 5 2 3" xfId="25288"/>
    <cellStyle name="Separador de milhares 3 11 3 5 2 3 2" xfId="50355"/>
    <cellStyle name="Separador de milhares 3 11 3 5 2 4" xfId="19374"/>
    <cellStyle name="Separador de milhares 3 11 3 5 2 4 2" xfId="44441"/>
    <cellStyle name="Separador de milhares 3 11 3 5 2 5" xfId="13273"/>
    <cellStyle name="Separador de milhares 3 11 3 5 2 5 2" xfId="38530"/>
    <cellStyle name="Separador de milhares 3 11 3 5 2 6" xfId="32619"/>
    <cellStyle name="Separador de milhares 3 11 3 5 3" xfId="8563"/>
    <cellStyle name="Separador de milhares 3 11 3 5 3 2" xfId="26777"/>
    <cellStyle name="Separador de milhares 3 11 3 5 3 2 2" xfId="51844"/>
    <cellStyle name="Separador de milhares 3 11 3 5 3 3" xfId="20863"/>
    <cellStyle name="Separador de milhares 3 11 3 5 3 3 2" xfId="45930"/>
    <cellStyle name="Separador de milhares 3 11 3 5 3 4" xfId="14949"/>
    <cellStyle name="Separador de milhares 3 11 3 5 3 4 2" xfId="40016"/>
    <cellStyle name="Separador de milhares 3 11 3 5 3 5" xfId="34108"/>
    <cellStyle name="Separador de milhares 3 11 3 5 4" xfId="5185"/>
    <cellStyle name="Separador de milhares 3 11 3 5 4 2" xfId="23820"/>
    <cellStyle name="Separador de milhares 3 11 3 5 4 2 2" xfId="48887"/>
    <cellStyle name="Separador de milhares 3 11 3 5 4 3" xfId="31151"/>
    <cellStyle name="Separador de milhares 3 11 3 5 5" xfId="17906"/>
    <cellStyle name="Separador de milhares 3 11 3 5 5 2" xfId="42973"/>
    <cellStyle name="Separador de milhares 3 11 3 5 6" xfId="11572"/>
    <cellStyle name="Separador de milhares 3 11 3 5 6 2" xfId="37062"/>
    <cellStyle name="Separador de milhares 3 11 3 5 7" xfId="29681"/>
    <cellStyle name="Separador de milhares 3 11 3 6" xfId="2159"/>
    <cellStyle name="Separador de milhares 3 11 3 6 2" xfId="7034"/>
    <cellStyle name="Separador de milhares 3 11 3 6 2 2" xfId="10178"/>
    <cellStyle name="Separador de milhares 3 11 3 6 2 2 2" xfId="28392"/>
    <cellStyle name="Separador de milhares 3 11 3 6 2 2 2 2" xfId="53459"/>
    <cellStyle name="Separador de milhares 3 11 3 6 2 2 3" xfId="22478"/>
    <cellStyle name="Separador de milhares 3 11 3 6 2 2 3 2" xfId="47545"/>
    <cellStyle name="Separador de milhares 3 11 3 6 2 2 4" xfId="16564"/>
    <cellStyle name="Separador de milhares 3 11 3 6 2 2 4 2" xfId="41631"/>
    <cellStyle name="Separador de milhares 3 11 3 6 2 2 5" xfId="35723"/>
    <cellStyle name="Separador de milhares 3 11 3 6 2 3" xfId="25435"/>
    <cellStyle name="Separador de milhares 3 11 3 6 2 3 2" xfId="50502"/>
    <cellStyle name="Separador de milhares 3 11 3 6 2 4" xfId="19521"/>
    <cellStyle name="Separador de milhares 3 11 3 6 2 4 2" xfId="44588"/>
    <cellStyle name="Separador de milhares 3 11 3 6 2 5" xfId="13423"/>
    <cellStyle name="Separador de milhares 3 11 3 6 2 5 2" xfId="38677"/>
    <cellStyle name="Separador de milhares 3 11 3 6 2 6" xfId="32766"/>
    <cellStyle name="Separador de milhares 3 11 3 6 3" xfId="8710"/>
    <cellStyle name="Separador de milhares 3 11 3 6 3 2" xfId="26924"/>
    <cellStyle name="Separador de milhares 3 11 3 6 3 2 2" xfId="51991"/>
    <cellStyle name="Separador de milhares 3 11 3 6 3 3" xfId="21010"/>
    <cellStyle name="Separador de milhares 3 11 3 6 3 3 2" xfId="46077"/>
    <cellStyle name="Separador de milhares 3 11 3 6 3 4" xfId="15096"/>
    <cellStyle name="Separador de milhares 3 11 3 6 3 4 2" xfId="40163"/>
    <cellStyle name="Separador de milhares 3 11 3 6 3 5" xfId="34255"/>
    <cellStyle name="Separador de milhares 3 11 3 6 4" xfId="5335"/>
    <cellStyle name="Separador de milhares 3 11 3 6 4 2" xfId="23967"/>
    <cellStyle name="Separador de milhares 3 11 3 6 4 2 2" xfId="49034"/>
    <cellStyle name="Separador de milhares 3 11 3 6 4 3" xfId="31298"/>
    <cellStyle name="Separador de milhares 3 11 3 6 5" xfId="18053"/>
    <cellStyle name="Separador de milhares 3 11 3 6 5 2" xfId="43120"/>
    <cellStyle name="Separador de milhares 3 11 3 6 6" xfId="11722"/>
    <cellStyle name="Separador de milhares 3 11 3 6 6 2" xfId="37209"/>
    <cellStyle name="Separador de milhares 3 11 3 6 7" xfId="29828"/>
    <cellStyle name="Separador de milhares 3 11 3 7" xfId="2686"/>
    <cellStyle name="Separador de milhares 3 11 3 7 2" xfId="7181"/>
    <cellStyle name="Separador de milhares 3 11 3 7 2 2" xfId="10325"/>
    <cellStyle name="Separador de milhares 3 11 3 7 2 2 2" xfId="28539"/>
    <cellStyle name="Separador de milhares 3 11 3 7 2 2 2 2" xfId="53606"/>
    <cellStyle name="Separador de milhares 3 11 3 7 2 2 3" xfId="22625"/>
    <cellStyle name="Separador de milhares 3 11 3 7 2 2 3 2" xfId="47692"/>
    <cellStyle name="Separador de milhares 3 11 3 7 2 2 4" xfId="16711"/>
    <cellStyle name="Separador de milhares 3 11 3 7 2 2 4 2" xfId="41778"/>
    <cellStyle name="Separador de milhares 3 11 3 7 2 2 5" xfId="35870"/>
    <cellStyle name="Separador de milhares 3 11 3 7 2 3" xfId="25582"/>
    <cellStyle name="Separador de milhares 3 11 3 7 2 3 2" xfId="50649"/>
    <cellStyle name="Separador de milhares 3 11 3 7 2 4" xfId="19668"/>
    <cellStyle name="Separador de milhares 3 11 3 7 2 4 2" xfId="44735"/>
    <cellStyle name="Separador de milhares 3 11 3 7 2 5" xfId="13570"/>
    <cellStyle name="Separador de milhares 3 11 3 7 2 5 2" xfId="38824"/>
    <cellStyle name="Separador de milhares 3 11 3 7 2 6" xfId="32913"/>
    <cellStyle name="Separador de milhares 3 11 3 7 3" xfId="8857"/>
    <cellStyle name="Separador de milhares 3 11 3 7 3 2" xfId="27071"/>
    <cellStyle name="Separador de milhares 3 11 3 7 3 2 2" xfId="52138"/>
    <cellStyle name="Separador de milhares 3 11 3 7 3 3" xfId="21157"/>
    <cellStyle name="Separador de milhares 3 11 3 7 3 3 2" xfId="46224"/>
    <cellStyle name="Separador de milhares 3 11 3 7 3 4" xfId="15243"/>
    <cellStyle name="Separador de milhares 3 11 3 7 3 4 2" xfId="40310"/>
    <cellStyle name="Separador de milhares 3 11 3 7 3 5" xfId="34402"/>
    <cellStyle name="Separador de milhares 3 11 3 7 4" xfId="5482"/>
    <cellStyle name="Separador de milhares 3 11 3 7 4 2" xfId="24114"/>
    <cellStyle name="Separador de milhares 3 11 3 7 4 2 2" xfId="49181"/>
    <cellStyle name="Separador de milhares 3 11 3 7 4 3" xfId="31445"/>
    <cellStyle name="Separador de milhares 3 11 3 7 5" xfId="18200"/>
    <cellStyle name="Separador de milhares 3 11 3 7 5 2" xfId="43267"/>
    <cellStyle name="Separador de milhares 3 11 3 7 6" xfId="11869"/>
    <cellStyle name="Separador de milhares 3 11 3 7 6 2" xfId="37356"/>
    <cellStyle name="Separador de milhares 3 11 3 7 7" xfId="29975"/>
    <cellStyle name="Separador de milhares 3 11 3 8" xfId="3213"/>
    <cellStyle name="Separador de milhares 3 11 3 8 2" xfId="7328"/>
    <cellStyle name="Separador de milhares 3 11 3 8 2 2" xfId="10472"/>
    <cellStyle name="Separador de milhares 3 11 3 8 2 2 2" xfId="28686"/>
    <cellStyle name="Separador de milhares 3 11 3 8 2 2 2 2" xfId="53753"/>
    <cellStyle name="Separador de milhares 3 11 3 8 2 2 3" xfId="22772"/>
    <cellStyle name="Separador de milhares 3 11 3 8 2 2 3 2" xfId="47839"/>
    <cellStyle name="Separador de milhares 3 11 3 8 2 2 4" xfId="16858"/>
    <cellStyle name="Separador de milhares 3 11 3 8 2 2 4 2" xfId="41925"/>
    <cellStyle name="Separador de milhares 3 11 3 8 2 2 5" xfId="36017"/>
    <cellStyle name="Separador de milhares 3 11 3 8 2 3" xfId="25729"/>
    <cellStyle name="Separador de milhares 3 11 3 8 2 3 2" xfId="50796"/>
    <cellStyle name="Separador de milhares 3 11 3 8 2 4" xfId="19815"/>
    <cellStyle name="Separador de milhares 3 11 3 8 2 4 2" xfId="44882"/>
    <cellStyle name="Separador de milhares 3 11 3 8 2 5" xfId="13717"/>
    <cellStyle name="Separador de milhares 3 11 3 8 2 5 2" xfId="38971"/>
    <cellStyle name="Separador de milhares 3 11 3 8 2 6" xfId="33060"/>
    <cellStyle name="Separador de milhares 3 11 3 8 3" xfId="9004"/>
    <cellStyle name="Separador de milhares 3 11 3 8 3 2" xfId="27218"/>
    <cellStyle name="Separador de milhares 3 11 3 8 3 2 2" xfId="52285"/>
    <cellStyle name="Separador de milhares 3 11 3 8 3 3" xfId="21304"/>
    <cellStyle name="Separador de milhares 3 11 3 8 3 3 2" xfId="46371"/>
    <cellStyle name="Separador de milhares 3 11 3 8 3 4" xfId="15390"/>
    <cellStyle name="Separador de milhares 3 11 3 8 3 4 2" xfId="40457"/>
    <cellStyle name="Separador de milhares 3 11 3 8 3 5" xfId="34549"/>
    <cellStyle name="Separador de milhares 3 11 3 8 4" xfId="5629"/>
    <cellStyle name="Separador de milhares 3 11 3 8 4 2" xfId="24261"/>
    <cellStyle name="Separador de milhares 3 11 3 8 4 2 2" xfId="49328"/>
    <cellStyle name="Separador de milhares 3 11 3 8 4 3" xfId="31592"/>
    <cellStyle name="Separador de milhares 3 11 3 8 5" xfId="18347"/>
    <cellStyle name="Separador de milhares 3 11 3 8 5 2" xfId="43414"/>
    <cellStyle name="Separador de milhares 3 11 3 8 6" xfId="12016"/>
    <cellStyle name="Separador de milhares 3 11 3 8 6 2" xfId="37503"/>
    <cellStyle name="Separador de milhares 3 11 3 8 7" xfId="30122"/>
    <cellStyle name="Separador de milhares 3 11 3 9" xfId="3740"/>
    <cellStyle name="Separador de milhares 3 11 3 9 2" xfId="7475"/>
    <cellStyle name="Separador de milhares 3 11 3 9 2 2" xfId="10619"/>
    <cellStyle name="Separador de milhares 3 11 3 9 2 2 2" xfId="28833"/>
    <cellStyle name="Separador de milhares 3 11 3 9 2 2 2 2" xfId="53900"/>
    <cellStyle name="Separador de milhares 3 11 3 9 2 2 3" xfId="22919"/>
    <cellStyle name="Separador de milhares 3 11 3 9 2 2 3 2" xfId="47986"/>
    <cellStyle name="Separador de milhares 3 11 3 9 2 2 4" xfId="17005"/>
    <cellStyle name="Separador de milhares 3 11 3 9 2 2 4 2" xfId="42072"/>
    <cellStyle name="Separador de milhares 3 11 3 9 2 2 5" xfId="36164"/>
    <cellStyle name="Separador de milhares 3 11 3 9 2 3" xfId="25876"/>
    <cellStyle name="Separador de milhares 3 11 3 9 2 3 2" xfId="50943"/>
    <cellStyle name="Separador de milhares 3 11 3 9 2 4" xfId="19962"/>
    <cellStyle name="Separador de milhares 3 11 3 9 2 4 2" xfId="45029"/>
    <cellStyle name="Separador de milhares 3 11 3 9 2 5" xfId="13864"/>
    <cellStyle name="Separador de milhares 3 11 3 9 2 5 2" xfId="39118"/>
    <cellStyle name="Separador de milhares 3 11 3 9 2 6" xfId="33207"/>
    <cellStyle name="Separador de milhares 3 11 3 9 3" xfId="9151"/>
    <cellStyle name="Separador de milhares 3 11 3 9 3 2" xfId="27365"/>
    <cellStyle name="Separador de milhares 3 11 3 9 3 2 2" xfId="52432"/>
    <cellStyle name="Separador de milhares 3 11 3 9 3 3" xfId="21451"/>
    <cellStyle name="Separador de milhares 3 11 3 9 3 3 2" xfId="46518"/>
    <cellStyle name="Separador de milhares 3 11 3 9 3 4" xfId="15537"/>
    <cellStyle name="Separador de milhares 3 11 3 9 3 4 2" xfId="40604"/>
    <cellStyle name="Separador de milhares 3 11 3 9 3 5" xfId="34696"/>
    <cellStyle name="Separador de milhares 3 11 3 9 4" xfId="5776"/>
    <cellStyle name="Separador de milhares 3 11 3 9 4 2" xfId="24408"/>
    <cellStyle name="Separador de milhares 3 11 3 9 4 2 2" xfId="49475"/>
    <cellStyle name="Separador de milhares 3 11 3 9 4 3" xfId="31739"/>
    <cellStyle name="Separador de milhares 3 11 3 9 5" xfId="18494"/>
    <cellStyle name="Separador de milhares 3 11 3 9 5 2" xfId="43561"/>
    <cellStyle name="Separador de milhares 3 11 3 9 6" xfId="12163"/>
    <cellStyle name="Separador de milhares 3 11 3 9 6 2" xfId="37650"/>
    <cellStyle name="Separador de milhares 3 11 3 9 7" xfId="30269"/>
    <cellStyle name="Separador de milhares 3 11 4" xfId="376"/>
    <cellStyle name="Separador de milhares 3 11 4 10" xfId="6522"/>
    <cellStyle name="Separador de milhares 3 11 4 10 2" xfId="9670"/>
    <cellStyle name="Separador de milhares 3 11 4 10 2 2" xfId="27884"/>
    <cellStyle name="Separador de milhares 3 11 4 10 2 2 2" xfId="52951"/>
    <cellStyle name="Separador de milhares 3 11 4 10 2 3" xfId="21970"/>
    <cellStyle name="Separador de milhares 3 11 4 10 2 3 2" xfId="47037"/>
    <cellStyle name="Separador de milhares 3 11 4 10 2 4" xfId="16056"/>
    <cellStyle name="Separador de milhares 3 11 4 10 2 4 2" xfId="41123"/>
    <cellStyle name="Separador de milhares 3 11 4 10 2 5" xfId="35215"/>
    <cellStyle name="Separador de milhares 3 11 4 10 3" xfId="24927"/>
    <cellStyle name="Separador de milhares 3 11 4 10 3 2" xfId="49994"/>
    <cellStyle name="Separador de milhares 3 11 4 10 4" xfId="19013"/>
    <cellStyle name="Separador de milhares 3 11 4 10 4 2" xfId="44080"/>
    <cellStyle name="Separador de milhares 3 11 4 10 5" xfId="12911"/>
    <cellStyle name="Separador de milhares 3 11 4 10 5 2" xfId="38169"/>
    <cellStyle name="Separador de milhares 3 11 4 10 6" xfId="32258"/>
    <cellStyle name="Separador de milhares 3 11 4 11" xfId="8199"/>
    <cellStyle name="Separador de milhares 3 11 4 11 2" xfId="26413"/>
    <cellStyle name="Separador de milhares 3 11 4 11 2 2" xfId="51480"/>
    <cellStyle name="Separador de milhares 3 11 4 11 3" xfId="20499"/>
    <cellStyle name="Separador de milhares 3 11 4 11 3 2" xfId="45566"/>
    <cellStyle name="Separador de milhares 3 11 4 11 4" xfId="14588"/>
    <cellStyle name="Separador de milhares 3 11 4 11 4 2" xfId="39655"/>
    <cellStyle name="Separador de milhares 3 11 4 11 5" xfId="33744"/>
    <cellStyle name="Separador de milhares 3 11 4 12" xfId="4821"/>
    <cellStyle name="Separador de milhares 3 11 4 12 2" xfId="23456"/>
    <cellStyle name="Separador de milhares 3 11 4 12 2 2" xfId="48523"/>
    <cellStyle name="Separador de milhares 3 11 4 12 3" xfId="30788"/>
    <cellStyle name="Separador de milhares 3 11 4 13" xfId="17542"/>
    <cellStyle name="Separador de milhares 3 11 4 13 2" xfId="42609"/>
    <cellStyle name="Separador de milhares 3 11 4 14" xfId="11210"/>
    <cellStyle name="Separador de milhares 3 11 4 14 2" xfId="36701"/>
    <cellStyle name="Separador de milhares 3 11 4 15" xfId="29317"/>
    <cellStyle name="Separador de milhares 3 11 4 2" xfId="1021"/>
    <cellStyle name="Separador de milhares 3 11 4 2 2" xfId="6719"/>
    <cellStyle name="Separador de milhares 3 11 4 2 2 2" xfId="9866"/>
    <cellStyle name="Separador de milhares 3 11 4 2 2 2 2" xfId="28080"/>
    <cellStyle name="Separador de milhares 3 11 4 2 2 2 2 2" xfId="53147"/>
    <cellStyle name="Separador de milhares 3 11 4 2 2 2 3" xfId="22166"/>
    <cellStyle name="Separador de milhares 3 11 4 2 2 2 3 2" xfId="47233"/>
    <cellStyle name="Separador de milhares 3 11 4 2 2 2 4" xfId="16252"/>
    <cellStyle name="Separador de milhares 3 11 4 2 2 2 4 2" xfId="41319"/>
    <cellStyle name="Separador de milhares 3 11 4 2 2 2 5" xfId="35411"/>
    <cellStyle name="Separador de milhares 3 11 4 2 2 3" xfId="25123"/>
    <cellStyle name="Separador de milhares 3 11 4 2 2 3 2" xfId="50190"/>
    <cellStyle name="Separador de milhares 3 11 4 2 2 4" xfId="19209"/>
    <cellStyle name="Separador de milhares 3 11 4 2 2 4 2" xfId="44276"/>
    <cellStyle name="Separador de milhares 3 11 4 2 2 5" xfId="13108"/>
    <cellStyle name="Separador de milhares 3 11 4 2 2 5 2" xfId="38365"/>
    <cellStyle name="Separador de milhares 3 11 4 2 2 6" xfId="32454"/>
    <cellStyle name="Separador de milhares 3 11 4 2 3" xfId="8398"/>
    <cellStyle name="Separador de milhares 3 11 4 2 3 2" xfId="26612"/>
    <cellStyle name="Separador de milhares 3 11 4 2 3 2 2" xfId="51679"/>
    <cellStyle name="Separador de milhares 3 11 4 2 3 3" xfId="20698"/>
    <cellStyle name="Separador de milhares 3 11 4 2 3 3 2" xfId="45765"/>
    <cellStyle name="Separador de milhares 3 11 4 2 3 4" xfId="14784"/>
    <cellStyle name="Separador de milhares 3 11 4 2 3 4 2" xfId="39851"/>
    <cellStyle name="Separador de milhares 3 11 4 2 3 5" xfId="33943"/>
    <cellStyle name="Separador de milhares 3 11 4 2 4" xfId="5020"/>
    <cellStyle name="Separador de milhares 3 11 4 2 4 2" xfId="23655"/>
    <cellStyle name="Separador de milhares 3 11 4 2 4 2 2" xfId="48722"/>
    <cellStyle name="Separador de milhares 3 11 4 2 4 3" xfId="30986"/>
    <cellStyle name="Separador de milhares 3 11 4 2 5" xfId="17741"/>
    <cellStyle name="Separador de milhares 3 11 4 2 5 2" xfId="42808"/>
    <cellStyle name="Separador de milhares 3 11 4 2 6" xfId="11407"/>
    <cellStyle name="Separador de milhares 3 11 4 2 6 2" xfId="36897"/>
    <cellStyle name="Separador de milhares 3 11 4 2 7" xfId="29516"/>
    <cellStyle name="Separador de milhares 3 11 4 3" xfId="1372"/>
    <cellStyle name="Separador de milhares 3 11 4 3 2" xfId="6817"/>
    <cellStyle name="Separador de milhares 3 11 4 3 2 2" xfId="9964"/>
    <cellStyle name="Separador de milhares 3 11 4 3 2 2 2" xfId="28178"/>
    <cellStyle name="Separador de milhares 3 11 4 3 2 2 2 2" xfId="53245"/>
    <cellStyle name="Separador de milhares 3 11 4 3 2 2 3" xfId="22264"/>
    <cellStyle name="Separador de milhares 3 11 4 3 2 2 3 2" xfId="47331"/>
    <cellStyle name="Separador de milhares 3 11 4 3 2 2 4" xfId="16350"/>
    <cellStyle name="Separador de milhares 3 11 4 3 2 2 4 2" xfId="41417"/>
    <cellStyle name="Separador de milhares 3 11 4 3 2 2 5" xfId="35509"/>
    <cellStyle name="Separador de milhares 3 11 4 3 2 3" xfId="25221"/>
    <cellStyle name="Separador de milhares 3 11 4 3 2 3 2" xfId="50288"/>
    <cellStyle name="Separador de milhares 3 11 4 3 2 4" xfId="19307"/>
    <cellStyle name="Separador de milhares 3 11 4 3 2 4 2" xfId="44374"/>
    <cellStyle name="Separador de milhares 3 11 4 3 2 5" xfId="13206"/>
    <cellStyle name="Separador de milhares 3 11 4 3 2 5 2" xfId="38463"/>
    <cellStyle name="Separador de milhares 3 11 4 3 2 6" xfId="32552"/>
    <cellStyle name="Separador de milhares 3 11 4 3 3" xfId="8496"/>
    <cellStyle name="Separador de milhares 3 11 4 3 3 2" xfId="26710"/>
    <cellStyle name="Separador de milhares 3 11 4 3 3 2 2" xfId="51777"/>
    <cellStyle name="Separador de milhares 3 11 4 3 3 3" xfId="20796"/>
    <cellStyle name="Separador de milhares 3 11 4 3 3 3 2" xfId="45863"/>
    <cellStyle name="Separador de milhares 3 11 4 3 3 4" xfId="14882"/>
    <cellStyle name="Separador de milhares 3 11 4 3 3 4 2" xfId="39949"/>
    <cellStyle name="Separador de milhares 3 11 4 3 3 5" xfId="34041"/>
    <cellStyle name="Separador de milhares 3 11 4 3 4" xfId="5118"/>
    <cellStyle name="Separador de milhares 3 11 4 3 4 2" xfId="23753"/>
    <cellStyle name="Separador de milhares 3 11 4 3 4 2 2" xfId="48820"/>
    <cellStyle name="Separador de milhares 3 11 4 3 4 3" xfId="31084"/>
    <cellStyle name="Separador de milhares 3 11 4 3 5" xfId="17839"/>
    <cellStyle name="Separador de milhares 3 11 4 3 5 2" xfId="42906"/>
    <cellStyle name="Separador de milhares 3 11 4 3 6" xfId="11505"/>
    <cellStyle name="Separador de milhares 3 11 4 3 6 2" xfId="36995"/>
    <cellStyle name="Separador de milhares 3 11 4 3 7" xfId="29614"/>
    <cellStyle name="Separador de milhares 3 11 4 4" xfId="1807"/>
    <cellStyle name="Separador de milhares 3 11 4 4 2" xfId="6936"/>
    <cellStyle name="Separador de milhares 3 11 4 4 2 2" xfId="10083"/>
    <cellStyle name="Separador de milhares 3 11 4 4 2 2 2" xfId="28297"/>
    <cellStyle name="Separador de milhares 3 11 4 4 2 2 2 2" xfId="53364"/>
    <cellStyle name="Separador de milhares 3 11 4 4 2 2 3" xfId="22383"/>
    <cellStyle name="Separador de milhares 3 11 4 4 2 2 3 2" xfId="47450"/>
    <cellStyle name="Separador de milhares 3 11 4 4 2 2 4" xfId="16469"/>
    <cellStyle name="Separador de milhares 3 11 4 4 2 2 4 2" xfId="41536"/>
    <cellStyle name="Separador de milhares 3 11 4 4 2 2 5" xfId="35628"/>
    <cellStyle name="Separador de milhares 3 11 4 4 2 3" xfId="25340"/>
    <cellStyle name="Separador de milhares 3 11 4 4 2 3 2" xfId="50407"/>
    <cellStyle name="Separador de milhares 3 11 4 4 2 4" xfId="19426"/>
    <cellStyle name="Separador de milhares 3 11 4 4 2 4 2" xfId="44493"/>
    <cellStyle name="Separador de milhares 3 11 4 4 2 5" xfId="13325"/>
    <cellStyle name="Separador de milhares 3 11 4 4 2 5 2" xfId="38582"/>
    <cellStyle name="Separador de milhares 3 11 4 4 2 6" xfId="32671"/>
    <cellStyle name="Separador de milhares 3 11 4 4 3" xfId="8615"/>
    <cellStyle name="Separador de milhares 3 11 4 4 3 2" xfId="26829"/>
    <cellStyle name="Separador de milhares 3 11 4 4 3 2 2" xfId="51896"/>
    <cellStyle name="Separador de milhares 3 11 4 4 3 3" xfId="20915"/>
    <cellStyle name="Separador de milhares 3 11 4 4 3 3 2" xfId="45982"/>
    <cellStyle name="Separador de milhares 3 11 4 4 3 4" xfId="15001"/>
    <cellStyle name="Separador de milhares 3 11 4 4 3 4 2" xfId="40068"/>
    <cellStyle name="Separador de milhares 3 11 4 4 3 5" xfId="34160"/>
    <cellStyle name="Separador de milhares 3 11 4 4 4" xfId="5237"/>
    <cellStyle name="Separador de milhares 3 11 4 4 4 2" xfId="23872"/>
    <cellStyle name="Separador de milhares 3 11 4 4 4 2 2" xfId="48939"/>
    <cellStyle name="Separador de milhares 3 11 4 4 4 3" xfId="31203"/>
    <cellStyle name="Separador de milhares 3 11 4 4 5" xfId="17958"/>
    <cellStyle name="Separador de milhares 3 11 4 4 5 2" xfId="43025"/>
    <cellStyle name="Separador de milhares 3 11 4 4 6" xfId="11624"/>
    <cellStyle name="Separador de milhares 3 11 4 4 6 2" xfId="37114"/>
    <cellStyle name="Separador de milhares 3 11 4 4 7" xfId="29733"/>
    <cellStyle name="Separador de milhares 3 11 4 5" xfId="2337"/>
    <cellStyle name="Separador de milhares 3 11 4 5 2" xfId="7086"/>
    <cellStyle name="Separador de milhares 3 11 4 5 2 2" xfId="10230"/>
    <cellStyle name="Separador de milhares 3 11 4 5 2 2 2" xfId="28444"/>
    <cellStyle name="Separador de milhares 3 11 4 5 2 2 2 2" xfId="53511"/>
    <cellStyle name="Separador de milhares 3 11 4 5 2 2 3" xfId="22530"/>
    <cellStyle name="Separador de milhares 3 11 4 5 2 2 3 2" xfId="47597"/>
    <cellStyle name="Separador de milhares 3 11 4 5 2 2 4" xfId="16616"/>
    <cellStyle name="Separador de milhares 3 11 4 5 2 2 4 2" xfId="41683"/>
    <cellStyle name="Separador de milhares 3 11 4 5 2 2 5" xfId="35775"/>
    <cellStyle name="Separador de milhares 3 11 4 5 2 3" xfId="25487"/>
    <cellStyle name="Separador de milhares 3 11 4 5 2 3 2" xfId="50554"/>
    <cellStyle name="Separador de milhares 3 11 4 5 2 4" xfId="19573"/>
    <cellStyle name="Separador de milhares 3 11 4 5 2 4 2" xfId="44640"/>
    <cellStyle name="Separador de milhares 3 11 4 5 2 5" xfId="13475"/>
    <cellStyle name="Separador de milhares 3 11 4 5 2 5 2" xfId="38729"/>
    <cellStyle name="Separador de milhares 3 11 4 5 2 6" xfId="32818"/>
    <cellStyle name="Separador de milhares 3 11 4 5 3" xfId="8762"/>
    <cellStyle name="Separador de milhares 3 11 4 5 3 2" xfId="26976"/>
    <cellStyle name="Separador de milhares 3 11 4 5 3 2 2" xfId="52043"/>
    <cellStyle name="Separador de milhares 3 11 4 5 3 3" xfId="21062"/>
    <cellStyle name="Separador de milhares 3 11 4 5 3 3 2" xfId="46129"/>
    <cellStyle name="Separador de milhares 3 11 4 5 3 4" xfId="15148"/>
    <cellStyle name="Separador de milhares 3 11 4 5 3 4 2" xfId="40215"/>
    <cellStyle name="Separador de milhares 3 11 4 5 3 5" xfId="34307"/>
    <cellStyle name="Separador de milhares 3 11 4 5 4" xfId="5387"/>
    <cellStyle name="Separador de milhares 3 11 4 5 4 2" xfId="24019"/>
    <cellStyle name="Separador de milhares 3 11 4 5 4 2 2" xfId="49086"/>
    <cellStyle name="Separador de milhares 3 11 4 5 4 3" xfId="31350"/>
    <cellStyle name="Separador de milhares 3 11 4 5 5" xfId="18105"/>
    <cellStyle name="Separador de milhares 3 11 4 5 5 2" xfId="43172"/>
    <cellStyle name="Separador de milhares 3 11 4 5 6" xfId="11774"/>
    <cellStyle name="Separador de milhares 3 11 4 5 6 2" xfId="37261"/>
    <cellStyle name="Separador de milhares 3 11 4 5 7" xfId="29880"/>
    <cellStyle name="Separador de milhares 3 11 4 6" xfId="2864"/>
    <cellStyle name="Separador de milhares 3 11 4 6 2" xfId="7233"/>
    <cellStyle name="Separador de milhares 3 11 4 6 2 2" xfId="10377"/>
    <cellStyle name="Separador de milhares 3 11 4 6 2 2 2" xfId="28591"/>
    <cellStyle name="Separador de milhares 3 11 4 6 2 2 2 2" xfId="53658"/>
    <cellStyle name="Separador de milhares 3 11 4 6 2 2 3" xfId="22677"/>
    <cellStyle name="Separador de milhares 3 11 4 6 2 2 3 2" xfId="47744"/>
    <cellStyle name="Separador de milhares 3 11 4 6 2 2 4" xfId="16763"/>
    <cellStyle name="Separador de milhares 3 11 4 6 2 2 4 2" xfId="41830"/>
    <cellStyle name="Separador de milhares 3 11 4 6 2 2 5" xfId="35922"/>
    <cellStyle name="Separador de milhares 3 11 4 6 2 3" xfId="25634"/>
    <cellStyle name="Separador de milhares 3 11 4 6 2 3 2" xfId="50701"/>
    <cellStyle name="Separador de milhares 3 11 4 6 2 4" xfId="19720"/>
    <cellStyle name="Separador de milhares 3 11 4 6 2 4 2" xfId="44787"/>
    <cellStyle name="Separador de milhares 3 11 4 6 2 5" xfId="13622"/>
    <cellStyle name="Separador de milhares 3 11 4 6 2 5 2" xfId="38876"/>
    <cellStyle name="Separador de milhares 3 11 4 6 2 6" xfId="32965"/>
    <cellStyle name="Separador de milhares 3 11 4 6 3" xfId="8909"/>
    <cellStyle name="Separador de milhares 3 11 4 6 3 2" xfId="27123"/>
    <cellStyle name="Separador de milhares 3 11 4 6 3 2 2" xfId="52190"/>
    <cellStyle name="Separador de milhares 3 11 4 6 3 3" xfId="21209"/>
    <cellStyle name="Separador de milhares 3 11 4 6 3 3 2" xfId="46276"/>
    <cellStyle name="Separador de milhares 3 11 4 6 3 4" xfId="15295"/>
    <cellStyle name="Separador de milhares 3 11 4 6 3 4 2" xfId="40362"/>
    <cellStyle name="Separador de milhares 3 11 4 6 3 5" xfId="34454"/>
    <cellStyle name="Separador de milhares 3 11 4 6 4" xfId="5534"/>
    <cellStyle name="Separador de milhares 3 11 4 6 4 2" xfId="24166"/>
    <cellStyle name="Separador de milhares 3 11 4 6 4 2 2" xfId="49233"/>
    <cellStyle name="Separador de milhares 3 11 4 6 4 3" xfId="31497"/>
    <cellStyle name="Separador de milhares 3 11 4 6 5" xfId="18252"/>
    <cellStyle name="Separador de milhares 3 11 4 6 5 2" xfId="43319"/>
    <cellStyle name="Separador de milhares 3 11 4 6 6" xfId="11921"/>
    <cellStyle name="Separador de milhares 3 11 4 6 6 2" xfId="37408"/>
    <cellStyle name="Separador de milhares 3 11 4 6 7" xfId="30027"/>
    <cellStyle name="Separador de milhares 3 11 4 7" xfId="3391"/>
    <cellStyle name="Separador de milhares 3 11 4 7 2" xfId="7380"/>
    <cellStyle name="Separador de milhares 3 11 4 7 2 2" xfId="10524"/>
    <cellStyle name="Separador de milhares 3 11 4 7 2 2 2" xfId="28738"/>
    <cellStyle name="Separador de milhares 3 11 4 7 2 2 2 2" xfId="53805"/>
    <cellStyle name="Separador de milhares 3 11 4 7 2 2 3" xfId="22824"/>
    <cellStyle name="Separador de milhares 3 11 4 7 2 2 3 2" xfId="47891"/>
    <cellStyle name="Separador de milhares 3 11 4 7 2 2 4" xfId="16910"/>
    <cellStyle name="Separador de milhares 3 11 4 7 2 2 4 2" xfId="41977"/>
    <cellStyle name="Separador de milhares 3 11 4 7 2 2 5" xfId="36069"/>
    <cellStyle name="Separador de milhares 3 11 4 7 2 3" xfId="25781"/>
    <cellStyle name="Separador de milhares 3 11 4 7 2 3 2" xfId="50848"/>
    <cellStyle name="Separador de milhares 3 11 4 7 2 4" xfId="19867"/>
    <cellStyle name="Separador de milhares 3 11 4 7 2 4 2" xfId="44934"/>
    <cellStyle name="Separador de milhares 3 11 4 7 2 5" xfId="13769"/>
    <cellStyle name="Separador de milhares 3 11 4 7 2 5 2" xfId="39023"/>
    <cellStyle name="Separador de milhares 3 11 4 7 2 6" xfId="33112"/>
    <cellStyle name="Separador de milhares 3 11 4 7 3" xfId="9056"/>
    <cellStyle name="Separador de milhares 3 11 4 7 3 2" xfId="27270"/>
    <cellStyle name="Separador de milhares 3 11 4 7 3 2 2" xfId="52337"/>
    <cellStyle name="Separador de milhares 3 11 4 7 3 3" xfId="21356"/>
    <cellStyle name="Separador de milhares 3 11 4 7 3 3 2" xfId="46423"/>
    <cellStyle name="Separador de milhares 3 11 4 7 3 4" xfId="15442"/>
    <cellStyle name="Separador de milhares 3 11 4 7 3 4 2" xfId="40509"/>
    <cellStyle name="Separador de milhares 3 11 4 7 3 5" xfId="34601"/>
    <cellStyle name="Separador de milhares 3 11 4 7 4" xfId="5681"/>
    <cellStyle name="Separador de milhares 3 11 4 7 4 2" xfId="24313"/>
    <cellStyle name="Separador de milhares 3 11 4 7 4 2 2" xfId="49380"/>
    <cellStyle name="Separador de milhares 3 11 4 7 4 3" xfId="31644"/>
    <cellStyle name="Separador de milhares 3 11 4 7 5" xfId="18399"/>
    <cellStyle name="Separador de milhares 3 11 4 7 5 2" xfId="43466"/>
    <cellStyle name="Separador de milhares 3 11 4 7 6" xfId="12068"/>
    <cellStyle name="Separador de milhares 3 11 4 7 6 2" xfId="37555"/>
    <cellStyle name="Separador de milhares 3 11 4 7 7" xfId="30174"/>
    <cellStyle name="Separador de milhares 3 11 4 8" xfId="3918"/>
    <cellStyle name="Separador de milhares 3 11 4 8 2" xfId="7527"/>
    <cellStyle name="Separador de milhares 3 11 4 8 2 2" xfId="10671"/>
    <cellStyle name="Separador de milhares 3 11 4 8 2 2 2" xfId="28885"/>
    <cellStyle name="Separador de milhares 3 11 4 8 2 2 2 2" xfId="53952"/>
    <cellStyle name="Separador de milhares 3 11 4 8 2 2 3" xfId="22971"/>
    <cellStyle name="Separador de milhares 3 11 4 8 2 2 3 2" xfId="48038"/>
    <cellStyle name="Separador de milhares 3 11 4 8 2 2 4" xfId="17057"/>
    <cellStyle name="Separador de milhares 3 11 4 8 2 2 4 2" xfId="42124"/>
    <cellStyle name="Separador de milhares 3 11 4 8 2 2 5" xfId="36216"/>
    <cellStyle name="Separador de milhares 3 11 4 8 2 3" xfId="25928"/>
    <cellStyle name="Separador de milhares 3 11 4 8 2 3 2" xfId="50995"/>
    <cellStyle name="Separador de milhares 3 11 4 8 2 4" xfId="20014"/>
    <cellStyle name="Separador de milhares 3 11 4 8 2 4 2" xfId="45081"/>
    <cellStyle name="Separador de milhares 3 11 4 8 2 5" xfId="13916"/>
    <cellStyle name="Separador de milhares 3 11 4 8 2 5 2" xfId="39170"/>
    <cellStyle name="Separador de milhares 3 11 4 8 2 6" xfId="33259"/>
    <cellStyle name="Separador de milhares 3 11 4 8 3" xfId="9203"/>
    <cellStyle name="Separador de milhares 3 11 4 8 3 2" xfId="27417"/>
    <cellStyle name="Separador de milhares 3 11 4 8 3 2 2" xfId="52484"/>
    <cellStyle name="Separador de milhares 3 11 4 8 3 3" xfId="21503"/>
    <cellStyle name="Separador de milhares 3 11 4 8 3 3 2" xfId="46570"/>
    <cellStyle name="Separador de milhares 3 11 4 8 3 4" xfId="15589"/>
    <cellStyle name="Separador de milhares 3 11 4 8 3 4 2" xfId="40656"/>
    <cellStyle name="Separador de milhares 3 11 4 8 3 5" xfId="34748"/>
    <cellStyle name="Separador de milhares 3 11 4 8 4" xfId="5828"/>
    <cellStyle name="Separador de milhares 3 11 4 8 4 2" xfId="24460"/>
    <cellStyle name="Separador de milhares 3 11 4 8 4 2 2" xfId="49527"/>
    <cellStyle name="Separador de milhares 3 11 4 8 4 3" xfId="31791"/>
    <cellStyle name="Separador de milhares 3 11 4 8 5" xfId="18546"/>
    <cellStyle name="Separador de milhares 3 11 4 8 5 2" xfId="43613"/>
    <cellStyle name="Separador de milhares 3 11 4 8 6" xfId="12215"/>
    <cellStyle name="Separador de milhares 3 11 4 8 6 2" xfId="37702"/>
    <cellStyle name="Separador de milhares 3 11 4 8 7" xfId="30321"/>
    <cellStyle name="Separador de milhares 3 11 4 9" xfId="686"/>
    <cellStyle name="Separador de milhares 3 11 4 9 2" xfId="6621"/>
    <cellStyle name="Separador de milhares 3 11 4 9 2 2" xfId="9768"/>
    <cellStyle name="Separador de milhares 3 11 4 9 2 2 2" xfId="27982"/>
    <cellStyle name="Separador de milhares 3 11 4 9 2 2 2 2" xfId="53049"/>
    <cellStyle name="Separador de milhares 3 11 4 9 2 2 3" xfId="22068"/>
    <cellStyle name="Separador de milhares 3 11 4 9 2 2 3 2" xfId="47135"/>
    <cellStyle name="Separador de milhares 3 11 4 9 2 2 4" xfId="16154"/>
    <cellStyle name="Separador de milhares 3 11 4 9 2 2 4 2" xfId="41221"/>
    <cellStyle name="Separador de milhares 3 11 4 9 2 2 5" xfId="35313"/>
    <cellStyle name="Separador de milhares 3 11 4 9 2 3" xfId="25025"/>
    <cellStyle name="Separador de milhares 3 11 4 9 2 3 2" xfId="50092"/>
    <cellStyle name="Separador de milhares 3 11 4 9 2 4" xfId="19111"/>
    <cellStyle name="Separador de milhares 3 11 4 9 2 4 2" xfId="44178"/>
    <cellStyle name="Separador de milhares 3 11 4 9 2 5" xfId="13010"/>
    <cellStyle name="Separador de milhares 3 11 4 9 2 5 2" xfId="38267"/>
    <cellStyle name="Separador de milhares 3 11 4 9 2 6" xfId="32356"/>
    <cellStyle name="Separador de milhares 3 11 4 9 3" xfId="8300"/>
    <cellStyle name="Separador de milhares 3 11 4 9 3 2" xfId="26514"/>
    <cellStyle name="Separador de milhares 3 11 4 9 3 2 2" xfId="51581"/>
    <cellStyle name="Separador de milhares 3 11 4 9 3 3" xfId="20600"/>
    <cellStyle name="Separador de milhares 3 11 4 9 3 3 2" xfId="45667"/>
    <cellStyle name="Separador de milhares 3 11 4 9 3 4" xfId="14686"/>
    <cellStyle name="Separador de milhares 3 11 4 9 3 4 2" xfId="39753"/>
    <cellStyle name="Separador de milhares 3 11 4 9 3 5" xfId="33845"/>
    <cellStyle name="Separador de milhares 3 11 4 9 4" xfId="4922"/>
    <cellStyle name="Separador de milhares 3 11 4 9 4 2" xfId="23557"/>
    <cellStyle name="Separador de milhares 3 11 4 9 4 2 2" xfId="48624"/>
    <cellStyle name="Separador de milhares 3 11 4 9 4 3" xfId="30888"/>
    <cellStyle name="Separador de milhares 3 11 4 9 5" xfId="17643"/>
    <cellStyle name="Separador de milhares 3 11 4 9 5 2" xfId="42710"/>
    <cellStyle name="Separador de milhares 3 11 4 9 6" xfId="11309"/>
    <cellStyle name="Separador de milhares 3 11 4 9 6 2" xfId="36799"/>
    <cellStyle name="Separador de milhares 3 11 4 9 7" xfId="29418"/>
    <cellStyle name="Separador de milhares 3 11 5" xfId="633"/>
    <cellStyle name="Separador de milhares 3 11 5 10" xfId="4886"/>
    <cellStyle name="Separador de milhares 3 11 5 10 2" xfId="23520"/>
    <cellStyle name="Separador de milhares 3 11 5 10 2 2" xfId="48587"/>
    <cellStyle name="Separador de milhares 3 11 5 10 3" xfId="30852"/>
    <cellStyle name="Separador de milhares 3 11 5 11" xfId="17606"/>
    <cellStyle name="Separador de milhares 3 11 5 11 2" xfId="42673"/>
    <cellStyle name="Separador de milhares 3 11 5 12" xfId="11275"/>
    <cellStyle name="Separador de milhares 3 11 5 12 2" xfId="36765"/>
    <cellStyle name="Separador de milhares 3 11 5 13" xfId="29381"/>
    <cellStyle name="Separador de milhares 3 11 5 2" xfId="1456"/>
    <cellStyle name="Separador de milhares 3 11 5 2 2" xfId="6838"/>
    <cellStyle name="Separador de milhares 3 11 5 2 2 2" xfId="9985"/>
    <cellStyle name="Separador de milhares 3 11 5 2 2 2 2" xfId="28199"/>
    <cellStyle name="Separador de milhares 3 11 5 2 2 2 2 2" xfId="53266"/>
    <cellStyle name="Separador de milhares 3 11 5 2 2 2 3" xfId="22285"/>
    <cellStyle name="Separador de milhares 3 11 5 2 2 2 3 2" xfId="47352"/>
    <cellStyle name="Separador de milhares 3 11 5 2 2 2 4" xfId="16371"/>
    <cellStyle name="Separador de milhares 3 11 5 2 2 2 4 2" xfId="41438"/>
    <cellStyle name="Separador de milhares 3 11 5 2 2 2 5" xfId="35530"/>
    <cellStyle name="Separador de milhares 3 11 5 2 2 3" xfId="25242"/>
    <cellStyle name="Separador de milhares 3 11 5 2 2 3 2" xfId="50309"/>
    <cellStyle name="Separador de milhares 3 11 5 2 2 4" xfId="19328"/>
    <cellStyle name="Separador de milhares 3 11 5 2 2 4 2" xfId="44395"/>
    <cellStyle name="Separador de milhares 3 11 5 2 2 5" xfId="13227"/>
    <cellStyle name="Separador de milhares 3 11 5 2 2 5 2" xfId="38484"/>
    <cellStyle name="Separador de milhares 3 11 5 2 2 6" xfId="32573"/>
    <cellStyle name="Separador de milhares 3 11 5 2 3" xfId="8517"/>
    <cellStyle name="Separador de milhares 3 11 5 2 3 2" xfId="26731"/>
    <cellStyle name="Separador de milhares 3 11 5 2 3 2 2" xfId="51798"/>
    <cellStyle name="Separador de milhares 3 11 5 2 3 3" xfId="20817"/>
    <cellStyle name="Separador de milhares 3 11 5 2 3 3 2" xfId="45884"/>
    <cellStyle name="Separador de milhares 3 11 5 2 3 4" xfId="14903"/>
    <cellStyle name="Separador de milhares 3 11 5 2 3 4 2" xfId="39970"/>
    <cellStyle name="Separador de milhares 3 11 5 2 3 5" xfId="34062"/>
    <cellStyle name="Separador de milhares 3 11 5 2 4" xfId="5139"/>
    <cellStyle name="Separador de milhares 3 11 5 2 4 2" xfId="23774"/>
    <cellStyle name="Separador de milhares 3 11 5 2 4 2 2" xfId="48841"/>
    <cellStyle name="Separador de milhares 3 11 5 2 4 3" xfId="31105"/>
    <cellStyle name="Separador de milhares 3 11 5 2 5" xfId="17860"/>
    <cellStyle name="Separador de milhares 3 11 5 2 5 2" xfId="42927"/>
    <cellStyle name="Separador de milhares 3 11 5 2 6" xfId="11526"/>
    <cellStyle name="Separador de milhares 3 11 5 2 6 2" xfId="37016"/>
    <cellStyle name="Separador de milhares 3 11 5 2 7" xfId="29635"/>
    <cellStyle name="Separador de milhares 3 11 5 3" xfId="1891"/>
    <cellStyle name="Separador de milhares 3 11 5 3 2" xfId="6957"/>
    <cellStyle name="Separador de milhares 3 11 5 3 2 2" xfId="10104"/>
    <cellStyle name="Separador de milhares 3 11 5 3 2 2 2" xfId="28318"/>
    <cellStyle name="Separador de milhares 3 11 5 3 2 2 2 2" xfId="53385"/>
    <cellStyle name="Separador de milhares 3 11 5 3 2 2 3" xfId="22404"/>
    <cellStyle name="Separador de milhares 3 11 5 3 2 2 3 2" xfId="47471"/>
    <cellStyle name="Separador de milhares 3 11 5 3 2 2 4" xfId="16490"/>
    <cellStyle name="Separador de milhares 3 11 5 3 2 2 4 2" xfId="41557"/>
    <cellStyle name="Separador de milhares 3 11 5 3 2 2 5" xfId="35649"/>
    <cellStyle name="Separador de milhares 3 11 5 3 2 3" xfId="25361"/>
    <cellStyle name="Separador de milhares 3 11 5 3 2 3 2" xfId="50428"/>
    <cellStyle name="Separador de milhares 3 11 5 3 2 4" xfId="19447"/>
    <cellStyle name="Separador de milhares 3 11 5 3 2 4 2" xfId="44514"/>
    <cellStyle name="Separador de milhares 3 11 5 3 2 5" xfId="13346"/>
    <cellStyle name="Separador de milhares 3 11 5 3 2 5 2" xfId="38603"/>
    <cellStyle name="Separador de milhares 3 11 5 3 2 6" xfId="32692"/>
    <cellStyle name="Separador de milhares 3 11 5 3 3" xfId="8636"/>
    <cellStyle name="Separador de milhares 3 11 5 3 3 2" xfId="26850"/>
    <cellStyle name="Separador de milhares 3 11 5 3 3 2 2" xfId="51917"/>
    <cellStyle name="Separador de milhares 3 11 5 3 3 3" xfId="20936"/>
    <cellStyle name="Separador de milhares 3 11 5 3 3 3 2" xfId="46003"/>
    <cellStyle name="Separador de milhares 3 11 5 3 3 4" xfId="15022"/>
    <cellStyle name="Separador de milhares 3 11 5 3 3 4 2" xfId="40089"/>
    <cellStyle name="Separador de milhares 3 11 5 3 3 5" xfId="34181"/>
    <cellStyle name="Separador de milhares 3 11 5 3 4" xfId="5258"/>
    <cellStyle name="Separador de milhares 3 11 5 3 4 2" xfId="23893"/>
    <cellStyle name="Separador de milhares 3 11 5 3 4 2 2" xfId="48960"/>
    <cellStyle name="Separador de milhares 3 11 5 3 4 3" xfId="31224"/>
    <cellStyle name="Separador de milhares 3 11 5 3 5" xfId="17979"/>
    <cellStyle name="Separador de milhares 3 11 5 3 5 2" xfId="43046"/>
    <cellStyle name="Separador de milhares 3 11 5 3 6" xfId="11645"/>
    <cellStyle name="Separador de milhares 3 11 5 3 6 2" xfId="37135"/>
    <cellStyle name="Separador de milhares 3 11 5 3 7" xfId="29754"/>
    <cellStyle name="Separador de milhares 3 11 5 4" xfId="2421"/>
    <cellStyle name="Separador de milhares 3 11 5 4 2" xfId="7107"/>
    <cellStyle name="Separador de milhares 3 11 5 4 2 2" xfId="10251"/>
    <cellStyle name="Separador de milhares 3 11 5 4 2 2 2" xfId="28465"/>
    <cellStyle name="Separador de milhares 3 11 5 4 2 2 2 2" xfId="53532"/>
    <cellStyle name="Separador de milhares 3 11 5 4 2 2 3" xfId="22551"/>
    <cellStyle name="Separador de milhares 3 11 5 4 2 2 3 2" xfId="47618"/>
    <cellStyle name="Separador de milhares 3 11 5 4 2 2 4" xfId="16637"/>
    <cellStyle name="Separador de milhares 3 11 5 4 2 2 4 2" xfId="41704"/>
    <cellStyle name="Separador de milhares 3 11 5 4 2 2 5" xfId="35796"/>
    <cellStyle name="Separador de milhares 3 11 5 4 2 3" xfId="25508"/>
    <cellStyle name="Separador de milhares 3 11 5 4 2 3 2" xfId="50575"/>
    <cellStyle name="Separador de milhares 3 11 5 4 2 4" xfId="19594"/>
    <cellStyle name="Separador de milhares 3 11 5 4 2 4 2" xfId="44661"/>
    <cellStyle name="Separador de milhares 3 11 5 4 2 5" xfId="13496"/>
    <cellStyle name="Separador de milhares 3 11 5 4 2 5 2" xfId="38750"/>
    <cellStyle name="Separador de milhares 3 11 5 4 2 6" xfId="32839"/>
    <cellStyle name="Separador de milhares 3 11 5 4 3" xfId="8783"/>
    <cellStyle name="Separador de milhares 3 11 5 4 3 2" xfId="26997"/>
    <cellStyle name="Separador de milhares 3 11 5 4 3 2 2" xfId="52064"/>
    <cellStyle name="Separador de milhares 3 11 5 4 3 3" xfId="21083"/>
    <cellStyle name="Separador de milhares 3 11 5 4 3 3 2" xfId="46150"/>
    <cellStyle name="Separador de milhares 3 11 5 4 3 4" xfId="15169"/>
    <cellStyle name="Separador de milhares 3 11 5 4 3 4 2" xfId="40236"/>
    <cellStyle name="Separador de milhares 3 11 5 4 3 5" xfId="34328"/>
    <cellStyle name="Separador de milhares 3 11 5 4 4" xfId="5408"/>
    <cellStyle name="Separador de milhares 3 11 5 4 4 2" xfId="24040"/>
    <cellStyle name="Separador de milhares 3 11 5 4 4 2 2" xfId="49107"/>
    <cellStyle name="Separador de milhares 3 11 5 4 4 3" xfId="31371"/>
    <cellStyle name="Separador de milhares 3 11 5 4 5" xfId="18126"/>
    <cellStyle name="Separador de milhares 3 11 5 4 5 2" xfId="43193"/>
    <cellStyle name="Separador de milhares 3 11 5 4 6" xfId="11795"/>
    <cellStyle name="Separador de milhares 3 11 5 4 6 2" xfId="37282"/>
    <cellStyle name="Separador de milhares 3 11 5 4 7" xfId="29901"/>
    <cellStyle name="Separador de milhares 3 11 5 5" xfId="2948"/>
    <cellStyle name="Separador de milhares 3 11 5 5 2" xfId="7254"/>
    <cellStyle name="Separador de milhares 3 11 5 5 2 2" xfId="10398"/>
    <cellStyle name="Separador de milhares 3 11 5 5 2 2 2" xfId="28612"/>
    <cellStyle name="Separador de milhares 3 11 5 5 2 2 2 2" xfId="53679"/>
    <cellStyle name="Separador de milhares 3 11 5 5 2 2 3" xfId="22698"/>
    <cellStyle name="Separador de milhares 3 11 5 5 2 2 3 2" xfId="47765"/>
    <cellStyle name="Separador de milhares 3 11 5 5 2 2 4" xfId="16784"/>
    <cellStyle name="Separador de milhares 3 11 5 5 2 2 4 2" xfId="41851"/>
    <cellStyle name="Separador de milhares 3 11 5 5 2 2 5" xfId="35943"/>
    <cellStyle name="Separador de milhares 3 11 5 5 2 3" xfId="25655"/>
    <cellStyle name="Separador de milhares 3 11 5 5 2 3 2" xfId="50722"/>
    <cellStyle name="Separador de milhares 3 11 5 5 2 4" xfId="19741"/>
    <cellStyle name="Separador de milhares 3 11 5 5 2 4 2" xfId="44808"/>
    <cellStyle name="Separador de milhares 3 11 5 5 2 5" xfId="13643"/>
    <cellStyle name="Separador de milhares 3 11 5 5 2 5 2" xfId="38897"/>
    <cellStyle name="Separador de milhares 3 11 5 5 2 6" xfId="32986"/>
    <cellStyle name="Separador de milhares 3 11 5 5 3" xfId="8930"/>
    <cellStyle name="Separador de milhares 3 11 5 5 3 2" xfId="27144"/>
    <cellStyle name="Separador de milhares 3 11 5 5 3 2 2" xfId="52211"/>
    <cellStyle name="Separador de milhares 3 11 5 5 3 3" xfId="21230"/>
    <cellStyle name="Separador de milhares 3 11 5 5 3 3 2" xfId="46297"/>
    <cellStyle name="Separador de milhares 3 11 5 5 3 4" xfId="15316"/>
    <cellStyle name="Separador de milhares 3 11 5 5 3 4 2" xfId="40383"/>
    <cellStyle name="Separador de milhares 3 11 5 5 3 5" xfId="34475"/>
    <cellStyle name="Separador de milhares 3 11 5 5 4" xfId="5555"/>
    <cellStyle name="Separador de milhares 3 11 5 5 4 2" xfId="24187"/>
    <cellStyle name="Separador de milhares 3 11 5 5 4 2 2" xfId="49254"/>
    <cellStyle name="Separador de milhares 3 11 5 5 4 3" xfId="31518"/>
    <cellStyle name="Separador de milhares 3 11 5 5 5" xfId="18273"/>
    <cellStyle name="Separador de milhares 3 11 5 5 5 2" xfId="43340"/>
    <cellStyle name="Separador de milhares 3 11 5 5 6" xfId="11942"/>
    <cellStyle name="Separador de milhares 3 11 5 5 6 2" xfId="37429"/>
    <cellStyle name="Separador de milhares 3 11 5 5 7" xfId="30048"/>
    <cellStyle name="Separador de milhares 3 11 5 6" xfId="3475"/>
    <cellStyle name="Separador de milhares 3 11 5 6 2" xfId="7401"/>
    <cellStyle name="Separador de milhares 3 11 5 6 2 2" xfId="10545"/>
    <cellStyle name="Separador de milhares 3 11 5 6 2 2 2" xfId="28759"/>
    <cellStyle name="Separador de milhares 3 11 5 6 2 2 2 2" xfId="53826"/>
    <cellStyle name="Separador de milhares 3 11 5 6 2 2 3" xfId="22845"/>
    <cellStyle name="Separador de milhares 3 11 5 6 2 2 3 2" xfId="47912"/>
    <cellStyle name="Separador de milhares 3 11 5 6 2 2 4" xfId="16931"/>
    <cellStyle name="Separador de milhares 3 11 5 6 2 2 4 2" xfId="41998"/>
    <cellStyle name="Separador de milhares 3 11 5 6 2 2 5" xfId="36090"/>
    <cellStyle name="Separador de milhares 3 11 5 6 2 3" xfId="25802"/>
    <cellStyle name="Separador de milhares 3 11 5 6 2 3 2" xfId="50869"/>
    <cellStyle name="Separador de milhares 3 11 5 6 2 4" xfId="19888"/>
    <cellStyle name="Separador de milhares 3 11 5 6 2 4 2" xfId="44955"/>
    <cellStyle name="Separador de milhares 3 11 5 6 2 5" xfId="13790"/>
    <cellStyle name="Separador de milhares 3 11 5 6 2 5 2" xfId="39044"/>
    <cellStyle name="Separador de milhares 3 11 5 6 2 6" xfId="33133"/>
    <cellStyle name="Separador de milhares 3 11 5 6 3" xfId="9077"/>
    <cellStyle name="Separador de milhares 3 11 5 6 3 2" xfId="27291"/>
    <cellStyle name="Separador de milhares 3 11 5 6 3 2 2" xfId="52358"/>
    <cellStyle name="Separador de milhares 3 11 5 6 3 3" xfId="21377"/>
    <cellStyle name="Separador de milhares 3 11 5 6 3 3 2" xfId="46444"/>
    <cellStyle name="Separador de milhares 3 11 5 6 3 4" xfId="15463"/>
    <cellStyle name="Separador de milhares 3 11 5 6 3 4 2" xfId="40530"/>
    <cellStyle name="Separador de milhares 3 11 5 6 3 5" xfId="34622"/>
    <cellStyle name="Separador de milhares 3 11 5 6 4" xfId="5702"/>
    <cellStyle name="Separador de milhares 3 11 5 6 4 2" xfId="24334"/>
    <cellStyle name="Separador de milhares 3 11 5 6 4 2 2" xfId="49401"/>
    <cellStyle name="Separador de milhares 3 11 5 6 4 3" xfId="31665"/>
    <cellStyle name="Separador de milhares 3 11 5 6 5" xfId="18420"/>
    <cellStyle name="Separador de milhares 3 11 5 6 5 2" xfId="43487"/>
    <cellStyle name="Separador de milhares 3 11 5 6 6" xfId="12089"/>
    <cellStyle name="Separador de milhares 3 11 5 6 6 2" xfId="37576"/>
    <cellStyle name="Separador de milhares 3 11 5 6 7" xfId="30195"/>
    <cellStyle name="Separador de milhares 3 11 5 7" xfId="4002"/>
    <cellStyle name="Separador de milhares 3 11 5 7 2" xfId="7548"/>
    <cellStyle name="Separador de milhares 3 11 5 7 2 2" xfId="10692"/>
    <cellStyle name="Separador de milhares 3 11 5 7 2 2 2" xfId="28906"/>
    <cellStyle name="Separador de milhares 3 11 5 7 2 2 2 2" xfId="53973"/>
    <cellStyle name="Separador de milhares 3 11 5 7 2 2 3" xfId="22992"/>
    <cellStyle name="Separador de milhares 3 11 5 7 2 2 3 2" xfId="48059"/>
    <cellStyle name="Separador de milhares 3 11 5 7 2 2 4" xfId="17078"/>
    <cellStyle name="Separador de milhares 3 11 5 7 2 2 4 2" xfId="42145"/>
    <cellStyle name="Separador de milhares 3 11 5 7 2 2 5" xfId="36237"/>
    <cellStyle name="Separador de milhares 3 11 5 7 2 3" xfId="25949"/>
    <cellStyle name="Separador de milhares 3 11 5 7 2 3 2" xfId="51016"/>
    <cellStyle name="Separador de milhares 3 11 5 7 2 4" xfId="20035"/>
    <cellStyle name="Separador de milhares 3 11 5 7 2 4 2" xfId="45102"/>
    <cellStyle name="Separador de milhares 3 11 5 7 2 5" xfId="13937"/>
    <cellStyle name="Separador de milhares 3 11 5 7 2 5 2" xfId="39191"/>
    <cellStyle name="Separador de milhares 3 11 5 7 2 6" xfId="33280"/>
    <cellStyle name="Separador de milhares 3 11 5 7 3" xfId="9224"/>
    <cellStyle name="Separador de milhares 3 11 5 7 3 2" xfId="27438"/>
    <cellStyle name="Separador de milhares 3 11 5 7 3 2 2" xfId="52505"/>
    <cellStyle name="Separador de milhares 3 11 5 7 3 3" xfId="21524"/>
    <cellStyle name="Separador de milhares 3 11 5 7 3 3 2" xfId="46591"/>
    <cellStyle name="Separador de milhares 3 11 5 7 3 4" xfId="15610"/>
    <cellStyle name="Separador de milhares 3 11 5 7 3 4 2" xfId="40677"/>
    <cellStyle name="Separador de milhares 3 11 5 7 3 5" xfId="34769"/>
    <cellStyle name="Separador de milhares 3 11 5 7 4" xfId="5849"/>
    <cellStyle name="Separador de milhares 3 11 5 7 4 2" xfId="24481"/>
    <cellStyle name="Separador de milhares 3 11 5 7 4 2 2" xfId="49548"/>
    <cellStyle name="Separador de milhares 3 11 5 7 4 3" xfId="31812"/>
    <cellStyle name="Separador de milhares 3 11 5 7 5" xfId="18567"/>
    <cellStyle name="Separador de milhares 3 11 5 7 5 2" xfId="43634"/>
    <cellStyle name="Separador de milhares 3 11 5 7 6" xfId="12236"/>
    <cellStyle name="Separador de milhares 3 11 5 7 6 2" xfId="37723"/>
    <cellStyle name="Separador de milhares 3 11 5 7 7" xfId="30342"/>
    <cellStyle name="Separador de milhares 3 11 5 8" xfId="6587"/>
    <cellStyle name="Separador de milhares 3 11 5 8 2" xfId="9734"/>
    <cellStyle name="Separador de milhares 3 11 5 8 2 2" xfId="27948"/>
    <cellStyle name="Separador de milhares 3 11 5 8 2 2 2" xfId="53015"/>
    <cellStyle name="Separador de milhares 3 11 5 8 2 3" xfId="22034"/>
    <cellStyle name="Separador de milhares 3 11 5 8 2 3 2" xfId="47101"/>
    <cellStyle name="Separador de milhares 3 11 5 8 2 4" xfId="16120"/>
    <cellStyle name="Separador de milhares 3 11 5 8 2 4 2" xfId="41187"/>
    <cellStyle name="Separador de milhares 3 11 5 8 2 5" xfId="35279"/>
    <cellStyle name="Separador de milhares 3 11 5 8 3" xfId="24991"/>
    <cellStyle name="Separador de milhares 3 11 5 8 3 2" xfId="50058"/>
    <cellStyle name="Separador de milhares 3 11 5 8 4" xfId="19077"/>
    <cellStyle name="Separador de milhares 3 11 5 8 4 2" xfId="44144"/>
    <cellStyle name="Separador de milhares 3 11 5 8 5" xfId="12976"/>
    <cellStyle name="Separador de milhares 3 11 5 8 5 2" xfId="38233"/>
    <cellStyle name="Separador de milhares 3 11 5 8 6" xfId="32322"/>
    <cellStyle name="Separador de milhares 3 11 5 9" xfId="8263"/>
    <cellStyle name="Separador de milhares 3 11 5 9 2" xfId="26477"/>
    <cellStyle name="Separador de milhares 3 11 5 9 2 2" xfId="51544"/>
    <cellStyle name="Separador de milhares 3 11 5 9 3" xfId="20563"/>
    <cellStyle name="Separador de milhares 3 11 5 9 3 2" xfId="45630"/>
    <cellStyle name="Separador de milhares 3 11 5 9 4" xfId="14652"/>
    <cellStyle name="Separador de milhares 3 11 5 9 4 2" xfId="39719"/>
    <cellStyle name="Separador de milhares 3 11 5 9 5" xfId="33808"/>
    <cellStyle name="Separador de milhares 3 11 6" xfId="754"/>
    <cellStyle name="Separador de milhares 3 11 6 2" xfId="4178"/>
    <cellStyle name="Separador de milhares 3 11 6 2 2" xfId="7597"/>
    <cellStyle name="Separador de milhares 3 11 6 2 2 2" xfId="10741"/>
    <cellStyle name="Separador de milhares 3 11 6 2 2 2 2" xfId="28955"/>
    <cellStyle name="Separador de milhares 3 11 6 2 2 2 2 2" xfId="54022"/>
    <cellStyle name="Separador de milhares 3 11 6 2 2 2 3" xfId="23041"/>
    <cellStyle name="Separador de milhares 3 11 6 2 2 2 3 2" xfId="48108"/>
    <cellStyle name="Separador de milhares 3 11 6 2 2 2 4" xfId="17127"/>
    <cellStyle name="Separador de milhares 3 11 6 2 2 2 4 2" xfId="42194"/>
    <cellStyle name="Separador de milhares 3 11 6 2 2 2 5" xfId="36286"/>
    <cellStyle name="Separador de milhares 3 11 6 2 2 3" xfId="25998"/>
    <cellStyle name="Separador de milhares 3 11 6 2 2 3 2" xfId="51065"/>
    <cellStyle name="Separador de milhares 3 11 6 2 2 4" xfId="20084"/>
    <cellStyle name="Separador de milhares 3 11 6 2 2 4 2" xfId="45151"/>
    <cellStyle name="Separador de milhares 3 11 6 2 2 5" xfId="13986"/>
    <cellStyle name="Separador de milhares 3 11 6 2 2 5 2" xfId="39240"/>
    <cellStyle name="Separador de milhares 3 11 6 2 2 6" xfId="33329"/>
    <cellStyle name="Separador de milhares 3 11 6 2 3" xfId="9273"/>
    <cellStyle name="Separador de milhares 3 11 6 2 3 2" xfId="27487"/>
    <cellStyle name="Separador de milhares 3 11 6 2 3 2 2" xfId="52554"/>
    <cellStyle name="Separador de milhares 3 11 6 2 3 3" xfId="21573"/>
    <cellStyle name="Separador de milhares 3 11 6 2 3 3 2" xfId="46640"/>
    <cellStyle name="Separador de milhares 3 11 6 2 3 4" xfId="15659"/>
    <cellStyle name="Separador de milhares 3 11 6 2 3 4 2" xfId="40726"/>
    <cellStyle name="Separador de milhares 3 11 6 2 3 5" xfId="34818"/>
    <cellStyle name="Separador de milhares 3 11 6 2 4" xfId="5898"/>
    <cellStyle name="Separador de milhares 3 11 6 2 4 2" xfId="24530"/>
    <cellStyle name="Separador de milhares 3 11 6 2 4 2 2" xfId="49597"/>
    <cellStyle name="Separador de milhares 3 11 6 2 4 3" xfId="31861"/>
    <cellStyle name="Separador de milhares 3 11 6 2 5" xfId="18616"/>
    <cellStyle name="Separador de milhares 3 11 6 2 5 2" xfId="43683"/>
    <cellStyle name="Separador de milhares 3 11 6 2 6" xfId="12285"/>
    <cellStyle name="Separador de milhares 3 11 6 2 6 2" xfId="37772"/>
    <cellStyle name="Separador de milhares 3 11 6 2 7" xfId="30391"/>
    <cellStyle name="Separador de milhares 3 11 6 3" xfId="6642"/>
    <cellStyle name="Separador de milhares 3 11 6 3 2" xfId="9789"/>
    <cellStyle name="Separador de milhares 3 11 6 3 2 2" xfId="28003"/>
    <cellStyle name="Separador de milhares 3 11 6 3 2 2 2" xfId="53070"/>
    <cellStyle name="Separador de milhares 3 11 6 3 2 3" xfId="22089"/>
    <cellStyle name="Separador de milhares 3 11 6 3 2 3 2" xfId="47156"/>
    <cellStyle name="Separador de milhares 3 11 6 3 2 4" xfId="16175"/>
    <cellStyle name="Separador de milhares 3 11 6 3 2 4 2" xfId="41242"/>
    <cellStyle name="Separador de milhares 3 11 6 3 2 5" xfId="35334"/>
    <cellStyle name="Separador de milhares 3 11 6 3 3" xfId="25046"/>
    <cellStyle name="Separador de milhares 3 11 6 3 3 2" xfId="50113"/>
    <cellStyle name="Separador de milhares 3 11 6 3 4" xfId="19132"/>
    <cellStyle name="Separador de milhares 3 11 6 3 4 2" xfId="44199"/>
    <cellStyle name="Separador de milhares 3 11 6 3 5" xfId="13031"/>
    <cellStyle name="Separador de milhares 3 11 6 3 5 2" xfId="38288"/>
    <cellStyle name="Separador de milhares 3 11 6 3 6" xfId="32377"/>
    <cellStyle name="Separador de milhares 3 11 6 4" xfId="8321"/>
    <cellStyle name="Separador de milhares 3 11 6 4 2" xfId="26535"/>
    <cellStyle name="Separador de milhares 3 11 6 4 2 2" xfId="51602"/>
    <cellStyle name="Separador de milhares 3 11 6 4 3" xfId="20621"/>
    <cellStyle name="Separador de milhares 3 11 6 4 3 2" xfId="45688"/>
    <cellStyle name="Separador de milhares 3 11 6 4 4" xfId="14707"/>
    <cellStyle name="Separador de milhares 3 11 6 4 4 2" xfId="39774"/>
    <cellStyle name="Separador de milhares 3 11 6 4 5" xfId="33866"/>
    <cellStyle name="Separador de milhares 3 11 6 5" xfId="4943"/>
    <cellStyle name="Separador de milhares 3 11 6 5 2" xfId="23578"/>
    <cellStyle name="Separador de milhares 3 11 6 5 2 2" xfId="48645"/>
    <cellStyle name="Separador de milhares 3 11 6 5 3" xfId="30909"/>
    <cellStyle name="Separador de milhares 3 11 6 6" xfId="17664"/>
    <cellStyle name="Separador de milhares 3 11 6 6 2" xfId="42731"/>
    <cellStyle name="Separador de milhares 3 11 6 7" xfId="11330"/>
    <cellStyle name="Separador de milhares 3 11 6 7 2" xfId="36820"/>
    <cellStyle name="Separador de milhares 3 11 6 8" xfId="29439"/>
    <cellStyle name="Separador de milhares 3 11 7" xfId="1105"/>
    <cellStyle name="Separador de milhares 3 11 7 2" xfId="6740"/>
    <cellStyle name="Separador de milhares 3 11 7 2 2" xfId="9887"/>
    <cellStyle name="Separador de milhares 3 11 7 2 2 2" xfId="28101"/>
    <cellStyle name="Separador de milhares 3 11 7 2 2 2 2" xfId="53168"/>
    <cellStyle name="Separador de milhares 3 11 7 2 2 3" xfId="22187"/>
    <cellStyle name="Separador de milhares 3 11 7 2 2 3 2" xfId="47254"/>
    <cellStyle name="Separador de milhares 3 11 7 2 2 4" xfId="16273"/>
    <cellStyle name="Separador de milhares 3 11 7 2 2 4 2" xfId="41340"/>
    <cellStyle name="Separador de milhares 3 11 7 2 2 5" xfId="35432"/>
    <cellStyle name="Separador de milhares 3 11 7 2 3" xfId="25144"/>
    <cellStyle name="Separador de milhares 3 11 7 2 3 2" xfId="50211"/>
    <cellStyle name="Separador de milhares 3 11 7 2 4" xfId="19230"/>
    <cellStyle name="Separador de milhares 3 11 7 2 4 2" xfId="44297"/>
    <cellStyle name="Separador de milhares 3 11 7 2 5" xfId="13129"/>
    <cellStyle name="Separador de milhares 3 11 7 2 5 2" xfId="38386"/>
    <cellStyle name="Separador de milhares 3 11 7 2 6" xfId="32475"/>
    <cellStyle name="Separador de milhares 3 11 7 3" xfId="8419"/>
    <cellStyle name="Separador de milhares 3 11 7 3 2" xfId="26633"/>
    <cellStyle name="Separador de milhares 3 11 7 3 2 2" xfId="51700"/>
    <cellStyle name="Separador de milhares 3 11 7 3 3" xfId="20719"/>
    <cellStyle name="Separador de milhares 3 11 7 3 3 2" xfId="45786"/>
    <cellStyle name="Separador de milhares 3 11 7 3 4" xfId="14805"/>
    <cellStyle name="Separador de milhares 3 11 7 3 4 2" xfId="39872"/>
    <cellStyle name="Separador de milhares 3 11 7 3 5" xfId="33964"/>
    <cellStyle name="Separador de milhares 3 11 7 4" xfId="5041"/>
    <cellStyle name="Separador de milhares 3 11 7 4 2" xfId="23676"/>
    <cellStyle name="Separador de milhares 3 11 7 4 2 2" xfId="48743"/>
    <cellStyle name="Separador de milhares 3 11 7 4 3" xfId="31007"/>
    <cellStyle name="Separador de milhares 3 11 7 5" xfId="17762"/>
    <cellStyle name="Separador de milhares 3 11 7 5 2" xfId="42829"/>
    <cellStyle name="Separador de milhares 3 11 7 6" xfId="11428"/>
    <cellStyle name="Separador de milhares 3 11 7 6 2" xfId="36918"/>
    <cellStyle name="Separador de milhares 3 11 7 7" xfId="29537"/>
    <cellStyle name="Separador de milhares 3 11 8" xfId="1540"/>
    <cellStyle name="Separador de milhares 3 11 8 2" xfId="6859"/>
    <cellStyle name="Separador de milhares 3 11 8 2 2" xfId="10006"/>
    <cellStyle name="Separador de milhares 3 11 8 2 2 2" xfId="28220"/>
    <cellStyle name="Separador de milhares 3 11 8 2 2 2 2" xfId="53287"/>
    <cellStyle name="Separador de milhares 3 11 8 2 2 3" xfId="22306"/>
    <cellStyle name="Separador de milhares 3 11 8 2 2 3 2" xfId="47373"/>
    <cellStyle name="Separador de milhares 3 11 8 2 2 4" xfId="16392"/>
    <cellStyle name="Separador de milhares 3 11 8 2 2 4 2" xfId="41459"/>
    <cellStyle name="Separador de milhares 3 11 8 2 2 5" xfId="35551"/>
    <cellStyle name="Separador de milhares 3 11 8 2 3" xfId="25263"/>
    <cellStyle name="Separador de milhares 3 11 8 2 3 2" xfId="50330"/>
    <cellStyle name="Separador de milhares 3 11 8 2 4" xfId="19349"/>
    <cellStyle name="Separador de milhares 3 11 8 2 4 2" xfId="44416"/>
    <cellStyle name="Separador de milhares 3 11 8 2 5" xfId="13248"/>
    <cellStyle name="Separador de milhares 3 11 8 2 5 2" xfId="38505"/>
    <cellStyle name="Separador de milhares 3 11 8 2 6" xfId="32594"/>
    <cellStyle name="Separador de milhares 3 11 8 3" xfId="8538"/>
    <cellStyle name="Separador de milhares 3 11 8 3 2" xfId="26752"/>
    <cellStyle name="Separador de milhares 3 11 8 3 2 2" xfId="51819"/>
    <cellStyle name="Separador de milhares 3 11 8 3 3" xfId="20838"/>
    <cellStyle name="Separador de milhares 3 11 8 3 3 2" xfId="45905"/>
    <cellStyle name="Separador de milhares 3 11 8 3 4" xfId="14924"/>
    <cellStyle name="Separador de milhares 3 11 8 3 4 2" xfId="39991"/>
    <cellStyle name="Separador de milhares 3 11 8 3 5" xfId="34083"/>
    <cellStyle name="Separador de milhares 3 11 8 4" xfId="5160"/>
    <cellStyle name="Separador de milhares 3 11 8 4 2" xfId="23795"/>
    <cellStyle name="Separador de milhares 3 11 8 4 2 2" xfId="48862"/>
    <cellStyle name="Separador de milhares 3 11 8 4 3" xfId="31126"/>
    <cellStyle name="Separador de milhares 3 11 8 5" xfId="17881"/>
    <cellStyle name="Separador de milhares 3 11 8 5 2" xfId="42948"/>
    <cellStyle name="Separador de milhares 3 11 8 6" xfId="11547"/>
    <cellStyle name="Separador de milhares 3 11 8 6 2" xfId="37037"/>
    <cellStyle name="Separador de milhares 3 11 8 7" xfId="29656"/>
    <cellStyle name="Separador de milhares 3 11 9" xfId="2070"/>
    <cellStyle name="Separador de milhares 3 11 9 2" xfId="7009"/>
    <cellStyle name="Separador de milhares 3 11 9 2 2" xfId="10153"/>
    <cellStyle name="Separador de milhares 3 11 9 2 2 2" xfId="28367"/>
    <cellStyle name="Separador de milhares 3 11 9 2 2 2 2" xfId="53434"/>
    <cellStyle name="Separador de milhares 3 11 9 2 2 3" xfId="22453"/>
    <cellStyle name="Separador de milhares 3 11 9 2 2 3 2" xfId="47520"/>
    <cellStyle name="Separador de milhares 3 11 9 2 2 4" xfId="16539"/>
    <cellStyle name="Separador de milhares 3 11 9 2 2 4 2" xfId="41606"/>
    <cellStyle name="Separador de milhares 3 11 9 2 2 5" xfId="35698"/>
    <cellStyle name="Separador de milhares 3 11 9 2 3" xfId="25410"/>
    <cellStyle name="Separador de milhares 3 11 9 2 3 2" xfId="50477"/>
    <cellStyle name="Separador de milhares 3 11 9 2 4" xfId="19496"/>
    <cellStyle name="Separador de milhares 3 11 9 2 4 2" xfId="44563"/>
    <cellStyle name="Separador de milhares 3 11 9 2 5" xfId="13398"/>
    <cellStyle name="Separador de milhares 3 11 9 2 5 2" xfId="38652"/>
    <cellStyle name="Separador de milhares 3 11 9 2 6" xfId="32741"/>
    <cellStyle name="Separador de milhares 3 11 9 3" xfId="8685"/>
    <cellStyle name="Separador de milhares 3 11 9 3 2" xfId="26899"/>
    <cellStyle name="Separador de milhares 3 11 9 3 2 2" xfId="51966"/>
    <cellStyle name="Separador de milhares 3 11 9 3 3" xfId="20985"/>
    <cellStyle name="Separador de milhares 3 11 9 3 3 2" xfId="46052"/>
    <cellStyle name="Separador de milhares 3 11 9 3 4" xfId="15071"/>
    <cellStyle name="Separador de milhares 3 11 9 3 4 2" xfId="40138"/>
    <cellStyle name="Separador de milhares 3 11 9 3 5" xfId="34230"/>
    <cellStyle name="Separador de milhares 3 11 9 4" xfId="5310"/>
    <cellStyle name="Separador de milhares 3 11 9 4 2" xfId="23942"/>
    <cellStyle name="Separador de milhares 3 11 9 4 2 2" xfId="49009"/>
    <cellStyle name="Separador de milhares 3 11 9 4 3" xfId="31273"/>
    <cellStyle name="Separador de milhares 3 11 9 5" xfId="18028"/>
    <cellStyle name="Separador de milhares 3 11 9 5 2" xfId="43095"/>
    <cellStyle name="Separador de milhares 3 11 9 6" xfId="11697"/>
    <cellStyle name="Separador de milhares 3 11 9 6 2" xfId="37184"/>
    <cellStyle name="Separador de milhares 3 11 9 7" xfId="29803"/>
    <cellStyle name="Separador de milhares 3 12" xfId="102"/>
    <cellStyle name="Separador de milhares 3 12 10" xfId="2605"/>
    <cellStyle name="Separador de milhares 3 12 10 2" xfId="7158"/>
    <cellStyle name="Separador de milhares 3 12 10 2 2" xfId="10302"/>
    <cellStyle name="Separador de milhares 3 12 10 2 2 2" xfId="28516"/>
    <cellStyle name="Separador de milhares 3 12 10 2 2 2 2" xfId="53583"/>
    <cellStyle name="Separador de milhares 3 12 10 2 2 3" xfId="22602"/>
    <cellStyle name="Separador de milhares 3 12 10 2 2 3 2" xfId="47669"/>
    <cellStyle name="Separador de milhares 3 12 10 2 2 4" xfId="16688"/>
    <cellStyle name="Separador de milhares 3 12 10 2 2 4 2" xfId="41755"/>
    <cellStyle name="Separador de milhares 3 12 10 2 2 5" xfId="35847"/>
    <cellStyle name="Separador de milhares 3 12 10 2 3" xfId="25559"/>
    <cellStyle name="Separador de milhares 3 12 10 2 3 2" xfId="50626"/>
    <cellStyle name="Separador de milhares 3 12 10 2 4" xfId="19645"/>
    <cellStyle name="Separador de milhares 3 12 10 2 4 2" xfId="44712"/>
    <cellStyle name="Separador de milhares 3 12 10 2 5" xfId="13547"/>
    <cellStyle name="Separador de milhares 3 12 10 2 5 2" xfId="38801"/>
    <cellStyle name="Separador de milhares 3 12 10 2 6" xfId="32890"/>
    <cellStyle name="Separador de milhares 3 12 10 3" xfId="8834"/>
    <cellStyle name="Separador de milhares 3 12 10 3 2" xfId="27048"/>
    <cellStyle name="Separador de milhares 3 12 10 3 2 2" xfId="52115"/>
    <cellStyle name="Separador de milhares 3 12 10 3 3" xfId="21134"/>
    <cellStyle name="Separador de milhares 3 12 10 3 3 2" xfId="46201"/>
    <cellStyle name="Separador de milhares 3 12 10 3 4" xfId="15220"/>
    <cellStyle name="Separador de milhares 3 12 10 3 4 2" xfId="40287"/>
    <cellStyle name="Separador de milhares 3 12 10 3 5" xfId="34379"/>
    <cellStyle name="Separador de milhares 3 12 10 4" xfId="5459"/>
    <cellStyle name="Separador de milhares 3 12 10 4 2" xfId="24091"/>
    <cellStyle name="Separador de milhares 3 12 10 4 2 2" xfId="49158"/>
    <cellStyle name="Separador de milhares 3 12 10 4 3" xfId="31422"/>
    <cellStyle name="Separador de milhares 3 12 10 5" xfId="18177"/>
    <cellStyle name="Separador de milhares 3 12 10 5 2" xfId="43244"/>
    <cellStyle name="Separador de milhares 3 12 10 6" xfId="11846"/>
    <cellStyle name="Separador de milhares 3 12 10 6 2" xfId="37333"/>
    <cellStyle name="Separador de milhares 3 12 10 7" xfId="29952"/>
    <cellStyle name="Separador de milhares 3 12 11" xfId="3132"/>
    <cellStyle name="Separador de milhares 3 12 11 2" xfId="7305"/>
    <cellStyle name="Separador de milhares 3 12 11 2 2" xfId="10449"/>
    <cellStyle name="Separador de milhares 3 12 11 2 2 2" xfId="28663"/>
    <cellStyle name="Separador de milhares 3 12 11 2 2 2 2" xfId="53730"/>
    <cellStyle name="Separador de milhares 3 12 11 2 2 3" xfId="22749"/>
    <cellStyle name="Separador de milhares 3 12 11 2 2 3 2" xfId="47816"/>
    <cellStyle name="Separador de milhares 3 12 11 2 2 4" xfId="16835"/>
    <cellStyle name="Separador de milhares 3 12 11 2 2 4 2" xfId="41902"/>
    <cellStyle name="Separador de milhares 3 12 11 2 2 5" xfId="35994"/>
    <cellStyle name="Separador de milhares 3 12 11 2 3" xfId="25706"/>
    <cellStyle name="Separador de milhares 3 12 11 2 3 2" xfId="50773"/>
    <cellStyle name="Separador de milhares 3 12 11 2 4" xfId="19792"/>
    <cellStyle name="Separador de milhares 3 12 11 2 4 2" xfId="44859"/>
    <cellStyle name="Separador de milhares 3 12 11 2 5" xfId="13694"/>
    <cellStyle name="Separador de milhares 3 12 11 2 5 2" xfId="38948"/>
    <cellStyle name="Separador de milhares 3 12 11 2 6" xfId="33037"/>
    <cellStyle name="Separador de milhares 3 12 11 3" xfId="8981"/>
    <cellStyle name="Separador de milhares 3 12 11 3 2" xfId="27195"/>
    <cellStyle name="Separador de milhares 3 12 11 3 2 2" xfId="52262"/>
    <cellStyle name="Separador de milhares 3 12 11 3 3" xfId="21281"/>
    <cellStyle name="Separador de milhares 3 12 11 3 3 2" xfId="46348"/>
    <cellStyle name="Separador de milhares 3 12 11 3 4" xfId="15367"/>
    <cellStyle name="Separador de milhares 3 12 11 3 4 2" xfId="40434"/>
    <cellStyle name="Separador de milhares 3 12 11 3 5" xfId="34526"/>
    <cellStyle name="Separador de milhares 3 12 11 4" xfId="5606"/>
    <cellStyle name="Separador de milhares 3 12 11 4 2" xfId="24238"/>
    <cellStyle name="Separador de milhares 3 12 11 4 2 2" xfId="49305"/>
    <cellStyle name="Separador de milhares 3 12 11 4 3" xfId="31569"/>
    <cellStyle name="Separador de milhares 3 12 11 5" xfId="18324"/>
    <cellStyle name="Separador de milhares 3 12 11 5 2" xfId="43391"/>
    <cellStyle name="Separador de milhares 3 12 11 6" xfId="11993"/>
    <cellStyle name="Separador de milhares 3 12 11 6 2" xfId="37480"/>
    <cellStyle name="Separador de milhares 3 12 11 7" xfId="30099"/>
    <cellStyle name="Separador de milhares 3 12 12" xfId="3659"/>
    <cellStyle name="Separador de milhares 3 12 12 2" xfId="7452"/>
    <cellStyle name="Separador de milhares 3 12 12 2 2" xfId="10596"/>
    <cellStyle name="Separador de milhares 3 12 12 2 2 2" xfId="28810"/>
    <cellStyle name="Separador de milhares 3 12 12 2 2 2 2" xfId="53877"/>
    <cellStyle name="Separador de milhares 3 12 12 2 2 3" xfId="22896"/>
    <cellStyle name="Separador de milhares 3 12 12 2 2 3 2" xfId="47963"/>
    <cellStyle name="Separador de milhares 3 12 12 2 2 4" xfId="16982"/>
    <cellStyle name="Separador de milhares 3 12 12 2 2 4 2" xfId="42049"/>
    <cellStyle name="Separador de milhares 3 12 12 2 2 5" xfId="36141"/>
    <cellStyle name="Separador de milhares 3 12 12 2 3" xfId="25853"/>
    <cellStyle name="Separador de milhares 3 12 12 2 3 2" xfId="50920"/>
    <cellStyle name="Separador de milhares 3 12 12 2 4" xfId="19939"/>
    <cellStyle name="Separador de milhares 3 12 12 2 4 2" xfId="45006"/>
    <cellStyle name="Separador de milhares 3 12 12 2 5" xfId="13841"/>
    <cellStyle name="Separador de milhares 3 12 12 2 5 2" xfId="39095"/>
    <cellStyle name="Separador de milhares 3 12 12 2 6" xfId="33184"/>
    <cellStyle name="Separador de milhares 3 12 12 3" xfId="9128"/>
    <cellStyle name="Separador de milhares 3 12 12 3 2" xfId="27342"/>
    <cellStyle name="Separador de milhares 3 12 12 3 2 2" xfId="52409"/>
    <cellStyle name="Separador de milhares 3 12 12 3 3" xfId="21428"/>
    <cellStyle name="Separador de milhares 3 12 12 3 3 2" xfId="46495"/>
    <cellStyle name="Separador de milhares 3 12 12 3 4" xfId="15514"/>
    <cellStyle name="Separador de milhares 3 12 12 3 4 2" xfId="40581"/>
    <cellStyle name="Separador de milhares 3 12 12 3 5" xfId="34673"/>
    <cellStyle name="Separador de milhares 3 12 12 4" xfId="5753"/>
    <cellStyle name="Separador de milhares 3 12 12 4 2" xfId="24385"/>
    <cellStyle name="Separador de milhares 3 12 12 4 2 2" xfId="49452"/>
    <cellStyle name="Separador de milhares 3 12 12 4 3" xfId="31716"/>
    <cellStyle name="Separador de milhares 3 12 12 5" xfId="18471"/>
    <cellStyle name="Separador de milhares 3 12 12 5 2" xfId="43538"/>
    <cellStyle name="Separador de milhares 3 12 12 6" xfId="12140"/>
    <cellStyle name="Separador de milhares 3 12 12 6 2" xfId="37627"/>
    <cellStyle name="Separador de milhares 3 12 12 7" xfId="30246"/>
    <cellStyle name="Separador de milhares 3 12 13" xfId="6436"/>
    <cellStyle name="Separador de milhares 3 12 13 2" xfId="9592"/>
    <cellStyle name="Separador de milhares 3 12 13 2 2" xfId="27806"/>
    <cellStyle name="Separador de milhares 3 12 13 2 2 2" xfId="52873"/>
    <cellStyle name="Separador de milhares 3 12 13 2 3" xfId="21892"/>
    <cellStyle name="Separador de milhares 3 12 13 2 3 2" xfId="46959"/>
    <cellStyle name="Separador de milhares 3 12 13 2 4" xfId="15978"/>
    <cellStyle name="Separador de milhares 3 12 13 2 4 2" xfId="41045"/>
    <cellStyle name="Separador de milhares 3 12 13 2 5" xfId="35137"/>
    <cellStyle name="Separador de milhares 3 12 13 3" xfId="24849"/>
    <cellStyle name="Separador de milhares 3 12 13 3 2" xfId="49916"/>
    <cellStyle name="Separador de milhares 3 12 13 4" xfId="18935"/>
    <cellStyle name="Separador de milhares 3 12 13 4 2" xfId="44002"/>
    <cellStyle name="Separador de milhares 3 12 13 5" xfId="12825"/>
    <cellStyle name="Separador de milhares 3 12 13 5 2" xfId="38091"/>
    <cellStyle name="Separador de milhares 3 12 13 6" xfId="32180"/>
    <cellStyle name="Separador de milhares 3 12 14" xfId="8121"/>
    <cellStyle name="Separador de milhares 3 12 14 2" xfId="26335"/>
    <cellStyle name="Separador de milhares 3 12 14 2 2" xfId="51402"/>
    <cellStyle name="Separador de milhares 3 12 14 3" xfId="20421"/>
    <cellStyle name="Separador de milhares 3 12 14 3 2" xfId="45488"/>
    <cellStyle name="Separador de milhares 3 12 14 4" xfId="14510"/>
    <cellStyle name="Separador de milhares 3 12 14 4 2" xfId="39577"/>
    <cellStyle name="Separador de milhares 3 12 14 5" xfId="33666"/>
    <cellStyle name="Separador de milhares 3 12 15" xfId="4734"/>
    <cellStyle name="Separador de milhares 3 12 15 2" xfId="23378"/>
    <cellStyle name="Separador de milhares 3 12 15 2 2" xfId="48445"/>
    <cellStyle name="Separador de milhares 3 12 15 3" xfId="30710"/>
    <cellStyle name="Separador de milhares 3 12 16" xfId="17464"/>
    <cellStyle name="Separador de milhares 3 12 16 2" xfId="42531"/>
    <cellStyle name="Separador de milhares 3 12 17" xfId="11124"/>
    <cellStyle name="Separador de milhares 3 12 17 2" xfId="36623"/>
    <cellStyle name="Separador de milhares 3 12 18" xfId="29238"/>
    <cellStyle name="Separador de milhares 3 12 2" xfId="196"/>
    <cellStyle name="Separador de milhares 3 12 2 10" xfId="6465"/>
    <cellStyle name="Separador de milhares 3 12 2 10 2" xfId="9619"/>
    <cellStyle name="Separador de milhares 3 12 2 10 2 2" xfId="27833"/>
    <cellStyle name="Separador de milhares 3 12 2 10 2 2 2" xfId="52900"/>
    <cellStyle name="Separador de milhares 3 12 2 10 2 3" xfId="21919"/>
    <cellStyle name="Separador de milhares 3 12 2 10 2 3 2" xfId="46986"/>
    <cellStyle name="Separador de milhares 3 12 2 10 2 4" xfId="16005"/>
    <cellStyle name="Separador de milhares 3 12 2 10 2 4 2" xfId="41072"/>
    <cellStyle name="Separador de milhares 3 12 2 10 2 5" xfId="35164"/>
    <cellStyle name="Separador de milhares 3 12 2 10 3" xfId="24876"/>
    <cellStyle name="Separador de milhares 3 12 2 10 3 2" xfId="49943"/>
    <cellStyle name="Separador de milhares 3 12 2 10 4" xfId="18962"/>
    <cellStyle name="Separador de milhares 3 12 2 10 4 2" xfId="44029"/>
    <cellStyle name="Separador de milhares 3 12 2 10 5" xfId="12854"/>
    <cellStyle name="Separador de milhares 3 12 2 10 5 2" xfId="38118"/>
    <cellStyle name="Separador de milhares 3 12 2 10 6" xfId="32207"/>
    <cellStyle name="Separador de milhares 3 12 2 11" xfId="8148"/>
    <cellStyle name="Separador de milhares 3 12 2 11 2" xfId="26362"/>
    <cellStyle name="Separador de milhares 3 12 2 11 2 2" xfId="51429"/>
    <cellStyle name="Separador de milhares 3 12 2 11 3" xfId="20448"/>
    <cellStyle name="Separador de milhares 3 12 2 11 3 2" xfId="45515"/>
    <cellStyle name="Separador de milhares 3 12 2 11 4" xfId="14537"/>
    <cellStyle name="Separador de milhares 3 12 2 11 4 2" xfId="39604"/>
    <cellStyle name="Separador de milhares 3 12 2 11 5" xfId="33693"/>
    <cellStyle name="Separador de milhares 3 12 2 12" xfId="4764"/>
    <cellStyle name="Separador de milhares 3 12 2 12 2" xfId="23405"/>
    <cellStyle name="Separador de milhares 3 12 2 12 2 2" xfId="48472"/>
    <cellStyle name="Separador de milhares 3 12 2 12 3" xfId="30737"/>
    <cellStyle name="Separador de milhares 3 12 2 13" xfId="17491"/>
    <cellStyle name="Separador de milhares 3 12 2 13 2" xfId="42558"/>
    <cellStyle name="Separador de milhares 3 12 2 14" xfId="11153"/>
    <cellStyle name="Separador de milhares 3 12 2 14 2" xfId="36650"/>
    <cellStyle name="Separador de milhares 3 12 2 15" xfId="29266"/>
    <cellStyle name="Separador de milhares 3 12 2 2" xfId="469"/>
    <cellStyle name="Separador de milhares 3 12 2 2 10" xfId="17565"/>
    <cellStyle name="Separador de milhares 3 12 2 2 10 2" xfId="42632"/>
    <cellStyle name="Separador de milhares 3 12 2 2 11" xfId="11234"/>
    <cellStyle name="Separador de milhares 3 12 2 2 11 2" xfId="36724"/>
    <cellStyle name="Separador de milhares 3 12 2 2 12" xfId="29340"/>
    <cellStyle name="Separador de milhares 3 12 2 2 2" xfId="1988"/>
    <cellStyle name="Separador de milhares 3 12 2 2 2 2" xfId="6984"/>
    <cellStyle name="Separador de milhares 3 12 2 2 2 2 2" xfId="10131"/>
    <cellStyle name="Separador de milhares 3 12 2 2 2 2 2 2" xfId="28345"/>
    <cellStyle name="Separador de milhares 3 12 2 2 2 2 2 2 2" xfId="53412"/>
    <cellStyle name="Separador de milhares 3 12 2 2 2 2 2 3" xfId="22431"/>
    <cellStyle name="Separador de milhares 3 12 2 2 2 2 2 3 2" xfId="47498"/>
    <cellStyle name="Separador de milhares 3 12 2 2 2 2 2 4" xfId="16517"/>
    <cellStyle name="Separador de milhares 3 12 2 2 2 2 2 4 2" xfId="41584"/>
    <cellStyle name="Separador de milhares 3 12 2 2 2 2 2 5" xfId="35676"/>
    <cellStyle name="Separador de milhares 3 12 2 2 2 2 3" xfId="25388"/>
    <cellStyle name="Separador de milhares 3 12 2 2 2 2 3 2" xfId="50455"/>
    <cellStyle name="Separador de milhares 3 12 2 2 2 2 4" xfId="19474"/>
    <cellStyle name="Separador de milhares 3 12 2 2 2 2 4 2" xfId="44541"/>
    <cellStyle name="Separador de milhares 3 12 2 2 2 2 5" xfId="13373"/>
    <cellStyle name="Separador de milhares 3 12 2 2 2 2 5 2" xfId="38630"/>
    <cellStyle name="Separador de milhares 3 12 2 2 2 2 6" xfId="32719"/>
    <cellStyle name="Separador de milhares 3 12 2 2 2 3" xfId="8663"/>
    <cellStyle name="Separador de milhares 3 12 2 2 2 3 2" xfId="26877"/>
    <cellStyle name="Separador de milhares 3 12 2 2 2 3 2 2" xfId="51944"/>
    <cellStyle name="Separador de milhares 3 12 2 2 2 3 3" xfId="20963"/>
    <cellStyle name="Separador de milhares 3 12 2 2 2 3 3 2" xfId="46030"/>
    <cellStyle name="Separador de milhares 3 12 2 2 2 3 4" xfId="15049"/>
    <cellStyle name="Separador de milhares 3 12 2 2 2 3 4 2" xfId="40116"/>
    <cellStyle name="Separador de milhares 3 12 2 2 2 3 5" xfId="34208"/>
    <cellStyle name="Separador de milhares 3 12 2 2 2 4" xfId="5285"/>
    <cellStyle name="Separador de milhares 3 12 2 2 2 4 2" xfId="23920"/>
    <cellStyle name="Separador de milhares 3 12 2 2 2 4 2 2" xfId="48987"/>
    <cellStyle name="Separador de milhares 3 12 2 2 2 4 3" xfId="31251"/>
    <cellStyle name="Separador de milhares 3 12 2 2 2 5" xfId="18006"/>
    <cellStyle name="Separador de milhares 3 12 2 2 2 5 2" xfId="43073"/>
    <cellStyle name="Separador de milhares 3 12 2 2 2 6" xfId="11672"/>
    <cellStyle name="Separador de milhares 3 12 2 2 2 6 2" xfId="37162"/>
    <cellStyle name="Separador de milhares 3 12 2 2 2 7" xfId="29781"/>
    <cellStyle name="Separador de milhares 3 12 2 2 3" xfId="2518"/>
    <cellStyle name="Separador de milhares 3 12 2 2 3 2" xfId="7134"/>
    <cellStyle name="Separador de milhares 3 12 2 2 3 2 2" xfId="10278"/>
    <cellStyle name="Separador de milhares 3 12 2 2 3 2 2 2" xfId="28492"/>
    <cellStyle name="Separador de milhares 3 12 2 2 3 2 2 2 2" xfId="53559"/>
    <cellStyle name="Separador de milhares 3 12 2 2 3 2 2 3" xfId="22578"/>
    <cellStyle name="Separador de milhares 3 12 2 2 3 2 2 3 2" xfId="47645"/>
    <cellStyle name="Separador de milhares 3 12 2 2 3 2 2 4" xfId="16664"/>
    <cellStyle name="Separador de milhares 3 12 2 2 3 2 2 4 2" xfId="41731"/>
    <cellStyle name="Separador de milhares 3 12 2 2 3 2 2 5" xfId="35823"/>
    <cellStyle name="Separador de milhares 3 12 2 2 3 2 3" xfId="25535"/>
    <cellStyle name="Separador de milhares 3 12 2 2 3 2 3 2" xfId="50602"/>
    <cellStyle name="Separador de milhares 3 12 2 2 3 2 4" xfId="19621"/>
    <cellStyle name="Separador de milhares 3 12 2 2 3 2 4 2" xfId="44688"/>
    <cellStyle name="Separador de milhares 3 12 2 2 3 2 5" xfId="13523"/>
    <cellStyle name="Separador de milhares 3 12 2 2 3 2 5 2" xfId="38777"/>
    <cellStyle name="Separador de milhares 3 12 2 2 3 2 6" xfId="32866"/>
    <cellStyle name="Separador de milhares 3 12 2 2 3 3" xfId="8810"/>
    <cellStyle name="Separador de milhares 3 12 2 2 3 3 2" xfId="27024"/>
    <cellStyle name="Separador de milhares 3 12 2 2 3 3 2 2" xfId="52091"/>
    <cellStyle name="Separador de milhares 3 12 2 2 3 3 3" xfId="21110"/>
    <cellStyle name="Separador de milhares 3 12 2 2 3 3 3 2" xfId="46177"/>
    <cellStyle name="Separador de milhares 3 12 2 2 3 3 4" xfId="15196"/>
    <cellStyle name="Separador de milhares 3 12 2 2 3 3 4 2" xfId="40263"/>
    <cellStyle name="Separador de milhares 3 12 2 2 3 3 5" xfId="34355"/>
    <cellStyle name="Separador de milhares 3 12 2 2 3 4" xfId="5435"/>
    <cellStyle name="Separador de milhares 3 12 2 2 3 4 2" xfId="24067"/>
    <cellStyle name="Separador de milhares 3 12 2 2 3 4 2 2" xfId="49134"/>
    <cellStyle name="Separador de milhares 3 12 2 2 3 4 3" xfId="31398"/>
    <cellStyle name="Separador de milhares 3 12 2 2 3 5" xfId="18153"/>
    <cellStyle name="Separador de milhares 3 12 2 2 3 5 2" xfId="43220"/>
    <cellStyle name="Separador de milhares 3 12 2 2 3 6" xfId="11822"/>
    <cellStyle name="Separador de milhares 3 12 2 2 3 6 2" xfId="37309"/>
    <cellStyle name="Separador de milhares 3 12 2 2 3 7" xfId="29928"/>
    <cellStyle name="Separador de milhares 3 12 2 2 4" xfId="3045"/>
    <cellStyle name="Separador de milhares 3 12 2 2 4 2" xfId="7281"/>
    <cellStyle name="Separador de milhares 3 12 2 2 4 2 2" xfId="10425"/>
    <cellStyle name="Separador de milhares 3 12 2 2 4 2 2 2" xfId="28639"/>
    <cellStyle name="Separador de milhares 3 12 2 2 4 2 2 2 2" xfId="53706"/>
    <cellStyle name="Separador de milhares 3 12 2 2 4 2 2 3" xfId="22725"/>
    <cellStyle name="Separador de milhares 3 12 2 2 4 2 2 3 2" xfId="47792"/>
    <cellStyle name="Separador de milhares 3 12 2 2 4 2 2 4" xfId="16811"/>
    <cellStyle name="Separador de milhares 3 12 2 2 4 2 2 4 2" xfId="41878"/>
    <cellStyle name="Separador de milhares 3 12 2 2 4 2 2 5" xfId="35970"/>
    <cellStyle name="Separador de milhares 3 12 2 2 4 2 3" xfId="25682"/>
    <cellStyle name="Separador de milhares 3 12 2 2 4 2 3 2" xfId="50749"/>
    <cellStyle name="Separador de milhares 3 12 2 2 4 2 4" xfId="19768"/>
    <cellStyle name="Separador de milhares 3 12 2 2 4 2 4 2" xfId="44835"/>
    <cellStyle name="Separador de milhares 3 12 2 2 4 2 5" xfId="13670"/>
    <cellStyle name="Separador de milhares 3 12 2 2 4 2 5 2" xfId="38924"/>
    <cellStyle name="Separador de milhares 3 12 2 2 4 2 6" xfId="33013"/>
    <cellStyle name="Separador de milhares 3 12 2 2 4 3" xfId="8957"/>
    <cellStyle name="Separador de milhares 3 12 2 2 4 3 2" xfId="27171"/>
    <cellStyle name="Separador de milhares 3 12 2 2 4 3 2 2" xfId="52238"/>
    <cellStyle name="Separador de milhares 3 12 2 2 4 3 3" xfId="21257"/>
    <cellStyle name="Separador de milhares 3 12 2 2 4 3 3 2" xfId="46324"/>
    <cellStyle name="Separador de milhares 3 12 2 2 4 3 4" xfId="15343"/>
    <cellStyle name="Separador de milhares 3 12 2 2 4 3 4 2" xfId="40410"/>
    <cellStyle name="Separador de milhares 3 12 2 2 4 3 5" xfId="34502"/>
    <cellStyle name="Separador de milhares 3 12 2 2 4 4" xfId="5582"/>
    <cellStyle name="Separador de milhares 3 12 2 2 4 4 2" xfId="24214"/>
    <cellStyle name="Separador de milhares 3 12 2 2 4 4 2 2" xfId="49281"/>
    <cellStyle name="Separador de milhares 3 12 2 2 4 4 3" xfId="31545"/>
    <cellStyle name="Separador de milhares 3 12 2 2 4 5" xfId="18300"/>
    <cellStyle name="Separador de milhares 3 12 2 2 4 5 2" xfId="43367"/>
    <cellStyle name="Separador de milhares 3 12 2 2 4 6" xfId="11969"/>
    <cellStyle name="Separador de milhares 3 12 2 2 4 6 2" xfId="37456"/>
    <cellStyle name="Separador de milhares 3 12 2 2 4 7" xfId="30075"/>
    <cellStyle name="Separador de milhares 3 12 2 2 5" xfId="3572"/>
    <cellStyle name="Separador de milhares 3 12 2 2 5 2" xfId="7428"/>
    <cellStyle name="Separador de milhares 3 12 2 2 5 2 2" xfId="10572"/>
    <cellStyle name="Separador de milhares 3 12 2 2 5 2 2 2" xfId="28786"/>
    <cellStyle name="Separador de milhares 3 12 2 2 5 2 2 2 2" xfId="53853"/>
    <cellStyle name="Separador de milhares 3 12 2 2 5 2 2 3" xfId="22872"/>
    <cellStyle name="Separador de milhares 3 12 2 2 5 2 2 3 2" xfId="47939"/>
    <cellStyle name="Separador de milhares 3 12 2 2 5 2 2 4" xfId="16958"/>
    <cellStyle name="Separador de milhares 3 12 2 2 5 2 2 4 2" xfId="42025"/>
    <cellStyle name="Separador de milhares 3 12 2 2 5 2 2 5" xfId="36117"/>
    <cellStyle name="Separador de milhares 3 12 2 2 5 2 3" xfId="25829"/>
    <cellStyle name="Separador de milhares 3 12 2 2 5 2 3 2" xfId="50896"/>
    <cellStyle name="Separador de milhares 3 12 2 2 5 2 4" xfId="19915"/>
    <cellStyle name="Separador de milhares 3 12 2 2 5 2 4 2" xfId="44982"/>
    <cellStyle name="Separador de milhares 3 12 2 2 5 2 5" xfId="13817"/>
    <cellStyle name="Separador de milhares 3 12 2 2 5 2 5 2" xfId="39071"/>
    <cellStyle name="Separador de milhares 3 12 2 2 5 2 6" xfId="33160"/>
    <cellStyle name="Separador de milhares 3 12 2 2 5 3" xfId="9104"/>
    <cellStyle name="Separador de milhares 3 12 2 2 5 3 2" xfId="27318"/>
    <cellStyle name="Separador de milhares 3 12 2 2 5 3 2 2" xfId="52385"/>
    <cellStyle name="Separador de milhares 3 12 2 2 5 3 3" xfId="21404"/>
    <cellStyle name="Separador de milhares 3 12 2 2 5 3 3 2" xfId="46471"/>
    <cellStyle name="Separador de milhares 3 12 2 2 5 3 4" xfId="15490"/>
    <cellStyle name="Separador de milhares 3 12 2 2 5 3 4 2" xfId="40557"/>
    <cellStyle name="Separador de milhares 3 12 2 2 5 3 5" xfId="34649"/>
    <cellStyle name="Separador de milhares 3 12 2 2 5 4" xfId="5729"/>
    <cellStyle name="Separador de milhares 3 12 2 2 5 4 2" xfId="24361"/>
    <cellStyle name="Separador de milhares 3 12 2 2 5 4 2 2" xfId="49428"/>
    <cellStyle name="Separador de milhares 3 12 2 2 5 4 3" xfId="31692"/>
    <cellStyle name="Separador de milhares 3 12 2 2 5 5" xfId="18447"/>
    <cellStyle name="Separador de milhares 3 12 2 2 5 5 2" xfId="43514"/>
    <cellStyle name="Separador de milhares 3 12 2 2 5 6" xfId="12116"/>
    <cellStyle name="Separador de milhares 3 12 2 2 5 6 2" xfId="37603"/>
    <cellStyle name="Separador de milhares 3 12 2 2 5 7" xfId="30222"/>
    <cellStyle name="Separador de milhares 3 12 2 2 6" xfId="4099"/>
    <cellStyle name="Separador de milhares 3 12 2 2 6 2" xfId="7575"/>
    <cellStyle name="Separador de milhares 3 12 2 2 6 2 2" xfId="10719"/>
    <cellStyle name="Separador de milhares 3 12 2 2 6 2 2 2" xfId="28933"/>
    <cellStyle name="Separador de milhares 3 12 2 2 6 2 2 2 2" xfId="54000"/>
    <cellStyle name="Separador de milhares 3 12 2 2 6 2 2 3" xfId="23019"/>
    <cellStyle name="Separador de milhares 3 12 2 2 6 2 2 3 2" xfId="48086"/>
    <cellStyle name="Separador de milhares 3 12 2 2 6 2 2 4" xfId="17105"/>
    <cellStyle name="Separador de milhares 3 12 2 2 6 2 2 4 2" xfId="42172"/>
    <cellStyle name="Separador de milhares 3 12 2 2 6 2 2 5" xfId="36264"/>
    <cellStyle name="Separador de milhares 3 12 2 2 6 2 3" xfId="25976"/>
    <cellStyle name="Separador de milhares 3 12 2 2 6 2 3 2" xfId="51043"/>
    <cellStyle name="Separador de milhares 3 12 2 2 6 2 4" xfId="20062"/>
    <cellStyle name="Separador de milhares 3 12 2 2 6 2 4 2" xfId="45129"/>
    <cellStyle name="Separador de milhares 3 12 2 2 6 2 5" xfId="13964"/>
    <cellStyle name="Separador de milhares 3 12 2 2 6 2 5 2" xfId="39218"/>
    <cellStyle name="Separador de milhares 3 12 2 2 6 2 6" xfId="33307"/>
    <cellStyle name="Separador de milhares 3 12 2 2 6 3" xfId="9251"/>
    <cellStyle name="Separador de milhares 3 12 2 2 6 3 2" xfId="27465"/>
    <cellStyle name="Separador de milhares 3 12 2 2 6 3 2 2" xfId="52532"/>
    <cellStyle name="Separador de milhares 3 12 2 2 6 3 3" xfId="21551"/>
    <cellStyle name="Separador de milhares 3 12 2 2 6 3 3 2" xfId="46618"/>
    <cellStyle name="Separador de milhares 3 12 2 2 6 3 4" xfId="15637"/>
    <cellStyle name="Separador de milhares 3 12 2 2 6 3 4 2" xfId="40704"/>
    <cellStyle name="Separador de milhares 3 12 2 2 6 3 5" xfId="34796"/>
    <cellStyle name="Separador de milhares 3 12 2 2 6 4" xfId="5876"/>
    <cellStyle name="Separador de milhares 3 12 2 2 6 4 2" xfId="24508"/>
    <cellStyle name="Separador de milhares 3 12 2 2 6 4 2 2" xfId="49575"/>
    <cellStyle name="Separador de milhares 3 12 2 2 6 4 3" xfId="31839"/>
    <cellStyle name="Separador de milhares 3 12 2 2 6 5" xfId="18594"/>
    <cellStyle name="Separador de milhares 3 12 2 2 6 5 2" xfId="43661"/>
    <cellStyle name="Separador de milhares 3 12 2 2 6 6" xfId="12263"/>
    <cellStyle name="Separador de milhares 3 12 2 2 6 6 2" xfId="37750"/>
    <cellStyle name="Separador de milhares 3 12 2 2 6 7" xfId="30369"/>
    <cellStyle name="Separador de milhares 3 12 2 2 7" xfId="6546"/>
    <cellStyle name="Separador de milhares 3 12 2 2 7 2" xfId="9693"/>
    <cellStyle name="Separador de milhares 3 12 2 2 7 2 2" xfId="27907"/>
    <cellStyle name="Separador de milhares 3 12 2 2 7 2 2 2" xfId="52974"/>
    <cellStyle name="Separador de milhares 3 12 2 2 7 2 3" xfId="21993"/>
    <cellStyle name="Separador de milhares 3 12 2 2 7 2 3 2" xfId="47060"/>
    <cellStyle name="Separador de milhares 3 12 2 2 7 2 4" xfId="16079"/>
    <cellStyle name="Separador de milhares 3 12 2 2 7 2 4 2" xfId="41146"/>
    <cellStyle name="Separador de milhares 3 12 2 2 7 2 5" xfId="35238"/>
    <cellStyle name="Separador de milhares 3 12 2 2 7 3" xfId="24950"/>
    <cellStyle name="Separador de milhares 3 12 2 2 7 3 2" xfId="50017"/>
    <cellStyle name="Separador de milhares 3 12 2 2 7 4" xfId="19036"/>
    <cellStyle name="Separador de milhares 3 12 2 2 7 4 2" xfId="44103"/>
    <cellStyle name="Separador de milhares 3 12 2 2 7 5" xfId="12935"/>
    <cellStyle name="Separador de milhares 3 12 2 2 7 5 2" xfId="38192"/>
    <cellStyle name="Separador de milhares 3 12 2 2 7 6" xfId="32281"/>
    <cellStyle name="Separador de milhares 3 12 2 2 8" xfId="8222"/>
    <cellStyle name="Separador de milhares 3 12 2 2 8 2" xfId="26436"/>
    <cellStyle name="Separador de milhares 3 12 2 2 8 2 2" xfId="51503"/>
    <cellStyle name="Separador de milhares 3 12 2 2 8 3" xfId="20522"/>
    <cellStyle name="Separador de milhares 3 12 2 2 8 3 2" xfId="45589"/>
    <cellStyle name="Separador de milhares 3 12 2 2 8 4" xfId="14611"/>
    <cellStyle name="Separador de milhares 3 12 2 2 8 4 2" xfId="39678"/>
    <cellStyle name="Separador de milhares 3 12 2 2 8 5" xfId="33767"/>
    <cellStyle name="Separador de milhares 3 12 2 2 9" xfId="4845"/>
    <cellStyle name="Separador de milhares 3 12 2 2 9 2" xfId="23479"/>
    <cellStyle name="Separador de milhares 3 12 2 2 9 2 2" xfId="48546"/>
    <cellStyle name="Separador de milhares 3 12 2 2 9 3" xfId="30811"/>
    <cellStyle name="Separador de milhares 3 12 2 3" xfId="942"/>
    <cellStyle name="Separador de milhares 3 12 2 3 2" xfId="6697"/>
    <cellStyle name="Separador de milhares 3 12 2 3 2 2" xfId="9844"/>
    <cellStyle name="Separador de milhares 3 12 2 3 2 2 2" xfId="28058"/>
    <cellStyle name="Separador de milhares 3 12 2 3 2 2 2 2" xfId="53125"/>
    <cellStyle name="Separador de milhares 3 12 2 3 2 2 3" xfId="22144"/>
    <cellStyle name="Separador de milhares 3 12 2 3 2 2 3 2" xfId="47211"/>
    <cellStyle name="Separador de milhares 3 12 2 3 2 2 4" xfId="16230"/>
    <cellStyle name="Separador de milhares 3 12 2 3 2 2 4 2" xfId="41297"/>
    <cellStyle name="Separador de milhares 3 12 2 3 2 2 5" xfId="35389"/>
    <cellStyle name="Separador de milhares 3 12 2 3 2 3" xfId="25101"/>
    <cellStyle name="Separador de milhares 3 12 2 3 2 3 2" xfId="50168"/>
    <cellStyle name="Separador de milhares 3 12 2 3 2 4" xfId="19187"/>
    <cellStyle name="Separador de milhares 3 12 2 3 2 4 2" xfId="44254"/>
    <cellStyle name="Separador de milhares 3 12 2 3 2 5" xfId="13086"/>
    <cellStyle name="Separador de milhares 3 12 2 3 2 5 2" xfId="38343"/>
    <cellStyle name="Separador de milhares 3 12 2 3 2 6" xfId="32432"/>
    <cellStyle name="Separador de milhares 3 12 2 3 3" xfId="8376"/>
    <cellStyle name="Separador de milhares 3 12 2 3 3 2" xfId="26590"/>
    <cellStyle name="Separador de milhares 3 12 2 3 3 2 2" xfId="51657"/>
    <cellStyle name="Separador de milhares 3 12 2 3 3 3" xfId="20676"/>
    <cellStyle name="Separador de milhares 3 12 2 3 3 3 2" xfId="45743"/>
    <cellStyle name="Separador de milhares 3 12 2 3 3 4" xfId="14762"/>
    <cellStyle name="Separador de milhares 3 12 2 3 3 4 2" xfId="39829"/>
    <cellStyle name="Separador de milhares 3 12 2 3 3 5" xfId="33921"/>
    <cellStyle name="Separador de milhares 3 12 2 3 4" xfId="4998"/>
    <cellStyle name="Separador de milhares 3 12 2 3 4 2" xfId="23633"/>
    <cellStyle name="Separador de milhares 3 12 2 3 4 2 2" xfId="48700"/>
    <cellStyle name="Separador de milhares 3 12 2 3 4 3" xfId="30964"/>
    <cellStyle name="Separador de milhares 3 12 2 3 5" xfId="17719"/>
    <cellStyle name="Separador de milhares 3 12 2 3 5 2" xfId="42786"/>
    <cellStyle name="Separador de milhares 3 12 2 3 6" xfId="11385"/>
    <cellStyle name="Separador de milhares 3 12 2 3 6 2" xfId="36875"/>
    <cellStyle name="Separador de milhares 3 12 2 3 7" xfId="29494"/>
    <cellStyle name="Separador de milhares 3 12 2 4" xfId="1293"/>
    <cellStyle name="Separador de milhares 3 12 2 4 2" xfId="6795"/>
    <cellStyle name="Separador de milhares 3 12 2 4 2 2" xfId="9942"/>
    <cellStyle name="Separador de milhares 3 12 2 4 2 2 2" xfId="28156"/>
    <cellStyle name="Separador de milhares 3 12 2 4 2 2 2 2" xfId="53223"/>
    <cellStyle name="Separador de milhares 3 12 2 4 2 2 3" xfId="22242"/>
    <cellStyle name="Separador de milhares 3 12 2 4 2 2 3 2" xfId="47309"/>
    <cellStyle name="Separador de milhares 3 12 2 4 2 2 4" xfId="16328"/>
    <cellStyle name="Separador de milhares 3 12 2 4 2 2 4 2" xfId="41395"/>
    <cellStyle name="Separador de milhares 3 12 2 4 2 2 5" xfId="35487"/>
    <cellStyle name="Separador de milhares 3 12 2 4 2 3" xfId="25199"/>
    <cellStyle name="Separador de milhares 3 12 2 4 2 3 2" xfId="50266"/>
    <cellStyle name="Separador de milhares 3 12 2 4 2 4" xfId="19285"/>
    <cellStyle name="Separador de milhares 3 12 2 4 2 4 2" xfId="44352"/>
    <cellStyle name="Separador de milhares 3 12 2 4 2 5" xfId="13184"/>
    <cellStyle name="Separador de milhares 3 12 2 4 2 5 2" xfId="38441"/>
    <cellStyle name="Separador de milhares 3 12 2 4 2 6" xfId="32530"/>
    <cellStyle name="Separador de milhares 3 12 2 4 3" xfId="8474"/>
    <cellStyle name="Separador de milhares 3 12 2 4 3 2" xfId="26688"/>
    <cellStyle name="Separador de milhares 3 12 2 4 3 2 2" xfId="51755"/>
    <cellStyle name="Separador de milhares 3 12 2 4 3 3" xfId="20774"/>
    <cellStyle name="Separador de milhares 3 12 2 4 3 3 2" xfId="45841"/>
    <cellStyle name="Separador de milhares 3 12 2 4 3 4" xfId="14860"/>
    <cellStyle name="Separador de milhares 3 12 2 4 3 4 2" xfId="39927"/>
    <cellStyle name="Separador de milhares 3 12 2 4 3 5" xfId="34019"/>
    <cellStyle name="Separador de milhares 3 12 2 4 4" xfId="5096"/>
    <cellStyle name="Separador de milhares 3 12 2 4 4 2" xfId="23731"/>
    <cellStyle name="Separador de milhares 3 12 2 4 4 2 2" xfId="48798"/>
    <cellStyle name="Separador de milhares 3 12 2 4 4 3" xfId="31062"/>
    <cellStyle name="Separador de milhares 3 12 2 4 5" xfId="17817"/>
    <cellStyle name="Separador de milhares 3 12 2 4 5 2" xfId="42884"/>
    <cellStyle name="Separador de milhares 3 12 2 4 6" xfId="11483"/>
    <cellStyle name="Separador de milhares 3 12 2 4 6 2" xfId="36973"/>
    <cellStyle name="Separador de milhares 3 12 2 4 7" xfId="29592"/>
    <cellStyle name="Separador de milhares 3 12 2 5" xfId="1728"/>
    <cellStyle name="Separador de milhares 3 12 2 5 2" xfId="6914"/>
    <cellStyle name="Separador de milhares 3 12 2 5 2 2" xfId="10061"/>
    <cellStyle name="Separador de milhares 3 12 2 5 2 2 2" xfId="28275"/>
    <cellStyle name="Separador de milhares 3 12 2 5 2 2 2 2" xfId="53342"/>
    <cellStyle name="Separador de milhares 3 12 2 5 2 2 3" xfId="22361"/>
    <cellStyle name="Separador de milhares 3 12 2 5 2 2 3 2" xfId="47428"/>
    <cellStyle name="Separador de milhares 3 12 2 5 2 2 4" xfId="16447"/>
    <cellStyle name="Separador de milhares 3 12 2 5 2 2 4 2" xfId="41514"/>
    <cellStyle name="Separador de milhares 3 12 2 5 2 2 5" xfId="35606"/>
    <cellStyle name="Separador de milhares 3 12 2 5 2 3" xfId="25318"/>
    <cellStyle name="Separador de milhares 3 12 2 5 2 3 2" xfId="50385"/>
    <cellStyle name="Separador de milhares 3 12 2 5 2 4" xfId="19404"/>
    <cellStyle name="Separador de milhares 3 12 2 5 2 4 2" xfId="44471"/>
    <cellStyle name="Separador de milhares 3 12 2 5 2 5" xfId="13303"/>
    <cellStyle name="Separador de milhares 3 12 2 5 2 5 2" xfId="38560"/>
    <cellStyle name="Separador de milhares 3 12 2 5 2 6" xfId="32649"/>
    <cellStyle name="Separador de milhares 3 12 2 5 3" xfId="8593"/>
    <cellStyle name="Separador de milhares 3 12 2 5 3 2" xfId="26807"/>
    <cellStyle name="Separador de milhares 3 12 2 5 3 2 2" xfId="51874"/>
    <cellStyle name="Separador de milhares 3 12 2 5 3 3" xfId="20893"/>
    <cellStyle name="Separador de milhares 3 12 2 5 3 3 2" xfId="45960"/>
    <cellStyle name="Separador de milhares 3 12 2 5 3 4" xfId="14979"/>
    <cellStyle name="Separador de milhares 3 12 2 5 3 4 2" xfId="40046"/>
    <cellStyle name="Separador de milhares 3 12 2 5 3 5" xfId="34138"/>
    <cellStyle name="Separador de milhares 3 12 2 5 4" xfId="5215"/>
    <cellStyle name="Separador de milhares 3 12 2 5 4 2" xfId="23850"/>
    <cellStyle name="Separador de milhares 3 12 2 5 4 2 2" xfId="48917"/>
    <cellStyle name="Separador de milhares 3 12 2 5 4 3" xfId="31181"/>
    <cellStyle name="Separador de milhares 3 12 2 5 5" xfId="17936"/>
    <cellStyle name="Separador de milhares 3 12 2 5 5 2" xfId="43003"/>
    <cellStyle name="Separador de milhares 3 12 2 5 6" xfId="11602"/>
    <cellStyle name="Separador de milhares 3 12 2 5 6 2" xfId="37092"/>
    <cellStyle name="Separador de milhares 3 12 2 5 7" xfId="29711"/>
    <cellStyle name="Separador de milhares 3 12 2 6" xfId="2258"/>
    <cellStyle name="Separador de milhares 3 12 2 6 2" xfId="7064"/>
    <cellStyle name="Separador de milhares 3 12 2 6 2 2" xfId="10208"/>
    <cellStyle name="Separador de milhares 3 12 2 6 2 2 2" xfId="28422"/>
    <cellStyle name="Separador de milhares 3 12 2 6 2 2 2 2" xfId="53489"/>
    <cellStyle name="Separador de milhares 3 12 2 6 2 2 3" xfId="22508"/>
    <cellStyle name="Separador de milhares 3 12 2 6 2 2 3 2" xfId="47575"/>
    <cellStyle name="Separador de milhares 3 12 2 6 2 2 4" xfId="16594"/>
    <cellStyle name="Separador de milhares 3 12 2 6 2 2 4 2" xfId="41661"/>
    <cellStyle name="Separador de milhares 3 12 2 6 2 2 5" xfId="35753"/>
    <cellStyle name="Separador de milhares 3 12 2 6 2 3" xfId="25465"/>
    <cellStyle name="Separador de milhares 3 12 2 6 2 3 2" xfId="50532"/>
    <cellStyle name="Separador de milhares 3 12 2 6 2 4" xfId="19551"/>
    <cellStyle name="Separador de milhares 3 12 2 6 2 4 2" xfId="44618"/>
    <cellStyle name="Separador de milhares 3 12 2 6 2 5" xfId="13453"/>
    <cellStyle name="Separador de milhares 3 12 2 6 2 5 2" xfId="38707"/>
    <cellStyle name="Separador de milhares 3 12 2 6 2 6" xfId="32796"/>
    <cellStyle name="Separador de milhares 3 12 2 6 3" xfId="8740"/>
    <cellStyle name="Separador de milhares 3 12 2 6 3 2" xfId="26954"/>
    <cellStyle name="Separador de milhares 3 12 2 6 3 2 2" xfId="52021"/>
    <cellStyle name="Separador de milhares 3 12 2 6 3 3" xfId="21040"/>
    <cellStyle name="Separador de milhares 3 12 2 6 3 3 2" xfId="46107"/>
    <cellStyle name="Separador de milhares 3 12 2 6 3 4" xfId="15126"/>
    <cellStyle name="Separador de milhares 3 12 2 6 3 4 2" xfId="40193"/>
    <cellStyle name="Separador de milhares 3 12 2 6 3 5" xfId="34285"/>
    <cellStyle name="Separador de milhares 3 12 2 6 4" xfId="5365"/>
    <cellStyle name="Separador de milhares 3 12 2 6 4 2" xfId="23997"/>
    <cellStyle name="Separador de milhares 3 12 2 6 4 2 2" xfId="49064"/>
    <cellStyle name="Separador de milhares 3 12 2 6 4 3" xfId="31328"/>
    <cellStyle name="Separador de milhares 3 12 2 6 5" xfId="18083"/>
    <cellStyle name="Separador de milhares 3 12 2 6 5 2" xfId="43150"/>
    <cellStyle name="Separador de milhares 3 12 2 6 6" xfId="11752"/>
    <cellStyle name="Separador de milhares 3 12 2 6 6 2" xfId="37239"/>
    <cellStyle name="Separador de milhares 3 12 2 6 7" xfId="29858"/>
    <cellStyle name="Separador de milhares 3 12 2 7" xfId="2785"/>
    <cellStyle name="Separador de milhares 3 12 2 7 2" xfId="7211"/>
    <cellStyle name="Separador de milhares 3 12 2 7 2 2" xfId="10355"/>
    <cellStyle name="Separador de milhares 3 12 2 7 2 2 2" xfId="28569"/>
    <cellStyle name="Separador de milhares 3 12 2 7 2 2 2 2" xfId="53636"/>
    <cellStyle name="Separador de milhares 3 12 2 7 2 2 3" xfId="22655"/>
    <cellStyle name="Separador de milhares 3 12 2 7 2 2 3 2" xfId="47722"/>
    <cellStyle name="Separador de milhares 3 12 2 7 2 2 4" xfId="16741"/>
    <cellStyle name="Separador de milhares 3 12 2 7 2 2 4 2" xfId="41808"/>
    <cellStyle name="Separador de milhares 3 12 2 7 2 2 5" xfId="35900"/>
    <cellStyle name="Separador de milhares 3 12 2 7 2 3" xfId="25612"/>
    <cellStyle name="Separador de milhares 3 12 2 7 2 3 2" xfId="50679"/>
    <cellStyle name="Separador de milhares 3 12 2 7 2 4" xfId="19698"/>
    <cellStyle name="Separador de milhares 3 12 2 7 2 4 2" xfId="44765"/>
    <cellStyle name="Separador de milhares 3 12 2 7 2 5" xfId="13600"/>
    <cellStyle name="Separador de milhares 3 12 2 7 2 5 2" xfId="38854"/>
    <cellStyle name="Separador de milhares 3 12 2 7 2 6" xfId="32943"/>
    <cellStyle name="Separador de milhares 3 12 2 7 3" xfId="8887"/>
    <cellStyle name="Separador de milhares 3 12 2 7 3 2" xfId="27101"/>
    <cellStyle name="Separador de milhares 3 12 2 7 3 2 2" xfId="52168"/>
    <cellStyle name="Separador de milhares 3 12 2 7 3 3" xfId="21187"/>
    <cellStyle name="Separador de milhares 3 12 2 7 3 3 2" xfId="46254"/>
    <cellStyle name="Separador de milhares 3 12 2 7 3 4" xfId="15273"/>
    <cellStyle name="Separador de milhares 3 12 2 7 3 4 2" xfId="40340"/>
    <cellStyle name="Separador de milhares 3 12 2 7 3 5" xfId="34432"/>
    <cellStyle name="Separador de milhares 3 12 2 7 4" xfId="5512"/>
    <cellStyle name="Separador de milhares 3 12 2 7 4 2" xfId="24144"/>
    <cellStyle name="Separador de milhares 3 12 2 7 4 2 2" xfId="49211"/>
    <cellStyle name="Separador de milhares 3 12 2 7 4 3" xfId="31475"/>
    <cellStyle name="Separador de milhares 3 12 2 7 5" xfId="18230"/>
    <cellStyle name="Separador de milhares 3 12 2 7 5 2" xfId="43297"/>
    <cellStyle name="Separador de milhares 3 12 2 7 6" xfId="11899"/>
    <cellStyle name="Separador de milhares 3 12 2 7 6 2" xfId="37386"/>
    <cellStyle name="Separador de milhares 3 12 2 7 7" xfId="30005"/>
    <cellStyle name="Separador de milhares 3 12 2 8" xfId="3312"/>
    <cellStyle name="Separador de milhares 3 12 2 8 2" xfId="7358"/>
    <cellStyle name="Separador de milhares 3 12 2 8 2 2" xfId="10502"/>
    <cellStyle name="Separador de milhares 3 12 2 8 2 2 2" xfId="28716"/>
    <cellStyle name="Separador de milhares 3 12 2 8 2 2 2 2" xfId="53783"/>
    <cellStyle name="Separador de milhares 3 12 2 8 2 2 3" xfId="22802"/>
    <cellStyle name="Separador de milhares 3 12 2 8 2 2 3 2" xfId="47869"/>
    <cellStyle name="Separador de milhares 3 12 2 8 2 2 4" xfId="16888"/>
    <cellStyle name="Separador de milhares 3 12 2 8 2 2 4 2" xfId="41955"/>
    <cellStyle name="Separador de milhares 3 12 2 8 2 2 5" xfId="36047"/>
    <cellStyle name="Separador de milhares 3 12 2 8 2 3" xfId="25759"/>
    <cellStyle name="Separador de milhares 3 12 2 8 2 3 2" xfId="50826"/>
    <cellStyle name="Separador de milhares 3 12 2 8 2 4" xfId="19845"/>
    <cellStyle name="Separador de milhares 3 12 2 8 2 4 2" xfId="44912"/>
    <cellStyle name="Separador de milhares 3 12 2 8 2 5" xfId="13747"/>
    <cellStyle name="Separador de milhares 3 12 2 8 2 5 2" xfId="39001"/>
    <cellStyle name="Separador de milhares 3 12 2 8 2 6" xfId="33090"/>
    <cellStyle name="Separador de milhares 3 12 2 8 3" xfId="9034"/>
    <cellStyle name="Separador de milhares 3 12 2 8 3 2" xfId="27248"/>
    <cellStyle name="Separador de milhares 3 12 2 8 3 2 2" xfId="52315"/>
    <cellStyle name="Separador de milhares 3 12 2 8 3 3" xfId="21334"/>
    <cellStyle name="Separador de milhares 3 12 2 8 3 3 2" xfId="46401"/>
    <cellStyle name="Separador de milhares 3 12 2 8 3 4" xfId="15420"/>
    <cellStyle name="Separador de milhares 3 12 2 8 3 4 2" xfId="40487"/>
    <cellStyle name="Separador de milhares 3 12 2 8 3 5" xfId="34579"/>
    <cellStyle name="Separador de milhares 3 12 2 8 4" xfId="5659"/>
    <cellStyle name="Separador de milhares 3 12 2 8 4 2" xfId="24291"/>
    <cellStyle name="Separador de milhares 3 12 2 8 4 2 2" xfId="49358"/>
    <cellStyle name="Separador de milhares 3 12 2 8 4 3" xfId="31622"/>
    <cellStyle name="Separador de milhares 3 12 2 8 5" xfId="18377"/>
    <cellStyle name="Separador de milhares 3 12 2 8 5 2" xfId="43444"/>
    <cellStyle name="Separador de milhares 3 12 2 8 6" xfId="12046"/>
    <cellStyle name="Separador de milhares 3 12 2 8 6 2" xfId="37533"/>
    <cellStyle name="Separador de milhares 3 12 2 8 7" xfId="30152"/>
    <cellStyle name="Separador de milhares 3 12 2 9" xfId="3839"/>
    <cellStyle name="Separador de milhares 3 12 2 9 2" xfId="7505"/>
    <cellStyle name="Separador de milhares 3 12 2 9 2 2" xfId="10649"/>
    <cellStyle name="Separador de milhares 3 12 2 9 2 2 2" xfId="28863"/>
    <cellStyle name="Separador de milhares 3 12 2 9 2 2 2 2" xfId="53930"/>
    <cellStyle name="Separador de milhares 3 12 2 9 2 2 3" xfId="22949"/>
    <cellStyle name="Separador de milhares 3 12 2 9 2 2 3 2" xfId="48016"/>
    <cellStyle name="Separador de milhares 3 12 2 9 2 2 4" xfId="17035"/>
    <cellStyle name="Separador de milhares 3 12 2 9 2 2 4 2" xfId="42102"/>
    <cellStyle name="Separador de milhares 3 12 2 9 2 2 5" xfId="36194"/>
    <cellStyle name="Separador de milhares 3 12 2 9 2 3" xfId="25906"/>
    <cellStyle name="Separador de milhares 3 12 2 9 2 3 2" xfId="50973"/>
    <cellStyle name="Separador de milhares 3 12 2 9 2 4" xfId="19992"/>
    <cellStyle name="Separador de milhares 3 12 2 9 2 4 2" xfId="45059"/>
    <cellStyle name="Separador de milhares 3 12 2 9 2 5" xfId="13894"/>
    <cellStyle name="Separador de milhares 3 12 2 9 2 5 2" xfId="39148"/>
    <cellStyle name="Separador de milhares 3 12 2 9 2 6" xfId="33237"/>
    <cellStyle name="Separador de milhares 3 12 2 9 3" xfId="9181"/>
    <cellStyle name="Separador de milhares 3 12 2 9 3 2" xfId="27395"/>
    <cellStyle name="Separador de milhares 3 12 2 9 3 2 2" xfId="52462"/>
    <cellStyle name="Separador de milhares 3 12 2 9 3 3" xfId="21481"/>
    <cellStyle name="Separador de milhares 3 12 2 9 3 3 2" xfId="46548"/>
    <cellStyle name="Separador de milhares 3 12 2 9 3 4" xfId="15567"/>
    <cellStyle name="Separador de milhares 3 12 2 9 3 4 2" xfId="40634"/>
    <cellStyle name="Separador de milhares 3 12 2 9 3 5" xfId="34726"/>
    <cellStyle name="Separador de milhares 3 12 2 9 4" xfId="5806"/>
    <cellStyle name="Separador de milhares 3 12 2 9 4 2" xfId="24438"/>
    <cellStyle name="Separador de milhares 3 12 2 9 4 2 2" xfId="49505"/>
    <cellStyle name="Separador de milhares 3 12 2 9 4 3" xfId="31769"/>
    <cellStyle name="Separador de milhares 3 12 2 9 5" xfId="18524"/>
    <cellStyle name="Separador de milhares 3 12 2 9 5 2" xfId="43591"/>
    <cellStyle name="Separador de milhares 3 12 2 9 6" xfId="12193"/>
    <cellStyle name="Separador de milhares 3 12 2 9 6 2" xfId="37680"/>
    <cellStyle name="Separador de milhares 3 12 2 9 7" xfId="30299"/>
    <cellStyle name="Separador de milhares 3 12 3" xfId="291"/>
    <cellStyle name="Separador de milhares 3 12 3 10" xfId="6496"/>
    <cellStyle name="Separador de milhares 3 12 3 10 2" xfId="9647"/>
    <cellStyle name="Separador de milhares 3 12 3 10 2 2" xfId="27861"/>
    <cellStyle name="Separador de milhares 3 12 3 10 2 2 2" xfId="52928"/>
    <cellStyle name="Separador de milhares 3 12 3 10 2 3" xfId="21947"/>
    <cellStyle name="Separador de milhares 3 12 3 10 2 3 2" xfId="47014"/>
    <cellStyle name="Separador de milhares 3 12 3 10 2 4" xfId="16033"/>
    <cellStyle name="Separador de milhares 3 12 3 10 2 4 2" xfId="41100"/>
    <cellStyle name="Separador de milhares 3 12 3 10 2 5" xfId="35192"/>
    <cellStyle name="Separador de milhares 3 12 3 10 3" xfId="24904"/>
    <cellStyle name="Separador de milhares 3 12 3 10 3 2" xfId="49971"/>
    <cellStyle name="Separador de milhares 3 12 3 10 4" xfId="18990"/>
    <cellStyle name="Separador de milhares 3 12 3 10 4 2" xfId="44057"/>
    <cellStyle name="Separador de milhares 3 12 3 10 5" xfId="12885"/>
    <cellStyle name="Separador de milhares 3 12 3 10 5 2" xfId="38146"/>
    <cellStyle name="Separador de milhares 3 12 3 10 6" xfId="32235"/>
    <cellStyle name="Separador de milhares 3 12 3 11" xfId="8176"/>
    <cellStyle name="Separador de milhares 3 12 3 11 2" xfId="26390"/>
    <cellStyle name="Separador de milhares 3 12 3 11 2 2" xfId="51457"/>
    <cellStyle name="Separador de milhares 3 12 3 11 3" xfId="20476"/>
    <cellStyle name="Separador de milhares 3 12 3 11 3 2" xfId="45543"/>
    <cellStyle name="Separador de milhares 3 12 3 11 4" xfId="14565"/>
    <cellStyle name="Separador de milhares 3 12 3 11 4 2" xfId="39632"/>
    <cellStyle name="Separador de milhares 3 12 3 11 5" xfId="33721"/>
    <cellStyle name="Separador de milhares 3 12 3 12" xfId="4795"/>
    <cellStyle name="Separador de milhares 3 12 3 12 2" xfId="23433"/>
    <cellStyle name="Separador de milhares 3 12 3 12 2 2" xfId="48500"/>
    <cellStyle name="Separador de milhares 3 12 3 12 3" xfId="30765"/>
    <cellStyle name="Separador de milhares 3 12 3 13" xfId="17519"/>
    <cellStyle name="Separador de milhares 3 12 3 13 2" xfId="42586"/>
    <cellStyle name="Separador de milhares 3 12 3 14" xfId="11184"/>
    <cellStyle name="Separador de milhares 3 12 3 14 2" xfId="36678"/>
    <cellStyle name="Separador de milhares 3 12 3 15" xfId="29294"/>
    <cellStyle name="Separador de milhares 3 12 3 2" xfId="554"/>
    <cellStyle name="Separador de milhares 3 12 3 2 2" xfId="6567"/>
    <cellStyle name="Separador de milhares 3 12 3 2 2 2" xfId="9714"/>
    <cellStyle name="Separador de milhares 3 12 3 2 2 2 2" xfId="27928"/>
    <cellStyle name="Separador de milhares 3 12 3 2 2 2 2 2" xfId="52995"/>
    <cellStyle name="Separador de milhares 3 12 3 2 2 2 3" xfId="22014"/>
    <cellStyle name="Separador de milhares 3 12 3 2 2 2 3 2" xfId="47081"/>
    <cellStyle name="Separador de milhares 3 12 3 2 2 2 4" xfId="16100"/>
    <cellStyle name="Separador de milhares 3 12 3 2 2 2 4 2" xfId="41167"/>
    <cellStyle name="Separador de milhares 3 12 3 2 2 2 5" xfId="35259"/>
    <cellStyle name="Separador de milhares 3 12 3 2 2 3" xfId="24971"/>
    <cellStyle name="Separador de milhares 3 12 3 2 2 3 2" xfId="50038"/>
    <cellStyle name="Separador de milhares 3 12 3 2 2 4" xfId="19057"/>
    <cellStyle name="Separador de milhares 3 12 3 2 2 4 2" xfId="44124"/>
    <cellStyle name="Separador de milhares 3 12 3 2 2 5" xfId="12956"/>
    <cellStyle name="Separador de milhares 3 12 3 2 2 5 2" xfId="38213"/>
    <cellStyle name="Separador de milhares 3 12 3 2 2 6" xfId="32302"/>
    <cellStyle name="Separador de milhares 3 12 3 2 3" xfId="8243"/>
    <cellStyle name="Separador de milhares 3 12 3 2 3 2" xfId="26457"/>
    <cellStyle name="Separador de milhares 3 12 3 2 3 2 2" xfId="51524"/>
    <cellStyle name="Separador de milhares 3 12 3 2 3 3" xfId="20543"/>
    <cellStyle name="Separador de milhares 3 12 3 2 3 3 2" xfId="45610"/>
    <cellStyle name="Separador de milhares 3 12 3 2 3 4" xfId="14632"/>
    <cellStyle name="Separador de milhares 3 12 3 2 3 4 2" xfId="39699"/>
    <cellStyle name="Separador de milhares 3 12 3 2 3 5" xfId="33788"/>
    <cellStyle name="Separador de milhares 3 12 3 2 4" xfId="4866"/>
    <cellStyle name="Separador de milhares 3 12 3 2 4 2" xfId="23500"/>
    <cellStyle name="Separador de milhares 3 12 3 2 4 2 2" xfId="48567"/>
    <cellStyle name="Separador de milhares 3 12 3 2 4 3" xfId="30832"/>
    <cellStyle name="Separador de milhares 3 12 3 2 5" xfId="17586"/>
    <cellStyle name="Separador de milhares 3 12 3 2 5 2" xfId="42653"/>
    <cellStyle name="Separador de milhares 3 12 3 2 6" xfId="11255"/>
    <cellStyle name="Separador de milhares 3 12 3 2 6 2" xfId="36745"/>
    <cellStyle name="Separador de milhares 3 12 3 2 7" xfId="29361"/>
    <cellStyle name="Separador de milhares 3 12 3 3" xfId="851"/>
    <cellStyle name="Separador de milhares 3 12 3 3 2" xfId="6669"/>
    <cellStyle name="Separador de milhares 3 12 3 3 2 2" xfId="9816"/>
    <cellStyle name="Separador de milhares 3 12 3 3 2 2 2" xfId="28030"/>
    <cellStyle name="Separador de milhares 3 12 3 3 2 2 2 2" xfId="53097"/>
    <cellStyle name="Separador de milhares 3 12 3 3 2 2 3" xfId="22116"/>
    <cellStyle name="Separador de milhares 3 12 3 3 2 2 3 2" xfId="47183"/>
    <cellStyle name="Separador de milhares 3 12 3 3 2 2 4" xfId="16202"/>
    <cellStyle name="Separador de milhares 3 12 3 3 2 2 4 2" xfId="41269"/>
    <cellStyle name="Separador de milhares 3 12 3 3 2 2 5" xfId="35361"/>
    <cellStyle name="Separador de milhares 3 12 3 3 2 3" xfId="25073"/>
    <cellStyle name="Separador de milhares 3 12 3 3 2 3 2" xfId="50140"/>
    <cellStyle name="Separador de milhares 3 12 3 3 2 4" xfId="19159"/>
    <cellStyle name="Separador de milhares 3 12 3 3 2 4 2" xfId="44226"/>
    <cellStyle name="Separador de milhares 3 12 3 3 2 5" xfId="13058"/>
    <cellStyle name="Separador de milhares 3 12 3 3 2 5 2" xfId="38315"/>
    <cellStyle name="Separador de milhares 3 12 3 3 2 6" xfId="32404"/>
    <cellStyle name="Separador de milhares 3 12 3 3 3" xfId="8348"/>
    <cellStyle name="Separador de milhares 3 12 3 3 3 2" xfId="26562"/>
    <cellStyle name="Separador de milhares 3 12 3 3 3 2 2" xfId="51629"/>
    <cellStyle name="Separador de milhares 3 12 3 3 3 3" xfId="20648"/>
    <cellStyle name="Separador de milhares 3 12 3 3 3 3 2" xfId="45715"/>
    <cellStyle name="Separador de milhares 3 12 3 3 3 4" xfId="14734"/>
    <cellStyle name="Separador de milhares 3 12 3 3 3 4 2" xfId="39801"/>
    <cellStyle name="Separador de milhares 3 12 3 3 3 5" xfId="33893"/>
    <cellStyle name="Separador de milhares 3 12 3 3 4" xfId="4970"/>
    <cellStyle name="Separador de milhares 3 12 3 3 4 2" xfId="23605"/>
    <cellStyle name="Separador de milhares 3 12 3 3 4 2 2" xfId="48672"/>
    <cellStyle name="Separador de milhares 3 12 3 3 4 3" xfId="30936"/>
    <cellStyle name="Separador de milhares 3 12 3 3 5" xfId="17691"/>
    <cellStyle name="Separador de milhares 3 12 3 3 5 2" xfId="42758"/>
    <cellStyle name="Separador de milhares 3 12 3 3 6" xfId="11357"/>
    <cellStyle name="Separador de milhares 3 12 3 3 6 2" xfId="36847"/>
    <cellStyle name="Separador de milhares 3 12 3 3 7" xfId="29466"/>
    <cellStyle name="Separador de milhares 3 12 3 4" xfId="1202"/>
    <cellStyle name="Separador de milhares 3 12 3 4 2" xfId="6767"/>
    <cellStyle name="Separador de milhares 3 12 3 4 2 2" xfId="9914"/>
    <cellStyle name="Separador de milhares 3 12 3 4 2 2 2" xfId="28128"/>
    <cellStyle name="Separador de milhares 3 12 3 4 2 2 2 2" xfId="53195"/>
    <cellStyle name="Separador de milhares 3 12 3 4 2 2 3" xfId="22214"/>
    <cellStyle name="Separador de milhares 3 12 3 4 2 2 3 2" xfId="47281"/>
    <cellStyle name="Separador de milhares 3 12 3 4 2 2 4" xfId="16300"/>
    <cellStyle name="Separador de milhares 3 12 3 4 2 2 4 2" xfId="41367"/>
    <cellStyle name="Separador de milhares 3 12 3 4 2 2 5" xfId="35459"/>
    <cellStyle name="Separador de milhares 3 12 3 4 2 3" xfId="25171"/>
    <cellStyle name="Separador de milhares 3 12 3 4 2 3 2" xfId="50238"/>
    <cellStyle name="Separador de milhares 3 12 3 4 2 4" xfId="19257"/>
    <cellStyle name="Separador de milhares 3 12 3 4 2 4 2" xfId="44324"/>
    <cellStyle name="Separador de milhares 3 12 3 4 2 5" xfId="13156"/>
    <cellStyle name="Separador de milhares 3 12 3 4 2 5 2" xfId="38413"/>
    <cellStyle name="Separador de milhares 3 12 3 4 2 6" xfId="32502"/>
    <cellStyle name="Separador de milhares 3 12 3 4 3" xfId="8446"/>
    <cellStyle name="Separador de milhares 3 12 3 4 3 2" xfId="26660"/>
    <cellStyle name="Separador de milhares 3 12 3 4 3 2 2" xfId="51727"/>
    <cellStyle name="Separador de milhares 3 12 3 4 3 3" xfId="20746"/>
    <cellStyle name="Separador de milhares 3 12 3 4 3 3 2" xfId="45813"/>
    <cellStyle name="Separador de milhares 3 12 3 4 3 4" xfId="14832"/>
    <cellStyle name="Separador de milhares 3 12 3 4 3 4 2" xfId="39899"/>
    <cellStyle name="Separador de milhares 3 12 3 4 3 5" xfId="33991"/>
    <cellStyle name="Separador de milhares 3 12 3 4 4" xfId="5068"/>
    <cellStyle name="Separador de milhares 3 12 3 4 4 2" xfId="23703"/>
    <cellStyle name="Separador de milhares 3 12 3 4 4 2 2" xfId="48770"/>
    <cellStyle name="Separador de milhares 3 12 3 4 4 3" xfId="31034"/>
    <cellStyle name="Separador de milhares 3 12 3 4 5" xfId="17789"/>
    <cellStyle name="Separador de milhares 3 12 3 4 5 2" xfId="42856"/>
    <cellStyle name="Separador de milhares 3 12 3 4 6" xfId="11455"/>
    <cellStyle name="Separador de milhares 3 12 3 4 6 2" xfId="36945"/>
    <cellStyle name="Separador de milhares 3 12 3 4 7" xfId="29564"/>
    <cellStyle name="Separador de milhares 3 12 3 5" xfId="1637"/>
    <cellStyle name="Separador de milhares 3 12 3 5 2" xfId="6886"/>
    <cellStyle name="Separador de milhares 3 12 3 5 2 2" xfId="10033"/>
    <cellStyle name="Separador de milhares 3 12 3 5 2 2 2" xfId="28247"/>
    <cellStyle name="Separador de milhares 3 12 3 5 2 2 2 2" xfId="53314"/>
    <cellStyle name="Separador de milhares 3 12 3 5 2 2 3" xfId="22333"/>
    <cellStyle name="Separador de milhares 3 12 3 5 2 2 3 2" xfId="47400"/>
    <cellStyle name="Separador de milhares 3 12 3 5 2 2 4" xfId="16419"/>
    <cellStyle name="Separador de milhares 3 12 3 5 2 2 4 2" xfId="41486"/>
    <cellStyle name="Separador de milhares 3 12 3 5 2 2 5" xfId="35578"/>
    <cellStyle name="Separador de milhares 3 12 3 5 2 3" xfId="25290"/>
    <cellStyle name="Separador de milhares 3 12 3 5 2 3 2" xfId="50357"/>
    <cellStyle name="Separador de milhares 3 12 3 5 2 4" xfId="19376"/>
    <cellStyle name="Separador de milhares 3 12 3 5 2 4 2" xfId="44443"/>
    <cellStyle name="Separador de milhares 3 12 3 5 2 5" xfId="13275"/>
    <cellStyle name="Separador de milhares 3 12 3 5 2 5 2" xfId="38532"/>
    <cellStyle name="Separador de milhares 3 12 3 5 2 6" xfId="32621"/>
    <cellStyle name="Separador de milhares 3 12 3 5 3" xfId="8565"/>
    <cellStyle name="Separador de milhares 3 12 3 5 3 2" xfId="26779"/>
    <cellStyle name="Separador de milhares 3 12 3 5 3 2 2" xfId="51846"/>
    <cellStyle name="Separador de milhares 3 12 3 5 3 3" xfId="20865"/>
    <cellStyle name="Separador de milhares 3 12 3 5 3 3 2" xfId="45932"/>
    <cellStyle name="Separador de milhares 3 12 3 5 3 4" xfId="14951"/>
    <cellStyle name="Separador de milhares 3 12 3 5 3 4 2" xfId="40018"/>
    <cellStyle name="Separador de milhares 3 12 3 5 3 5" xfId="34110"/>
    <cellStyle name="Separador de milhares 3 12 3 5 4" xfId="5187"/>
    <cellStyle name="Separador de milhares 3 12 3 5 4 2" xfId="23822"/>
    <cellStyle name="Separador de milhares 3 12 3 5 4 2 2" xfId="48889"/>
    <cellStyle name="Separador de milhares 3 12 3 5 4 3" xfId="31153"/>
    <cellStyle name="Separador de milhares 3 12 3 5 5" xfId="17908"/>
    <cellStyle name="Separador de milhares 3 12 3 5 5 2" xfId="42975"/>
    <cellStyle name="Separador de milhares 3 12 3 5 6" xfId="11574"/>
    <cellStyle name="Separador de milhares 3 12 3 5 6 2" xfId="37064"/>
    <cellStyle name="Separador de milhares 3 12 3 5 7" xfId="29683"/>
    <cellStyle name="Separador de milhares 3 12 3 6" xfId="2167"/>
    <cellStyle name="Separador de milhares 3 12 3 6 2" xfId="7036"/>
    <cellStyle name="Separador de milhares 3 12 3 6 2 2" xfId="10180"/>
    <cellStyle name="Separador de milhares 3 12 3 6 2 2 2" xfId="28394"/>
    <cellStyle name="Separador de milhares 3 12 3 6 2 2 2 2" xfId="53461"/>
    <cellStyle name="Separador de milhares 3 12 3 6 2 2 3" xfId="22480"/>
    <cellStyle name="Separador de milhares 3 12 3 6 2 2 3 2" xfId="47547"/>
    <cellStyle name="Separador de milhares 3 12 3 6 2 2 4" xfId="16566"/>
    <cellStyle name="Separador de milhares 3 12 3 6 2 2 4 2" xfId="41633"/>
    <cellStyle name="Separador de milhares 3 12 3 6 2 2 5" xfId="35725"/>
    <cellStyle name="Separador de milhares 3 12 3 6 2 3" xfId="25437"/>
    <cellStyle name="Separador de milhares 3 12 3 6 2 3 2" xfId="50504"/>
    <cellStyle name="Separador de milhares 3 12 3 6 2 4" xfId="19523"/>
    <cellStyle name="Separador de milhares 3 12 3 6 2 4 2" xfId="44590"/>
    <cellStyle name="Separador de milhares 3 12 3 6 2 5" xfId="13425"/>
    <cellStyle name="Separador de milhares 3 12 3 6 2 5 2" xfId="38679"/>
    <cellStyle name="Separador de milhares 3 12 3 6 2 6" xfId="32768"/>
    <cellStyle name="Separador de milhares 3 12 3 6 3" xfId="8712"/>
    <cellStyle name="Separador de milhares 3 12 3 6 3 2" xfId="26926"/>
    <cellStyle name="Separador de milhares 3 12 3 6 3 2 2" xfId="51993"/>
    <cellStyle name="Separador de milhares 3 12 3 6 3 3" xfId="21012"/>
    <cellStyle name="Separador de milhares 3 12 3 6 3 3 2" xfId="46079"/>
    <cellStyle name="Separador de milhares 3 12 3 6 3 4" xfId="15098"/>
    <cellStyle name="Separador de milhares 3 12 3 6 3 4 2" xfId="40165"/>
    <cellStyle name="Separador de milhares 3 12 3 6 3 5" xfId="34257"/>
    <cellStyle name="Separador de milhares 3 12 3 6 4" xfId="5337"/>
    <cellStyle name="Separador de milhares 3 12 3 6 4 2" xfId="23969"/>
    <cellStyle name="Separador de milhares 3 12 3 6 4 2 2" xfId="49036"/>
    <cellStyle name="Separador de milhares 3 12 3 6 4 3" xfId="31300"/>
    <cellStyle name="Separador de milhares 3 12 3 6 5" xfId="18055"/>
    <cellStyle name="Separador de milhares 3 12 3 6 5 2" xfId="43122"/>
    <cellStyle name="Separador de milhares 3 12 3 6 6" xfId="11724"/>
    <cellStyle name="Separador de milhares 3 12 3 6 6 2" xfId="37211"/>
    <cellStyle name="Separador de milhares 3 12 3 6 7" xfId="29830"/>
    <cellStyle name="Separador de milhares 3 12 3 7" xfId="2694"/>
    <cellStyle name="Separador de milhares 3 12 3 7 2" xfId="7183"/>
    <cellStyle name="Separador de milhares 3 12 3 7 2 2" xfId="10327"/>
    <cellStyle name="Separador de milhares 3 12 3 7 2 2 2" xfId="28541"/>
    <cellStyle name="Separador de milhares 3 12 3 7 2 2 2 2" xfId="53608"/>
    <cellStyle name="Separador de milhares 3 12 3 7 2 2 3" xfId="22627"/>
    <cellStyle name="Separador de milhares 3 12 3 7 2 2 3 2" xfId="47694"/>
    <cellStyle name="Separador de milhares 3 12 3 7 2 2 4" xfId="16713"/>
    <cellStyle name="Separador de milhares 3 12 3 7 2 2 4 2" xfId="41780"/>
    <cellStyle name="Separador de milhares 3 12 3 7 2 2 5" xfId="35872"/>
    <cellStyle name="Separador de milhares 3 12 3 7 2 3" xfId="25584"/>
    <cellStyle name="Separador de milhares 3 12 3 7 2 3 2" xfId="50651"/>
    <cellStyle name="Separador de milhares 3 12 3 7 2 4" xfId="19670"/>
    <cellStyle name="Separador de milhares 3 12 3 7 2 4 2" xfId="44737"/>
    <cellStyle name="Separador de milhares 3 12 3 7 2 5" xfId="13572"/>
    <cellStyle name="Separador de milhares 3 12 3 7 2 5 2" xfId="38826"/>
    <cellStyle name="Separador de milhares 3 12 3 7 2 6" xfId="32915"/>
    <cellStyle name="Separador de milhares 3 12 3 7 3" xfId="8859"/>
    <cellStyle name="Separador de milhares 3 12 3 7 3 2" xfId="27073"/>
    <cellStyle name="Separador de milhares 3 12 3 7 3 2 2" xfId="52140"/>
    <cellStyle name="Separador de milhares 3 12 3 7 3 3" xfId="21159"/>
    <cellStyle name="Separador de milhares 3 12 3 7 3 3 2" xfId="46226"/>
    <cellStyle name="Separador de milhares 3 12 3 7 3 4" xfId="15245"/>
    <cellStyle name="Separador de milhares 3 12 3 7 3 4 2" xfId="40312"/>
    <cellStyle name="Separador de milhares 3 12 3 7 3 5" xfId="34404"/>
    <cellStyle name="Separador de milhares 3 12 3 7 4" xfId="5484"/>
    <cellStyle name="Separador de milhares 3 12 3 7 4 2" xfId="24116"/>
    <cellStyle name="Separador de milhares 3 12 3 7 4 2 2" xfId="49183"/>
    <cellStyle name="Separador de milhares 3 12 3 7 4 3" xfId="31447"/>
    <cellStyle name="Separador de milhares 3 12 3 7 5" xfId="18202"/>
    <cellStyle name="Separador de milhares 3 12 3 7 5 2" xfId="43269"/>
    <cellStyle name="Separador de milhares 3 12 3 7 6" xfId="11871"/>
    <cellStyle name="Separador de milhares 3 12 3 7 6 2" xfId="37358"/>
    <cellStyle name="Separador de milhares 3 12 3 7 7" xfId="29977"/>
    <cellStyle name="Separador de milhares 3 12 3 8" xfId="3221"/>
    <cellStyle name="Separador de milhares 3 12 3 8 2" xfId="7330"/>
    <cellStyle name="Separador de milhares 3 12 3 8 2 2" xfId="10474"/>
    <cellStyle name="Separador de milhares 3 12 3 8 2 2 2" xfId="28688"/>
    <cellStyle name="Separador de milhares 3 12 3 8 2 2 2 2" xfId="53755"/>
    <cellStyle name="Separador de milhares 3 12 3 8 2 2 3" xfId="22774"/>
    <cellStyle name="Separador de milhares 3 12 3 8 2 2 3 2" xfId="47841"/>
    <cellStyle name="Separador de milhares 3 12 3 8 2 2 4" xfId="16860"/>
    <cellStyle name="Separador de milhares 3 12 3 8 2 2 4 2" xfId="41927"/>
    <cellStyle name="Separador de milhares 3 12 3 8 2 2 5" xfId="36019"/>
    <cellStyle name="Separador de milhares 3 12 3 8 2 3" xfId="25731"/>
    <cellStyle name="Separador de milhares 3 12 3 8 2 3 2" xfId="50798"/>
    <cellStyle name="Separador de milhares 3 12 3 8 2 4" xfId="19817"/>
    <cellStyle name="Separador de milhares 3 12 3 8 2 4 2" xfId="44884"/>
    <cellStyle name="Separador de milhares 3 12 3 8 2 5" xfId="13719"/>
    <cellStyle name="Separador de milhares 3 12 3 8 2 5 2" xfId="38973"/>
    <cellStyle name="Separador de milhares 3 12 3 8 2 6" xfId="33062"/>
    <cellStyle name="Separador de milhares 3 12 3 8 3" xfId="9006"/>
    <cellStyle name="Separador de milhares 3 12 3 8 3 2" xfId="27220"/>
    <cellStyle name="Separador de milhares 3 12 3 8 3 2 2" xfId="52287"/>
    <cellStyle name="Separador de milhares 3 12 3 8 3 3" xfId="21306"/>
    <cellStyle name="Separador de milhares 3 12 3 8 3 3 2" xfId="46373"/>
    <cellStyle name="Separador de milhares 3 12 3 8 3 4" xfId="15392"/>
    <cellStyle name="Separador de milhares 3 12 3 8 3 4 2" xfId="40459"/>
    <cellStyle name="Separador de milhares 3 12 3 8 3 5" xfId="34551"/>
    <cellStyle name="Separador de milhares 3 12 3 8 4" xfId="5631"/>
    <cellStyle name="Separador de milhares 3 12 3 8 4 2" xfId="24263"/>
    <cellStyle name="Separador de milhares 3 12 3 8 4 2 2" xfId="49330"/>
    <cellStyle name="Separador de milhares 3 12 3 8 4 3" xfId="31594"/>
    <cellStyle name="Separador de milhares 3 12 3 8 5" xfId="18349"/>
    <cellStyle name="Separador de milhares 3 12 3 8 5 2" xfId="43416"/>
    <cellStyle name="Separador de milhares 3 12 3 8 6" xfId="12018"/>
    <cellStyle name="Separador de milhares 3 12 3 8 6 2" xfId="37505"/>
    <cellStyle name="Separador de milhares 3 12 3 8 7" xfId="30124"/>
    <cellStyle name="Separador de milhares 3 12 3 9" xfId="3748"/>
    <cellStyle name="Separador de milhares 3 12 3 9 2" xfId="7477"/>
    <cellStyle name="Separador de milhares 3 12 3 9 2 2" xfId="10621"/>
    <cellStyle name="Separador de milhares 3 12 3 9 2 2 2" xfId="28835"/>
    <cellStyle name="Separador de milhares 3 12 3 9 2 2 2 2" xfId="53902"/>
    <cellStyle name="Separador de milhares 3 12 3 9 2 2 3" xfId="22921"/>
    <cellStyle name="Separador de milhares 3 12 3 9 2 2 3 2" xfId="47988"/>
    <cellStyle name="Separador de milhares 3 12 3 9 2 2 4" xfId="17007"/>
    <cellStyle name="Separador de milhares 3 12 3 9 2 2 4 2" xfId="42074"/>
    <cellStyle name="Separador de milhares 3 12 3 9 2 2 5" xfId="36166"/>
    <cellStyle name="Separador de milhares 3 12 3 9 2 3" xfId="25878"/>
    <cellStyle name="Separador de milhares 3 12 3 9 2 3 2" xfId="50945"/>
    <cellStyle name="Separador de milhares 3 12 3 9 2 4" xfId="19964"/>
    <cellStyle name="Separador de milhares 3 12 3 9 2 4 2" xfId="45031"/>
    <cellStyle name="Separador de milhares 3 12 3 9 2 5" xfId="13866"/>
    <cellStyle name="Separador de milhares 3 12 3 9 2 5 2" xfId="39120"/>
    <cellStyle name="Separador de milhares 3 12 3 9 2 6" xfId="33209"/>
    <cellStyle name="Separador de milhares 3 12 3 9 3" xfId="9153"/>
    <cellStyle name="Separador de milhares 3 12 3 9 3 2" xfId="27367"/>
    <cellStyle name="Separador de milhares 3 12 3 9 3 2 2" xfId="52434"/>
    <cellStyle name="Separador de milhares 3 12 3 9 3 3" xfId="21453"/>
    <cellStyle name="Separador de milhares 3 12 3 9 3 3 2" xfId="46520"/>
    <cellStyle name="Separador de milhares 3 12 3 9 3 4" xfId="15539"/>
    <cellStyle name="Separador de milhares 3 12 3 9 3 4 2" xfId="40606"/>
    <cellStyle name="Separador de milhares 3 12 3 9 3 5" xfId="34698"/>
    <cellStyle name="Separador de milhares 3 12 3 9 4" xfId="5778"/>
    <cellStyle name="Separador de milhares 3 12 3 9 4 2" xfId="24410"/>
    <cellStyle name="Separador de milhares 3 12 3 9 4 2 2" xfId="49477"/>
    <cellStyle name="Separador de milhares 3 12 3 9 4 3" xfId="31741"/>
    <cellStyle name="Separador de milhares 3 12 3 9 5" xfId="18496"/>
    <cellStyle name="Separador de milhares 3 12 3 9 5 2" xfId="43563"/>
    <cellStyle name="Separador de milhares 3 12 3 9 6" xfId="12165"/>
    <cellStyle name="Separador de milhares 3 12 3 9 6 2" xfId="37652"/>
    <cellStyle name="Separador de milhares 3 12 3 9 7" xfId="30271"/>
    <cellStyle name="Separador de milhares 3 12 4" xfId="384"/>
    <cellStyle name="Separador de milhares 3 12 4 10" xfId="6524"/>
    <cellStyle name="Separador de milhares 3 12 4 10 2" xfId="9672"/>
    <cellStyle name="Separador de milhares 3 12 4 10 2 2" xfId="27886"/>
    <cellStyle name="Separador de milhares 3 12 4 10 2 2 2" xfId="52953"/>
    <cellStyle name="Separador de milhares 3 12 4 10 2 3" xfId="21972"/>
    <cellStyle name="Separador de milhares 3 12 4 10 2 3 2" xfId="47039"/>
    <cellStyle name="Separador de milhares 3 12 4 10 2 4" xfId="16058"/>
    <cellStyle name="Separador de milhares 3 12 4 10 2 4 2" xfId="41125"/>
    <cellStyle name="Separador de milhares 3 12 4 10 2 5" xfId="35217"/>
    <cellStyle name="Separador de milhares 3 12 4 10 3" xfId="24929"/>
    <cellStyle name="Separador de milhares 3 12 4 10 3 2" xfId="49996"/>
    <cellStyle name="Separador de milhares 3 12 4 10 4" xfId="19015"/>
    <cellStyle name="Separador de milhares 3 12 4 10 4 2" xfId="44082"/>
    <cellStyle name="Separador de milhares 3 12 4 10 5" xfId="12913"/>
    <cellStyle name="Separador de milhares 3 12 4 10 5 2" xfId="38171"/>
    <cellStyle name="Separador de milhares 3 12 4 10 6" xfId="32260"/>
    <cellStyle name="Separador de milhares 3 12 4 11" xfId="8201"/>
    <cellStyle name="Separador de milhares 3 12 4 11 2" xfId="26415"/>
    <cellStyle name="Separador de milhares 3 12 4 11 2 2" xfId="51482"/>
    <cellStyle name="Separador de milhares 3 12 4 11 3" xfId="20501"/>
    <cellStyle name="Separador de milhares 3 12 4 11 3 2" xfId="45568"/>
    <cellStyle name="Separador de milhares 3 12 4 11 4" xfId="14590"/>
    <cellStyle name="Separador de milhares 3 12 4 11 4 2" xfId="39657"/>
    <cellStyle name="Separador de milhares 3 12 4 11 5" xfId="33746"/>
    <cellStyle name="Separador de milhares 3 12 4 12" xfId="4823"/>
    <cellStyle name="Separador de milhares 3 12 4 12 2" xfId="23458"/>
    <cellStyle name="Separador de milhares 3 12 4 12 2 2" xfId="48525"/>
    <cellStyle name="Separador de milhares 3 12 4 12 3" xfId="30790"/>
    <cellStyle name="Separador de milhares 3 12 4 13" xfId="17544"/>
    <cellStyle name="Separador de milhares 3 12 4 13 2" xfId="42611"/>
    <cellStyle name="Separador de milhares 3 12 4 14" xfId="11212"/>
    <cellStyle name="Separador de milhares 3 12 4 14 2" xfId="36703"/>
    <cellStyle name="Separador de milhares 3 12 4 15" xfId="29319"/>
    <cellStyle name="Separador de milhares 3 12 4 2" xfId="1029"/>
    <cellStyle name="Separador de milhares 3 12 4 2 2" xfId="6721"/>
    <cellStyle name="Separador de milhares 3 12 4 2 2 2" xfId="9868"/>
    <cellStyle name="Separador de milhares 3 12 4 2 2 2 2" xfId="28082"/>
    <cellStyle name="Separador de milhares 3 12 4 2 2 2 2 2" xfId="53149"/>
    <cellStyle name="Separador de milhares 3 12 4 2 2 2 3" xfId="22168"/>
    <cellStyle name="Separador de milhares 3 12 4 2 2 2 3 2" xfId="47235"/>
    <cellStyle name="Separador de milhares 3 12 4 2 2 2 4" xfId="16254"/>
    <cellStyle name="Separador de milhares 3 12 4 2 2 2 4 2" xfId="41321"/>
    <cellStyle name="Separador de milhares 3 12 4 2 2 2 5" xfId="35413"/>
    <cellStyle name="Separador de milhares 3 12 4 2 2 3" xfId="25125"/>
    <cellStyle name="Separador de milhares 3 12 4 2 2 3 2" xfId="50192"/>
    <cellStyle name="Separador de milhares 3 12 4 2 2 4" xfId="19211"/>
    <cellStyle name="Separador de milhares 3 12 4 2 2 4 2" xfId="44278"/>
    <cellStyle name="Separador de milhares 3 12 4 2 2 5" xfId="13110"/>
    <cellStyle name="Separador de milhares 3 12 4 2 2 5 2" xfId="38367"/>
    <cellStyle name="Separador de milhares 3 12 4 2 2 6" xfId="32456"/>
    <cellStyle name="Separador de milhares 3 12 4 2 3" xfId="8400"/>
    <cellStyle name="Separador de milhares 3 12 4 2 3 2" xfId="26614"/>
    <cellStyle name="Separador de milhares 3 12 4 2 3 2 2" xfId="51681"/>
    <cellStyle name="Separador de milhares 3 12 4 2 3 3" xfId="20700"/>
    <cellStyle name="Separador de milhares 3 12 4 2 3 3 2" xfId="45767"/>
    <cellStyle name="Separador de milhares 3 12 4 2 3 4" xfId="14786"/>
    <cellStyle name="Separador de milhares 3 12 4 2 3 4 2" xfId="39853"/>
    <cellStyle name="Separador de milhares 3 12 4 2 3 5" xfId="33945"/>
    <cellStyle name="Separador de milhares 3 12 4 2 4" xfId="5022"/>
    <cellStyle name="Separador de milhares 3 12 4 2 4 2" xfId="23657"/>
    <cellStyle name="Separador de milhares 3 12 4 2 4 2 2" xfId="48724"/>
    <cellStyle name="Separador de milhares 3 12 4 2 4 3" xfId="30988"/>
    <cellStyle name="Separador de milhares 3 12 4 2 5" xfId="17743"/>
    <cellStyle name="Separador de milhares 3 12 4 2 5 2" xfId="42810"/>
    <cellStyle name="Separador de milhares 3 12 4 2 6" xfId="11409"/>
    <cellStyle name="Separador de milhares 3 12 4 2 6 2" xfId="36899"/>
    <cellStyle name="Separador de milhares 3 12 4 2 7" xfId="29518"/>
    <cellStyle name="Separador de milhares 3 12 4 3" xfId="1380"/>
    <cellStyle name="Separador de milhares 3 12 4 3 2" xfId="6819"/>
    <cellStyle name="Separador de milhares 3 12 4 3 2 2" xfId="9966"/>
    <cellStyle name="Separador de milhares 3 12 4 3 2 2 2" xfId="28180"/>
    <cellStyle name="Separador de milhares 3 12 4 3 2 2 2 2" xfId="53247"/>
    <cellStyle name="Separador de milhares 3 12 4 3 2 2 3" xfId="22266"/>
    <cellStyle name="Separador de milhares 3 12 4 3 2 2 3 2" xfId="47333"/>
    <cellStyle name="Separador de milhares 3 12 4 3 2 2 4" xfId="16352"/>
    <cellStyle name="Separador de milhares 3 12 4 3 2 2 4 2" xfId="41419"/>
    <cellStyle name="Separador de milhares 3 12 4 3 2 2 5" xfId="35511"/>
    <cellStyle name="Separador de milhares 3 12 4 3 2 3" xfId="25223"/>
    <cellStyle name="Separador de milhares 3 12 4 3 2 3 2" xfId="50290"/>
    <cellStyle name="Separador de milhares 3 12 4 3 2 4" xfId="19309"/>
    <cellStyle name="Separador de milhares 3 12 4 3 2 4 2" xfId="44376"/>
    <cellStyle name="Separador de milhares 3 12 4 3 2 5" xfId="13208"/>
    <cellStyle name="Separador de milhares 3 12 4 3 2 5 2" xfId="38465"/>
    <cellStyle name="Separador de milhares 3 12 4 3 2 6" xfId="32554"/>
    <cellStyle name="Separador de milhares 3 12 4 3 3" xfId="8498"/>
    <cellStyle name="Separador de milhares 3 12 4 3 3 2" xfId="26712"/>
    <cellStyle name="Separador de milhares 3 12 4 3 3 2 2" xfId="51779"/>
    <cellStyle name="Separador de milhares 3 12 4 3 3 3" xfId="20798"/>
    <cellStyle name="Separador de milhares 3 12 4 3 3 3 2" xfId="45865"/>
    <cellStyle name="Separador de milhares 3 12 4 3 3 4" xfId="14884"/>
    <cellStyle name="Separador de milhares 3 12 4 3 3 4 2" xfId="39951"/>
    <cellStyle name="Separador de milhares 3 12 4 3 3 5" xfId="34043"/>
    <cellStyle name="Separador de milhares 3 12 4 3 4" xfId="5120"/>
    <cellStyle name="Separador de milhares 3 12 4 3 4 2" xfId="23755"/>
    <cellStyle name="Separador de milhares 3 12 4 3 4 2 2" xfId="48822"/>
    <cellStyle name="Separador de milhares 3 12 4 3 4 3" xfId="31086"/>
    <cellStyle name="Separador de milhares 3 12 4 3 5" xfId="17841"/>
    <cellStyle name="Separador de milhares 3 12 4 3 5 2" xfId="42908"/>
    <cellStyle name="Separador de milhares 3 12 4 3 6" xfId="11507"/>
    <cellStyle name="Separador de milhares 3 12 4 3 6 2" xfId="36997"/>
    <cellStyle name="Separador de milhares 3 12 4 3 7" xfId="29616"/>
    <cellStyle name="Separador de milhares 3 12 4 4" xfId="1815"/>
    <cellStyle name="Separador de milhares 3 12 4 4 2" xfId="6938"/>
    <cellStyle name="Separador de milhares 3 12 4 4 2 2" xfId="10085"/>
    <cellStyle name="Separador de milhares 3 12 4 4 2 2 2" xfId="28299"/>
    <cellStyle name="Separador de milhares 3 12 4 4 2 2 2 2" xfId="53366"/>
    <cellStyle name="Separador de milhares 3 12 4 4 2 2 3" xfId="22385"/>
    <cellStyle name="Separador de milhares 3 12 4 4 2 2 3 2" xfId="47452"/>
    <cellStyle name="Separador de milhares 3 12 4 4 2 2 4" xfId="16471"/>
    <cellStyle name="Separador de milhares 3 12 4 4 2 2 4 2" xfId="41538"/>
    <cellStyle name="Separador de milhares 3 12 4 4 2 2 5" xfId="35630"/>
    <cellStyle name="Separador de milhares 3 12 4 4 2 3" xfId="25342"/>
    <cellStyle name="Separador de milhares 3 12 4 4 2 3 2" xfId="50409"/>
    <cellStyle name="Separador de milhares 3 12 4 4 2 4" xfId="19428"/>
    <cellStyle name="Separador de milhares 3 12 4 4 2 4 2" xfId="44495"/>
    <cellStyle name="Separador de milhares 3 12 4 4 2 5" xfId="13327"/>
    <cellStyle name="Separador de milhares 3 12 4 4 2 5 2" xfId="38584"/>
    <cellStyle name="Separador de milhares 3 12 4 4 2 6" xfId="32673"/>
    <cellStyle name="Separador de milhares 3 12 4 4 3" xfId="8617"/>
    <cellStyle name="Separador de milhares 3 12 4 4 3 2" xfId="26831"/>
    <cellStyle name="Separador de milhares 3 12 4 4 3 2 2" xfId="51898"/>
    <cellStyle name="Separador de milhares 3 12 4 4 3 3" xfId="20917"/>
    <cellStyle name="Separador de milhares 3 12 4 4 3 3 2" xfId="45984"/>
    <cellStyle name="Separador de milhares 3 12 4 4 3 4" xfId="15003"/>
    <cellStyle name="Separador de milhares 3 12 4 4 3 4 2" xfId="40070"/>
    <cellStyle name="Separador de milhares 3 12 4 4 3 5" xfId="34162"/>
    <cellStyle name="Separador de milhares 3 12 4 4 4" xfId="5239"/>
    <cellStyle name="Separador de milhares 3 12 4 4 4 2" xfId="23874"/>
    <cellStyle name="Separador de milhares 3 12 4 4 4 2 2" xfId="48941"/>
    <cellStyle name="Separador de milhares 3 12 4 4 4 3" xfId="31205"/>
    <cellStyle name="Separador de milhares 3 12 4 4 5" xfId="17960"/>
    <cellStyle name="Separador de milhares 3 12 4 4 5 2" xfId="43027"/>
    <cellStyle name="Separador de milhares 3 12 4 4 6" xfId="11626"/>
    <cellStyle name="Separador de milhares 3 12 4 4 6 2" xfId="37116"/>
    <cellStyle name="Separador de milhares 3 12 4 4 7" xfId="29735"/>
    <cellStyle name="Separador de milhares 3 12 4 5" xfId="2345"/>
    <cellStyle name="Separador de milhares 3 12 4 5 2" xfId="7088"/>
    <cellStyle name="Separador de milhares 3 12 4 5 2 2" xfId="10232"/>
    <cellStyle name="Separador de milhares 3 12 4 5 2 2 2" xfId="28446"/>
    <cellStyle name="Separador de milhares 3 12 4 5 2 2 2 2" xfId="53513"/>
    <cellStyle name="Separador de milhares 3 12 4 5 2 2 3" xfId="22532"/>
    <cellStyle name="Separador de milhares 3 12 4 5 2 2 3 2" xfId="47599"/>
    <cellStyle name="Separador de milhares 3 12 4 5 2 2 4" xfId="16618"/>
    <cellStyle name="Separador de milhares 3 12 4 5 2 2 4 2" xfId="41685"/>
    <cellStyle name="Separador de milhares 3 12 4 5 2 2 5" xfId="35777"/>
    <cellStyle name="Separador de milhares 3 12 4 5 2 3" xfId="25489"/>
    <cellStyle name="Separador de milhares 3 12 4 5 2 3 2" xfId="50556"/>
    <cellStyle name="Separador de milhares 3 12 4 5 2 4" xfId="19575"/>
    <cellStyle name="Separador de milhares 3 12 4 5 2 4 2" xfId="44642"/>
    <cellStyle name="Separador de milhares 3 12 4 5 2 5" xfId="13477"/>
    <cellStyle name="Separador de milhares 3 12 4 5 2 5 2" xfId="38731"/>
    <cellStyle name="Separador de milhares 3 12 4 5 2 6" xfId="32820"/>
    <cellStyle name="Separador de milhares 3 12 4 5 3" xfId="8764"/>
    <cellStyle name="Separador de milhares 3 12 4 5 3 2" xfId="26978"/>
    <cellStyle name="Separador de milhares 3 12 4 5 3 2 2" xfId="52045"/>
    <cellStyle name="Separador de milhares 3 12 4 5 3 3" xfId="21064"/>
    <cellStyle name="Separador de milhares 3 12 4 5 3 3 2" xfId="46131"/>
    <cellStyle name="Separador de milhares 3 12 4 5 3 4" xfId="15150"/>
    <cellStyle name="Separador de milhares 3 12 4 5 3 4 2" xfId="40217"/>
    <cellStyle name="Separador de milhares 3 12 4 5 3 5" xfId="34309"/>
    <cellStyle name="Separador de milhares 3 12 4 5 4" xfId="5389"/>
    <cellStyle name="Separador de milhares 3 12 4 5 4 2" xfId="24021"/>
    <cellStyle name="Separador de milhares 3 12 4 5 4 2 2" xfId="49088"/>
    <cellStyle name="Separador de milhares 3 12 4 5 4 3" xfId="31352"/>
    <cellStyle name="Separador de milhares 3 12 4 5 5" xfId="18107"/>
    <cellStyle name="Separador de milhares 3 12 4 5 5 2" xfId="43174"/>
    <cellStyle name="Separador de milhares 3 12 4 5 6" xfId="11776"/>
    <cellStyle name="Separador de milhares 3 12 4 5 6 2" xfId="37263"/>
    <cellStyle name="Separador de milhares 3 12 4 5 7" xfId="29882"/>
    <cellStyle name="Separador de milhares 3 12 4 6" xfId="2872"/>
    <cellStyle name="Separador de milhares 3 12 4 6 2" xfId="7235"/>
    <cellStyle name="Separador de milhares 3 12 4 6 2 2" xfId="10379"/>
    <cellStyle name="Separador de milhares 3 12 4 6 2 2 2" xfId="28593"/>
    <cellStyle name="Separador de milhares 3 12 4 6 2 2 2 2" xfId="53660"/>
    <cellStyle name="Separador de milhares 3 12 4 6 2 2 3" xfId="22679"/>
    <cellStyle name="Separador de milhares 3 12 4 6 2 2 3 2" xfId="47746"/>
    <cellStyle name="Separador de milhares 3 12 4 6 2 2 4" xfId="16765"/>
    <cellStyle name="Separador de milhares 3 12 4 6 2 2 4 2" xfId="41832"/>
    <cellStyle name="Separador de milhares 3 12 4 6 2 2 5" xfId="35924"/>
    <cellStyle name="Separador de milhares 3 12 4 6 2 3" xfId="25636"/>
    <cellStyle name="Separador de milhares 3 12 4 6 2 3 2" xfId="50703"/>
    <cellStyle name="Separador de milhares 3 12 4 6 2 4" xfId="19722"/>
    <cellStyle name="Separador de milhares 3 12 4 6 2 4 2" xfId="44789"/>
    <cellStyle name="Separador de milhares 3 12 4 6 2 5" xfId="13624"/>
    <cellStyle name="Separador de milhares 3 12 4 6 2 5 2" xfId="38878"/>
    <cellStyle name="Separador de milhares 3 12 4 6 2 6" xfId="32967"/>
    <cellStyle name="Separador de milhares 3 12 4 6 3" xfId="8911"/>
    <cellStyle name="Separador de milhares 3 12 4 6 3 2" xfId="27125"/>
    <cellStyle name="Separador de milhares 3 12 4 6 3 2 2" xfId="52192"/>
    <cellStyle name="Separador de milhares 3 12 4 6 3 3" xfId="21211"/>
    <cellStyle name="Separador de milhares 3 12 4 6 3 3 2" xfId="46278"/>
    <cellStyle name="Separador de milhares 3 12 4 6 3 4" xfId="15297"/>
    <cellStyle name="Separador de milhares 3 12 4 6 3 4 2" xfId="40364"/>
    <cellStyle name="Separador de milhares 3 12 4 6 3 5" xfId="34456"/>
    <cellStyle name="Separador de milhares 3 12 4 6 4" xfId="5536"/>
    <cellStyle name="Separador de milhares 3 12 4 6 4 2" xfId="24168"/>
    <cellStyle name="Separador de milhares 3 12 4 6 4 2 2" xfId="49235"/>
    <cellStyle name="Separador de milhares 3 12 4 6 4 3" xfId="31499"/>
    <cellStyle name="Separador de milhares 3 12 4 6 5" xfId="18254"/>
    <cellStyle name="Separador de milhares 3 12 4 6 5 2" xfId="43321"/>
    <cellStyle name="Separador de milhares 3 12 4 6 6" xfId="11923"/>
    <cellStyle name="Separador de milhares 3 12 4 6 6 2" xfId="37410"/>
    <cellStyle name="Separador de milhares 3 12 4 6 7" xfId="30029"/>
    <cellStyle name="Separador de milhares 3 12 4 7" xfId="3399"/>
    <cellStyle name="Separador de milhares 3 12 4 7 2" xfId="7382"/>
    <cellStyle name="Separador de milhares 3 12 4 7 2 2" xfId="10526"/>
    <cellStyle name="Separador de milhares 3 12 4 7 2 2 2" xfId="28740"/>
    <cellStyle name="Separador de milhares 3 12 4 7 2 2 2 2" xfId="53807"/>
    <cellStyle name="Separador de milhares 3 12 4 7 2 2 3" xfId="22826"/>
    <cellStyle name="Separador de milhares 3 12 4 7 2 2 3 2" xfId="47893"/>
    <cellStyle name="Separador de milhares 3 12 4 7 2 2 4" xfId="16912"/>
    <cellStyle name="Separador de milhares 3 12 4 7 2 2 4 2" xfId="41979"/>
    <cellStyle name="Separador de milhares 3 12 4 7 2 2 5" xfId="36071"/>
    <cellStyle name="Separador de milhares 3 12 4 7 2 3" xfId="25783"/>
    <cellStyle name="Separador de milhares 3 12 4 7 2 3 2" xfId="50850"/>
    <cellStyle name="Separador de milhares 3 12 4 7 2 4" xfId="19869"/>
    <cellStyle name="Separador de milhares 3 12 4 7 2 4 2" xfId="44936"/>
    <cellStyle name="Separador de milhares 3 12 4 7 2 5" xfId="13771"/>
    <cellStyle name="Separador de milhares 3 12 4 7 2 5 2" xfId="39025"/>
    <cellStyle name="Separador de milhares 3 12 4 7 2 6" xfId="33114"/>
    <cellStyle name="Separador de milhares 3 12 4 7 3" xfId="9058"/>
    <cellStyle name="Separador de milhares 3 12 4 7 3 2" xfId="27272"/>
    <cellStyle name="Separador de milhares 3 12 4 7 3 2 2" xfId="52339"/>
    <cellStyle name="Separador de milhares 3 12 4 7 3 3" xfId="21358"/>
    <cellStyle name="Separador de milhares 3 12 4 7 3 3 2" xfId="46425"/>
    <cellStyle name="Separador de milhares 3 12 4 7 3 4" xfId="15444"/>
    <cellStyle name="Separador de milhares 3 12 4 7 3 4 2" xfId="40511"/>
    <cellStyle name="Separador de milhares 3 12 4 7 3 5" xfId="34603"/>
    <cellStyle name="Separador de milhares 3 12 4 7 4" xfId="5683"/>
    <cellStyle name="Separador de milhares 3 12 4 7 4 2" xfId="24315"/>
    <cellStyle name="Separador de milhares 3 12 4 7 4 2 2" xfId="49382"/>
    <cellStyle name="Separador de milhares 3 12 4 7 4 3" xfId="31646"/>
    <cellStyle name="Separador de milhares 3 12 4 7 5" xfId="18401"/>
    <cellStyle name="Separador de milhares 3 12 4 7 5 2" xfId="43468"/>
    <cellStyle name="Separador de milhares 3 12 4 7 6" xfId="12070"/>
    <cellStyle name="Separador de milhares 3 12 4 7 6 2" xfId="37557"/>
    <cellStyle name="Separador de milhares 3 12 4 7 7" xfId="30176"/>
    <cellStyle name="Separador de milhares 3 12 4 8" xfId="3926"/>
    <cellStyle name="Separador de milhares 3 12 4 8 2" xfId="7529"/>
    <cellStyle name="Separador de milhares 3 12 4 8 2 2" xfId="10673"/>
    <cellStyle name="Separador de milhares 3 12 4 8 2 2 2" xfId="28887"/>
    <cellStyle name="Separador de milhares 3 12 4 8 2 2 2 2" xfId="53954"/>
    <cellStyle name="Separador de milhares 3 12 4 8 2 2 3" xfId="22973"/>
    <cellStyle name="Separador de milhares 3 12 4 8 2 2 3 2" xfId="48040"/>
    <cellStyle name="Separador de milhares 3 12 4 8 2 2 4" xfId="17059"/>
    <cellStyle name="Separador de milhares 3 12 4 8 2 2 4 2" xfId="42126"/>
    <cellStyle name="Separador de milhares 3 12 4 8 2 2 5" xfId="36218"/>
    <cellStyle name="Separador de milhares 3 12 4 8 2 3" xfId="25930"/>
    <cellStyle name="Separador de milhares 3 12 4 8 2 3 2" xfId="50997"/>
    <cellStyle name="Separador de milhares 3 12 4 8 2 4" xfId="20016"/>
    <cellStyle name="Separador de milhares 3 12 4 8 2 4 2" xfId="45083"/>
    <cellStyle name="Separador de milhares 3 12 4 8 2 5" xfId="13918"/>
    <cellStyle name="Separador de milhares 3 12 4 8 2 5 2" xfId="39172"/>
    <cellStyle name="Separador de milhares 3 12 4 8 2 6" xfId="33261"/>
    <cellStyle name="Separador de milhares 3 12 4 8 3" xfId="9205"/>
    <cellStyle name="Separador de milhares 3 12 4 8 3 2" xfId="27419"/>
    <cellStyle name="Separador de milhares 3 12 4 8 3 2 2" xfId="52486"/>
    <cellStyle name="Separador de milhares 3 12 4 8 3 3" xfId="21505"/>
    <cellStyle name="Separador de milhares 3 12 4 8 3 3 2" xfId="46572"/>
    <cellStyle name="Separador de milhares 3 12 4 8 3 4" xfId="15591"/>
    <cellStyle name="Separador de milhares 3 12 4 8 3 4 2" xfId="40658"/>
    <cellStyle name="Separador de milhares 3 12 4 8 3 5" xfId="34750"/>
    <cellStyle name="Separador de milhares 3 12 4 8 4" xfId="5830"/>
    <cellStyle name="Separador de milhares 3 12 4 8 4 2" xfId="24462"/>
    <cellStyle name="Separador de milhares 3 12 4 8 4 2 2" xfId="49529"/>
    <cellStyle name="Separador de milhares 3 12 4 8 4 3" xfId="31793"/>
    <cellStyle name="Separador de milhares 3 12 4 8 5" xfId="18548"/>
    <cellStyle name="Separador de milhares 3 12 4 8 5 2" xfId="43615"/>
    <cellStyle name="Separador de milhares 3 12 4 8 6" xfId="12217"/>
    <cellStyle name="Separador de milhares 3 12 4 8 6 2" xfId="37704"/>
    <cellStyle name="Separador de milhares 3 12 4 8 7" xfId="30323"/>
    <cellStyle name="Separador de milhares 3 12 4 9" xfId="688"/>
    <cellStyle name="Separador de milhares 3 12 4 9 2" xfId="6623"/>
    <cellStyle name="Separador de milhares 3 12 4 9 2 2" xfId="9770"/>
    <cellStyle name="Separador de milhares 3 12 4 9 2 2 2" xfId="27984"/>
    <cellStyle name="Separador de milhares 3 12 4 9 2 2 2 2" xfId="53051"/>
    <cellStyle name="Separador de milhares 3 12 4 9 2 2 3" xfId="22070"/>
    <cellStyle name="Separador de milhares 3 12 4 9 2 2 3 2" xfId="47137"/>
    <cellStyle name="Separador de milhares 3 12 4 9 2 2 4" xfId="16156"/>
    <cellStyle name="Separador de milhares 3 12 4 9 2 2 4 2" xfId="41223"/>
    <cellStyle name="Separador de milhares 3 12 4 9 2 2 5" xfId="35315"/>
    <cellStyle name="Separador de milhares 3 12 4 9 2 3" xfId="25027"/>
    <cellStyle name="Separador de milhares 3 12 4 9 2 3 2" xfId="50094"/>
    <cellStyle name="Separador de milhares 3 12 4 9 2 4" xfId="19113"/>
    <cellStyle name="Separador de milhares 3 12 4 9 2 4 2" xfId="44180"/>
    <cellStyle name="Separador de milhares 3 12 4 9 2 5" xfId="13012"/>
    <cellStyle name="Separador de milhares 3 12 4 9 2 5 2" xfId="38269"/>
    <cellStyle name="Separador de milhares 3 12 4 9 2 6" xfId="32358"/>
    <cellStyle name="Separador de milhares 3 12 4 9 3" xfId="8302"/>
    <cellStyle name="Separador de milhares 3 12 4 9 3 2" xfId="26516"/>
    <cellStyle name="Separador de milhares 3 12 4 9 3 2 2" xfId="51583"/>
    <cellStyle name="Separador de milhares 3 12 4 9 3 3" xfId="20602"/>
    <cellStyle name="Separador de milhares 3 12 4 9 3 3 2" xfId="45669"/>
    <cellStyle name="Separador de milhares 3 12 4 9 3 4" xfId="14688"/>
    <cellStyle name="Separador de milhares 3 12 4 9 3 4 2" xfId="39755"/>
    <cellStyle name="Separador de milhares 3 12 4 9 3 5" xfId="33847"/>
    <cellStyle name="Separador de milhares 3 12 4 9 4" xfId="4924"/>
    <cellStyle name="Separador de milhares 3 12 4 9 4 2" xfId="23559"/>
    <cellStyle name="Separador de milhares 3 12 4 9 4 2 2" xfId="48626"/>
    <cellStyle name="Separador de milhares 3 12 4 9 4 3" xfId="30890"/>
    <cellStyle name="Separador de milhares 3 12 4 9 5" xfId="17645"/>
    <cellStyle name="Separador de milhares 3 12 4 9 5 2" xfId="42712"/>
    <cellStyle name="Separador de milhares 3 12 4 9 6" xfId="11311"/>
    <cellStyle name="Separador de milhares 3 12 4 9 6 2" xfId="36801"/>
    <cellStyle name="Separador de milhares 3 12 4 9 7" xfId="29420"/>
    <cellStyle name="Separador de milhares 3 12 5" xfId="641"/>
    <cellStyle name="Separador de milhares 3 12 5 10" xfId="4888"/>
    <cellStyle name="Separador de milhares 3 12 5 10 2" xfId="23522"/>
    <cellStyle name="Separador de milhares 3 12 5 10 2 2" xfId="48589"/>
    <cellStyle name="Separador de milhares 3 12 5 10 3" xfId="30854"/>
    <cellStyle name="Separador de milhares 3 12 5 11" xfId="17608"/>
    <cellStyle name="Separador de milhares 3 12 5 11 2" xfId="42675"/>
    <cellStyle name="Separador de milhares 3 12 5 12" xfId="11277"/>
    <cellStyle name="Separador de milhares 3 12 5 12 2" xfId="36767"/>
    <cellStyle name="Separador de milhares 3 12 5 13" xfId="29383"/>
    <cellStyle name="Separador de milhares 3 12 5 2" xfId="1464"/>
    <cellStyle name="Separador de milhares 3 12 5 2 2" xfId="6840"/>
    <cellStyle name="Separador de milhares 3 12 5 2 2 2" xfId="9987"/>
    <cellStyle name="Separador de milhares 3 12 5 2 2 2 2" xfId="28201"/>
    <cellStyle name="Separador de milhares 3 12 5 2 2 2 2 2" xfId="53268"/>
    <cellStyle name="Separador de milhares 3 12 5 2 2 2 3" xfId="22287"/>
    <cellStyle name="Separador de milhares 3 12 5 2 2 2 3 2" xfId="47354"/>
    <cellStyle name="Separador de milhares 3 12 5 2 2 2 4" xfId="16373"/>
    <cellStyle name="Separador de milhares 3 12 5 2 2 2 4 2" xfId="41440"/>
    <cellStyle name="Separador de milhares 3 12 5 2 2 2 5" xfId="35532"/>
    <cellStyle name="Separador de milhares 3 12 5 2 2 3" xfId="25244"/>
    <cellStyle name="Separador de milhares 3 12 5 2 2 3 2" xfId="50311"/>
    <cellStyle name="Separador de milhares 3 12 5 2 2 4" xfId="19330"/>
    <cellStyle name="Separador de milhares 3 12 5 2 2 4 2" xfId="44397"/>
    <cellStyle name="Separador de milhares 3 12 5 2 2 5" xfId="13229"/>
    <cellStyle name="Separador de milhares 3 12 5 2 2 5 2" xfId="38486"/>
    <cellStyle name="Separador de milhares 3 12 5 2 2 6" xfId="32575"/>
    <cellStyle name="Separador de milhares 3 12 5 2 3" xfId="8519"/>
    <cellStyle name="Separador de milhares 3 12 5 2 3 2" xfId="26733"/>
    <cellStyle name="Separador de milhares 3 12 5 2 3 2 2" xfId="51800"/>
    <cellStyle name="Separador de milhares 3 12 5 2 3 3" xfId="20819"/>
    <cellStyle name="Separador de milhares 3 12 5 2 3 3 2" xfId="45886"/>
    <cellStyle name="Separador de milhares 3 12 5 2 3 4" xfId="14905"/>
    <cellStyle name="Separador de milhares 3 12 5 2 3 4 2" xfId="39972"/>
    <cellStyle name="Separador de milhares 3 12 5 2 3 5" xfId="34064"/>
    <cellStyle name="Separador de milhares 3 12 5 2 4" xfId="5141"/>
    <cellStyle name="Separador de milhares 3 12 5 2 4 2" xfId="23776"/>
    <cellStyle name="Separador de milhares 3 12 5 2 4 2 2" xfId="48843"/>
    <cellStyle name="Separador de milhares 3 12 5 2 4 3" xfId="31107"/>
    <cellStyle name="Separador de milhares 3 12 5 2 5" xfId="17862"/>
    <cellStyle name="Separador de milhares 3 12 5 2 5 2" xfId="42929"/>
    <cellStyle name="Separador de milhares 3 12 5 2 6" xfId="11528"/>
    <cellStyle name="Separador de milhares 3 12 5 2 6 2" xfId="37018"/>
    <cellStyle name="Separador de milhares 3 12 5 2 7" xfId="29637"/>
    <cellStyle name="Separador de milhares 3 12 5 3" xfId="1899"/>
    <cellStyle name="Separador de milhares 3 12 5 3 2" xfId="6959"/>
    <cellStyle name="Separador de milhares 3 12 5 3 2 2" xfId="10106"/>
    <cellStyle name="Separador de milhares 3 12 5 3 2 2 2" xfId="28320"/>
    <cellStyle name="Separador de milhares 3 12 5 3 2 2 2 2" xfId="53387"/>
    <cellStyle name="Separador de milhares 3 12 5 3 2 2 3" xfId="22406"/>
    <cellStyle name="Separador de milhares 3 12 5 3 2 2 3 2" xfId="47473"/>
    <cellStyle name="Separador de milhares 3 12 5 3 2 2 4" xfId="16492"/>
    <cellStyle name="Separador de milhares 3 12 5 3 2 2 4 2" xfId="41559"/>
    <cellStyle name="Separador de milhares 3 12 5 3 2 2 5" xfId="35651"/>
    <cellStyle name="Separador de milhares 3 12 5 3 2 3" xfId="25363"/>
    <cellStyle name="Separador de milhares 3 12 5 3 2 3 2" xfId="50430"/>
    <cellStyle name="Separador de milhares 3 12 5 3 2 4" xfId="19449"/>
    <cellStyle name="Separador de milhares 3 12 5 3 2 4 2" xfId="44516"/>
    <cellStyle name="Separador de milhares 3 12 5 3 2 5" xfId="13348"/>
    <cellStyle name="Separador de milhares 3 12 5 3 2 5 2" xfId="38605"/>
    <cellStyle name="Separador de milhares 3 12 5 3 2 6" xfId="32694"/>
    <cellStyle name="Separador de milhares 3 12 5 3 3" xfId="8638"/>
    <cellStyle name="Separador de milhares 3 12 5 3 3 2" xfId="26852"/>
    <cellStyle name="Separador de milhares 3 12 5 3 3 2 2" xfId="51919"/>
    <cellStyle name="Separador de milhares 3 12 5 3 3 3" xfId="20938"/>
    <cellStyle name="Separador de milhares 3 12 5 3 3 3 2" xfId="46005"/>
    <cellStyle name="Separador de milhares 3 12 5 3 3 4" xfId="15024"/>
    <cellStyle name="Separador de milhares 3 12 5 3 3 4 2" xfId="40091"/>
    <cellStyle name="Separador de milhares 3 12 5 3 3 5" xfId="34183"/>
    <cellStyle name="Separador de milhares 3 12 5 3 4" xfId="5260"/>
    <cellStyle name="Separador de milhares 3 12 5 3 4 2" xfId="23895"/>
    <cellStyle name="Separador de milhares 3 12 5 3 4 2 2" xfId="48962"/>
    <cellStyle name="Separador de milhares 3 12 5 3 4 3" xfId="31226"/>
    <cellStyle name="Separador de milhares 3 12 5 3 5" xfId="17981"/>
    <cellStyle name="Separador de milhares 3 12 5 3 5 2" xfId="43048"/>
    <cellStyle name="Separador de milhares 3 12 5 3 6" xfId="11647"/>
    <cellStyle name="Separador de milhares 3 12 5 3 6 2" xfId="37137"/>
    <cellStyle name="Separador de milhares 3 12 5 3 7" xfId="29756"/>
    <cellStyle name="Separador de milhares 3 12 5 4" xfId="2429"/>
    <cellStyle name="Separador de milhares 3 12 5 4 2" xfId="7109"/>
    <cellStyle name="Separador de milhares 3 12 5 4 2 2" xfId="10253"/>
    <cellStyle name="Separador de milhares 3 12 5 4 2 2 2" xfId="28467"/>
    <cellStyle name="Separador de milhares 3 12 5 4 2 2 2 2" xfId="53534"/>
    <cellStyle name="Separador de milhares 3 12 5 4 2 2 3" xfId="22553"/>
    <cellStyle name="Separador de milhares 3 12 5 4 2 2 3 2" xfId="47620"/>
    <cellStyle name="Separador de milhares 3 12 5 4 2 2 4" xfId="16639"/>
    <cellStyle name="Separador de milhares 3 12 5 4 2 2 4 2" xfId="41706"/>
    <cellStyle name="Separador de milhares 3 12 5 4 2 2 5" xfId="35798"/>
    <cellStyle name="Separador de milhares 3 12 5 4 2 3" xfId="25510"/>
    <cellStyle name="Separador de milhares 3 12 5 4 2 3 2" xfId="50577"/>
    <cellStyle name="Separador de milhares 3 12 5 4 2 4" xfId="19596"/>
    <cellStyle name="Separador de milhares 3 12 5 4 2 4 2" xfId="44663"/>
    <cellStyle name="Separador de milhares 3 12 5 4 2 5" xfId="13498"/>
    <cellStyle name="Separador de milhares 3 12 5 4 2 5 2" xfId="38752"/>
    <cellStyle name="Separador de milhares 3 12 5 4 2 6" xfId="32841"/>
    <cellStyle name="Separador de milhares 3 12 5 4 3" xfId="8785"/>
    <cellStyle name="Separador de milhares 3 12 5 4 3 2" xfId="26999"/>
    <cellStyle name="Separador de milhares 3 12 5 4 3 2 2" xfId="52066"/>
    <cellStyle name="Separador de milhares 3 12 5 4 3 3" xfId="21085"/>
    <cellStyle name="Separador de milhares 3 12 5 4 3 3 2" xfId="46152"/>
    <cellStyle name="Separador de milhares 3 12 5 4 3 4" xfId="15171"/>
    <cellStyle name="Separador de milhares 3 12 5 4 3 4 2" xfId="40238"/>
    <cellStyle name="Separador de milhares 3 12 5 4 3 5" xfId="34330"/>
    <cellStyle name="Separador de milhares 3 12 5 4 4" xfId="5410"/>
    <cellStyle name="Separador de milhares 3 12 5 4 4 2" xfId="24042"/>
    <cellStyle name="Separador de milhares 3 12 5 4 4 2 2" xfId="49109"/>
    <cellStyle name="Separador de milhares 3 12 5 4 4 3" xfId="31373"/>
    <cellStyle name="Separador de milhares 3 12 5 4 5" xfId="18128"/>
    <cellStyle name="Separador de milhares 3 12 5 4 5 2" xfId="43195"/>
    <cellStyle name="Separador de milhares 3 12 5 4 6" xfId="11797"/>
    <cellStyle name="Separador de milhares 3 12 5 4 6 2" xfId="37284"/>
    <cellStyle name="Separador de milhares 3 12 5 4 7" xfId="29903"/>
    <cellStyle name="Separador de milhares 3 12 5 5" xfId="2956"/>
    <cellStyle name="Separador de milhares 3 12 5 5 2" xfId="7256"/>
    <cellStyle name="Separador de milhares 3 12 5 5 2 2" xfId="10400"/>
    <cellStyle name="Separador de milhares 3 12 5 5 2 2 2" xfId="28614"/>
    <cellStyle name="Separador de milhares 3 12 5 5 2 2 2 2" xfId="53681"/>
    <cellStyle name="Separador de milhares 3 12 5 5 2 2 3" xfId="22700"/>
    <cellStyle name="Separador de milhares 3 12 5 5 2 2 3 2" xfId="47767"/>
    <cellStyle name="Separador de milhares 3 12 5 5 2 2 4" xfId="16786"/>
    <cellStyle name="Separador de milhares 3 12 5 5 2 2 4 2" xfId="41853"/>
    <cellStyle name="Separador de milhares 3 12 5 5 2 2 5" xfId="35945"/>
    <cellStyle name="Separador de milhares 3 12 5 5 2 3" xfId="25657"/>
    <cellStyle name="Separador de milhares 3 12 5 5 2 3 2" xfId="50724"/>
    <cellStyle name="Separador de milhares 3 12 5 5 2 4" xfId="19743"/>
    <cellStyle name="Separador de milhares 3 12 5 5 2 4 2" xfId="44810"/>
    <cellStyle name="Separador de milhares 3 12 5 5 2 5" xfId="13645"/>
    <cellStyle name="Separador de milhares 3 12 5 5 2 5 2" xfId="38899"/>
    <cellStyle name="Separador de milhares 3 12 5 5 2 6" xfId="32988"/>
    <cellStyle name="Separador de milhares 3 12 5 5 3" xfId="8932"/>
    <cellStyle name="Separador de milhares 3 12 5 5 3 2" xfId="27146"/>
    <cellStyle name="Separador de milhares 3 12 5 5 3 2 2" xfId="52213"/>
    <cellStyle name="Separador de milhares 3 12 5 5 3 3" xfId="21232"/>
    <cellStyle name="Separador de milhares 3 12 5 5 3 3 2" xfId="46299"/>
    <cellStyle name="Separador de milhares 3 12 5 5 3 4" xfId="15318"/>
    <cellStyle name="Separador de milhares 3 12 5 5 3 4 2" xfId="40385"/>
    <cellStyle name="Separador de milhares 3 12 5 5 3 5" xfId="34477"/>
    <cellStyle name="Separador de milhares 3 12 5 5 4" xfId="5557"/>
    <cellStyle name="Separador de milhares 3 12 5 5 4 2" xfId="24189"/>
    <cellStyle name="Separador de milhares 3 12 5 5 4 2 2" xfId="49256"/>
    <cellStyle name="Separador de milhares 3 12 5 5 4 3" xfId="31520"/>
    <cellStyle name="Separador de milhares 3 12 5 5 5" xfId="18275"/>
    <cellStyle name="Separador de milhares 3 12 5 5 5 2" xfId="43342"/>
    <cellStyle name="Separador de milhares 3 12 5 5 6" xfId="11944"/>
    <cellStyle name="Separador de milhares 3 12 5 5 6 2" xfId="37431"/>
    <cellStyle name="Separador de milhares 3 12 5 5 7" xfId="30050"/>
    <cellStyle name="Separador de milhares 3 12 5 6" xfId="3483"/>
    <cellStyle name="Separador de milhares 3 12 5 6 2" xfId="7403"/>
    <cellStyle name="Separador de milhares 3 12 5 6 2 2" xfId="10547"/>
    <cellStyle name="Separador de milhares 3 12 5 6 2 2 2" xfId="28761"/>
    <cellStyle name="Separador de milhares 3 12 5 6 2 2 2 2" xfId="53828"/>
    <cellStyle name="Separador de milhares 3 12 5 6 2 2 3" xfId="22847"/>
    <cellStyle name="Separador de milhares 3 12 5 6 2 2 3 2" xfId="47914"/>
    <cellStyle name="Separador de milhares 3 12 5 6 2 2 4" xfId="16933"/>
    <cellStyle name="Separador de milhares 3 12 5 6 2 2 4 2" xfId="42000"/>
    <cellStyle name="Separador de milhares 3 12 5 6 2 2 5" xfId="36092"/>
    <cellStyle name="Separador de milhares 3 12 5 6 2 3" xfId="25804"/>
    <cellStyle name="Separador de milhares 3 12 5 6 2 3 2" xfId="50871"/>
    <cellStyle name="Separador de milhares 3 12 5 6 2 4" xfId="19890"/>
    <cellStyle name="Separador de milhares 3 12 5 6 2 4 2" xfId="44957"/>
    <cellStyle name="Separador de milhares 3 12 5 6 2 5" xfId="13792"/>
    <cellStyle name="Separador de milhares 3 12 5 6 2 5 2" xfId="39046"/>
    <cellStyle name="Separador de milhares 3 12 5 6 2 6" xfId="33135"/>
    <cellStyle name="Separador de milhares 3 12 5 6 3" xfId="9079"/>
    <cellStyle name="Separador de milhares 3 12 5 6 3 2" xfId="27293"/>
    <cellStyle name="Separador de milhares 3 12 5 6 3 2 2" xfId="52360"/>
    <cellStyle name="Separador de milhares 3 12 5 6 3 3" xfId="21379"/>
    <cellStyle name="Separador de milhares 3 12 5 6 3 3 2" xfId="46446"/>
    <cellStyle name="Separador de milhares 3 12 5 6 3 4" xfId="15465"/>
    <cellStyle name="Separador de milhares 3 12 5 6 3 4 2" xfId="40532"/>
    <cellStyle name="Separador de milhares 3 12 5 6 3 5" xfId="34624"/>
    <cellStyle name="Separador de milhares 3 12 5 6 4" xfId="5704"/>
    <cellStyle name="Separador de milhares 3 12 5 6 4 2" xfId="24336"/>
    <cellStyle name="Separador de milhares 3 12 5 6 4 2 2" xfId="49403"/>
    <cellStyle name="Separador de milhares 3 12 5 6 4 3" xfId="31667"/>
    <cellStyle name="Separador de milhares 3 12 5 6 5" xfId="18422"/>
    <cellStyle name="Separador de milhares 3 12 5 6 5 2" xfId="43489"/>
    <cellStyle name="Separador de milhares 3 12 5 6 6" xfId="12091"/>
    <cellStyle name="Separador de milhares 3 12 5 6 6 2" xfId="37578"/>
    <cellStyle name="Separador de milhares 3 12 5 6 7" xfId="30197"/>
    <cellStyle name="Separador de milhares 3 12 5 7" xfId="4010"/>
    <cellStyle name="Separador de milhares 3 12 5 7 2" xfId="7550"/>
    <cellStyle name="Separador de milhares 3 12 5 7 2 2" xfId="10694"/>
    <cellStyle name="Separador de milhares 3 12 5 7 2 2 2" xfId="28908"/>
    <cellStyle name="Separador de milhares 3 12 5 7 2 2 2 2" xfId="53975"/>
    <cellStyle name="Separador de milhares 3 12 5 7 2 2 3" xfId="22994"/>
    <cellStyle name="Separador de milhares 3 12 5 7 2 2 3 2" xfId="48061"/>
    <cellStyle name="Separador de milhares 3 12 5 7 2 2 4" xfId="17080"/>
    <cellStyle name="Separador de milhares 3 12 5 7 2 2 4 2" xfId="42147"/>
    <cellStyle name="Separador de milhares 3 12 5 7 2 2 5" xfId="36239"/>
    <cellStyle name="Separador de milhares 3 12 5 7 2 3" xfId="25951"/>
    <cellStyle name="Separador de milhares 3 12 5 7 2 3 2" xfId="51018"/>
    <cellStyle name="Separador de milhares 3 12 5 7 2 4" xfId="20037"/>
    <cellStyle name="Separador de milhares 3 12 5 7 2 4 2" xfId="45104"/>
    <cellStyle name="Separador de milhares 3 12 5 7 2 5" xfId="13939"/>
    <cellStyle name="Separador de milhares 3 12 5 7 2 5 2" xfId="39193"/>
    <cellStyle name="Separador de milhares 3 12 5 7 2 6" xfId="33282"/>
    <cellStyle name="Separador de milhares 3 12 5 7 3" xfId="9226"/>
    <cellStyle name="Separador de milhares 3 12 5 7 3 2" xfId="27440"/>
    <cellStyle name="Separador de milhares 3 12 5 7 3 2 2" xfId="52507"/>
    <cellStyle name="Separador de milhares 3 12 5 7 3 3" xfId="21526"/>
    <cellStyle name="Separador de milhares 3 12 5 7 3 3 2" xfId="46593"/>
    <cellStyle name="Separador de milhares 3 12 5 7 3 4" xfId="15612"/>
    <cellStyle name="Separador de milhares 3 12 5 7 3 4 2" xfId="40679"/>
    <cellStyle name="Separador de milhares 3 12 5 7 3 5" xfId="34771"/>
    <cellStyle name="Separador de milhares 3 12 5 7 4" xfId="5851"/>
    <cellStyle name="Separador de milhares 3 12 5 7 4 2" xfId="24483"/>
    <cellStyle name="Separador de milhares 3 12 5 7 4 2 2" xfId="49550"/>
    <cellStyle name="Separador de milhares 3 12 5 7 4 3" xfId="31814"/>
    <cellStyle name="Separador de milhares 3 12 5 7 5" xfId="18569"/>
    <cellStyle name="Separador de milhares 3 12 5 7 5 2" xfId="43636"/>
    <cellStyle name="Separador de milhares 3 12 5 7 6" xfId="12238"/>
    <cellStyle name="Separador de milhares 3 12 5 7 6 2" xfId="37725"/>
    <cellStyle name="Separador de milhares 3 12 5 7 7" xfId="30344"/>
    <cellStyle name="Separador de milhares 3 12 5 8" xfId="6589"/>
    <cellStyle name="Separador de milhares 3 12 5 8 2" xfId="9736"/>
    <cellStyle name="Separador de milhares 3 12 5 8 2 2" xfId="27950"/>
    <cellStyle name="Separador de milhares 3 12 5 8 2 2 2" xfId="53017"/>
    <cellStyle name="Separador de milhares 3 12 5 8 2 3" xfId="22036"/>
    <cellStyle name="Separador de milhares 3 12 5 8 2 3 2" xfId="47103"/>
    <cellStyle name="Separador de milhares 3 12 5 8 2 4" xfId="16122"/>
    <cellStyle name="Separador de milhares 3 12 5 8 2 4 2" xfId="41189"/>
    <cellStyle name="Separador de milhares 3 12 5 8 2 5" xfId="35281"/>
    <cellStyle name="Separador de milhares 3 12 5 8 3" xfId="24993"/>
    <cellStyle name="Separador de milhares 3 12 5 8 3 2" xfId="50060"/>
    <cellStyle name="Separador de milhares 3 12 5 8 4" xfId="19079"/>
    <cellStyle name="Separador de milhares 3 12 5 8 4 2" xfId="44146"/>
    <cellStyle name="Separador de milhares 3 12 5 8 5" xfId="12978"/>
    <cellStyle name="Separador de milhares 3 12 5 8 5 2" xfId="38235"/>
    <cellStyle name="Separador de milhares 3 12 5 8 6" xfId="32324"/>
    <cellStyle name="Separador de milhares 3 12 5 9" xfId="8265"/>
    <cellStyle name="Separador de milhares 3 12 5 9 2" xfId="26479"/>
    <cellStyle name="Separador de milhares 3 12 5 9 2 2" xfId="51546"/>
    <cellStyle name="Separador de milhares 3 12 5 9 3" xfId="20565"/>
    <cellStyle name="Separador de milhares 3 12 5 9 3 2" xfId="45632"/>
    <cellStyle name="Separador de milhares 3 12 5 9 4" xfId="14654"/>
    <cellStyle name="Separador de milhares 3 12 5 9 4 2" xfId="39721"/>
    <cellStyle name="Separador de milhares 3 12 5 9 5" xfId="33810"/>
    <cellStyle name="Separador de milhares 3 12 6" xfId="762"/>
    <cellStyle name="Separador de milhares 3 12 6 2" xfId="4186"/>
    <cellStyle name="Separador de milhares 3 12 6 2 2" xfId="7599"/>
    <cellStyle name="Separador de milhares 3 12 6 2 2 2" xfId="10743"/>
    <cellStyle name="Separador de milhares 3 12 6 2 2 2 2" xfId="28957"/>
    <cellStyle name="Separador de milhares 3 12 6 2 2 2 2 2" xfId="54024"/>
    <cellStyle name="Separador de milhares 3 12 6 2 2 2 3" xfId="23043"/>
    <cellStyle name="Separador de milhares 3 12 6 2 2 2 3 2" xfId="48110"/>
    <cellStyle name="Separador de milhares 3 12 6 2 2 2 4" xfId="17129"/>
    <cellStyle name="Separador de milhares 3 12 6 2 2 2 4 2" xfId="42196"/>
    <cellStyle name="Separador de milhares 3 12 6 2 2 2 5" xfId="36288"/>
    <cellStyle name="Separador de milhares 3 12 6 2 2 3" xfId="26000"/>
    <cellStyle name="Separador de milhares 3 12 6 2 2 3 2" xfId="51067"/>
    <cellStyle name="Separador de milhares 3 12 6 2 2 4" xfId="20086"/>
    <cellStyle name="Separador de milhares 3 12 6 2 2 4 2" xfId="45153"/>
    <cellStyle name="Separador de milhares 3 12 6 2 2 5" xfId="13988"/>
    <cellStyle name="Separador de milhares 3 12 6 2 2 5 2" xfId="39242"/>
    <cellStyle name="Separador de milhares 3 12 6 2 2 6" xfId="33331"/>
    <cellStyle name="Separador de milhares 3 12 6 2 3" xfId="9275"/>
    <cellStyle name="Separador de milhares 3 12 6 2 3 2" xfId="27489"/>
    <cellStyle name="Separador de milhares 3 12 6 2 3 2 2" xfId="52556"/>
    <cellStyle name="Separador de milhares 3 12 6 2 3 3" xfId="21575"/>
    <cellStyle name="Separador de milhares 3 12 6 2 3 3 2" xfId="46642"/>
    <cellStyle name="Separador de milhares 3 12 6 2 3 4" xfId="15661"/>
    <cellStyle name="Separador de milhares 3 12 6 2 3 4 2" xfId="40728"/>
    <cellStyle name="Separador de milhares 3 12 6 2 3 5" xfId="34820"/>
    <cellStyle name="Separador de milhares 3 12 6 2 4" xfId="5900"/>
    <cellStyle name="Separador de milhares 3 12 6 2 4 2" xfId="24532"/>
    <cellStyle name="Separador de milhares 3 12 6 2 4 2 2" xfId="49599"/>
    <cellStyle name="Separador de milhares 3 12 6 2 4 3" xfId="31863"/>
    <cellStyle name="Separador de milhares 3 12 6 2 5" xfId="18618"/>
    <cellStyle name="Separador de milhares 3 12 6 2 5 2" xfId="43685"/>
    <cellStyle name="Separador de milhares 3 12 6 2 6" xfId="12287"/>
    <cellStyle name="Separador de milhares 3 12 6 2 6 2" xfId="37774"/>
    <cellStyle name="Separador de milhares 3 12 6 2 7" xfId="30393"/>
    <cellStyle name="Separador de milhares 3 12 6 3" xfId="6644"/>
    <cellStyle name="Separador de milhares 3 12 6 3 2" xfId="9791"/>
    <cellStyle name="Separador de milhares 3 12 6 3 2 2" xfId="28005"/>
    <cellStyle name="Separador de milhares 3 12 6 3 2 2 2" xfId="53072"/>
    <cellStyle name="Separador de milhares 3 12 6 3 2 3" xfId="22091"/>
    <cellStyle name="Separador de milhares 3 12 6 3 2 3 2" xfId="47158"/>
    <cellStyle name="Separador de milhares 3 12 6 3 2 4" xfId="16177"/>
    <cellStyle name="Separador de milhares 3 12 6 3 2 4 2" xfId="41244"/>
    <cellStyle name="Separador de milhares 3 12 6 3 2 5" xfId="35336"/>
    <cellStyle name="Separador de milhares 3 12 6 3 3" xfId="25048"/>
    <cellStyle name="Separador de milhares 3 12 6 3 3 2" xfId="50115"/>
    <cellStyle name="Separador de milhares 3 12 6 3 4" xfId="19134"/>
    <cellStyle name="Separador de milhares 3 12 6 3 4 2" xfId="44201"/>
    <cellStyle name="Separador de milhares 3 12 6 3 5" xfId="13033"/>
    <cellStyle name="Separador de milhares 3 12 6 3 5 2" xfId="38290"/>
    <cellStyle name="Separador de milhares 3 12 6 3 6" xfId="32379"/>
    <cellStyle name="Separador de milhares 3 12 6 4" xfId="8323"/>
    <cellStyle name="Separador de milhares 3 12 6 4 2" xfId="26537"/>
    <cellStyle name="Separador de milhares 3 12 6 4 2 2" xfId="51604"/>
    <cellStyle name="Separador de milhares 3 12 6 4 3" xfId="20623"/>
    <cellStyle name="Separador de milhares 3 12 6 4 3 2" xfId="45690"/>
    <cellStyle name="Separador de milhares 3 12 6 4 4" xfId="14709"/>
    <cellStyle name="Separador de milhares 3 12 6 4 4 2" xfId="39776"/>
    <cellStyle name="Separador de milhares 3 12 6 4 5" xfId="33868"/>
    <cellStyle name="Separador de milhares 3 12 6 5" xfId="4945"/>
    <cellStyle name="Separador de milhares 3 12 6 5 2" xfId="23580"/>
    <cellStyle name="Separador de milhares 3 12 6 5 2 2" xfId="48647"/>
    <cellStyle name="Separador de milhares 3 12 6 5 3" xfId="30911"/>
    <cellStyle name="Separador de milhares 3 12 6 6" xfId="17666"/>
    <cellStyle name="Separador de milhares 3 12 6 6 2" xfId="42733"/>
    <cellStyle name="Separador de milhares 3 12 6 7" xfId="11332"/>
    <cellStyle name="Separador de milhares 3 12 6 7 2" xfId="36822"/>
    <cellStyle name="Separador de milhares 3 12 6 8" xfId="29441"/>
    <cellStyle name="Separador de milhares 3 12 7" xfId="1113"/>
    <cellStyle name="Separador de milhares 3 12 7 2" xfId="6742"/>
    <cellStyle name="Separador de milhares 3 12 7 2 2" xfId="9889"/>
    <cellStyle name="Separador de milhares 3 12 7 2 2 2" xfId="28103"/>
    <cellStyle name="Separador de milhares 3 12 7 2 2 2 2" xfId="53170"/>
    <cellStyle name="Separador de milhares 3 12 7 2 2 3" xfId="22189"/>
    <cellStyle name="Separador de milhares 3 12 7 2 2 3 2" xfId="47256"/>
    <cellStyle name="Separador de milhares 3 12 7 2 2 4" xfId="16275"/>
    <cellStyle name="Separador de milhares 3 12 7 2 2 4 2" xfId="41342"/>
    <cellStyle name="Separador de milhares 3 12 7 2 2 5" xfId="35434"/>
    <cellStyle name="Separador de milhares 3 12 7 2 3" xfId="25146"/>
    <cellStyle name="Separador de milhares 3 12 7 2 3 2" xfId="50213"/>
    <cellStyle name="Separador de milhares 3 12 7 2 4" xfId="19232"/>
    <cellStyle name="Separador de milhares 3 12 7 2 4 2" xfId="44299"/>
    <cellStyle name="Separador de milhares 3 12 7 2 5" xfId="13131"/>
    <cellStyle name="Separador de milhares 3 12 7 2 5 2" xfId="38388"/>
    <cellStyle name="Separador de milhares 3 12 7 2 6" xfId="32477"/>
    <cellStyle name="Separador de milhares 3 12 7 3" xfId="8421"/>
    <cellStyle name="Separador de milhares 3 12 7 3 2" xfId="26635"/>
    <cellStyle name="Separador de milhares 3 12 7 3 2 2" xfId="51702"/>
    <cellStyle name="Separador de milhares 3 12 7 3 3" xfId="20721"/>
    <cellStyle name="Separador de milhares 3 12 7 3 3 2" xfId="45788"/>
    <cellStyle name="Separador de milhares 3 12 7 3 4" xfId="14807"/>
    <cellStyle name="Separador de milhares 3 12 7 3 4 2" xfId="39874"/>
    <cellStyle name="Separador de milhares 3 12 7 3 5" xfId="33966"/>
    <cellStyle name="Separador de milhares 3 12 7 4" xfId="5043"/>
    <cellStyle name="Separador de milhares 3 12 7 4 2" xfId="23678"/>
    <cellStyle name="Separador de milhares 3 12 7 4 2 2" xfId="48745"/>
    <cellStyle name="Separador de milhares 3 12 7 4 3" xfId="31009"/>
    <cellStyle name="Separador de milhares 3 12 7 5" xfId="17764"/>
    <cellStyle name="Separador de milhares 3 12 7 5 2" xfId="42831"/>
    <cellStyle name="Separador de milhares 3 12 7 6" xfId="11430"/>
    <cellStyle name="Separador de milhares 3 12 7 6 2" xfId="36920"/>
    <cellStyle name="Separador de milhares 3 12 7 7" xfId="29539"/>
    <cellStyle name="Separador de milhares 3 12 8" xfId="1548"/>
    <cellStyle name="Separador de milhares 3 12 8 2" xfId="6861"/>
    <cellStyle name="Separador de milhares 3 12 8 2 2" xfId="10008"/>
    <cellStyle name="Separador de milhares 3 12 8 2 2 2" xfId="28222"/>
    <cellStyle name="Separador de milhares 3 12 8 2 2 2 2" xfId="53289"/>
    <cellStyle name="Separador de milhares 3 12 8 2 2 3" xfId="22308"/>
    <cellStyle name="Separador de milhares 3 12 8 2 2 3 2" xfId="47375"/>
    <cellStyle name="Separador de milhares 3 12 8 2 2 4" xfId="16394"/>
    <cellStyle name="Separador de milhares 3 12 8 2 2 4 2" xfId="41461"/>
    <cellStyle name="Separador de milhares 3 12 8 2 2 5" xfId="35553"/>
    <cellStyle name="Separador de milhares 3 12 8 2 3" xfId="25265"/>
    <cellStyle name="Separador de milhares 3 12 8 2 3 2" xfId="50332"/>
    <cellStyle name="Separador de milhares 3 12 8 2 4" xfId="19351"/>
    <cellStyle name="Separador de milhares 3 12 8 2 4 2" xfId="44418"/>
    <cellStyle name="Separador de milhares 3 12 8 2 5" xfId="13250"/>
    <cellStyle name="Separador de milhares 3 12 8 2 5 2" xfId="38507"/>
    <cellStyle name="Separador de milhares 3 12 8 2 6" xfId="32596"/>
    <cellStyle name="Separador de milhares 3 12 8 3" xfId="8540"/>
    <cellStyle name="Separador de milhares 3 12 8 3 2" xfId="26754"/>
    <cellStyle name="Separador de milhares 3 12 8 3 2 2" xfId="51821"/>
    <cellStyle name="Separador de milhares 3 12 8 3 3" xfId="20840"/>
    <cellStyle name="Separador de milhares 3 12 8 3 3 2" xfId="45907"/>
    <cellStyle name="Separador de milhares 3 12 8 3 4" xfId="14926"/>
    <cellStyle name="Separador de milhares 3 12 8 3 4 2" xfId="39993"/>
    <cellStyle name="Separador de milhares 3 12 8 3 5" xfId="34085"/>
    <cellStyle name="Separador de milhares 3 12 8 4" xfId="5162"/>
    <cellStyle name="Separador de milhares 3 12 8 4 2" xfId="23797"/>
    <cellStyle name="Separador de milhares 3 12 8 4 2 2" xfId="48864"/>
    <cellStyle name="Separador de milhares 3 12 8 4 3" xfId="31128"/>
    <cellStyle name="Separador de milhares 3 12 8 5" xfId="17883"/>
    <cellStyle name="Separador de milhares 3 12 8 5 2" xfId="42950"/>
    <cellStyle name="Separador de milhares 3 12 8 6" xfId="11549"/>
    <cellStyle name="Separador de milhares 3 12 8 6 2" xfId="37039"/>
    <cellStyle name="Separador de milhares 3 12 8 7" xfId="29658"/>
    <cellStyle name="Separador de milhares 3 12 9" xfId="2078"/>
    <cellStyle name="Separador de milhares 3 12 9 2" xfId="7011"/>
    <cellStyle name="Separador de milhares 3 12 9 2 2" xfId="10155"/>
    <cellStyle name="Separador de milhares 3 12 9 2 2 2" xfId="28369"/>
    <cellStyle name="Separador de milhares 3 12 9 2 2 2 2" xfId="53436"/>
    <cellStyle name="Separador de milhares 3 12 9 2 2 3" xfId="22455"/>
    <cellStyle name="Separador de milhares 3 12 9 2 2 3 2" xfId="47522"/>
    <cellStyle name="Separador de milhares 3 12 9 2 2 4" xfId="16541"/>
    <cellStyle name="Separador de milhares 3 12 9 2 2 4 2" xfId="41608"/>
    <cellStyle name="Separador de milhares 3 12 9 2 2 5" xfId="35700"/>
    <cellStyle name="Separador de milhares 3 12 9 2 3" xfId="25412"/>
    <cellStyle name="Separador de milhares 3 12 9 2 3 2" xfId="50479"/>
    <cellStyle name="Separador de milhares 3 12 9 2 4" xfId="19498"/>
    <cellStyle name="Separador de milhares 3 12 9 2 4 2" xfId="44565"/>
    <cellStyle name="Separador de milhares 3 12 9 2 5" xfId="13400"/>
    <cellStyle name="Separador de milhares 3 12 9 2 5 2" xfId="38654"/>
    <cellStyle name="Separador de milhares 3 12 9 2 6" xfId="32743"/>
    <cellStyle name="Separador de milhares 3 12 9 3" xfId="8687"/>
    <cellStyle name="Separador de milhares 3 12 9 3 2" xfId="26901"/>
    <cellStyle name="Separador de milhares 3 12 9 3 2 2" xfId="51968"/>
    <cellStyle name="Separador de milhares 3 12 9 3 3" xfId="20987"/>
    <cellStyle name="Separador de milhares 3 12 9 3 3 2" xfId="46054"/>
    <cellStyle name="Separador de milhares 3 12 9 3 4" xfId="15073"/>
    <cellStyle name="Separador de milhares 3 12 9 3 4 2" xfId="40140"/>
    <cellStyle name="Separador de milhares 3 12 9 3 5" xfId="34232"/>
    <cellStyle name="Separador de milhares 3 12 9 4" xfId="5312"/>
    <cellStyle name="Separador de milhares 3 12 9 4 2" xfId="23944"/>
    <cellStyle name="Separador de milhares 3 12 9 4 2 2" xfId="49011"/>
    <cellStyle name="Separador de milhares 3 12 9 4 3" xfId="31275"/>
    <cellStyle name="Separador de milhares 3 12 9 5" xfId="18030"/>
    <cellStyle name="Separador de milhares 3 12 9 5 2" xfId="43097"/>
    <cellStyle name="Separador de milhares 3 12 9 6" xfId="11699"/>
    <cellStyle name="Separador de milhares 3 12 9 6 2" xfId="37186"/>
    <cellStyle name="Separador de milhares 3 12 9 7" xfId="29805"/>
    <cellStyle name="Separador de milhares 3 13" xfId="110"/>
    <cellStyle name="Separador de milhares 3 13 10" xfId="2613"/>
    <cellStyle name="Separador de milhares 3 13 10 2" xfId="7160"/>
    <cellStyle name="Separador de milhares 3 13 10 2 2" xfId="10304"/>
    <cellStyle name="Separador de milhares 3 13 10 2 2 2" xfId="28518"/>
    <cellStyle name="Separador de milhares 3 13 10 2 2 2 2" xfId="53585"/>
    <cellStyle name="Separador de milhares 3 13 10 2 2 3" xfId="22604"/>
    <cellStyle name="Separador de milhares 3 13 10 2 2 3 2" xfId="47671"/>
    <cellStyle name="Separador de milhares 3 13 10 2 2 4" xfId="16690"/>
    <cellStyle name="Separador de milhares 3 13 10 2 2 4 2" xfId="41757"/>
    <cellStyle name="Separador de milhares 3 13 10 2 2 5" xfId="35849"/>
    <cellStyle name="Separador de milhares 3 13 10 2 3" xfId="25561"/>
    <cellStyle name="Separador de milhares 3 13 10 2 3 2" xfId="50628"/>
    <cellStyle name="Separador de milhares 3 13 10 2 4" xfId="19647"/>
    <cellStyle name="Separador de milhares 3 13 10 2 4 2" xfId="44714"/>
    <cellStyle name="Separador de milhares 3 13 10 2 5" xfId="13549"/>
    <cellStyle name="Separador de milhares 3 13 10 2 5 2" xfId="38803"/>
    <cellStyle name="Separador de milhares 3 13 10 2 6" xfId="32892"/>
    <cellStyle name="Separador de milhares 3 13 10 3" xfId="8836"/>
    <cellStyle name="Separador de milhares 3 13 10 3 2" xfId="27050"/>
    <cellStyle name="Separador de milhares 3 13 10 3 2 2" xfId="52117"/>
    <cellStyle name="Separador de milhares 3 13 10 3 3" xfId="21136"/>
    <cellStyle name="Separador de milhares 3 13 10 3 3 2" xfId="46203"/>
    <cellStyle name="Separador de milhares 3 13 10 3 4" xfId="15222"/>
    <cellStyle name="Separador de milhares 3 13 10 3 4 2" xfId="40289"/>
    <cellStyle name="Separador de milhares 3 13 10 3 5" xfId="34381"/>
    <cellStyle name="Separador de milhares 3 13 10 4" xfId="5461"/>
    <cellStyle name="Separador de milhares 3 13 10 4 2" xfId="24093"/>
    <cellStyle name="Separador de milhares 3 13 10 4 2 2" xfId="49160"/>
    <cellStyle name="Separador de milhares 3 13 10 4 3" xfId="31424"/>
    <cellStyle name="Separador de milhares 3 13 10 5" xfId="18179"/>
    <cellStyle name="Separador de milhares 3 13 10 5 2" xfId="43246"/>
    <cellStyle name="Separador de milhares 3 13 10 6" xfId="11848"/>
    <cellStyle name="Separador de milhares 3 13 10 6 2" xfId="37335"/>
    <cellStyle name="Separador de milhares 3 13 10 7" xfId="29954"/>
    <cellStyle name="Separador de milhares 3 13 11" xfId="3140"/>
    <cellStyle name="Separador de milhares 3 13 11 2" xfId="7307"/>
    <cellStyle name="Separador de milhares 3 13 11 2 2" xfId="10451"/>
    <cellStyle name="Separador de milhares 3 13 11 2 2 2" xfId="28665"/>
    <cellStyle name="Separador de milhares 3 13 11 2 2 2 2" xfId="53732"/>
    <cellStyle name="Separador de milhares 3 13 11 2 2 3" xfId="22751"/>
    <cellStyle name="Separador de milhares 3 13 11 2 2 3 2" xfId="47818"/>
    <cellStyle name="Separador de milhares 3 13 11 2 2 4" xfId="16837"/>
    <cellStyle name="Separador de milhares 3 13 11 2 2 4 2" xfId="41904"/>
    <cellStyle name="Separador de milhares 3 13 11 2 2 5" xfId="35996"/>
    <cellStyle name="Separador de milhares 3 13 11 2 3" xfId="25708"/>
    <cellStyle name="Separador de milhares 3 13 11 2 3 2" xfId="50775"/>
    <cellStyle name="Separador de milhares 3 13 11 2 4" xfId="19794"/>
    <cellStyle name="Separador de milhares 3 13 11 2 4 2" xfId="44861"/>
    <cellStyle name="Separador de milhares 3 13 11 2 5" xfId="13696"/>
    <cellStyle name="Separador de milhares 3 13 11 2 5 2" xfId="38950"/>
    <cellStyle name="Separador de milhares 3 13 11 2 6" xfId="33039"/>
    <cellStyle name="Separador de milhares 3 13 11 3" xfId="8983"/>
    <cellStyle name="Separador de milhares 3 13 11 3 2" xfId="27197"/>
    <cellStyle name="Separador de milhares 3 13 11 3 2 2" xfId="52264"/>
    <cellStyle name="Separador de milhares 3 13 11 3 3" xfId="21283"/>
    <cellStyle name="Separador de milhares 3 13 11 3 3 2" xfId="46350"/>
    <cellStyle name="Separador de milhares 3 13 11 3 4" xfId="15369"/>
    <cellStyle name="Separador de milhares 3 13 11 3 4 2" xfId="40436"/>
    <cellStyle name="Separador de milhares 3 13 11 3 5" xfId="34528"/>
    <cellStyle name="Separador de milhares 3 13 11 4" xfId="5608"/>
    <cellStyle name="Separador de milhares 3 13 11 4 2" xfId="24240"/>
    <cellStyle name="Separador de milhares 3 13 11 4 2 2" xfId="49307"/>
    <cellStyle name="Separador de milhares 3 13 11 4 3" xfId="31571"/>
    <cellStyle name="Separador de milhares 3 13 11 5" xfId="18326"/>
    <cellStyle name="Separador de milhares 3 13 11 5 2" xfId="43393"/>
    <cellStyle name="Separador de milhares 3 13 11 6" xfId="11995"/>
    <cellStyle name="Separador de milhares 3 13 11 6 2" xfId="37482"/>
    <cellStyle name="Separador de milhares 3 13 11 7" xfId="30101"/>
    <cellStyle name="Separador de milhares 3 13 12" xfId="3667"/>
    <cellStyle name="Separador de milhares 3 13 12 2" xfId="7454"/>
    <cellStyle name="Separador de milhares 3 13 12 2 2" xfId="10598"/>
    <cellStyle name="Separador de milhares 3 13 12 2 2 2" xfId="28812"/>
    <cellStyle name="Separador de milhares 3 13 12 2 2 2 2" xfId="53879"/>
    <cellStyle name="Separador de milhares 3 13 12 2 2 3" xfId="22898"/>
    <cellStyle name="Separador de milhares 3 13 12 2 2 3 2" xfId="47965"/>
    <cellStyle name="Separador de milhares 3 13 12 2 2 4" xfId="16984"/>
    <cellStyle name="Separador de milhares 3 13 12 2 2 4 2" xfId="42051"/>
    <cellStyle name="Separador de milhares 3 13 12 2 2 5" xfId="36143"/>
    <cellStyle name="Separador de milhares 3 13 12 2 3" xfId="25855"/>
    <cellStyle name="Separador de milhares 3 13 12 2 3 2" xfId="50922"/>
    <cellStyle name="Separador de milhares 3 13 12 2 4" xfId="19941"/>
    <cellStyle name="Separador de milhares 3 13 12 2 4 2" xfId="45008"/>
    <cellStyle name="Separador de milhares 3 13 12 2 5" xfId="13843"/>
    <cellStyle name="Separador de milhares 3 13 12 2 5 2" xfId="39097"/>
    <cellStyle name="Separador de milhares 3 13 12 2 6" xfId="33186"/>
    <cellStyle name="Separador de milhares 3 13 12 3" xfId="9130"/>
    <cellStyle name="Separador de milhares 3 13 12 3 2" xfId="27344"/>
    <cellStyle name="Separador de milhares 3 13 12 3 2 2" xfId="52411"/>
    <cellStyle name="Separador de milhares 3 13 12 3 3" xfId="21430"/>
    <cellStyle name="Separador de milhares 3 13 12 3 3 2" xfId="46497"/>
    <cellStyle name="Separador de milhares 3 13 12 3 4" xfId="15516"/>
    <cellStyle name="Separador de milhares 3 13 12 3 4 2" xfId="40583"/>
    <cellStyle name="Separador de milhares 3 13 12 3 5" xfId="34675"/>
    <cellStyle name="Separador de milhares 3 13 12 4" xfId="5755"/>
    <cellStyle name="Separador de milhares 3 13 12 4 2" xfId="24387"/>
    <cellStyle name="Separador de milhares 3 13 12 4 2 2" xfId="49454"/>
    <cellStyle name="Separador de milhares 3 13 12 4 3" xfId="31718"/>
    <cellStyle name="Separador de milhares 3 13 12 5" xfId="18473"/>
    <cellStyle name="Separador de milhares 3 13 12 5 2" xfId="43540"/>
    <cellStyle name="Separador de milhares 3 13 12 6" xfId="12142"/>
    <cellStyle name="Separador de milhares 3 13 12 6 2" xfId="37629"/>
    <cellStyle name="Separador de milhares 3 13 12 7" xfId="30248"/>
    <cellStyle name="Separador de milhares 3 13 13" xfId="6438"/>
    <cellStyle name="Separador de milhares 3 13 13 2" xfId="9594"/>
    <cellStyle name="Separador de milhares 3 13 13 2 2" xfId="27808"/>
    <cellStyle name="Separador de milhares 3 13 13 2 2 2" xfId="52875"/>
    <cellStyle name="Separador de milhares 3 13 13 2 3" xfId="21894"/>
    <cellStyle name="Separador de milhares 3 13 13 2 3 2" xfId="46961"/>
    <cellStyle name="Separador de milhares 3 13 13 2 4" xfId="15980"/>
    <cellStyle name="Separador de milhares 3 13 13 2 4 2" xfId="41047"/>
    <cellStyle name="Separador de milhares 3 13 13 2 5" xfId="35139"/>
    <cellStyle name="Separador de milhares 3 13 13 3" xfId="24851"/>
    <cellStyle name="Separador de milhares 3 13 13 3 2" xfId="49918"/>
    <cellStyle name="Separador de milhares 3 13 13 4" xfId="18937"/>
    <cellStyle name="Separador de milhares 3 13 13 4 2" xfId="44004"/>
    <cellStyle name="Separador de milhares 3 13 13 5" xfId="12827"/>
    <cellStyle name="Separador de milhares 3 13 13 5 2" xfId="38093"/>
    <cellStyle name="Separador de milhares 3 13 13 6" xfId="32182"/>
    <cellStyle name="Separador de milhares 3 13 14" xfId="8123"/>
    <cellStyle name="Separador de milhares 3 13 14 2" xfId="26337"/>
    <cellStyle name="Separador de milhares 3 13 14 2 2" xfId="51404"/>
    <cellStyle name="Separador de milhares 3 13 14 3" xfId="20423"/>
    <cellStyle name="Separador de milhares 3 13 14 3 2" xfId="45490"/>
    <cellStyle name="Separador de milhares 3 13 14 4" xfId="14512"/>
    <cellStyle name="Separador de milhares 3 13 14 4 2" xfId="39579"/>
    <cellStyle name="Separador de milhares 3 13 14 5" xfId="33668"/>
    <cellStyle name="Separador de milhares 3 13 15" xfId="4736"/>
    <cellStyle name="Separador de milhares 3 13 15 2" xfId="23380"/>
    <cellStyle name="Separador de milhares 3 13 15 2 2" xfId="48447"/>
    <cellStyle name="Separador de milhares 3 13 15 3" xfId="30712"/>
    <cellStyle name="Separador de milhares 3 13 16" xfId="17466"/>
    <cellStyle name="Separador de milhares 3 13 16 2" xfId="42533"/>
    <cellStyle name="Separador de milhares 3 13 17" xfId="11126"/>
    <cellStyle name="Separador de milhares 3 13 17 2" xfId="36625"/>
    <cellStyle name="Separador de milhares 3 13 18" xfId="29240"/>
    <cellStyle name="Separador de milhares 3 13 2" xfId="204"/>
    <cellStyle name="Separador de milhares 3 13 2 10" xfId="6467"/>
    <cellStyle name="Separador de milhares 3 13 2 10 2" xfId="9621"/>
    <cellStyle name="Separador de milhares 3 13 2 10 2 2" xfId="27835"/>
    <cellStyle name="Separador de milhares 3 13 2 10 2 2 2" xfId="52902"/>
    <cellStyle name="Separador de milhares 3 13 2 10 2 3" xfId="21921"/>
    <cellStyle name="Separador de milhares 3 13 2 10 2 3 2" xfId="46988"/>
    <cellStyle name="Separador de milhares 3 13 2 10 2 4" xfId="16007"/>
    <cellStyle name="Separador de milhares 3 13 2 10 2 4 2" xfId="41074"/>
    <cellStyle name="Separador de milhares 3 13 2 10 2 5" xfId="35166"/>
    <cellStyle name="Separador de milhares 3 13 2 10 3" xfId="24878"/>
    <cellStyle name="Separador de milhares 3 13 2 10 3 2" xfId="49945"/>
    <cellStyle name="Separador de milhares 3 13 2 10 4" xfId="18964"/>
    <cellStyle name="Separador de milhares 3 13 2 10 4 2" xfId="44031"/>
    <cellStyle name="Separador de milhares 3 13 2 10 5" xfId="12856"/>
    <cellStyle name="Separador de milhares 3 13 2 10 5 2" xfId="38120"/>
    <cellStyle name="Separador de milhares 3 13 2 10 6" xfId="32209"/>
    <cellStyle name="Separador de milhares 3 13 2 11" xfId="8150"/>
    <cellStyle name="Separador de milhares 3 13 2 11 2" xfId="26364"/>
    <cellStyle name="Separador de milhares 3 13 2 11 2 2" xfId="51431"/>
    <cellStyle name="Separador de milhares 3 13 2 11 3" xfId="20450"/>
    <cellStyle name="Separador de milhares 3 13 2 11 3 2" xfId="45517"/>
    <cellStyle name="Separador de milhares 3 13 2 11 4" xfId="14539"/>
    <cellStyle name="Separador de milhares 3 13 2 11 4 2" xfId="39606"/>
    <cellStyle name="Separador de milhares 3 13 2 11 5" xfId="33695"/>
    <cellStyle name="Separador de milhares 3 13 2 12" xfId="4766"/>
    <cellStyle name="Separador de milhares 3 13 2 12 2" xfId="23407"/>
    <cellStyle name="Separador de milhares 3 13 2 12 2 2" xfId="48474"/>
    <cellStyle name="Separador de milhares 3 13 2 12 3" xfId="30739"/>
    <cellStyle name="Separador de milhares 3 13 2 13" xfId="17493"/>
    <cellStyle name="Separador de milhares 3 13 2 13 2" xfId="42560"/>
    <cellStyle name="Separador de milhares 3 13 2 14" xfId="11155"/>
    <cellStyle name="Separador de milhares 3 13 2 14 2" xfId="36652"/>
    <cellStyle name="Separador de milhares 3 13 2 15" xfId="29268"/>
    <cellStyle name="Separador de milhares 3 13 2 2" xfId="477"/>
    <cellStyle name="Separador de milhares 3 13 2 2 10" xfId="17567"/>
    <cellStyle name="Separador de milhares 3 13 2 2 10 2" xfId="42634"/>
    <cellStyle name="Separador de milhares 3 13 2 2 11" xfId="11236"/>
    <cellStyle name="Separador de milhares 3 13 2 2 11 2" xfId="36726"/>
    <cellStyle name="Separador de milhares 3 13 2 2 12" xfId="29342"/>
    <cellStyle name="Separador de milhares 3 13 2 2 2" xfId="1996"/>
    <cellStyle name="Separador de milhares 3 13 2 2 2 2" xfId="6986"/>
    <cellStyle name="Separador de milhares 3 13 2 2 2 2 2" xfId="10133"/>
    <cellStyle name="Separador de milhares 3 13 2 2 2 2 2 2" xfId="28347"/>
    <cellStyle name="Separador de milhares 3 13 2 2 2 2 2 2 2" xfId="53414"/>
    <cellStyle name="Separador de milhares 3 13 2 2 2 2 2 3" xfId="22433"/>
    <cellStyle name="Separador de milhares 3 13 2 2 2 2 2 3 2" xfId="47500"/>
    <cellStyle name="Separador de milhares 3 13 2 2 2 2 2 4" xfId="16519"/>
    <cellStyle name="Separador de milhares 3 13 2 2 2 2 2 4 2" xfId="41586"/>
    <cellStyle name="Separador de milhares 3 13 2 2 2 2 2 5" xfId="35678"/>
    <cellStyle name="Separador de milhares 3 13 2 2 2 2 3" xfId="25390"/>
    <cellStyle name="Separador de milhares 3 13 2 2 2 2 3 2" xfId="50457"/>
    <cellStyle name="Separador de milhares 3 13 2 2 2 2 4" xfId="19476"/>
    <cellStyle name="Separador de milhares 3 13 2 2 2 2 4 2" xfId="44543"/>
    <cellStyle name="Separador de milhares 3 13 2 2 2 2 5" xfId="13375"/>
    <cellStyle name="Separador de milhares 3 13 2 2 2 2 5 2" xfId="38632"/>
    <cellStyle name="Separador de milhares 3 13 2 2 2 2 6" xfId="32721"/>
    <cellStyle name="Separador de milhares 3 13 2 2 2 3" xfId="8665"/>
    <cellStyle name="Separador de milhares 3 13 2 2 2 3 2" xfId="26879"/>
    <cellStyle name="Separador de milhares 3 13 2 2 2 3 2 2" xfId="51946"/>
    <cellStyle name="Separador de milhares 3 13 2 2 2 3 3" xfId="20965"/>
    <cellStyle name="Separador de milhares 3 13 2 2 2 3 3 2" xfId="46032"/>
    <cellStyle name="Separador de milhares 3 13 2 2 2 3 4" xfId="15051"/>
    <cellStyle name="Separador de milhares 3 13 2 2 2 3 4 2" xfId="40118"/>
    <cellStyle name="Separador de milhares 3 13 2 2 2 3 5" xfId="34210"/>
    <cellStyle name="Separador de milhares 3 13 2 2 2 4" xfId="5287"/>
    <cellStyle name="Separador de milhares 3 13 2 2 2 4 2" xfId="23922"/>
    <cellStyle name="Separador de milhares 3 13 2 2 2 4 2 2" xfId="48989"/>
    <cellStyle name="Separador de milhares 3 13 2 2 2 4 3" xfId="31253"/>
    <cellStyle name="Separador de milhares 3 13 2 2 2 5" xfId="18008"/>
    <cellStyle name="Separador de milhares 3 13 2 2 2 5 2" xfId="43075"/>
    <cellStyle name="Separador de milhares 3 13 2 2 2 6" xfId="11674"/>
    <cellStyle name="Separador de milhares 3 13 2 2 2 6 2" xfId="37164"/>
    <cellStyle name="Separador de milhares 3 13 2 2 2 7" xfId="29783"/>
    <cellStyle name="Separador de milhares 3 13 2 2 3" xfId="2526"/>
    <cellStyle name="Separador de milhares 3 13 2 2 3 2" xfId="7136"/>
    <cellStyle name="Separador de milhares 3 13 2 2 3 2 2" xfId="10280"/>
    <cellStyle name="Separador de milhares 3 13 2 2 3 2 2 2" xfId="28494"/>
    <cellStyle name="Separador de milhares 3 13 2 2 3 2 2 2 2" xfId="53561"/>
    <cellStyle name="Separador de milhares 3 13 2 2 3 2 2 3" xfId="22580"/>
    <cellStyle name="Separador de milhares 3 13 2 2 3 2 2 3 2" xfId="47647"/>
    <cellStyle name="Separador de milhares 3 13 2 2 3 2 2 4" xfId="16666"/>
    <cellStyle name="Separador de milhares 3 13 2 2 3 2 2 4 2" xfId="41733"/>
    <cellStyle name="Separador de milhares 3 13 2 2 3 2 2 5" xfId="35825"/>
    <cellStyle name="Separador de milhares 3 13 2 2 3 2 3" xfId="25537"/>
    <cellStyle name="Separador de milhares 3 13 2 2 3 2 3 2" xfId="50604"/>
    <cellStyle name="Separador de milhares 3 13 2 2 3 2 4" xfId="19623"/>
    <cellStyle name="Separador de milhares 3 13 2 2 3 2 4 2" xfId="44690"/>
    <cellStyle name="Separador de milhares 3 13 2 2 3 2 5" xfId="13525"/>
    <cellStyle name="Separador de milhares 3 13 2 2 3 2 5 2" xfId="38779"/>
    <cellStyle name="Separador de milhares 3 13 2 2 3 2 6" xfId="32868"/>
    <cellStyle name="Separador de milhares 3 13 2 2 3 3" xfId="8812"/>
    <cellStyle name="Separador de milhares 3 13 2 2 3 3 2" xfId="27026"/>
    <cellStyle name="Separador de milhares 3 13 2 2 3 3 2 2" xfId="52093"/>
    <cellStyle name="Separador de milhares 3 13 2 2 3 3 3" xfId="21112"/>
    <cellStyle name="Separador de milhares 3 13 2 2 3 3 3 2" xfId="46179"/>
    <cellStyle name="Separador de milhares 3 13 2 2 3 3 4" xfId="15198"/>
    <cellStyle name="Separador de milhares 3 13 2 2 3 3 4 2" xfId="40265"/>
    <cellStyle name="Separador de milhares 3 13 2 2 3 3 5" xfId="34357"/>
    <cellStyle name="Separador de milhares 3 13 2 2 3 4" xfId="5437"/>
    <cellStyle name="Separador de milhares 3 13 2 2 3 4 2" xfId="24069"/>
    <cellStyle name="Separador de milhares 3 13 2 2 3 4 2 2" xfId="49136"/>
    <cellStyle name="Separador de milhares 3 13 2 2 3 4 3" xfId="31400"/>
    <cellStyle name="Separador de milhares 3 13 2 2 3 5" xfId="18155"/>
    <cellStyle name="Separador de milhares 3 13 2 2 3 5 2" xfId="43222"/>
    <cellStyle name="Separador de milhares 3 13 2 2 3 6" xfId="11824"/>
    <cellStyle name="Separador de milhares 3 13 2 2 3 6 2" xfId="37311"/>
    <cellStyle name="Separador de milhares 3 13 2 2 3 7" xfId="29930"/>
    <cellStyle name="Separador de milhares 3 13 2 2 4" xfId="3053"/>
    <cellStyle name="Separador de milhares 3 13 2 2 4 2" xfId="7283"/>
    <cellStyle name="Separador de milhares 3 13 2 2 4 2 2" xfId="10427"/>
    <cellStyle name="Separador de milhares 3 13 2 2 4 2 2 2" xfId="28641"/>
    <cellStyle name="Separador de milhares 3 13 2 2 4 2 2 2 2" xfId="53708"/>
    <cellStyle name="Separador de milhares 3 13 2 2 4 2 2 3" xfId="22727"/>
    <cellStyle name="Separador de milhares 3 13 2 2 4 2 2 3 2" xfId="47794"/>
    <cellStyle name="Separador de milhares 3 13 2 2 4 2 2 4" xfId="16813"/>
    <cellStyle name="Separador de milhares 3 13 2 2 4 2 2 4 2" xfId="41880"/>
    <cellStyle name="Separador de milhares 3 13 2 2 4 2 2 5" xfId="35972"/>
    <cellStyle name="Separador de milhares 3 13 2 2 4 2 3" xfId="25684"/>
    <cellStyle name="Separador de milhares 3 13 2 2 4 2 3 2" xfId="50751"/>
    <cellStyle name="Separador de milhares 3 13 2 2 4 2 4" xfId="19770"/>
    <cellStyle name="Separador de milhares 3 13 2 2 4 2 4 2" xfId="44837"/>
    <cellStyle name="Separador de milhares 3 13 2 2 4 2 5" xfId="13672"/>
    <cellStyle name="Separador de milhares 3 13 2 2 4 2 5 2" xfId="38926"/>
    <cellStyle name="Separador de milhares 3 13 2 2 4 2 6" xfId="33015"/>
    <cellStyle name="Separador de milhares 3 13 2 2 4 3" xfId="8959"/>
    <cellStyle name="Separador de milhares 3 13 2 2 4 3 2" xfId="27173"/>
    <cellStyle name="Separador de milhares 3 13 2 2 4 3 2 2" xfId="52240"/>
    <cellStyle name="Separador de milhares 3 13 2 2 4 3 3" xfId="21259"/>
    <cellStyle name="Separador de milhares 3 13 2 2 4 3 3 2" xfId="46326"/>
    <cellStyle name="Separador de milhares 3 13 2 2 4 3 4" xfId="15345"/>
    <cellStyle name="Separador de milhares 3 13 2 2 4 3 4 2" xfId="40412"/>
    <cellStyle name="Separador de milhares 3 13 2 2 4 3 5" xfId="34504"/>
    <cellStyle name="Separador de milhares 3 13 2 2 4 4" xfId="5584"/>
    <cellStyle name="Separador de milhares 3 13 2 2 4 4 2" xfId="24216"/>
    <cellStyle name="Separador de milhares 3 13 2 2 4 4 2 2" xfId="49283"/>
    <cellStyle name="Separador de milhares 3 13 2 2 4 4 3" xfId="31547"/>
    <cellStyle name="Separador de milhares 3 13 2 2 4 5" xfId="18302"/>
    <cellStyle name="Separador de milhares 3 13 2 2 4 5 2" xfId="43369"/>
    <cellStyle name="Separador de milhares 3 13 2 2 4 6" xfId="11971"/>
    <cellStyle name="Separador de milhares 3 13 2 2 4 6 2" xfId="37458"/>
    <cellStyle name="Separador de milhares 3 13 2 2 4 7" xfId="30077"/>
    <cellStyle name="Separador de milhares 3 13 2 2 5" xfId="3580"/>
    <cellStyle name="Separador de milhares 3 13 2 2 5 2" xfId="7430"/>
    <cellStyle name="Separador de milhares 3 13 2 2 5 2 2" xfId="10574"/>
    <cellStyle name="Separador de milhares 3 13 2 2 5 2 2 2" xfId="28788"/>
    <cellStyle name="Separador de milhares 3 13 2 2 5 2 2 2 2" xfId="53855"/>
    <cellStyle name="Separador de milhares 3 13 2 2 5 2 2 3" xfId="22874"/>
    <cellStyle name="Separador de milhares 3 13 2 2 5 2 2 3 2" xfId="47941"/>
    <cellStyle name="Separador de milhares 3 13 2 2 5 2 2 4" xfId="16960"/>
    <cellStyle name="Separador de milhares 3 13 2 2 5 2 2 4 2" xfId="42027"/>
    <cellStyle name="Separador de milhares 3 13 2 2 5 2 2 5" xfId="36119"/>
    <cellStyle name="Separador de milhares 3 13 2 2 5 2 3" xfId="25831"/>
    <cellStyle name="Separador de milhares 3 13 2 2 5 2 3 2" xfId="50898"/>
    <cellStyle name="Separador de milhares 3 13 2 2 5 2 4" xfId="19917"/>
    <cellStyle name="Separador de milhares 3 13 2 2 5 2 4 2" xfId="44984"/>
    <cellStyle name="Separador de milhares 3 13 2 2 5 2 5" xfId="13819"/>
    <cellStyle name="Separador de milhares 3 13 2 2 5 2 5 2" xfId="39073"/>
    <cellStyle name="Separador de milhares 3 13 2 2 5 2 6" xfId="33162"/>
    <cellStyle name="Separador de milhares 3 13 2 2 5 3" xfId="9106"/>
    <cellStyle name="Separador de milhares 3 13 2 2 5 3 2" xfId="27320"/>
    <cellStyle name="Separador de milhares 3 13 2 2 5 3 2 2" xfId="52387"/>
    <cellStyle name="Separador de milhares 3 13 2 2 5 3 3" xfId="21406"/>
    <cellStyle name="Separador de milhares 3 13 2 2 5 3 3 2" xfId="46473"/>
    <cellStyle name="Separador de milhares 3 13 2 2 5 3 4" xfId="15492"/>
    <cellStyle name="Separador de milhares 3 13 2 2 5 3 4 2" xfId="40559"/>
    <cellStyle name="Separador de milhares 3 13 2 2 5 3 5" xfId="34651"/>
    <cellStyle name="Separador de milhares 3 13 2 2 5 4" xfId="5731"/>
    <cellStyle name="Separador de milhares 3 13 2 2 5 4 2" xfId="24363"/>
    <cellStyle name="Separador de milhares 3 13 2 2 5 4 2 2" xfId="49430"/>
    <cellStyle name="Separador de milhares 3 13 2 2 5 4 3" xfId="31694"/>
    <cellStyle name="Separador de milhares 3 13 2 2 5 5" xfId="18449"/>
    <cellStyle name="Separador de milhares 3 13 2 2 5 5 2" xfId="43516"/>
    <cellStyle name="Separador de milhares 3 13 2 2 5 6" xfId="12118"/>
    <cellStyle name="Separador de milhares 3 13 2 2 5 6 2" xfId="37605"/>
    <cellStyle name="Separador de milhares 3 13 2 2 5 7" xfId="30224"/>
    <cellStyle name="Separador de milhares 3 13 2 2 6" xfId="4107"/>
    <cellStyle name="Separador de milhares 3 13 2 2 6 2" xfId="7577"/>
    <cellStyle name="Separador de milhares 3 13 2 2 6 2 2" xfId="10721"/>
    <cellStyle name="Separador de milhares 3 13 2 2 6 2 2 2" xfId="28935"/>
    <cellStyle name="Separador de milhares 3 13 2 2 6 2 2 2 2" xfId="54002"/>
    <cellStyle name="Separador de milhares 3 13 2 2 6 2 2 3" xfId="23021"/>
    <cellStyle name="Separador de milhares 3 13 2 2 6 2 2 3 2" xfId="48088"/>
    <cellStyle name="Separador de milhares 3 13 2 2 6 2 2 4" xfId="17107"/>
    <cellStyle name="Separador de milhares 3 13 2 2 6 2 2 4 2" xfId="42174"/>
    <cellStyle name="Separador de milhares 3 13 2 2 6 2 2 5" xfId="36266"/>
    <cellStyle name="Separador de milhares 3 13 2 2 6 2 3" xfId="25978"/>
    <cellStyle name="Separador de milhares 3 13 2 2 6 2 3 2" xfId="51045"/>
    <cellStyle name="Separador de milhares 3 13 2 2 6 2 4" xfId="20064"/>
    <cellStyle name="Separador de milhares 3 13 2 2 6 2 4 2" xfId="45131"/>
    <cellStyle name="Separador de milhares 3 13 2 2 6 2 5" xfId="13966"/>
    <cellStyle name="Separador de milhares 3 13 2 2 6 2 5 2" xfId="39220"/>
    <cellStyle name="Separador de milhares 3 13 2 2 6 2 6" xfId="33309"/>
    <cellStyle name="Separador de milhares 3 13 2 2 6 3" xfId="9253"/>
    <cellStyle name="Separador de milhares 3 13 2 2 6 3 2" xfId="27467"/>
    <cellStyle name="Separador de milhares 3 13 2 2 6 3 2 2" xfId="52534"/>
    <cellStyle name="Separador de milhares 3 13 2 2 6 3 3" xfId="21553"/>
    <cellStyle name="Separador de milhares 3 13 2 2 6 3 3 2" xfId="46620"/>
    <cellStyle name="Separador de milhares 3 13 2 2 6 3 4" xfId="15639"/>
    <cellStyle name="Separador de milhares 3 13 2 2 6 3 4 2" xfId="40706"/>
    <cellStyle name="Separador de milhares 3 13 2 2 6 3 5" xfId="34798"/>
    <cellStyle name="Separador de milhares 3 13 2 2 6 4" xfId="5878"/>
    <cellStyle name="Separador de milhares 3 13 2 2 6 4 2" xfId="24510"/>
    <cellStyle name="Separador de milhares 3 13 2 2 6 4 2 2" xfId="49577"/>
    <cellStyle name="Separador de milhares 3 13 2 2 6 4 3" xfId="31841"/>
    <cellStyle name="Separador de milhares 3 13 2 2 6 5" xfId="18596"/>
    <cellStyle name="Separador de milhares 3 13 2 2 6 5 2" xfId="43663"/>
    <cellStyle name="Separador de milhares 3 13 2 2 6 6" xfId="12265"/>
    <cellStyle name="Separador de milhares 3 13 2 2 6 6 2" xfId="37752"/>
    <cellStyle name="Separador de milhares 3 13 2 2 6 7" xfId="30371"/>
    <cellStyle name="Separador de milhares 3 13 2 2 7" xfId="6548"/>
    <cellStyle name="Separador de milhares 3 13 2 2 7 2" xfId="9695"/>
    <cellStyle name="Separador de milhares 3 13 2 2 7 2 2" xfId="27909"/>
    <cellStyle name="Separador de milhares 3 13 2 2 7 2 2 2" xfId="52976"/>
    <cellStyle name="Separador de milhares 3 13 2 2 7 2 3" xfId="21995"/>
    <cellStyle name="Separador de milhares 3 13 2 2 7 2 3 2" xfId="47062"/>
    <cellStyle name="Separador de milhares 3 13 2 2 7 2 4" xfId="16081"/>
    <cellStyle name="Separador de milhares 3 13 2 2 7 2 4 2" xfId="41148"/>
    <cellStyle name="Separador de milhares 3 13 2 2 7 2 5" xfId="35240"/>
    <cellStyle name="Separador de milhares 3 13 2 2 7 3" xfId="24952"/>
    <cellStyle name="Separador de milhares 3 13 2 2 7 3 2" xfId="50019"/>
    <cellStyle name="Separador de milhares 3 13 2 2 7 4" xfId="19038"/>
    <cellStyle name="Separador de milhares 3 13 2 2 7 4 2" xfId="44105"/>
    <cellStyle name="Separador de milhares 3 13 2 2 7 5" xfId="12937"/>
    <cellStyle name="Separador de milhares 3 13 2 2 7 5 2" xfId="38194"/>
    <cellStyle name="Separador de milhares 3 13 2 2 7 6" xfId="32283"/>
    <cellStyle name="Separador de milhares 3 13 2 2 8" xfId="8224"/>
    <cellStyle name="Separador de milhares 3 13 2 2 8 2" xfId="26438"/>
    <cellStyle name="Separador de milhares 3 13 2 2 8 2 2" xfId="51505"/>
    <cellStyle name="Separador de milhares 3 13 2 2 8 3" xfId="20524"/>
    <cellStyle name="Separador de milhares 3 13 2 2 8 3 2" xfId="45591"/>
    <cellStyle name="Separador de milhares 3 13 2 2 8 4" xfId="14613"/>
    <cellStyle name="Separador de milhares 3 13 2 2 8 4 2" xfId="39680"/>
    <cellStyle name="Separador de milhares 3 13 2 2 8 5" xfId="33769"/>
    <cellStyle name="Separador de milhares 3 13 2 2 9" xfId="4847"/>
    <cellStyle name="Separador de milhares 3 13 2 2 9 2" xfId="23481"/>
    <cellStyle name="Separador de milhares 3 13 2 2 9 2 2" xfId="48548"/>
    <cellStyle name="Separador de milhares 3 13 2 2 9 3" xfId="30813"/>
    <cellStyle name="Separador de milhares 3 13 2 3" xfId="950"/>
    <cellStyle name="Separador de milhares 3 13 2 3 2" xfId="6699"/>
    <cellStyle name="Separador de milhares 3 13 2 3 2 2" xfId="9846"/>
    <cellStyle name="Separador de milhares 3 13 2 3 2 2 2" xfId="28060"/>
    <cellStyle name="Separador de milhares 3 13 2 3 2 2 2 2" xfId="53127"/>
    <cellStyle name="Separador de milhares 3 13 2 3 2 2 3" xfId="22146"/>
    <cellStyle name="Separador de milhares 3 13 2 3 2 2 3 2" xfId="47213"/>
    <cellStyle name="Separador de milhares 3 13 2 3 2 2 4" xfId="16232"/>
    <cellStyle name="Separador de milhares 3 13 2 3 2 2 4 2" xfId="41299"/>
    <cellStyle name="Separador de milhares 3 13 2 3 2 2 5" xfId="35391"/>
    <cellStyle name="Separador de milhares 3 13 2 3 2 3" xfId="25103"/>
    <cellStyle name="Separador de milhares 3 13 2 3 2 3 2" xfId="50170"/>
    <cellStyle name="Separador de milhares 3 13 2 3 2 4" xfId="19189"/>
    <cellStyle name="Separador de milhares 3 13 2 3 2 4 2" xfId="44256"/>
    <cellStyle name="Separador de milhares 3 13 2 3 2 5" xfId="13088"/>
    <cellStyle name="Separador de milhares 3 13 2 3 2 5 2" xfId="38345"/>
    <cellStyle name="Separador de milhares 3 13 2 3 2 6" xfId="32434"/>
    <cellStyle name="Separador de milhares 3 13 2 3 3" xfId="8378"/>
    <cellStyle name="Separador de milhares 3 13 2 3 3 2" xfId="26592"/>
    <cellStyle name="Separador de milhares 3 13 2 3 3 2 2" xfId="51659"/>
    <cellStyle name="Separador de milhares 3 13 2 3 3 3" xfId="20678"/>
    <cellStyle name="Separador de milhares 3 13 2 3 3 3 2" xfId="45745"/>
    <cellStyle name="Separador de milhares 3 13 2 3 3 4" xfId="14764"/>
    <cellStyle name="Separador de milhares 3 13 2 3 3 4 2" xfId="39831"/>
    <cellStyle name="Separador de milhares 3 13 2 3 3 5" xfId="33923"/>
    <cellStyle name="Separador de milhares 3 13 2 3 4" xfId="5000"/>
    <cellStyle name="Separador de milhares 3 13 2 3 4 2" xfId="23635"/>
    <cellStyle name="Separador de milhares 3 13 2 3 4 2 2" xfId="48702"/>
    <cellStyle name="Separador de milhares 3 13 2 3 4 3" xfId="30966"/>
    <cellStyle name="Separador de milhares 3 13 2 3 5" xfId="17721"/>
    <cellStyle name="Separador de milhares 3 13 2 3 5 2" xfId="42788"/>
    <cellStyle name="Separador de milhares 3 13 2 3 6" xfId="11387"/>
    <cellStyle name="Separador de milhares 3 13 2 3 6 2" xfId="36877"/>
    <cellStyle name="Separador de milhares 3 13 2 3 7" xfId="29496"/>
    <cellStyle name="Separador de milhares 3 13 2 4" xfId="1301"/>
    <cellStyle name="Separador de milhares 3 13 2 4 2" xfId="6797"/>
    <cellStyle name="Separador de milhares 3 13 2 4 2 2" xfId="9944"/>
    <cellStyle name="Separador de milhares 3 13 2 4 2 2 2" xfId="28158"/>
    <cellStyle name="Separador de milhares 3 13 2 4 2 2 2 2" xfId="53225"/>
    <cellStyle name="Separador de milhares 3 13 2 4 2 2 3" xfId="22244"/>
    <cellStyle name="Separador de milhares 3 13 2 4 2 2 3 2" xfId="47311"/>
    <cellStyle name="Separador de milhares 3 13 2 4 2 2 4" xfId="16330"/>
    <cellStyle name="Separador de milhares 3 13 2 4 2 2 4 2" xfId="41397"/>
    <cellStyle name="Separador de milhares 3 13 2 4 2 2 5" xfId="35489"/>
    <cellStyle name="Separador de milhares 3 13 2 4 2 3" xfId="25201"/>
    <cellStyle name="Separador de milhares 3 13 2 4 2 3 2" xfId="50268"/>
    <cellStyle name="Separador de milhares 3 13 2 4 2 4" xfId="19287"/>
    <cellStyle name="Separador de milhares 3 13 2 4 2 4 2" xfId="44354"/>
    <cellStyle name="Separador de milhares 3 13 2 4 2 5" xfId="13186"/>
    <cellStyle name="Separador de milhares 3 13 2 4 2 5 2" xfId="38443"/>
    <cellStyle name="Separador de milhares 3 13 2 4 2 6" xfId="32532"/>
    <cellStyle name="Separador de milhares 3 13 2 4 3" xfId="8476"/>
    <cellStyle name="Separador de milhares 3 13 2 4 3 2" xfId="26690"/>
    <cellStyle name="Separador de milhares 3 13 2 4 3 2 2" xfId="51757"/>
    <cellStyle name="Separador de milhares 3 13 2 4 3 3" xfId="20776"/>
    <cellStyle name="Separador de milhares 3 13 2 4 3 3 2" xfId="45843"/>
    <cellStyle name="Separador de milhares 3 13 2 4 3 4" xfId="14862"/>
    <cellStyle name="Separador de milhares 3 13 2 4 3 4 2" xfId="39929"/>
    <cellStyle name="Separador de milhares 3 13 2 4 3 5" xfId="34021"/>
    <cellStyle name="Separador de milhares 3 13 2 4 4" xfId="5098"/>
    <cellStyle name="Separador de milhares 3 13 2 4 4 2" xfId="23733"/>
    <cellStyle name="Separador de milhares 3 13 2 4 4 2 2" xfId="48800"/>
    <cellStyle name="Separador de milhares 3 13 2 4 4 3" xfId="31064"/>
    <cellStyle name="Separador de milhares 3 13 2 4 5" xfId="17819"/>
    <cellStyle name="Separador de milhares 3 13 2 4 5 2" xfId="42886"/>
    <cellStyle name="Separador de milhares 3 13 2 4 6" xfId="11485"/>
    <cellStyle name="Separador de milhares 3 13 2 4 6 2" xfId="36975"/>
    <cellStyle name="Separador de milhares 3 13 2 4 7" xfId="29594"/>
    <cellStyle name="Separador de milhares 3 13 2 5" xfId="1736"/>
    <cellStyle name="Separador de milhares 3 13 2 5 2" xfId="6916"/>
    <cellStyle name="Separador de milhares 3 13 2 5 2 2" xfId="10063"/>
    <cellStyle name="Separador de milhares 3 13 2 5 2 2 2" xfId="28277"/>
    <cellStyle name="Separador de milhares 3 13 2 5 2 2 2 2" xfId="53344"/>
    <cellStyle name="Separador de milhares 3 13 2 5 2 2 3" xfId="22363"/>
    <cellStyle name="Separador de milhares 3 13 2 5 2 2 3 2" xfId="47430"/>
    <cellStyle name="Separador de milhares 3 13 2 5 2 2 4" xfId="16449"/>
    <cellStyle name="Separador de milhares 3 13 2 5 2 2 4 2" xfId="41516"/>
    <cellStyle name="Separador de milhares 3 13 2 5 2 2 5" xfId="35608"/>
    <cellStyle name="Separador de milhares 3 13 2 5 2 3" xfId="25320"/>
    <cellStyle name="Separador de milhares 3 13 2 5 2 3 2" xfId="50387"/>
    <cellStyle name="Separador de milhares 3 13 2 5 2 4" xfId="19406"/>
    <cellStyle name="Separador de milhares 3 13 2 5 2 4 2" xfId="44473"/>
    <cellStyle name="Separador de milhares 3 13 2 5 2 5" xfId="13305"/>
    <cellStyle name="Separador de milhares 3 13 2 5 2 5 2" xfId="38562"/>
    <cellStyle name="Separador de milhares 3 13 2 5 2 6" xfId="32651"/>
    <cellStyle name="Separador de milhares 3 13 2 5 3" xfId="8595"/>
    <cellStyle name="Separador de milhares 3 13 2 5 3 2" xfId="26809"/>
    <cellStyle name="Separador de milhares 3 13 2 5 3 2 2" xfId="51876"/>
    <cellStyle name="Separador de milhares 3 13 2 5 3 3" xfId="20895"/>
    <cellStyle name="Separador de milhares 3 13 2 5 3 3 2" xfId="45962"/>
    <cellStyle name="Separador de milhares 3 13 2 5 3 4" xfId="14981"/>
    <cellStyle name="Separador de milhares 3 13 2 5 3 4 2" xfId="40048"/>
    <cellStyle name="Separador de milhares 3 13 2 5 3 5" xfId="34140"/>
    <cellStyle name="Separador de milhares 3 13 2 5 4" xfId="5217"/>
    <cellStyle name="Separador de milhares 3 13 2 5 4 2" xfId="23852"/>
    <cellStyle name="Separador de milhares 3 13 2 5 4 2 2" xfId="48919"/>
    <cellStyle name="Separador de milhares 3 13 2 5 4 3" xfId="31183"/>
    <cellStyle name="Separador de milhares 3 13 2 5 5" xfId="17938"/>
    <cellStyle name="Separador de milhares 3 13 2 5 5 2" xfId="43005"/>
    <cellStyle name="Separador de milhares 3 13 2 5 6" xfId="11604"/>
    <cellStyle name="Separador de milhares 3 13 2 5 6 2" xfId="37094"/>
    <cellStyle name="Separador de milhares 3 13 2 5 7" xfId="29713"/>
    <cellStyle name="Separador de milhares 3 13 2 6" xfId="2266"/>
    <cellStyle name="Separador de milhares 3 13 2 6 2" xfId="7066"/>
    <cellStyle name="Separador de milhares 3 13 2 6 2 2" xfId="10210"/>
    <cellStyle name="Separador de milhares 3 13 2 6 2 2 2" xfId="28424"/>
    <cellStyle name="Separador de milhares 3 13 2 6 2 2 2 2" xfId="53491"/>
    <cellStyle name="Separador de milhares 3 13 2 6 2 2 3" xfId="22510"/>
    <cellStyle name="Separador de milhares 3 13 2 6 2 2 3 2" xfId="47577"/>
    <cellStyle name="Separador de milhares 3 13 2 6 2 2 4" xfId="16596"/>
    <cellStyle name="Separador de milhares 3 13 2 6 2 2 4 2" xfId="41663"/>
    <cellStyle name="Separador de milhares 3 13 2 6 2 2 5" xfId="35755"/>
    <cellStyle name="Separador de milhares 3 13 2 6 2 3" xfId="25467"/>
    <cellStyle name="Separador de milhares 3 13 2 6 2 3 2" xfId="50534"/>
    <cellStyle name="Separador de milhares 3 13 2 6 2 4" xfId="19553"/>
    <cellStyle name="Separador de milhares 3 13 2 6 2 4 2" xfId="44620"/>
    <cellStyle name="Separador de milhares 3 13 2 6 2 5" xfId="13455"/>
    <cellStyle name="Separador de milhares 3 13 2 6 2 5 2" xfId="38709"/>
    <cellStyle name="Separador de milhares 3 13 2 6 2 6" xfId="32798"/>
    <cellStyle name="Separador de milhares 3 13 2 6 3" xfId="8742"/>
    <cellStyle name="Separador de milhares 3 13 2 6 3 2" xfId="26956"/>
    <cellStyle name="Separador de milhares 3 13 2 6 3 2 2" xfId="52023"/>
    <cellStyle name="Separador de milhares 3 13 2 6 3 3" xfId="21042"/>
    <cellStyle name="Separador de milhares 3 13 2 6 3 3 2" xfId="46109"/>
    <cellStyle name="Separador de milhares 3 13 2 6 3 4" xfId="15128"/>
    <cellStyle name="Separador de milhares 3 13 2 6 3 4 2" xfId="40195"/>
    <cellStyle name="Separador de milhares 3 13 2 6 3 5" xfId="34287"/>
    <cellStyle name="Separador de milhares 3 13 2 6 4" xfId="5367"/>
    <cellStyle name="Separador de milhares 3 13 2 6 4 2" xfId="23999"/>
    <cellStyle name="Separador de milhares 3 13 2 6 4 2 2" xfId="49066"/>
    <cellStyle name="Separador de milhares 3 13 2 6 4 3" xfId="31330"/>
    <cellStyle name="Separador de milhares 3 13 2 6 5" xfId="18085"/>
    <cellStyle name="Separador de milhares 3 13 2 6 5 2" xfId="43152"/>
    <cellStyle name="Separador de milhares 3 13 2 6 6" xfId="11754"/>
    <cellStyle name="Separador de milhares 3 13 2 6 6 2" xfId="37241"/>
    <cellStyle name="Separador de milhares 3 13 2 6 7" xfId="29860"/>
    <cellStyle name="Separador de milhares 3 13 2 7" xfId="2793"/>
    <cellStyle name="Separador de milhares 3 13 2 7 2" xfId="7213"/>
    <cellStyle name="Separador de milhares 3 13 2 7 2 2" xfId="10357"/>
    <cellStyle name="Separador de milhares 3 13 2 7 2 2 2" xfId="28571"/>
    <cellStyle name="Separador de milhares 3 13 2 7 2 2 2 2" xfId="53638"/>
    <cellStyle name="Separador de milhares 3 13 2 7 2 2 3" xfId="22657"/>
    <cellStyle name="Separador de milhares 3 13 2 7 2 2 3 2" xfId="47724"/>
    <cellStyle name="Separador de milhares 3 13 2 7 2 2 4" xfId="16743"/>
    <cellStyle name="Separador de milhares 3 13 2 7 2 2 4 2" xfId="41810"/>
    <cellStyle name="Separador de milhares 3 13 2 7 2 2 5" xfId="35902"/>
    <cellStyle name="Separador de milhares 3 13 2 7 2 3" xfId="25614"/>
    <cellStyle name="Separador de milhares 3 13 2 7 2 3 2" xfId="50681"/>
    <cellStyle name="Separador de milhares 3 13 2 7 2 4" xfId="19700"/>
    <cellStyle name="Separador de milhares 3 13 2 7 2 4 2" xfId="44767"/>
    <cellStyle name="Separador de milhares 3 13 2 7 2 5" xfId="13602"/>
    <cellStyle name="Separador de milhares 3 13 2 7 2 5 2" xfId="38856"/>
    <cellStyle name="Separador de milhares 3 13 2 7 2 6" xfId="32945"/>
    <cellStyle name="Separador de milhares 3 13 2 7 3" xfId="8889"/>
    <cellStyle name="Separador de milhares 3 13 2 7 3 2" xfId="27103"/>
    <cellStyle name="Separador de milhares 3 13 2 7 3 2 2" xfId="52170"/>
    <cellStyle name="Separador de milhares 3 13 2 7 3 3" xfId="21189"/>
    <cellStyle name="Separador de milhares 3 13 2 7 3 3 2" xfId="46256"/>
    <cellStyle name="Separador de milhares 3 13 2 7 3 4" xfId="15275"/>
    <cellStyle name="Separador de milhares 3 13 2 7 3 4 2" xfId="40342"/>
    <cellStyle name="Separador de milhares 3 13 2 7 3 5" xfId="34434"/>
    <cellStyle name="Separador de milhares 3 13 2 7 4" xfId="5514"/>
    <cellStyle name="Separador de milhares 3 13 2 7 4 2" xfId="24146"/>
    <cellStyle name="Separador de milhares 3 13 2 7 4 2 2" xfId="49213"/>
    <cellStyle name="Separador de milhares 3 13 2 7 4 3" xfId="31477"/>
    <cellStyle name="Separador de milhares 3 13 2 7 5" xfId="18232"/>
    <cellStyle name="Separador de milhares 3 13 2 7 5 2" xfId="43299"/>
    <cellStyle name="Separador de milhares 3 13 2 7 6" xfId="11901"/>
    <cellStyle name="Separador de milhares 3 13 2 7 6 2" xfId="37388"/>
    <cellStyle name="Separador de milhares 3 13 2 7 7" xfId="30007"/>
    <cellStyle name="Separador de milhares 3 13 2 8" xfId="3320"/>
    <cellStyle name="Separador de milhares 3 13 2 8 2" xfId="7360"/>
    <cellStyle name="Separador de milhares 3 13 2 8 2 2" xfId="10504"/>
    <cellStyle name="Separador de milhares 3 13 2 8 2 2 2" xfId="28718"/>
    <cellStyle name="Separador de milhares 3 13 2 8 2 2 2 2" xfId="53785"/>
    <cellStyle name="Separador de milhares 3 13 2 8 2 2 3" xfId="22804"/>
    <cellStyle name="Separador de milhares 3 13 2 8 2 2 3 2" xfId="47871"/>
    <cellStyle name="Separador de milhares 3 13 2 8 2 2 4" xfId="16890"/>
    <cellStyle name="Separador de milhares 3 13 2 8 2 2 4 2" xfId="41957"/>
    <cellStyle name="Separador de milhares 3 13 2 8 2 2 5" xfId="36049"/>
    <cellStyle name="Separador de milhares 3 13 2 8 2 3" xfId="25761"/>
    <cellStyle name="Separador de milhares 3 13 2 8 2 3 2" xfId="50828"/>
    <cellStyle name="Separador de milhares 3 13 2 8 2 4" xfId="19847"/>
    <cellStyle name="Separador de milhares 3 13 2 8 2 4 2" xfId="44914"/>
    <cellStyle name="Separador de milhares 3 13 2 8 2 5" xfId="13749"/>
    <cellStyle name="Separador de milhares 3 13 2 8 2 5 2" xfId="39003"/>
    <cellStyle name="Separador de milhares 3 13 2 8 2 6" xfId="33092"/>
    <cellStyle name="Separador de milhares 3 13 2 8 3" xfId="9036"/>
    <cellStyle name="Separador de milhares 3 13 2 8 3 2" xfId="27250"/>
    <cellStyle name="Separador de milhares 3 13 2 8 3 2 2" xfId="52317"/>
    <cellStyle name="Separador de milhares 3 13 2 8 3 3" xfId="21336"/>
    <cellStyle name="Separador de milhares 3 13 2 8 3 3 2" xfId="46403"/>
    <cellStyle name="Separador de milhares 3 13 2 8 3 4" xfId="15422"/>
    <cellStyle name="Separador de milhares 3 13 2 8 3 4 2" xfId="40489"/>
    <cellStyle name="Separador de milhares 3 13 2 8 3 5" xfId="34581"/>
    <cellStyle name="Separador de milhares 3 13 2 8 4" xfId="5661"/>
    <cellStyle name="Separador de milhares 3 13 2 8 4 2" xfId="24293"/>
    <cellStyle name="Separador de milhares 3 13 2 8 4 2 2" xfId="49360"/>
    <cellStyle name="Separador de milhares 3 13 2 8 4 3" xfId="31624"/>
    <cellStyle name="Separador de milhares 3 13 2 8 5" xfId="18379"/>
    <cellStyle name="Separador de milhares 3 13 2 8 5 2" xfId="43446"/>
    <cellStyle name="Separador de milhares 3 13 2 8 6" xfId="12048"/>
    <cellStyle name="Separador de milhares 3 13 2 8 6 2" xfId="37535"/>
    <cellStyle name="Separador de milhares 3 13 2 8 7" xfId="30154"/>
    <cellStyle name="Separador de milhares 3 13 2 9" xfId="3847"/>
    <cellStyle name="Separador de milhares 3 13 2 9 2" xfId="7507"/>
    <cellStyle name="Separador de milhares 3 13 2 9 2 2" xfId="10651"/>
    <cellStyle name="Separador de milhares 3 13 2 9 2 2 2" xfId="28865"/>
    <cellStyle name="Separador de milhares 3 13 2 9 2 2 2 2" xfId="53932"/>
    <cellStyle name="Separador de milhares 3 13 2 9 2 2 3" xfId="22951"/>
    <cellStyle name="Separador de milhares 3 13 2 9 2 2 3 2" xfId="48018"/>
    <cellStyle name="Separador de milhares 3 13 2 9 2 2 4" xfId="17037"/>
    <cellStyle name="Separador de milhares 3 13 2 9 2 2 4 2" xfId="42104"/>
    <cellStyle name="Separador de milhares 3 13 2 9 2 2 5" xfId="36196"/>
    <cellStyle name="Separador de milhares 3 13 2 9 2 3" xfId="25908"/>
    <cellStyle name="Separador de milhares 3 13 2 9 2 3 2" xfId="50975"/>
    <cellStyle name="Separador de milhares 3 13 2 9 2 4" xfId="19994"/>
    <cellStyle name="Separador de milhares 3 13 2 9 2 4 2" xfId="45061"/>
    <cellStyle name="Separador de milhares 3 13 2 9 2 5" xfId="13896"/>
    <cellStyle name="Separador de milhares 3 13 2 9 2 5 2" xfId="39150"/>
    <cellStyle name="Separador de milhares 3 13 2 9 2 6" xfId="33239"/>
    <cellStyle name="Separador de milhares 3 13 2 9 3" xfId="9183"/>
    <cellStyle name="Separador de milhares 3 13 2 9 3 2" xfId="27397"/>
    <cellStyle name="Separador de milhares 3 13 2 9 3 2 2" xfId="52464"/>
    <cellStyle name="Separador de milhares 3 13 2 9 3 3" xfId="21483"/>
    <cellStyle name="Separador de milhares 3 13 2 9 3 3 2" xfId="46550"/>
    <cellStyle name="Separador de milhares 3 13 2 9 3 4" xfId="15569"/>
    <cellStyle name="Separador de milhares 3 13 2 9 3 4 2" xfId="40636"/>
    <cellStyle name="Separador de milhares 3 13 2 9 3 5" xfId="34728"/>
    <cellStyle name="Separador de milhares 3 13 2 9 4" xfId="5808"/>
    <cellStyle name="Separador de milhares 3 13 2 9 4 2" xfId="24440"/>
    <cellStyle name="Separador de milhares 3 13 2 9 4 2 2" xfId="49507"/>
    <cellStyle name="Separador de milhares 3 13 2 9 4 3" xfId="31771"/>
    <cellStyle name="Separador de milhares 3 13 2 9 5" xfId="18526"/>
    <cellStyle name="Separador de milhares 3 13 2 9 5 2" xfId="43593"/>
    <cellStyle name="Separador de milhares 3 13 2 9 6" xfId="12195"/>
    <cellStyle name="Separador de milhares 3 13 2 9 6 2" xfId="37682"/>
    <cellStyle name="Separador de milhares 3 13 2 9 7" xfId="30301"/>
    <cellStyle name="Separador de milhares 3 13 3" xfId="299"/>
    <cellStyle name="Separador de milhares 3 13 3 10" xfId="6498"/>
    <cellStyle name="Separador de milhares 3 13 3 10 2" xfId="9649"/>
    <cellStyle name="Separador de milhares 3 13 3 10 2 2" xfId="27863"/>
    <cellStyle name="Separador de milhares 3 13 3 10 2 2 2" xfId="52930"/>
    <cellStyle name="Separador de milhares 3 13 3 10 2 3" xfId="21949"/>
    <cellStyle name="Separador de milhares 3 13 3 10 2 3 2" xfId="47016"/>
    <cellStyle name="Separador de milhares 3 13 3 10 2 4" xfId="16035"/>
    <cellStyle name="Separador de milhares 3 13 3 10 2 4 2" xfId="41102"/>
    <cellStyle name="Separador de milhares 3 13 3 10 2 5" xfId="35194"/>
    <cellStyle name="Separador de milhares 3 13 3 10 3" xfId="24906"/>
    <cellStyle name="Separador de milhares 3 13 3 10 3 2" xfId="49973"/>
    <cellStyle name="Separador de milhares 3 13 3 10 4" xfId="18992"/>
    <cellStyle name="Separador de milhares 3 13 3 10 4 2" xfId="44059"/>
    <cellStyle name="Separador de milhares 3 13 3 10 5" xfId="12887"/>
    <cellStyle name="Separador de milhares 3 13 3 10 5 2" xfId="38148"/>
    <cellStyle name="Separador de milhares 3 13 3 10 6" xfId="32237"/>
    <cellStyle name="Separador de milhares 3 13 3 11" xfId="8178"/>
    <cellStyle name="Separador de milhares 3 13 3 11 2" xfId="26392"/>
    <cellStyle name="Separador de milhares 3 13 3 11 2 2" xfId="51459"/>
    <cellStyle name="Separador de milhares 3 13 3 11 3" xfId="20478"/>
    <cellStyle name="Separador de milhares 3 13 3 11 3 2" xfId="45545"/>
    <cellStyle name="Separador de milhares 3 13 3 11 4" xfId="14567"/>
    <cellStyle name="Separador de milhares 3 13 3 11 4 2" xfId="39634"/>
    <cellStyle name="Separador de milhares 3 13 3 11 5" xfId="33723"/>
    <cellStyle name="Separador de milhares 3 13 3 12" xfId="4797"/>
    <cellStyle name="Separador de milhares 3 13 3 12 2" xfId="23435"/>
    <cellStyle name="Separador de milhares 3 13 3 12 2 2" xfId="48502"/>
    <cellStyle name="Separador de milhares 3 13 3 12 3" xfId="30767"/>
    <cellStyle name="Separador de milhares 3 13 3 13" xfId="17521"/>
    <cellStyle name="Separador de milhares 3 13 3 13 2" xfId="42588"/>
    <cellStyle name="Separador de milhares 3 13 3 14" xfId="11186"/>
    <cellStyle name="Separador de milhares 3 13 3 14 2" xfId="36680"/>
    <cellStyle name="Separador de milhares 3 13 3 15" xfId="29296"/>
    <cellStyle name="Separador de milhares 3 13 3 2" xfId="562"/>
    <cellStyle name="Separador de milhares 3 13 3 2 2" xfId="6569"/>
    <cellStyle name="Separador de milhares 3 13 3 2 2 2" xfId="9716"/>
    <cellStyle name="Separador de milhares 3 13 3 2 2 2 2" xfId="27930"/>
    <cellStyle name="Separador de milhares 3 13 3 2 2 2 2 2" xfId="52997"/>
    <cellStyle name="Separador de milhares 3 13 3 2 2 2 3" xfId="22016"/>
    <cellStyle name="Separador de milhares 3 13 3 2 2 2 3 2" xfId="47083"/>
    <cellStyle name="Separador de milhares 3 13 3 2 2 2 4" xfId="16102"/>
    <cellStyle name="Separador de milhares 3 13 3 2 2 2 4 2" xfId="41169"/>
    <cellStyle name="Separador de milhares 3 13 3 2 2 2 5" xfId="35261"/>
    <cellStyle name="Separador de milhares 3 13 3 2 2 3" xfId="24973"/>
    <cellStyle name="Separador de milhares 3 13 3 2 2 3 2" xfId="50040"/>
    <cellStyle name="Separador de milhares 3 13 3 2 2 4" xfId="19059"/>
    <cellStyle name="Separador de milhares 3 13 3 2 2 4 2" xfId="44126"/>
    <cellStyle name="Separador de milhares 3 13 3 2 2 5" xfId="12958"/>
    <cellStyle name="Separador de milhares 3 13 3 2 2 5 2" xfId="38215"/>
    <cellStyle name="Separador de milhares 3 13 3 2 2 6" xfId="32304"/>
    <cellStyle name="Separador de milhares 3 13 3 2 3" xfId="8245"/>
    <cellStyle name="Separador de milhares 3 13 3 2 3 2" xfId="26459"/>
    <cellStyle name="Separador de milhares 3 13 3 2 3 2 2" xfId="51526"/>
    <cellStyle name="Separador de milhares 3 13 3 2 3 3" xfId="20545"/>
    <cellStyle name="Separador de milhares 3 13 3 2 3 3 2" xfId="45612"/>
    <cellStyle name="Separador de milhares 3 13 3 2 3 4" xfId="14634"/>
    <cellStyle name="Separador de milhares 3 13 3 2 3 4 2" xfId="39701"/>
    <cellStyle name="Separador de milhares 3 13 3 2 3 5" xfId="33790"/>
    <cellStyle name="Separador de milhares 3 13 3 2 4" xfId="4868"/>
    <cellStyle name="Separador de milhares 3 13 3 2 4 2" xfId="23502"/>
    <cellStyle name="Separador de milhares 3 13 3 2 4 2 2" xfId="48569"/>
    <cellStyle name="Separador de milhares 3 13 3 2 4 3" xfId="30834"/>
    <cellStyle name="Separador de milhares 3 13 3 2 5" xfId="17588"/>
    <cellStyle name="Separador de milhares 3 13 3 2 5 2" xfId="42655"/>
    <cellStyle name="Separador de milhares 3 13 3 2 6" xfId="11257"/>
    <cellStyle name="Separador de milhares 3 13 3 2 6 2" xfId="36747"/>
    <cellStyle name="Separador de milhares 3 13 3 2 7" xfId="29363"/>
    <cellStyle name="Separador de milhares 3 13 3 3" xfId="859"/>
    <cellStyle name="Separador de milhares 3 13 3 3 2" xfId="6671"/>
    <cellStyle name="Separador de milhares 3 13 3 3 2 2" xfId="9818"/>
    <cellStyle name="Separador de milhares 3 13 3 3 2 2 2" xfId="28032"/>
    <cellStyle name="Separador de milhares 3 13 3 3 2 2 2 2" xfId="53099"/>
    <cellStyle name="Separador de milhares 3 13 3 3 2 2 3" xfId="22118"/>
    <cellStyle name="Separador de milhares 3 13 3 3 2 2 3 2" xfId="47185"/>
    <cellStyle name="Separador de milhares 3 13 3 3 2 2 4" xfId="16204"/>
    <cellStyle name="Separador de milhares 3 13 3 3 2 2 4 2" xfId="41271"/>
    <cellStyle name="Separador de milhares 3 13 3 3 2 2 5" xfId="35363"/>
    <cellStyle name="Separador de milhares 3 13 3 3 2 3" xfId="25075"/>
    <cellStyle name="Separador de milhares 3 13 3 3 2 3 2" xfId="50142"/>
    <cellStyle name="Separador de milhares 3 13 3 3 2 4" xfId="19161"/>
    <cellStyle name="Separador de milhares 3 13 3 3 2 4 2" xfId="44228"/>
    <cellStyle name="Separador de milhares 3 13 3 3 2 5" xfId="13060"/>
    <cellStyle name="Separador de milhares 3 13 3 3 2 5 2" xfId="38317"/>
    <cellStyle name="Separador de milhares 3 13 3 3 2 6" xfId="32406"/>
    <cellStyle name="Separador de milhares 3 13 3 3 3" xfId="8350"/>
    <cellStyle name="Separador de milhares 3 13 3 3 3 2" xfId="26564"/>
    <cellStyle name="Separador de milhares 3 13 3 3 3 2 2" xfId="51631"/>
    <cellStyle name="Separador de milhares 3 13 3 3 3 3" xfId="20650"/>
    <cellStyle name="Separador de milhares 3 13 3 3 3 3 2" xfId="45717"/>
    <cellStyle name="Separador de milhares 3 13 3 3 3 4" xfId="14736"/>
    <cellStyle name="Separador de milhares 3 13 3 3 3 4 2" xfId="39803"/>
    <cellStyle name="Separador de milhares 3 13 3 3 3 5" xfId="33895"/>
    <cellStyle name="Separador de milhares 3 13 3 3 4" xfId="4972"/>
    <cellStyle name="Separador de milhares 3 13 3 3 4 2" xfId="23607"/>
    <cellStyle name="Separador de milhares 3 13 3 3 4 2 2" xfId="48674"/>
    <cellStyle name="Separador de milhares 3 13 3 3 4 3" xfId="30938"/>
    <cellStyle name="Separador de milhares 3 13 3 3 5" xfId="17693"/>
    <cellStyle name="Separador de milhares 3 13 3 3 5 2" xfId="42760"/>
    <cellStyle name="Separador de milhares 3 13 3 3 6" xfId="11359"/>
    <cellStyle name="Separador de milhares 3 13 3 3 6 2" xfId="36849"/>
    <cellStyle name="Separador de milhares 3 13 3 3 7" xfId="29468"/>
    <cellStyle name="Separador de milhares 3 13 3 4" xfId="1210"/>
    <cellStyle name="Separador de milhares 3 13 3 4 2" xfId="6769"/>
    <cellStyle name="Separador de milhares 3 13 3 4 2 2" xfId="9916"/>
    <cellStyle name="Separador de milhares 3 13 3 4 2 2 2" xfId="28130"/>
    <cellStyle name="Separador de milhares 3 13 3 4 2 2 2 2" xfId="53197"/>
    <cellStyle name="Separador de milhares 3 13 3 4 2 2 3" xfId="22216"/>
    <cellStyle name="Separador de milhares 3 13 3 4 2 2 3 2" xfId="47283"/>
    <cellStyle name="Separador de milhares 3 13 3 4 2 2 4" xfId="16302"/>
    <cellStyle name="Separador de milhares 3 13 3 4 2 2 4 2" xfId="41369"/>
    <cellStyle name="Separador de milhares 3 13 3 4 2 2 5" xfId="35461"/>
    <cellStyle name="Separador de milhares 3 13 3 4 2 3" xfId="25173"/>
    <cellStyle name="Separador de milhares 3 13 3 4 2 3 2" xfId="50240"/>
    <cellStyle name="Separador de milhares 3 13 3 4 2 4" xfId="19259"/>
    <cellStyle name="Separador de milhares 3 13 3 4 2 4 2" xfId="44326"/>
    <cellStyle name="Separador de milhares 3 13 3 4 2 5" xfId="13158"/>
    <cellStyle name="Separador de milhares 3 13 3 4 2 5 2" xfId="38415"/>
    <cellStyle name="Separador de milhares 3 13 3 4 2 6" xfId="32504"/>
    <cellStyle name="Separador de milhares 3 13 3 4 3" xfId="8448"/>
    <cellStyle name="Separador de milhares 3 13 3 4 3 2" xfId="26662"/>
    <cellStyle name="Separador de milhares 3 13 3 4 3 2 2" xfId="51729"/>
    <cellStyle name="Separador de milhares 3 13 3 4 3 3" xfId="20748"/>
    <cellStyle name="Separador de milhares 3 13 3 4 3 3 2" xfId="45815"/>
    <cellStyle name="Separador de milhares 3 13 3 4 3 4" xfId="14834"/>
    <cellStyle name="Separador de milhares 3 13 3 4 3 4 2" xfId="39901"/>
    <cellStyle name="Separador de milhares 3 13 3 4 3 5" xfId="33993"/>
    <cellStyle name="Separador de milhares 3 13 3 4 4" xfId="5070"/>
    <cellStyle name="Separador de milhares 3 13 3 4 4 2" xfId="23705"/>
    <cellStyle name="Separador de milhares 3 13 3 4 4 2 2" xfId="48772"/>
    <cellStyle name="Separador de milhares 3 13 3 4 4 3" xfId="31036"/>
    <cellStyle name="Separador de milhares 3 13 3 4 5" xfId="17791"/>
    <cellStyle name="Separador de milhares 3 13 3 4 5 2" xfId="42858"/>
    <cellStyle name="Separador de milhares 3 13 3 4 6" xfId="11457"/>
    <cellStyle name="Separador de milhares 3 13 3 4 6 2" xfId="36947"/>
    <cellStyle name="Separador de milhares 3 13 3 4 7" xfId="29566"/>
    <cellStyle name="Separador de milhares 3 13 3 5" xfId="1645"/>
    <cellStyle name="Separador de milhares 3 13 3 5 2" xfId="6888"/>
    <cellStyle name="Separador de milhares 3 13 3 5 2 2" xfId="10035"/>
    <cellStyle name="Separador de milhares 3 13 3 5 2 2 2" xfId="28249"/>
    <cellStyle name="Separador de milhares 3 13 3 5 2 2 2 2" xfId="53316"/>
    <cellStyle name="Separador de milhares 3 13 3 5 2 2 3" xfId="22335"/>
    <cellStyle name="Separador de milhares 3 13 3 5 2 2 3 2" xfId="47402"/>
    <cellStyle name="Separador de milhares 3 13 3 5 2 2 4" xfId="16421"/>
    <cellStyle name="Separador de milhares 3 13 3 5 2 2 4 2" xfId="41488"/>
    <cellStyle name="Separador de milhares 3 13 3 5 2 2 5" xfId="35580"/>
    <cellStyle name="Separador de milhares 3 13 3 5 2 3" xfId="25292"/>
    <cellStyle name="Separador de milhares 3 13 3 5 2 3 2" xfId="50359"/>
    <cellStyle name="Separador de milhares 3 13 3 5 2 4" xfId="19378"/>
    <cellStyle name="Separador de milhares 3 13 3 5 2 4 2" xfId="44445"/>
    <cellStyle name="Separador de milhares 3 13 3 5 2 5" xfId="13277"/>
    <cellStyle name="Separador de milhares 3 13 3 5 2 5 2" xfId="38534"/>
    <cellStyle name="Separador de milhares 3 13 3 5 2 6" xfId="32623"/>
    <cellStyle name="Separador de milhares 3 13 3 5 3" xfId="8567"/>
    <cellStyle name="Separador de milhares 3 13 3 5 3 2" xfId="26781"/>
    <cellStyle name="Separador de milhares 3 13 3 5 3 2 2" xfId="51848"/>
    <cellStyle name="Separador de milhares 3 13 3 5 3 3" xfId="20867"/>
    <cellStyle name="Separador de milhares 3 13 3 5 3 3 2" xfId="45934"/>
    <cellStyle name="Separador de milhares 3 13 3 5 3 4" xfId="14953"/>
    <cellStyle name="Separador de milhares 3 13 3 5 3 4 2" xfId="40020"/>
    <cellStyle name="Separador de milhares 3 13 3 5 3 5" xfId="34112"/>
    <cellStyle name="Separador de milhares 3 13 3 5 4" xfId="5189"/>
    <cellStyle name="Separador de milhares 3 13 3 5 4 2" xfId="23824"/>
    <cellStyle name="Separador de milhares 3 13 3 5 4 2 2" xfId="48891"/>
    <cellStyle name="Separador de milhares 3 13 3 5 4 3" xfId="31155"/>
    <cellStyle name="Separador de milhares 3 13 3 5 5" xfId="17910"/>
    <cellStyle name="Separador de milhares 3 13 3 5 5 2" xfId="42977"/>
    <cellStyle name="Separador de milhares 3 13 3 5 6" xfId="11576"/>
    <cellStyle name="Separador de milhares 3 13 3 5 6 2" xfId="37066"/>
    <cellStyle name="Separador de milhares 3 13 3 5 7" xfId="29685"/>
    <cellStyle name="Separador de milhares 3 13 3 6" xfId="2175"/>
    <cellStyle name="Separador de milhares 3 13 3 6 2" xfId="7038"/>
    <cellStyle name="Separador de milhares 3 13 3 6 2 2" xfId="10182"/>
    <cellStyle name="Separador de milhares 3 13 3 6 2 2 2" xfId="28396"/>
    <cellStyle name="Separador de milhares 3 13 3 6 2 2 2 2" xfId="53463"/>
    <cellStyle name="Separador de milhares 3 13 3 6 2 2 3" xfId="22482"/>
    <cellStyle name="Separador de milhares 3 13 3 6 2 2 3 2" xfId="47549"/>
    <cellStyle name="Separador de milhares 3 13 3 6 2 2 4" xfId="16568"/>
    <cellStyle name="Separador de milhares 3 13 3 6 2 2 4 2" xfId="41635"/>
    <cellStyle name="Separador de milhares 3 13 3 6 2 2 5" xfId="35727"/>
    <cellStyle name="Separador de milhares 3 13 3 6 2 3" xfId="25439"/>
    <cellStyle name="Separador de milhares 3 13 3 6 2 3 2" xfId="50506"/>
    <cellStyle name="Separador de milhares 3 13 3 6 2 4" xfId="19525"/>
    <cellStyle name="Separador de milhares 3 13 3 6 2 4 2" xfId="44592"/>
    <cellStyle name="Separador de milhares 3 13 3 6 2 5" xfId="13427"/>
    <cellStyle name="Separador de milhares 3 13 3 6 2 5 2" xfId="38681"/>
    <cellStyle name="Separador de milhares 3 13 3 6 2 6" xfId="32770"/>
    <cellStyle name="Separador de milhares 3 13 3 6 3" xfId="8714"/>
    <cellStyle name="Separador de milhares 3 13 3 6 3 2" xfId="26928"/>
    <cellStyle name="Separador de milhares 3 13 3 6 3 2 2" xfId="51995"/>
    <cellStyle name="Separador de milhares 3 13 3 6 3 3" xfId="21014"/>
    <cellStyle name="Separador de milhares 3 13 3 6 3 3 2" xfId="46081"/>
    <cellStyle name="Separador de milhares 3 13 3 6 3 4" xfId="15100"/>
    <cellStyle name="Separador de milhares 3 13 3 6 3 4 2" xfId="40167"/>
    <cellStyle name="Separador de milhares 3 13 3 6 3 5" xfId="34259"/>
    <cellStyle name="Separador de milhares 3 13 3 6 4" xfId="5339"/>
    <cellStyle name="Separador de milhares 3 13 3 6 4 2" xfId="23971"/>
    <cellStyle name="Separador de milhares 3 13 3 6 4 2 2" xfId="49038"/>
    <cellStyle name="Separador de milhares 3 13 3 6 4 3" xfId="31302"/>
    <cellStyle name="Separador de milhares 3 13 3 6 5" xfId="18057"/>
    <cellStyle name="Separador de milhares 3 13 3 6 5 2" xfId="43124"/>
    <cellStyle name="Separador de milhares 3 13 3 6 6" xfId="11726"/>
    <cellStyle name="Separador de milhares 3 13 3 6 6 2" xfId="37213"/>
    <cellStyle name="Separador de milhares 3 13 3 6 7" xfId="29832"/>
    <cellStyle name="Separador de milhares 3 13 3 7" xfId="2702"/>
    <cellStyle name="Separador de milhares 3 13 3 7 2" xfId="7185"/>
    <cellStyle name="Separador de milhares 3 13 3 7 2 2" xfId="10329"/>
    <cellStyle name="Separador de milhares 3 13 3 7 2 2 2" xfId="28543"/>
    <cellStyle name="Separador de milhares 3 13 3 7 2 2 2 2" xfId="53610"/>
    <cellStyle name="Separador de milhares 3 13 3 7 2 2 3" xfId="22629"/>
    <cellStyle name="Separador de milhares 3 13 3 7 2 2 3 2" xfId="47696"/>
    <cellStyle name="Separador de milhares 3 13 3 7 2 2 4" xfId="16715"/>
    <cellStyle name="Separador de milhares 3 13 3 7 2 2 4 2" xfId="41782"/>
    <cellStyle name="Separador de milhares 3 13 3 7 2 2 5" xfId="35874"/>
    <cellStyle name="Separador de milhares 3 13 3 7 2 3" xfId="25586"/>
    <cellStyle name="Separador de milhares 3 13 3 7 2 3 2" xfId="50653"/>
    <cellStyle name="Separador de milhares 3 13 3 7 2 4" xfId="19672"/>
    <cellStyle name="Separador de milhares 3 13 3 7 2 4 2" xfId="44739"/>
    <cellStyle name="Separador de milhares 3 13 3 7 2 5" xfId="13574"/>
    <cellStyle name="Separador de milhares 3 13 3 7 2 5 2" xfId="38828"/>
    <cellStyle name="Separador de milhares 3 13 3 7 2 6" xfId="32917"/>
    <cellStyle name="Separador de milhares 3 13 3 7 3" xfId="8861"/>
    <cellStyle name="Separador de milhares 3 13 3 7 3 2" xfId="27075"/>
    <cellStyle name="Separador de milhares 3 13 3 7 3 2 2" xfId="52142"/>
    <cellStyle name="Separador de milhares 3 13 3 7 3 3" xfId="21161"/>
    <cellStyle name="Separador de milhares 3 13 3 7 3 3 2" xfId="46228"/>
    <cellStyle name="Separador de milhares 3 13 3 7 3 4" xfId="15247"/>
    <cellStyle name="Separador de milhares 3 13 3 7 3 4 2" xfId="40314"/>
    <cellStyle name="Separador de milhares 3 13 3 7 3 5" xfId="34406"/>
    <cellStyle name="Separador de milhares 3 13 3 7 4" xfId="5486"/>
    <cellStyle name="Separador de milhares 3 13 3 7 4 2" xfId="24118"/>
    <cellStyle name="Separador de milhares 3 13 3 7 4 2 2" xfId="49185"/>
    <cellStyle name="Separador de milhares 3 13 3 7 4 3" xfId="31449"/>
    <cellStyle name="Separador de milhares 3 13 3 7 5" xfId="18204"/>
    <cellStyle name="Separador de milhares 3 13 3 7 5 2" xfId="43271"/>
    <cellStyle name="Separador de milhares 3 13 3 7 6" xfId="11873"/>
    <cellStyle name="Separador de milhares 3 13 3 7 6 2" xfId="37360"/>
    <cellStyle name="Separador de milhares 3 13 3 7 7" xfId="29979"/>
    <cellStyle name="Separador de milhares 3 13 3 8" xfId="3229"/>
    <cellStyle name="Separador de milhares 3 13 3 8 2" xfId="7332"/>
    <cellStyle name="Separador de milhares 3 13 3 8 2 2" xfId="10476"/>
    <cellStyle name="Separador de milhares 3 13 3 8 2 2 2" xfId="28690"/>
    <cellStyle name="Separador de milhares 3 13 3 8 2 2 2 2" xfId="53757"/>
    <cellStyle name="Separador de milhares 3 13 3 8 2 2 3" xfId="22776"/>
    <cellStyle name="Separador de milhares 3 13 3 8 2 2 3 2" xfId="47843"/>
    <cellStyle name="Separador de milhares 3 13 3 8 2 2 4" xfId="16862"/>
    <cellStyle name="Separador de milhares 3 13 3 8 2 2 4 2" xfId="41929"/>
    <cellStyle name="Separador de milhares 3 13 3 8 2 2 5" xfId="36021"/>
    <cellStyle name="Separador de milhares 3 13 3 8 2 3" xfId="25733"/>
    <cellStyle name="Separador de milhares 3 13 3 8 2 3 2" xfId="50800"/>
    <cellStyle name="Separador de milhares 3 13 3 8 2 4" xfId="19819"/>
    <cellStyle name="Separador de milhares 3 13 3 8 2 4 2" xfId="44886"/>
    <cellStyle name="Separador de milhares 3 13 3 8 2 5" xfId="13721"/>
    <cellStyle name="Separador de milhares 3 13 3 8 2 5 2" xfId="38975"/>
    <cellStyle name="Separador de milhares 3 13 3 8 2 6" xfId="33064"/>
    <cellStyle name="Separador de milhares 3 13 3 8 3" xfId="9008"/>
    <cellStyle name="Separador de milhares 3 13 3 8 3 2" xfId="27222"/>
    <cellStyle name="Separador de milhares 3 13 3 8 3 2 2" xfId="52289"/>
    <cellStyle name="Separador de milhares 3 13 3 8 3 3" xfId="21308"/>
    <cellStyle name="Separador de milhares 3 13 3 8 3 3 2" xfId="46375"/>
    <cellStyle name="Separador de milhares 3 13 3 8 3 4" xfId="15394"/>
    <cellStyle name="Separador de milhares 3 13 3 8 3 4 2" xfId="40461"/>
    <cellStyle name="Separador de milhares 3 13 3 8 3 5" xfId="34553"/>
    <cellStyle name="Separador de milhares 3 13 3 8 4" xfId="5633"/>
    <cellStyle name="Separador de milhares 3 13 3 8 4 2" xfId="24265"/>
    <cellStyle name="Separador de milhares 3 13 3 8 4 2 2" xfId="49332"/>
    <cellStyle name="Separador de milhares 3 13 3 8 4 3" xfId="31596"/>
    <cellStyle name="Separador de milhares 3 13 3 8 5" xfId="18351"/>
    <cellStyle name="Separador de milhares 3 13 3 8 5 2" xfId="43418"/>
    <cellStyle name="Separador de milhares 3 13 3 8 6" xfId="12020"/>
    <cellStyle name="Separador de milhares 3 13 3 8 6 2" xfId="37507"/>
    <cellStyle name="Separador de milhares 3 13 3 8 7" xfId="30126"/>
    <cellStyle name="Separador de milhares 3 13 3 9" xfId="3756"/>
    <cellStyle name="Separador de milhares 3 13 3 9 2" xfId="7479"/>
    <cellStyle name="Separador de milhares 3 13 3 9 2 2" xfId="10623"/>
    <cellStyle name="Separador de milhares 3 13 3 9 2 2 2" xfId="28837"/>
    <cellStyle name="Separador de milhares 3 13 3 9 2 2 2 2" xfId="53904"/>
    <cellStyle name="Separador de milhares 3 13 3 9 2 2 3" xfId="22923"/>
    <cellStyle name="Separador de milhares 3 13 3 9 2 2 3 2" xfId="47990"/>
    <cellStyle name="Separador de milhares 3 13 3 9 2 2 4" xfId="17009"/>
    <cellStyle name="Separador de milhares 3 13 3 9 2 2 4 2" xfId="42076"/>
    <cellStyle name="Separador de milhares 3 13 3 9 2 2 5" xfId="36168"/>
    <cellStyle name="Separador de milhares 3 13 3 9 2 3" xfId="25880"/>
    <cellStyle name="Separador de milhares 3 13 3 9 2 3 2" xfId="50947"/>
    <cellStyle name="Separador de milhares 3 13 3 9 2 4" xfId="19966"/>
    <cellStyle name="Separador de milhares 3 13 3 9 2 4 2" xfId="45033"/>
    <cellStyle name="Separador de milhares 3 13 3 9 2 5" xfId="13868"/>
    <cellStyle name="Separador de milhares 3 13 3 9 2 5 2" xfId="39122"/>
    <cellStyle name="Separador de milhares 3 13 3 9 2 6" xfId="33211"/>
    <cellStyle name="Separador de milhares 3 13 3 9 3" xfId="9155"/>
    <cellStyle name="Separador de milhares 3 13 3 9 3 2" xfId="27369"/>
    <cellStyle name="Separador de milhares 3 13 3 9 3 2 2" xfId="52436"/>
    <cellStyle name="Separador de milhares 3 13 3 9 3 3" xfId="21455"/>
    <cellStyle name="Separador de milhares 3 13 3 9 3 3 2" xfId="46522"/>
    <cellStyle name="Separador de milhares 3 13 3 9 3 4" xfId="15541"/>
    <cellStyle name="Separador de milhares 3 13 3 9 3 4 2" xfId="40608"/>
    <cellStyle name="Separador de milhares 3 13 3 9 3 5" xfId="34700"/>
    <cellStyle name="Separador de milhares 3 13 3 9 4" xfId="5780"/>
    <cellStyle name="Separador de milhares 3 13 3 9 4 2" xfId="24412"/>
    <cellStyle name="Separador de milhares 3 13 3 9 4 2 2" xfId="49479"/>
    <cellStyle name="Separador de milhares 3 13 3 9 4 3" xfId="31743"/>
    <cellStyle name="Separador de milhares 3 13 3 9 5" xfId="18498"/>
    <cellStyle name="Separador de milhares 3 13 3 9 5 2" xfId="43565"/>
    <cellStyle name="Separador de milhares 3 13 3 9 6" xfId="12167"/>
    <cellStyle name="Separador de milhares 3 13 3 9 6 2" xfId="37654"/>
    <cellStyle name="Separador de milhares 3 13 3 9 7" xfId="30273"/>
    <cellStyle name="Separador de milhares 3 13 4" xfId="392"/>
    <cellStyle name="Separador de milhares 3 13 4 10" xfId="6526"/>
    <cellStyle name="Separador de milhares 3 13 4 10 2" xfId="9674"/>
    <cellStyle name="Separador de milhares 3 13 4 10 2 2" xfId="27888"/>
    <cellStyle name="Separador de milhares 3 13 4 10 2 2 2" xfId="52955"/>
    <cellStyle name="Separador de milhares 3 13 4 10 2 3" xfId="21974"/>
    <cellStyle name="Separador de milhares 3 13 4 10 2 3 2" xfId="47041"/>
    <cellStyle name="Separador de milhares 3 13 4 10 2 4" xfId="16060"/>
    <cellStyle name="Separador de milhares 3 13 4 10 2 4 2" xfId="41127"/>
    <cellStyle name="Separador de milhares 3 13 4 10 2 5" xfId="35219"/>
    <cellStyle name="Separador de milhares 3 13 4 10 3" xfId="24931"/>
    <cellStyle name="Separador de milhares 3 13 4 10 3 2" xfId="49998"/>
    <cellStyle name="Separador de milhares 3 13 4 10 4" xfId="19017"/>
    <cellStyle name="Separador de milhares 3 13 4 10 4 2" xfId="44084"/>
    <cellStyle name="Separador de milhares 3 13 4 10 5" xfId="12915"/>
    <cellStyle name="Separador de milhares 3 13 4 10 5 2" xfId="38173"/>
    <cellStyle name="Separador de milhares 3 13 4 10 6" xfId="32262"/>
    <cellStyle name="Separador de milhares 3 13 4 11" xfId="8203"/>
    <cellStyle name="Separador de milhares 3 13 4 11 2" xfId="26417"/>
    <cellStyle name="Separador de milhares 3 13 4 11 2 2" xfId="51484"/>
    <cellStyle name="Separador de milhares 3 13 4 11 3" xfId="20503"/>
    <cellStyle name="Separador de milhares 3 13 4 11 3 2" xfId="45570"/>
    <cellStyle name="Separador de milhares 3 13 4 11 4" xfId="14592"/>
    <cellStyle name="Separador de milhares 3 13 4 11 4 2" xfId="39659"/>
    <cellStyle name="Separador de milhares 3 13 4 11 5" xfId="33748"/>
    <cellStyle name="Separador de milhares 3 13 4 12" xfId="4825"/>
    <cellStyle name="Separador de milhares 3 13 4 12 2" xfId="23460"/>
    <cellStyle name="Separador de milhares 3 13 4 12 2 2" xfId="48527"/>
    <cellStyle name="Separador de milhares 3 13 4 12 3" xfId="30792"/>
    <cellStyle name="Separador de milhares 3 13 4 13" xfId="17546"/>
    <cellStyle name="Separador de milhares 3 13 4 13 2" xfId="42613"/>
    <cellStyle name="Separador de milhares 3 13 4 14" xfId="11214"/>
    <cellStyle name="Separador de milhares 3 13 4 14 2" xfId="36705"/>
    <cellStyle name="Separador de milhares 3 13 4 15" xfId="29321"/>
    <cellStyle name="Separador de milhares 3 13 4 2" xfId="1037"/>
    <cellStyle name="Separador de milhares 3 13 4 2 2" xfId="6723"/>
    <cellStyle name="Separador de milhares 3 13 4 2 2 2" xfId="9870"/>
    <cellStyle name="Separador de milhares 3 13 4 2 2 2 2" xfId="28084"/>
    <cellStyle name="Separador de milhares 3 13 4 2 2 2 2 2" xfId="53151"/>
    <cellStyle name="Separador de milhares 3 13 4 2 2 2 3" xfId="22170"/>
    <cellStyle name="Separador de milhares 3 13 4 2 2 2 3 2" xfId="47237"/>
    <cellStyle name="Separador de milhares 3 13 4 2 2 2 4" xfId="16256"/>
    <cellStyle name="Separador de milhares 3 13 4 2 2 2 4 2" xfId="41323"/>
    <cellStyle name="Separador de milhares 3 13 4 2 2 2 5" xfId="35415"/>
    <cellStyle name="Separador de milhares 3 13 4 2 2 3" xfId="25127"/>
    <cellStyle name="Separador de milhares 3 13 4 2 2 3 2" xfId="50194"/>
    <cellStyle name="Separador de milhares 3 13 4 2 2 4" xfId="19213"/>
    <cellStyle name="Separador de milhares 3 13 4 2 2 4 2" xfId="44280"/>
    <cellStyle name="Separador de milhares 3 13 4 2 2 5" xfId="13112"/>
    <cellStyle name="Separador de milhares 3 13 4 2 2 5 2" xfId="38369"/>
    <cellStyle name="Separador de milhares 3 13 4 2 2 6" xfId="32458"/>
    <cellStyle name="Separador de milhares 3 13 4 2 3" xfId="8402"/>
    <cellStyle name="Separador de milhares 3 13 4 2 3 2" xfId="26616"/>
    <cellStyle name="Separador de milhares 3 13 4 2 3 2 2" xfId="51683"/>
    <cellStyle name="Separador de milhares 3 13 4 2 3 3" xfId="20702"/>
    <cellStyle name="Separador de milhares 3 13 4 2 3 3 2" xfId="45769"/>
    <cellStyle name="Separador de milhares 3 13 4 2 3 4" xfId="14788"/>
    <cellStyle name="Separador de milhares 3 13 4 2 3 4 2" xfId="39855"/>
    <cellStyle name="Separador de milhares 3 13 4 2 3 5" xfId="33947"/>
    <cellStyle name="Separador de milhares 3 13 4 2 4" xfId="5024"/>
    <cellStyle name="Separador de milhares 3 13 4 2 4 2" xfId="23659"/>
    <cellStyle name="Separador de milhares 3 13 4 2 4 2 2" xfId="48726"/>
    <cellStyle name="Separador de milhares 3 13 4 2 4 3" xfId="30990"/>
    <cellStyle name="Separador de milhares 3 13 4 2 5" xfId="17745"/>
    <cellStyle name="Separador de milhares 3 13 4 2 5 2" xfId="42812"/>
    <cellStyle name="Separador de milhares 3 13 4 2 6" xfId="11411"/>
    <cellStyle name="Separador de milhares 3 13 4 2 6 2" xfId="36901"/>
    <cellStyle name="Separador de milhares 3 13 4 2 7" xfId="29520"/>
    <cellStyle name="Separador de milhares 3 13 4 3" xfId="1388"/>
    <cellStyle name="Separador de milhares 3 13 4 3 2" xfId="6821"/>
    <cellStyle name="Separador de milhares 3 13 4 3 2 2" xfId="9968"/>
    <cellStyle name="Separador de milhares 3 13 4 3 2 2 2" xfId="28182"/>
    <cellStyle name="Separador de milhares 3 13 4 3 2 2 2 2" xfId="53249"/>
    <cellStyle name="Separador de milhares 3 13 4 3 2 2 3" xfId="22268"/>
    <cellStyle name="Separador de milhares 3 13 4 3 2 2 3 2" xfId="47335"/>
    <cellStyle name="Separador de milhares 3 13 4 3 2 2 4" xfId="16354"/>
    <cellStyle name="Separador de milhares 3 13 4 3 2 2 4 2" xfId="41421"/>
    <cellStyle name="Separador de milhares 3 13 4 3 2 2 5" xfId="35513"/>
    <cellStyle name="Separador de milhares 3 13 4 3 2 3" xfId="25225"/>
    <cellStyle name="Separador de milhares 3 13 4 3 2 3 2" xfId="50292"/>
    <cellStyle name="Separador de milhares 3 13 4 3 2 4" xfId="19311"/>
    <cellStyle name="Separador de milhares 3 13 4 3 2 4 2" xfId="44378"/>
    <cellStyle name="Separador de milhares 3 13 4 3 2 5" xfId="13210"/>
    <cellStyle name="Separador de milhares 3 13 4 3 2 5 2" xfId="38467"/>
    <cellStyle name="Separador de milhares 3 13 4 3 2 6" xfId="32556"/>
    <cellStyle name="Separador de milhares 3 13 4 3 3" xfId="8500"/>
    <cellStyle name="Separador de milhares 3 13 4 3 3 2" xfId="26714"/>
    <cellStyle name="Separador de milhares 3 13 4 3 3 2 2" xfId="51781"/>
    <cellStyle name="Separador de milhares 3 13 4 3 3 3" xfId="20800"/>
    <cellStyle name="Separador de milhares 3 13 4 3 3 3 2" xfId="45867"/>
    <cellStyle name="Separador de milhares 3 13 4 3 3 4" xfId="14886"/>
    <cellStyle name="Separador de milhares 3 13 4 3 3 4 2" xfId="39953"/>
    <cellStyle name="Separador de milhares 3 13 4 3 3 5" xfId="34045"/>
    <cellStyle name="Separador de milhares 3 13 4 3 4" xfId="5122"/>
    <cellStyle name="Separador de milhares 3 13 4 3 4 2" xfId="23757"/>
    <cellStyle name="Separador de milhares 3 13 4 3 4 2 2" xfId="48824"/>
    <cellStyle name="Separador de milhares 3 13 4 3 4 3" xfId="31088"/>
    <cellStyle name="Separador de milhares 3 13 4 3 5" xfId="17843"/>
    <cellStyle name="Separador de milhares 3 13 4 3 5 2" xfId="42910"/>
    <cellStyle name="Separador de milhares 3 13 4 3 6" xfId="11509"/>
    <cellStyle name="Separador de milhares 3 13 4 3 6 2" xfId="36999"/>
    <cellStyle name="Separador de milhares 3 13 4 3 7" xfId="29618"/>
    <cellStyle name="Separador de milhares 3 13 4 4" xfId="1823"/>
    <cellStyle name="Separador de milhares 3 13 4 4 2" xfId="6940"/>
    <cellStyle name="Separador de milhares 3 13 4 4 2 2" xfId="10087"/>
    <cellStyle name="Separador de milhares 3 13 4 4 2 2 2" xfId="28301"/>
    <cellStyle name="Separador de milhares 3 13 4 4 2 2 2 2" xfId="53368"/>
    <cellStyle name="Separador de milhares 3 13 4 4 2 2 3" xfId="22387"/>
    <cellStyle name="Separador de milhares 3 13 4 4 2 2 3 2" xfId="47454"/>
    <cellStyle name="Separador de milhares 3 13 4 4 2 2 4" xfId="16473"/>
    <cellStyle name="Separador de milhares 3 13 4 4 2 2 4 2" xfId="41540"/>
    <cellStyle name="Separador de milhares 3 13 4 4 2 2 5" xfId="35632"/>
    <cellStyle name="Separador de milhares 3 13 4 4 2 3" xfId="25344"/>
    <cellStyle name="Separador de milhares 3 13 4 4 2 3 2" xfId="50411"/>
    <cellStyle name="Separador de milhares 3 13 4 4 2 4" xfId="19430"/>
    <cellStyle name="Separador de milhares 3 13 4 4 2 4 2" xfId="44497"/>
    <cellStyle name="Separador de milhares 3 13 4 4 2 5" xfId="13329"/>
    <cellStyle name="Separador de milhares 3 13 4 4 2 5 2" xfId="38586"/>
    <cellStyle name="Separador de milhares 3 13 4 4 2 6" xfId="32675"/>
    <cellStyle name="Separador de milhares 3 13 4 4 3" xfId="8619"/>
    <cellStyle name="Separador de milhares 3 13 4 4 3 2" xfId="26833"/>
    <cellStyle name="Separador de milhares 3 13 4 4 3 2 2" xfId="51900"/>
    <cellStyle name="Separador de milhares 3 13 4 4 3 3" xfId="20919"/>
    <cellStyle name="Separador de milhares 3 13 4 4 3 3 2" xfId="45986"/>
    <cellStyle name="Separador de milhares 3 13 4 4 3 4" xfId="15005"/>
    <cellStyle name="Separador de milhares 3 13 4 4 3 4 2" xfId="40072"/>
    <cellStyle name="Separador de milhares 3 13 4 4 3 5" xfId="34164"/>
    <cellStyle name="Separador de milhares 3 13 4 4 4" xfId="5241"/>
    <cellStyle name="Separador de milhares 3 13 4 4 4 2" xfId="23876"/>
    <cellStyle name="Separador de milhares 3 13 4 4 4 2 2" xfId="48943"/>
    <cellStyle name="Separador de milhares 3 13 4 4 4 3" xfId="31207"/>
    <cellStyle name="Separador de milhares 3 13 4 4 5" xfId="17962"/>
    <cellStyle name="Separador de milhares 3 13 4 4 5 2" xfId="43029"/>
    <cellStyle name="Separador de milhares 3 13 4 4 6" xfId="11628"/>
    <cellStyle name="Separador de milhares 3 13 4 4 6 2" xfId="37118"/>
    <cellStyle name="Separador de milhares 3 13 4 4 7" xfId="29737"/>
    <cellStyle name="Separador de milhares 3 13 4 5" xfId="2353"/>
    <cellStyle name="Separador de milhares 3 13 4 5 2" xfId="7090"/>
    <cellStyle name="Separador de milhares 3 13 4 5 2 2" xfId="10234"/>
    <cellStyle name="Separador de milhares 3 13 4 5 2 2 2" xfId="28448"/>
    <cellStyle name="Separador de milhares 3 13 4 5 2 2 2 2" xfId="53515"/>
    <cellStyle name="Separador de milhares 3 13 4 5 2 2 3" xfId="22534"/>
    <cellStyle name="Separador de milhares 3 13 4 5 2 2 3 2" xfId="47601"/>
    <cellStyle name="Separador de milhares 3 13 4 5 2 2 4" xfId="16620"/>
    <cellStyle name="Separador de milhares 3 13 4 5 2 2 4 2" xfId="41687"/>
    <cellStyle name="Separador de milhares 3 13 4 5 2 2 5" xfId="35779"/>
    <cellStyle name="Separador de milhares 3 13 4 5 2 3" xfId="25491"/>
    <cellStyle name="Separador de milhares 3 13 4 5 2 3 2" xfId="50558"/>
    <cellStyle name="Separador de milhares 3 13 4 5 2 4" xfId="19577"/>
    <cellStyle name="Separador de milhares 3 13 4 5 2 4 2" xfId="44644"/>
    <cellStyle name="Separador de milhares 3 13 4 5 2 5" xfId="13479"/>
    <cellStyle name="Separador de milhares 3 13 4 5 2 5 2" xfId="38733"/>
    <cellStyle name="Separador de milhares 3 13 4 5 2 6" xfId="32822"/>
    <cellStyle name="Separador de milhares 3 13 4 5 3" xfId="8766"/>
    <cellStyle name="Separador de milhares 3 13 4 5 3 2" xfId="26980"/>
    <cellStyle name="Separador de milhares 3 13 4 5 3 2 2" xfId="52047"/>
    <cellStyle name="Separador de milhares 3 13 4 5 3 3" xfId="21066"/>
    <cellStyle name="Separador de milhares 3 13 4 5 3 3 2" xfId="46133"/>
    <cellStyle name="Separador de milhares 3 13 4 5 3 4" xfId="15152"/>
    <cellStyle name="Separador de milhares 3 13 4 5 3 4 2" xfId="40219"/>
    <cellStyle name="Separador de milhares 3 13 4 5 3 5" xfId="34311"/>
    <cellStyle name="Separador de milhares 3 13 4 5 4" xfId="5391"/>
    <cellStyle name="Separador de milhares 3 13 4 5 4 2" xfId="24023"/>
    <cellStyle name="Separador de milhares 3 13 4 5 4 2 2" xfId="49090"/>
    <cellStyle name="Separador de milhares 3 13 4 5 4 3" xfId="31354"/>
    <cellStyle name="Separador de milhares 3 13 4 5 5" xfId="18109"/>
    <cellStyle name="Separador de milhares 3 13 4 5 5 2" xfId="43176"/>
    <cellStyle name="Separador de milhares 3 13 4 5 6" xfId="11778"/>
    <cellStyle name="Separador de milhares 3 13 4 5 6 2" xfId="37265"/>
    <cellStyle name="Separador de milhares 3 13 4 5 7" xfId="29884"/>
    <cellStyle name="Separador de milhares 3 13 4 6" xfId="2880"/>
    <cellStyle name="Separador de milhares 3 13 4 6 2" xfId="7237"/>
    <cellStyle name="Separador de milhares 3 13 4 6 2 2" xfId="10381"/>
    <cellStyle name="Separador de milhares 3 13 4 6 2 2 2" xfId="28595"/>
    <cellStyle name="Separador de milhares 3 13 4 6 2 2 2 2" xfId="53662"/>
    <cellStyle name="Separador de milhares 3 13 4 6 2 2 3" xfId="22681"/>
    <cellStyle name="Separador de milhares 3 13 4 6 2 2 3 2" xfId="47748"/>
    <cellStyle name="Separador de milhares 3 13 4 6 2 2 4" xfId="16767"/>
    <cellStyle name="Separador de milhares 3 13 4 6 2 2 4 2" xfId="41834"/>
    <cellStyle name="Separador de milhares 3 13 4 6 2 2 5" xfId="35926"/>
    <cellStyle name="Separador de milhares 3 13 4 6 2 3" xfId="25638"/>
    <cellStyle name="Separador de milhares 3 13 4 6 2 3 2" xfId="50705"/>
    <cellStyle name="Separador de milhares 3 13 4 6 2 4" xfId="19724"/>
    <cellStyle name="Separador de milhares 3 13 4 6 2 4 2" xfId="44791"/>
    <cellStyle name="Separador de milhares 3 13 4 6 2 5" xfId="13626"/>
    <cellStyle name="Separador de milhares 3 13 4 6 2 5 2" xfId="38880"/>
    <cellStyle name="Separador de milhares 3 13 4 6 2 6" xfId="32969"/>
    <cellStyle name="Separador de milhares 3 13 4 6 3" xfId="8913"/>
    <cellStyle name="Separador de milhares 3 13 4 6 3 2" xfId="27127"/>
    <cellStyle name="Separador de milhares 3 13 4 6 3 2 2" xfId="52194"/>
    <cellStyle name="Separador de milhares 3 13 4 6 3 3" xfId="21213"/>
    <cellStyle name="Separador de milhares 3 13 4 6 3 3 2" xfId="46280"/>
    <cellStyle name="Separador de milhares 3 13 4 6 3 4" xfId="15299"/>
    <cellStyle name="Separador de milhares 3 13 4 6 3 4 2" xfId="40366"/>
    <cellStyle name="Separador de milhares 3 13 4 6 3 5" xfId="34458"/>
    <cellStyle name="Separador de milhares 3 13 4 6 4" xfId="5538"/>
    <cellStyle name="Separador de milhares 3 13 4 6 4 2" xfId="24170"/>
    <cellStyle name="Separador de milhares 3 13 4 6 4 2 2" xfId="49237"/>
    <cellStyle name="Separador de milhares 3 13 4 6 4 3" xfId="31501"/>
    <cellStyle name="Separador de milhares 3 13 4 6 5" xfId="18256"/>
    <cellStyle name="Separador de milhares 3 13 4 6 5 2" xfId="43323"/>
    <cellStyle name="Separador de milhares 3 13 4 6 6" xfId="11925"/>
    <cellStyle name="Separador de milhares 3 13 4 6 6 2" xfId="37412"/>
    <cellStyle name="Separador de milhares 3 13 4 6 7" xfId="30031"/>
    <cellStyle name="Separador de milhares 3 13 4 7" xfId="3407"/>
    <cellStyle name="Separador de milhares 3 13 4 7 2" xfId="7384"/>
    <cellStyle name="Separador de milhares 3 13 4 7 2 2" xfId="10528"/>
    <cellStyle name="Separador de milhares 3 13 4 7 2 2 2" xfId="28742"/>
    <cellStyle name="Separador de milhares 3 13 4 7 2 2 2 2" xfId="53809"/>
    <cellStyle name="Separador de milhares 3 13 4 7 2 2 3" xfId="22828"/>
    <cellStyle name="Separador de milhares 3 13 4 7 2 2 3 2" xfId="47895"/>
    <cellStyle name="Separador de milhares 3 13 4 7 2 2 4" xfId="16914"/>
    <cellStyle name="Separador de milhares 3 13 4 7 2 2 4 2" xfId="41981"/>
    <cellStyle name="Separador de milhares 3 13 4 7 2 2 5" xfId="36073"/>
    <cellStyle name="Separador de milhares 3 13 4 7 2 3" xfId="25785"/>
    <cellStyle name="Separador de milhares 3 13 4 7 2 3 2" xfId="50852"/>
    <cellStyle name="Separador de milhares 3 13 4 7 2 4" xfId="19871"/>
    <cellStyle name="Separador de milhares 3 13 4 7 2 4 2" xfId="44938"/>
    <cellStyle name="Separador de milhares 3 13 4 7 2 5" xfId="13773"/>
    <cellStyle name="Separador de milhares 3 13 4 7 2 5 2" xfId="39027"/>
    <cellStyle name="Separador de milhares 3 13 4 7 2 6" xfId="33116"/>
    <cellStyle name="Separador de milhares 3 13 4 7 3" xfId="9060"/>
    <cellStyle name="Separador de milhares 3 13 4 7 3 2" xfId="27274"/>
    <cellStyle name="Separador de milhares 3 13 4 7 3 2 2" xfId="52341"/>
    <cellStyle name="Separador de milhares 3 13 4 7 3 3" xfId="21360"/>
    <cellStyle name="Separador de milhares 3 13 4 7 3 3 2" xfId="46427"/>
    <cellStyle name="Separador de milhares 3 13 4 7 3 4" xfId="15446"/>
    <cellStyle name="Separador de milhares 3 13 4 7 3 4 2" xfId="40513"/>
    <cellStyle name="Separador de milhares 3 13 4 7 3 5" xfId="34605"/>
    <cellStyle name="Separador de milhares 3 13 4 7 4" xfId="5685"/>
    <cellStyle name="Separador de milhares 3 13 4 7 4 2" xfId="24317"/>
    <cellStyle name="Separador de milhares 3 13 4 7 4 2 2" xfId="49384"/>
    <cellStyle name="Separador de milhares 3 13 4 7 4 3" xfId="31648"/>
    <cellStyle name="Separador de milhares 3 13 4 7 5" xfId="18403"/>
    <cellStyle name="Separador de milhares 3 13 4 7 5 2" xfId="43470"/>
    <cellStyle name="Separador de milhares 3 13 4 7 6" xfId="12072"/>
    <cellStyle name="Separador de milhares 3 13 4 7 6 2" xfId="37559"/>
    <cellStyle name="Separador de milhares 3 13 4 7 7" xfId="30178"/>
    <cellStyle name="Separador de milhares 3 13 4 8" xfId="3934"/>
    <cellStyle name="Separador de milhares 3 13 4 8 2" xfId="7531"/>
    <cellStyle name="Separador de milhares 3 13 4 8 2 2" xfId="10675"/>
    <cellStyle name="Separador de milhares 3 13 4 8 2 2 2" xfId="28889"/>
    <cellStyle name="Separador de milhares 3 13 4 8 2 2 2 2" xfId="53956"/>
    <cellStyle name="Separador de milhares 3 13 4 8 2 2 3" xfId="22975"/>
    <cellStyle name="Separador de milhares 3 13 4 8 2 2 3 2" xfId="48042"/>
    <cellStyle name="Separador de milhares 3 13 4 8 2 2 4" xfId="17061"/>
    <cellStyle name="Separador de milhares 3 13 4 8 2 2 4 2" xfId="42128"/>
    <cellStyle name="Separador de milhares 3 13 4 8 2 2 5" xfId="36220"/>
    <cellStyle name="Separador de milhares 3 13 4 8 2 3" xfId="25932"/>
    <cellStyle name="Separador de milhares 3 13 4 8 2 3 2" xfId="50999"/>
    <cellStyle name="Separador de milhares 3 13 4 8 2 4" xfId="20018"/>
    <cellStyle name="Separador de milhares 3 13 4 8 2 4 2" xfId="45085"/>
    <cellStyle name="Separador de milhares 3 13 4 8 2 5" xfId="13920"/>
    <cellStyle name="Separador de milhares 3 13 4 8 2 5 2" xfId="39174"/>
    <cellStyle name="Separador de milhares 3 13 4 8 2 6" xfId="33263"/>
    <cellStyle name="Separador de milhares 3 13 4 8 3" xfId="9207"/>
    <cellStyle name="Separador de milhares 3 13 4 8 3 2" xfId="27421"/>
    <cellStyle name="Separador de milhares 3 13 4 8 3 2 2" xfId="52488"/>
    <cellStyle name="Separador de milhares 3 13 4 8 3 3" xfId="21507"/>
    <cellStyle name="Separador de milhares 3 13 4 8 3 3 2" xfId="46574"/>
    <cellStyle name="Separador de milhares 3 13 4 8 3 4" xfId="15593"/>
    <cellStyle name="Separador de milhares 3 13 4 8 3 4 2" xfId="40660"/>
    <cellStyle name="Separador de milhares 3 13 4 8 3 5" xfId="34752"/>
    <cellStyle name="Separador de milhares 3 13 4 8 4" xfId="5832"/>
    <cellStyle name="Separador de milhares 3 13 4 8 4 2" xfId="24464"/>
    <cellStyle name="Separador de milhares 3 13 4 8 4 2 2" xfId="49531"/>
    <cellStyle name="Separador de milhares 3 13 4 8 4 3" xfId="31795"/>
    <cellStyle name="Separador de milhares 3 13 4 8 5" xfId="18550"/>
    <cellStyle name="Separador de milhares 3 13 4 8 5 2" xfId="43617"/>
    <cellStyle name="Separador de milhares 3 13 4 8 6" xfId="12219"/>
    <cellStyle name="Separador de milhares 3 13 4 8 6 2" xfId="37706"/>
    <cellStyle name="Separador de milhares 3 13 4 8 7" xfId="30325"/>
    <cellStyle name="Separador de milhares 3 13 4 9" xfId="690"/>
    <cellStyle name="Separador de milhares 3 13 4 9 2" xfId="6625"/>
    <cellStyle name="Separador de milhares 3 13 4 9 2 2" xfId="9772"/>
    <cellStyle name="Separador de milhares 3 13 4 9 2 2 2" xfId="27986"/>
    <cellStyle name="Separador de milhares 3 13 4 9 2 2 2 2" xfId="53053"/>
    <cellStyle name="Separador de milhares 3 13 4 9 2 2 3" xfId="22072"/>
    <cellStyle name="Separador de milhares 3 13 4 9 2 2 3 2" xfId="47139"/>
    <cellStyle name="Separador de milhares 3 13 4 9 2 2 4" xfId="16158"/>
    <cellStyle name="Separador de milhares 3 13 4 9 2 2 4 2" xfId="41225"/>
    <cellStyle name="Separador de milhares 3 13 4 9 2 2 5" xfId="35317"/>
    <cellStyle name="Separador de milhares 3 13 4 9 2 3" xfId="25029"/>
    <cellStyle name="Separador de milhares 3 13 4 9 2 3 2" xfId="50096"/>
    <cellStyle name="Separador de milhares 3 13 4 9 2 4" xfId="19115"/>
    <cellStyle name="Separador de milhares 3 13 4 9 2 4 2" xfId="44182"/>
    <cellStyle name="Separador de milhares 3 13 4 9 2 5" xfId="13014"/>
    <cellStyle name="Separador de milhares 3 13 4 9 2 5 2" xfId="38271"/>
    <cellStyle name="Separador de milhares 3 13 4 9 2 6" xfId="32360"/>
    <cellStyle name="Separador de milhares 3 13 4 9 3" xfId="8304"/>
    <cellStyle name="Separador de milhares 3 13 4 9 3 2" xfId="26518"/>
    <cellStyle name="Separador de milhares 3 13 4 9 3 2 2" xfId="51585"/>
    <cellStyle name="Separador de milhares 3 13 4 9 3 3" xfId="20604"/>
    <cellStyle name="Separador de milhares 3 13 4 9 3 3 2" xfId="45671"/>
    <cellStyle name="Separador de milhares 3 13 4 9 3 4" xfId="14690"/>
    <cellStyle name="Separador de milhares 3 13 4 9 3 4 2" xfId="39757"/>
    <cellStyle name="Separador de milhares 3 13 4 9 3 5" xfId="33849"/>
    <cellStyle name="Separador de milhares 3 13 4 9 4" xfId="4926"/>
    <cellStyle name="Separador de milhares 3 13 4 9 4 2" xfId="23561"/>
    <cellStyle name="Separador de milhares 3 13 4 9 4 2 2" xfId="48628"/>
    <cellStyle name="Separador de milhares 3 13 4 9 4 3" xfId="30892"/>
    <cellStyle name="Separador de milhares 3 13 4 9 5" xfId="17647"/>
    <cellStyle name="Separador de milhares 3 13 4 9 5 2" xfId="42714"/>
    <cellStyle name="Separador de milhares 3 13 4 9 6" xfId="11313"/>
    <cellStyle name="Separador de milhares 3 13 4 9 6 2" xfId="36803"/>
    <cellStyle name="Separador de milhares 3 13 4 9 7" xfId="29422"/>
    <cellStyle name="Separador de milhares 3 13 5" xfId="649"/>
    <cellStyle name="Separador de milhares 3 13 5 10" xfId="4890"/>
    <cellStyle name="Separador de milhares 3 13 5 10 2" xfId="23524"/>
    <cellStyle name="Separador de milhares 3 13 5 10 2 2" xfId="48591"/>
    <cellStyle name="Separador de milhares 3 13 5 10 3" xfId="30856"/>
    <cellStyle name="Separador de milhares 3 13 5 11" xfId="17610"/>
    <cellStyle name="Separador de milhares 3 13 5 11 2" xfId="42677"/>
    <cellStyle name="Separador de milhares 3 13 5 12" xfId="11279"/>
    <cellStyle name="Separador de milhares 3 13 5 12 2" xfId="36769"/>
    <cellStyle name="Separador de milhares 3 13 5 13" xfId="29385"/>
    <cellStyle name="Separador de milhares 3 13 5 2" xfId="1472"/>
    <cellStyle name="Separador de milhares 3 13 5 2 2" xfId="6842"/>
    <cellStyle name="Separador de milhares 3 13 5 2 2 2" xfId="9989"/>
    <cellStyle name="Separador de milhares 3 13 5 2 2 2 2" xfId="28203"/>
    <cellStyle name="Separador de milhares 3 13 5 2 2 2 2 2" xfId="53270"/>
    <cellStyle name="Separador de milhares 3 13 5 2 2 2 3" xfId="22289"/>
    <cellStyle name="Separador de milhares 3 13 5 2 2 2 3 2" xfId="47356"/>
    <cellStyle name="Separador de milhares 3 13 5 2 2 2 4" xfId="16375"/>
    <cellStyle name="Separador de milhares 3 13 5 2 2 2 4 2" xfId="41442"/>
    <cellStyle name="Separador de milhares 3 13 5 2 2 2 5" xfId="35534"/>
    <cellStyle name="Separador de milhares 3 13 5 2 2 3" xfId="25246"/>
    <cellStyle name="Separador de milhares 3 13 5 2 2 3 2" xfId="50313"/>
    <cellStyle name="Separador de milhares 3 13 5 2 2 4" xfId="19332"/>
    <cellStyle name="Separador de milhares 3 13 5 2 2 4 2" xfId="44399"/>
    <cellStyle name="Separador de milhares 3 13 5 2 2 5" xfId="13231"/>
    <cellStyle name="Separador de milhares 3 13 5 2 2 5 2" xfId="38488"/>
    <cellStyle name="Separador de milhares 3 13 5 2 2 6" xfId="32577"/>
    <cellStyle name="Separador de milhares 3 13 5 2 3" xfId="8521"/>
    <cellStyle name="Separador de milhares 3 13 5 2 3 2" xfId="26735"/>
    <cellStyle name="Separador de milhares 3 13 5 2 3 2 2" xfId="51802"/>
    <cellStyle name="Separador de milhares 3 13 5 2 3 3" xfId="20821"/>
    <cellStyle name="Separador de milhares 3 13 5 2 3 3 2" xfId="45888"/>
    <cellStyle name="Separador de milhares 3 13 5 2 3 4" xfId="14907"/>
    <cellStyle name="Separador de milhares 3 13 5 2 3 4 2" xfId="39974"/>
    <cellStyle name="Separador de milhares 3 13 5 2 3 5" xfId="34066"/>
    <cellStyle name="Separador de milhares 3 13 5 2 4" xfId="5143"/>
    <cellStyle name="Separador de milhares 3 13 5 2 4 2" xfId="23778"/>
    <cellStyle name="Separador de milhares 3 13 5 2 4 2 2" xfId="48845"/>
    <cellStyle name="Separador de milhares 3 13 5 2 4 3" xfId="31109"/>
    <cellStyle name="Separador de milhares 3 13 5 2 5" xfId="17864"/>
    <cellStyle name="Separador de milhares 3 13 5 2 5 2" xfId="42931"/>
    <cellStyle name="Separador de milhares 3 13 5 2 6" xfId="11530"/>
    <cellStyle name="Separador de milhares 3 13 5 2 6 2" xfId="37020"/>
    <cellStyle name="Separador de milhares 3 13 5 2 7" xfId="29639"/>
    <cellStyle name="Separador de milhares 3 13 5 3" xfId="1907"/>
    <cellStyle name="Separador de milhares 3 13 5 3 2" xfId="6961"/>
    <cellStyle name="Separador de milhares 3 13 5 3 2 2" xfId="10108"/>
    <cellStyle name="Separador de milhares 3 13 5 3 2 2 2" xfId="28322"/>
    <cellStyle name="Separador de milhares 3 13 5 3 2 2 2 2" xfId="53389"/>
    <cellStyle name="Separador de milhares 3 13 5 3 2 2 3" xfId="22408"/>
    <cellStyle name="Separador de milhares 3 13 5 3 2 2 3 2" xfId="47475"/>
    <cellStyle name="Separador de milhares 3 13 5 3 2 2 4" xfId="16494"/>
    <cellStyle name="Separador de milhares 3 13 5 3 2 2 4 2" xfId="41561"/>
    <cellStyle name="Separador de milhares 3 13 5 3 2 2 5" xfId="35653"/>
    <cellStyle name="Separador de milhares 3 13 5 3 2 3" xfId="25365"/>
    <cellStyle name="Separador de milhares 3 13 5 3 2 3 2" xfId="50432"/>
    <cellStyle name="Separador de milhares 3 13 5 3 2 4" xfId="19451"/>
    <cellStyle name="Separador de milhares 3 13 5 3 2 4 2" xfId="44518"/>
    <cellStyle name="Separador de milhares 3 13 5 3 2 5" xfId="13350"/>
    <cellStyle name="Separador de milhares 3 13 5 3 2 5 2" xfId="38607"/>
    <cellStyle name="Separador de milhares 3 13 5 3 2 6" xfId="32696"/>
    <cellStyle name="Separador de milhares 3 13 5 3 3" xfId="8640"/>
    <cellStyle name="Separador de milhares 3 13 5 3 3 2" xfId="26854"/>
    <cellStyle name="Separador de milhares 3 13 5 3 3 2 2" xfId="51921"/>
    <cellStyle name="Separador de milhares 3 13 5 3 3 3" xfId="20940"/>
    <cellStyle name="Separador de milhares 3 13 5 3 3 3 2" xfId="46007"/>
    <cellStyle name="Separador de milhares 3 13 5 3 3 4" xfId="15026"/>
    <cellStyle name="Separador de milhares 3 13 5 3 3 4 2" xfId="40093"/>
    <cellStyle name="Separador de milhares 3 13 5 3 3 5" xfId="34185"/>
    <cellStyle name="Separador de milhares 3 13 5 3 4" xfId="5262"/>
    <cellStyle name="Separador de milhares 3 13 5 3 4 2" xfId="23897"/>
    <cellStyle name="Separador de milhares 3 13 5 3 4 2 2" xfId="48964"/>
    <cellStyle name="Separador de milhares 3 13 5 3 4 3" xfId="31228"/>
    <cellStyle name="Separador de milhares 3 13 5 3 5" xfId="17983"/>
    <cellStyle name="Separador de milhares 3 13 5 3 5 2" xfId="43050"/>
    <cellStyle name="Separador de milhares 3 13 5 3 6" xfId="11649"/>
    <cellStyle name="Separador de milhares 3 13 5 3 6 2" xfId="37139"/>
    <cellStyle name="Separador de milhares 3 13 5 3 7" xfId="29758"/>
    <cellStyle name="Separador de milhares 3 13 5 4" xfId="2437"/>
    <cellStyle name="Separador de milhares 3 13 5 4 2" xfId="7111"/>
    <cellStyle name="Separador de milhares 3 13 5 4 2 2" xfId="10255"/>
    <cellStyle name="Separador de milhares 3 13 5 4 2 2 2" xfId="28469"/>
    <cellStyle name="Separador de milhares 3 13 5 4 2 2 2 2" xfId="53536"/>
    <cellStyle name="Separador de milhares 3 13 5 4 2 2 3" xfId="22555"/>
    <cellStyle name="Separador de milhares 3 13 5 4 2 2 3 2" xfId="47622"/>
    <cellStyle name="Separador de milhares 3 13 5 4 2 2 4" xfId="16641"/>
    <cellStyle name="Separador de milhares 3 13 5 4 2 2 4 2" xfId="41708"/>
    <cellStyle name="Separador de milhares 3 13 5 4 2 2 5" xfId="35800"/>
    <cellStyle name="Separador de milhares 3 13 5 4 2 3" xfId="25512"/>
    <cellStyle name="Separador de milhares 3 13 5 4 2 3 2" xfId="50579"/>
    <cellStyle name="Separador de milhares 3 13 5 4 2 4" xfId="19598"/>
    <cellStyle name="Separador de milhares 3 13 5 4 2 4 2" xfId="44665"/>
    <cellStyle name="Separador de milhares 3 13 5 4 2 5" xfId="13500"/>
    <cellStyle name="Separador de milhares 3 13 5 4 2 5 2" xfId="38754"/>
    <cellStyle name="Separador de milhares 3 13 5 4 2 6" xfId="32843"/>
    <cellStyle name="Separador de milhares 3 13 5 4 3" xfId="8787"/>
    <cellStyle name="Separador de milhares 3 13 5 4 3 2" xfId="27001"/>
    <cellStyle name="Separador de milhares 3 13 5 4 3 2 2" xfId="52068"/>
    <cellStyle name="Separador de milhares 3 13 5 4 3 3" xfId="21087"/>
    <cellStyle name="Separador de milhares 3 13 5 4 3 3 2" xfId="46154"/>
    <cellStyle name="Separador de milhares 3 13 5 4 3 4" xfId="15173"/>
    <cellStyle name="Separador de milhares 3 13 5 4 3 4 2" xfId="40240"/>
    <cellStyle name="Separador de milhares 3 13 5 4 3 5" xfId="34332"/>
    <cellStyle name="Separador de milhares 3 13 5 4 4" xfId="5412"/>
    <cellStyle name="Separador de milhares 3 13 5 4 4 2" xfId="24044"/>
    <cellStyle name="Separador de milhares 3 13 5 4 4 2 2" xfId="49111"/>
    <cellStyle name="Separador de milhares 3 13 5 4 4 3" xfId="31375"/>
    <cellStyle name="Separador de milhares 3 13 5 4 5" xfId="18130"/>
    <cellStyle name="Separador de milhares 3 13 5 4 5 2" xfId="43197"/>
    <cellStyle name="Separador de milhares 3 13 5 4 6" xfId="11799"/>
    <cellStyle name="Separador de milhares 3 13 5 4 6 2" xfId="37286"/>
    <cellStyle name="Separador de milhares 3 13 5 4 7" xfId="29905"/>
    <cellStyle name="Separador de milhares 3 13 5 5" xfId="2964"/>
    <cellStyle name="Separador de milhares 3 13 5 5 2" xfId="7258"/>
    <cellStyle name="Separador de milhares 3 13 5 5 2 2" xfId="10402"/>
    <cellStyle name="Separador de milhares 3 13 5 5 2 2 2" xfId="28616"/>
    <cellStyle name="Separador de milhares 3 13 5 5 2 2 2 2" xfId="53683"/>
    <cellStyle name="Separador de milhares 3 13 5 5 2 2 3" xfId="22702"/>
    <cellStyle name="Separador de milhares 3 13 5 5 2 2 3 2" xfId="47769"/>
    <cellStyle name="Separador de milhares 3 13 5 5 2 2 4" xfId="16788"/>
    <cellStyle name="Separador de milhares 3 13 5 5 2 2 4 2" xfId="41855"/>
    <cellStyle name="Separador de milhares 3 13 5 5 2 2 5" xfId="35947"/>
    <cellStyle name="Separador de milhares 3 13 5 5 2 3" xfId="25659"/>
    <cellStyle name="Separador de milhares 3 13 5 5 2 3 2" xfId="50726"/>
    <cellStyle name="Separador de milhares 3 13 5 5 2 4" xfId="19745"/>
    <cellStyle name="Separador de milhares 3 13 5 5 2 4 2" xfId="44812"/>
    <cellStyle name="Separador de milhares 3 13 5 5 2 5" xfId="13647"/>
    <cellStyle name="Separador de milhares 3 13 5 5 2 5 2" xfId="38901"/>
    <cellStyle name="Separador de milhares 3 13 5 5 2 6" xfId="32990"/>
    <cellStyle name="Separador de milhares 3 13 5 5 3" xfId="8934"/>
    <cellStyle name="Separador de milhares 3 13 5 5 3 2" xfId="27148"/>
    <cellStyle name="Separador de milhares 3 13 5 5 3 2 2" xfId="52215"/>
    <cellStyle name="Separador de milhares 3 13 5 5 3 3" xfId="21234"/>
    <cellStyle name="Separador de milhares 3 13 5 5 3 3 2" xfId="46301"/>
    <cellStyle name="Separador de milhares 3 13 5 5 3 4" xfId="15320"/>
    <cellStyle name="Separador de milhares 3 13 5 5 3 4 2" xfId="40387"/>
    <cellStyle name="Separador de milhares 3 13 5 5 3 5" xfId="34479"/>
    <cellStyle name="Separador de milhares 3 13 5 5 4" xfId="5559"/>
    <cellStyle name="Separador de milhares 3 13 5 5 4 2" xfId="24191"/>
    <cellStyle name="Separador de milhares 3 13 5 5 4 2 2" xfId="49258"/>
    <cellStyle name="Separador de milhares 3 13 5 5 4 3" xfId="31522"/>
    <cellStyle name="Separador de milhares 3 13 5 5 5" xfId="18277"/>
    <cellStyle name="Separador de milhares 3 13 5 5 5 2" xfId="43344"/>
    <cellStyle name="Separador de milhares 3 13 5 5 6" xfId="11946"/>
    <cellStyle name="Separador de milhares 3 13 5 5 6 2" xfId="37433"/>
    <cellStyle name="Separador de milhares 3 13 5 5 7" xfId="30052"/>
    <cellStyle name="Separador de milhares 3 13 5 6" xfId="3491"/>
    <cellStyle name="Separador de milhares 3 13 5 6 2" xfId="7405"/>
    <cellStyle name="Separador de milhares 3 13 5 6 2 2" xfId="10549"/>
    <cellStyle name="Separador de milhares 3 13 5 6 2 2 2" xfId="28763"/>
    <cellStyle name="Separador de milhares 3 13 5 6 2 2 2 2" xfId="53830"/>
    <cellStyle name="Separador de milhares 3 13 5 6 2 2 3" xfId="22849"/>
    <cellStyle name="Separador de milhares 3 13 5 6 2 2 3 2" xfId="47916"/>
    <cellStyle name="Separador de milhares 3 13 5 6 2 2 4" xfId="16935"/>
    <cellStyle name="Separador de milhares 3 13 5 6 2 2 4 2" xfId="42002"/>
    <cellStyle name="Separador de milhares 3 13 5 6 2 2 5" xfId="36094"/>
    <cellStyle name="Separador de milhares 3 13 5 6 2 3" xfId="25806"/>
    <cellStyle name="Separador de milhares 3 13 5 6 2 3 2" xfId="50873"/>
    <cellStyle name="Separador de milhares 3 13 5 6 2 4" xfId="19892"/>
    <cellStyle name="Separador de milhares 3 13 5 6 2 4 2" xfId="44959"/>
    <cellStyle name="Separador de milhares 3 13 5 6 2 5" xfId="13794"/>
    <cellStyle name="Separador de milhares 3 13 5 6 2 5 2" xfId="39048"/>
    <cellStyle name="Separador de milhares 3 13 5 6 2 6" xfId="33137"/>
    <cellStyle name="Separador de milhares 3 13 5 6 3" xfId="9081"/>
    <cellStyle name="Separador de milhares 3 13 5 6 3 2" xfId="27295"/>
    <cellStyle name="Separador de milhares 3 13 5 6 3 2 2" xfId="52362"/>
    <cellStyle name="Separador de milhares 3 13 5 6 3 3" xfId="21381"/>
    <cellStyle name="Separador de milhares 3 13 5 6 3 3 2" xfId="46448"/>
    <cellStyle name="Separador de milhares 3 13 5 6 3 4" xfId="15467"/>
    <cellStyle name="Separador de milhares 3 13 5 6 3 4 2" xfId="40534"/>
    <cellStyle name="Separador de milhares 3 13 5 6 3 5" xfId="34626"/>
    <cellStyle name="Separador de milhares 3 13 5 6 4" xfId="5706"/>
    <cellStyle name="Separador de milhares 3 13 5 6 4 2" xfId="24338"/>
    <cellStyle name="Separador de milhares 3 13 5 6 4 2 2" xfId="49405"/>
    <cellStyle name="Separador de milhares 3 13 5 6 4 3" xfId="31669"/>
    <cellStyle name="Separador de milhares 3 13 5 6 5" xfId="18424"/>
    <cellStyle name="Separador de milhares 3 13 5 6 5 2" xfId="43491"/>
    <cellStyle name="Separador de milhares 3 13 5 6 6" xfId="12093"/>
    <cellStyle name="Separador de milhares 3 13 5 6 6 2" xfId="37580"/>
    <cellStyle name="Separador de milhares 3 13 5 6 7" xfId="30199"/>
    <cellStyle name="Separador de milhares 3 13 5 7" xfId="4018"/>
    <cellStyle name="Separador de milhares 3 13 5 7 2" xfId="7552"/>
    <cellStyle name="Separador de milhares 3 13 5 7 2 2" xfId="10696"/>
    <cellStyle name="Separador de milhares 3 13 5 7 2 2 2" xfId="28910"/>
    <cellStyle name="Separador de milhares 3 13 5 7 2 2 2 2" xfId="53977"/>
    <cellStyle name="Separador de milhares 3 13 5 7 2 2 3" xfId="22996"/>
    <cellStyle name="Separador de milhares 3 13 5 7 2 2 3 2" xfId="48063"/>
    <cellStyle name="Separador de milhares 3 13 5 7 2 2 4" xfId="17082"/>
    <cellStyle name="Separador de milhares 3 13 5 7 2 2 4 2" xfId="42149"/>
    <cellStyle name="Separador de milhares 3 13 5 7 2 2 5" xfId="36241"/>
    <cellStyle name="Separador de milhares 3 13 5 7 2 3" xfId="25953"/>
    <cellStyle name="Separador de milhares 3 13 5 7 2 3 2" xfId="51020"/>
    <cellStyle name="Separador de milhares 3 13 5 7 2 4" xfId="20039"/>
    <cellStyle name="Separador de milhares 3 13 5 7 2 4 2" xfId="45106"/>
    <cellStyle name="Separador de milhares 3 13 5 7 2 5" xfId="13941"/>
    <cellStyle name="Separador de milhares 3 13 5 7 2 5 2" xfId="39195"/>
    <cellStyle name="Separador de milhares 3 13 5 7 2 6" xfId="33284"/>
    <cellStyle name="Separador de milhares 3 13 5 7 3" xfId="9228"/>
    <cellStyle name="Separador de milhares 3 13 5 7 3 2" xfId="27442"/>
    <cellStyle name="Separador de milhares 3 13 5 7 3 2 2" xfId="52509"/>
    <cellStyle name="Separador de milhares 3 13 5 7 3 3" xfId="21528"/>
    <cellStyle name="Separador de milhares 3 13 5 7 3 3 2" xfId="46595"/>
    <cellStyle name="Separador de milhares 3 13 5 7 3 4" xfId="15614"/>
    <cellStyle name="Separador de milhares 3 13 5 7 3 4 2" xfId="40681"/>
    <cellStyle name="Separador de milhares 3 13 5 7 3 5" xfId="34773"/>
    <cellStyle name="Separador de milhares 3 13 5 7 4" xfId="5853"/>
    <cellStyle name="Separador de milhares 3 13 5 7 4 2" xfId="24485"/>
    <cellStyle name="Separador de milhares 3 13 5 7 4 2 2" xfId="49552"/>
    <cellStyle name="Separador de milhares 3 13 5 7 4 3" xfId="31816"/>
    <cellStyle name="Separador de milhares 3 13 5 7 5" xfId="18571"/>
    <cellStyle name="Separador de milhares 3 13 5 7 5 2" xfId="43638"/>
    <cellStyle name="Separador de milhares 3 13 5 7 6" xfId="12240"/>
    <cellStyle name="Separador de milhares 3 13 5 7 6 2" xfId="37727"/>
    <cellStyle name="Separador de milhares 3 13 5 7 7" xfId="30346"/>
    <cellStyle name="Separador de milhares 3 13 5 8" xfId="6591"/>
    <cellStyle name="Separador de milhares 3 13 5 8 2" xfId="9738"/>
    <cellStyle name="Separador de milhares 3 13 5 8 2 2" xfId="27952"/>
    <cellStyle name="Separador de milhares 3 13 5 8 2 2 2" xfId="53019"/>
    <cellStyle name="Separador de milhares 3 13 5 8 2 3" xfId="22038"/>
    <cellStyle name="Separador de milhares 3 13 5 8 2 3 2" xfId="47105"/>
    <cellStyle name="Separador de milhares 3 13 5 8 2 4" xfId="16124"/>
    <cellStyle name="Separador de milhares 3 13 5 8 2 4 2" xfId="41191"/>
    <cellStyle name="Separador de milhares 3 13 5 8 2 5" xfId="35283"/>
    <cellStyle name="Separador de milhares 3 13 5 8 3" xfId="24995"/>
    <cellStyle name="Separador de milhares 3 13 5 8 3 2" xfId="50062"/>
    <cellStyle name="Separador de milhares 3 13 5 8 4" xfId="19081"/>
    <cellStyle name="Separador de milhares 3 13 5 8 4 2" xfId="44148"/>
    <cellStyle name="Separador de milhares 3 13 5 8 5" xfId="12980"/>
    <cellStyle name="Separador de milhares 3 13 5 8 5 2" xfId="38237"/>
    <cellStyle name="Separador de milhares 3 13 5 8 6" xfId="32326"/>
    <cellStyle name="Separador de milhares 3 13 5 9" xfId="8267"/>
    <cellStyle name="Separador de milhares 3 13 5 9 2" xfId="26481"/>
    <cellStyle name="Separador de milhares 3 13 5 9 2 2" xfId="51548"/>
    <cellStyle name="Separador de milhares 3 13 5 9 3" xfId="20567"/>
    <cellStyle name="Separador de milhares 3 13 5 9 3 2" xfId="45634"/>
    <cellStyle name="Separador de milhares 3 13 5 9 4" xfId="14656"/>
    <cellStyle name="Separador de milhares 3 13 5 9 4 2" xfId="39723"/>
    <cellStyle name="Separador de milhares 3 13 5 9 5" xfId="33812"/>
    <cellStyle name="Separador de milhares 3 13 6" xfId="770"/>
    <cellStyle name="Separador de milhares 3 13 6 2" xfId="4194"/>
    <cellStyle name="Separador de milhares 3 13 6 2 2" xfId="7601"/>
    <cellStyle name="Separador de milhares 3 13 6 2 2 2" xfId="10745"/>
    <cellStyle name="Separador de milhares 3 13 6 2 2 2 2" xfId="28959"/>
    <cellStyle name="Separador de milhares 3 13 6 2 2 2 2 2" xfId="54026"/>
    <cellStyle name="Separador de milhares 3 13 6 2 2 2 3" xfId="23045"/>
    <cellStyle name="Separador de milhares 3 13 6 2 2 2 3 2" xfId="48112"/>
    <cellStyle name="Separador de milhares 3 13 6 2 2 2 4" xfId="17131"/>
    <cellStyle name="Separador de milhares 3 13 6 2 2 2 4 2" xfId="42198"/>
    <cellStyle name="Separador de milhares 3 13 6 2 2 2 5" xfId="36290"/>
    <cellStyle name="Separador de milhares 3 13 6 2 2 3" xfId="26002"/>
    <cellStyle name="Separador de milhares 3 13 6 2 2 3 2" xfId="51069"/>
    <cellStyle name="Separador de milhares 3 13 6 2 2 4" xfId="20088"/>
    <cellStyle name="Separador de milhares 3 13 6 2 2 4 2" xfId="45155"/>
    <cellStyle name="Separador de milhares 3 13 6 2 2 5" xfId="13990"/>
    <cellStyle name="Separador de milhares 3 13 6 2 2 5 2" xfId="39244"/>
    <cellStyle name="Separador de milhares 3 13 6 2 2 6" xfId="33333"/>
    <cellStyle name="Separador de milhares 3 13 6 2 3" xfId="9277"/>
    <cellStyle name="Separador de milhares 3 13 6 2 3 2" xfId="27491"/>
    <cellStyle name="Separador de milhares 3 13 6 2 3 2 2" xfId="52558"/>
    <cellStyle name="Separador de milhares 3 13 6 2 3 3" xfId="21577"/>
    <cellStyle name="Separador de milhares 3 13 6 2 3 3 2" xfId="46644"/>
    <cellStyle name="Separador de milhares 3 13 6 2 3 4" xfId="15663"/>
    <cellStyle name="Separador de milhares 3 13 6 2 3 4 2" xfId="40730"/>
    <cellStyle name="Separador de milhares 3 13 6 2 3 5" xfId="34822"/>
    <cellStyle name="Separador de milhares 3 13 6 2 4" xfId="5902"/>
    <cellStyle name="Separador de milhares 3 13 6 2 4 2" xfId="24534"/>
    <cellStyle name="Separador de milhares 3 13 6 2 4 2 2" xfId="49601"/>
    <cellStyle name="Separador de milhares 3 13 6 2 4 3" xfId="31865"/>
    <cellStyle name="Separador de milhares 3 13 6 2 5" xfId="18620"/>
    <cellStyle name="Separador de milhares 3 13 6 2 5 2" xfId="43687"/>
    <cellStyle name="Separador de milhares 3 13 6 2 6" xfId="12289"/>
    <cellStyle name="Separador de milhares 3 13 6 2 6 2" xfId="37776"/>
    <cellStyle name="Separador de milhares 3 13 6 2 7" xfId="30395"/>
    <cellStyle name="Separador de milhares 3 13 6 3" xfId="6646"/>
    <cellStyle name="Separador de milhares 3 13 6 3 2" xfId="9793"/>
    <cellStyle name="Separador de milhares 3 13 6 3 2 2" xfId="28007"/>
    <cellStyle name="Separador de milhares 3 13 6 3 2 2 2" xfId="53074"/>
    <cellStyle name="Separador de milhares 3 13 6 3 2 3" xfId="22093"/>
    <cellStyle name="Separador de milhares 3 13 6 3 2 3 2" xfId="47160"/>
    <cellStyle name="Separador de milhares 3 13 6 3 2 4" xfId="16179"/>
    <cellStyle name="Separador de milhares 3 13 6 3 2 4 2" xfId="41246"/>
    <cellStyle name="Separador de milhares 3 13 6 3 2 5" xfId="35338"/>
    <cellStyle name="Separador de milhares 3 13 6 3 3" xfId="25050"/>
    <cellStyle name="Separador de milhares 3 13 6 3 3 2" xfId="50117"/>
    <cellStyle name="Separador de milhares 3 13 6 3 4" xfId="19136"/>
    <cellStyle name="Separador de milhares 3 13 6 3 4 2" xfId="44203"/>
    <cellStyle name="Separador de milhares 3 13 6 3 5" xfId="13035"/>
    <cellStyle name="Separador de milhares 3 13 6 3 5 2" xfId="38292"/>
    <cellStyle name="Separador de milhares 3 13 6 3 6" xfId="32381"/>
    <cellStyle name="Separador de milhares 3 13 6 4" xfId="8325"/>
    <cellStyle name="Separador de milhares 3 13 6 4 2" xfId="26539"/>
    <cellStyle name="Separador de milhares 3 13 6 4 2 2" xfId="51606"/>
    <cellStyle name="Separador de milhares 3 13 6 4 3" xfId="20625"/>
    <cellStyle name="Separador de milhares 3 13 6 4 3 2" xfId="45692"/>
    <cellStyle name="Separador de milhares 3 13 6 4 4" xfId="14711"/>
    <cellStyle name="Separador de milhares 3 13 6 4 4 2" xfId="39778"/>
    <cellStyle name="Separador de milhares 3 13 6 4 5" xfId="33870"/>
    <cellStyle name="Separador de milhares 3 13 6 5" xfId="4947"/>
    <cellStyle name="Separador de milhares 3 13 6 5 2" xfId="23582"/>
    <cellStyle name="Separador de milhares 3 13 6 5 2 2" xfId="48649"/>
    <cellStyle name="Separador de milhares 3 13 6 5 3" xfId="30913"/>
    <cellStyle name="Separador de milhares 3 13 6 6" xfId="17668"/>
    <cellStyle name="Separador de milhares 3 13 6 6 2" xfId="42735"/>
    <cellStyle name="Separador de milhares 3 13 6 7" xfId="11334"/>
    <cellStyle name="Separador de milhares 3 13 6 7 2" xfId="36824"/>
    <cellStyle name="Separador de milhares 3 13 6 8" xfId="29443"/>
    <cellStyle name="Separador de milhares 3 13 7" xfId="1121"/>
    <cellStyle name="Separador de milhares 3 13 7 2" xfId="6744"/>
    <cellStyle name="Separador de milhares 3 13 7 2 2" xfId="9891"/>
    <cellStyle name="Separador de milhares 3 13 7 2 2 2" xfId="28105"/>
    <cellStyle name="Separador de milhares 3 13 7 2 2 2 2" xfId="53172"/>
    <cellStyle name="Separador de milhares 3 13 7 2 2 3" xfId="22191"/>
    <cellStyle name="Separador de milhares 3 13 7 2 2 3 2" xfId="47258"/>
    <cellStyle name="Separador de milhares 3 13 7 2 2 4" xfId="16277"/>
    <cellStyle name="Separador de milhares 3 13 7 2 2 4 2" xfId="41344"/>
    <cellStyle name="Separador de milhares 3 13 7 2 2 5" xfId="35436"/>
    <cellStyle name="Separador de milhares 3 13 7 2 3" xfId="25148"/>
    <cellStyle name="Separador de milhares 3 13 7 2 3 2" xfId="50215"/>
    <cellStyle name="Separador de milhares 3 13 7 2 4" xfId="19234"/>
    <cellStyle name="Separador de milhares 3 13 7 2 4 2" xfId="44301"/>
    <cellStyle name="Separador de milhares 3 13 7 2 5" xfId="13133"/>
    <cellStyle name="Separador de milhares 3 13 7 2 5 2" xfId="38390"/>
    <cellStyle name="Separador de milhares 3 13 7 2 6" xfId="32479"/>
    <cellStyle name="Separador de milhares 3 13 7 3" xfId="8423"/>
    <cellStyle name="Separador de milhares 3 13 7 3 2" xfId="26637"/>
    <cellStyle name="Separador de milhares 3 13 7 3 2 2" xfId="51704"/>
    <cellStyle name="Separador de milhares 3 13 7 3 3" xfId="20723"/>
    <cellStyle name="Separador de milhares 3 13 7 3 3 2" xfId="45790"/>
    <cellStyle name="Separador de milhares 3 13 7 3 4" xfId="14809"/>
    <cellStyle name="Separador de milhares 3 13 7 3 4 2" xfId="39876"/>
    <cellStyle name="Separador de milhares 3 13 7 3 5" xfId="33968"/>
    <cellStyle name="Separador de milhares 3 13 7 4" xfId="5045"/>
    <cellStyle name="Separador de milhares 3 13 7 4 2" xfId="23680"/>
    <cellStyle name="Separador de milhares 3 13 7 4 2 2" xfId="48747"/>
    <cellStyle name="Separador de milhares 3 13 7 4 3" xfId="31011"/>
    <cellStyle name="Separador de milhares 3 13 7 5" xfId="17766"/>
    <cellStyle name="Separador de milhares 3 13 7 5 2" xfId="42833"/>
    <cellStyle name="Separador de milhares 3 13 7 6" xfId="11432"/>
    <cellStyle name="Separador de milhares 3 13 7 6 2" xfId="36922"/>
    <cellStyle name="Separador de milhares 3 13 7 7" xfId="29541"/>
    <cellStyle name="Separador de milhares 3 13 8" xfId="1556"/>
    <cellStyle name="Separador de milhares 3 13 8 2" xfId="6863"/>
    <cellStyle name="Separador de milhares 3 13 8 2 2" xfId="10010"/>
    <cellStyle name="Separador de milhares 3 13 8 2 2 2" xfId="28224"/>
    <cellStyle name="Separador de milhares 3 13 8 2 2 2 2" xfId="53291"/>
    <cellStyle name="Separador de milhares 3 13 8 2 2 3" xfId="22310"/>
    <cellStyle name="Separador de milhares 3 13 8 2 2 3 2" xfId="47377"/>
    <cellStyle name="Separador de milhares 3 13 8 2 2 4" xfId="16396"/>
    <cellStyle name="Separador de milhares 3 13 8 2 2 4 2" xfId="41463"/>
    <cellStyle name="Separador de milhares 3 13 8 2 2 5" xfId="35555"/>
    <cellStyle name="Separador de milhares 3 13 8 2 3" xfId="25267"/>
    <cellStyle name="Separador de milhares 3 13 8 2 3 2" xfId="50334"/>
    <cellStyle name="Separador de milhares 3 13 8 2 4" xfId="19353"/>
    <cellStyle name="Separador de milhares 3 13 8 2 4 2" xfId="44420"/>
    <cellStyle name="Separador de milhares 3 13 8 2 5" xfId="13252"/>
    <cellStyle name="Separador de milhares 3 13 8 2 5 2" xfId="38509"/>
    <cellStyle name="Separador de milhares 3 13 8 2 6" xfId="32598"/>
    <cellStyle name="Separador de milhares 3 13 8 3" xfId="8542"/>
    <cellStyle name="Separador de milhares 3 13 8 3 2" xfId="26756"/>
    <cellStyle name="Separador de milhares 3 13 8 3 2 2" xfId="51823"/>
    <cellStyle name="Separador de milhares 3 13 8 3 3" xfId="20842"/>
    <cellStyle name="Separador de milhares 3 13 8 3 3 2" xfId="45909"/>
    <cellStyle name="Separador de milhares 3 13 8 3 4" xfId="14928"/>
    <cellStyle name="Separador de milhares 3 13 8 3 4 2" xfId="39995"/>
    <cellStyle name="Separador de milhares 3 13 8 3 5" xfId="34087"/>
    <cellStyle name="Separador de milhares 3 13 8 4" xfId="5164"/>
    <cellStyle name="Separador de milhares 3 13 8 4 2" xfId="23799"/>
    <cellStyle name="Separador de milhares 3 13 8 4 2 2" xfId="48866"/>
    <cellStyle name="Separador de milhares 3 13 8 4 3" xfId="31130"/>
    <cellStyle name="Separador de milhares 3 13 8 5" xfId="17885"/>
    <cellStyle name="Separador de milhares 3 13 8 5 2" xfId="42952"/>
    <cellStyle name="Separador de milhares 3 13 8 6" xfId="11551"/>
    <cellStyle name="Separador de milhares 3 13 8 6 2" xfId="37041"/>
    <cellStyle name="Separador de milhares 3 13 8 7" xfId="29660"/>
    <cellStyle name="Separador de milhares 3 13 9" xfId="2086"/>
    <cellStyle name="Separador de milhares 3 13 9 2" xfId="7013"/>
    <cellStyle name="Separador de milhares 3 13 9 2 2" xfId="10157"/>
    <cellStyle name="Separador de milhares 3 13 9 2 2 2" xfId="28371"/>
    <cellStyle name="Separador de milhares 3 13 9 2 2 2 2" xfId="53438"/>
    <cellStyle name="Separador de milhares 3 13 9 2 2 3" xfId="22457"/>
    <cellStyle name="Separador de milhares 3 13 9 2 2 3 2" xfId="47524"/>
    <cellStyle name="Separador de milhares 3 13 9 2 2 4" xfId="16543"/>
    <cellStyle name="Separador de milhares 3 13 9 2 2 4 2" xfId="41610"/>
    <cellStyle name="Separador de milhares 3 13 9 2 2 5" xfId="35702"/>
    <cellStyle name="Separador de milhares 3 13 9 2 3" xfId="25414"/>
    <cellStyle name="Separador de milhares 3 13 9 2 3 2" xfId="50481"/>
    <cellStyle name="Separador de milhares 3 13 9 2 4" xfId="19500"/>
    <cellStyle name="Separador de milhares 3 13 9 2 4 2" xfId="44567"/>
    <cellStyle name="Separador de milhares 3 13 9 2 5" xfId="13402"/>
    <cellStyle name="Separador de milhares 3 13 9 2 5 2" xfId="38656"/>
    <cellStyle name="Separador de milhares 3 13 9 2 6" xfId="32745"/>
    <cellStyle name="Separador de milhares 3 13 9 3" xfId="8689"/>
    <cellStyle name="Separador de milhares 3 13 9 3 2" xfId="26903"/>
    <cellStyle name="Separador de milhares 3 13 9 3 2 2" xfId="51970"/>
    <cellStyle name="Separador de milhares 3 13 9 3 3" xfId="20989"/>
    <cellStyle name="Separador de milhares 3 13 9 3 3 2" xfId="46056"/>
    <cellStyle name="Separador de milhares 3 13 9 3 4" xfId="15075"/>
    <cellStyle name="Separador de milhares 3 13 9 3 4 2" xfId="40142"/>
    <cellStyle name="Separador de milhares 3 13 9 3 5" xfId="34234"/>
    <cellStyle name="Separador de milhares 3 13 9 4" xfId="5314"/>
    <cellStyle name="Separador de milhares 3 13 9 4 2" xfId="23946"/>
    <cellStyle name="Separador de milhares 3 13 9 4 2 2" xfId="49013"/>
    <cellStyle name="Separador de milhares 3 13 9 4 3" xfId="31277"/>
    <cellStyle name="Separador de milhares 3 13 9 5" xfId="18032"/>
    <cellStyle name="Separador de milhares 3 13 9 5 2" xfId="43099"/>
    <cellStyle name="Separador de milhares 3 13 9 6" xfId="11701"/>
    <cellStyle name="Separador de milhares 3 13 9 6 2" xfId="37188"/>
    <cellStyle name="Separador de milhares 3 13 9 7" xfId="29807"/>
    <cellStyle name="Separador de milhares 3 14" xfId="42"/>
    <cellStyle name="Separador de milhares 3 14 10" xfId="2545"/>
    <cellStyle name="Separador de milhares 3 14 10 2" xfId="7143"/>
    <cellStyle name="Separador de milhares 3 14 10 2 2" xfId="10287"/>
    <cellStyle name="Separador de milhares 3 14 10 2 2 2" xfId="28501"/>
    <cellStyle name="Separador de milhares 3 14 10 2 2 2 2" xfId="53568"/>
    <cellStyle name="Separador de milhares 3 14 10 2 2 3" xfId="22587"/>
    <cellStyle name="Separador de milhares 3 14 10 2 2 3 2" xfId="47654"/>
    <cellStyle name="Separador de milhares 3 14 10 2 2 4" xfId="16673"/>
    <cellStyle name="Separador de milhares 3 14 10 2 2 4 2" xfId="41740"/>
    <cellStyle name="Separador de milhares 3 14 10 2 2 5" xfId="35832"/>
    <cellStyle name="Separador de milhares 3 14 10 2 3" xfId="25544"/>
    <cellStyle name="Separador de milhares 3 14 10 2 3 2" xfId="50611"/>
    <cellStyle name="Separador de milhares 3 14 10 2 4" xfId="19630"/>
    <cellStyle name="Separador de milhares 3 14 10 2 4 2" xfId="44697"/>
    <cellStyle name="Separador de milhares 3 14 10 2 5" xfId="13532"/>
    <cellStyle name="Separador de milhares 3 14 10 2 5 2" xfId="38786"/>
    <cellStyle name="Separador de milhares 3 14 10 2 6" xfId="32875"/>
    <cellStyle name="Separador de milhares 3 14 10 3" xfId="8819"/>
    <cellStyle name="Separador de milhares 3 14 10 3 2" xfId="27033"/>
    <cellStyle name="Separador de milhares 3 14 10 3 2 2" xfId="52100"/>
    <cellStyle name="Separador de milhares 3 14 10 3 3" xfId="21119"/>
    <cellStyle name="Separador de milhares 3 14 10 3 3 2" xfId="46186"/>
    <cellStyle name="Separador de milhares 3 14 10 3 4" xfId="15205"/>
    <cellStyle name="Separador de milhares 3 14 10 3 4 2" xfId="40272"/>
    <cellStyle name="Separador de milhares 3 14 10 3 5" xfId="34364"/>
    <cellStyle name="Separador de milhares 3 14 10 4" xfId="5444"/>
    <cellStyle name="Separador de milhares 3 14 10 4 2" xfId="24076"/>
    <cellStyle name="Separador de milhares 3 14 10 4 2 2" xfId="49143"/>
    <cellStyle name="Separador de milhares 3 14 10 4 3" xfId="31407"/>
    <cellStyle name="Separador de milhares 3 14 10 5" xfId="18162"/>
    <cellStyle name="Separador de milhares 3 14 10 5 2" xfId="43229"/>
    <cellStyle name="Separador de milhares 3 14 10 6" xfId="11831"/>
    <cellStyle name="Separador de milhares 3 14 10 6 2" xfId="37318"/>
    <cellStyle name="Separador de milhares 3 14 10 7" xfId="29937"/>
    <cellStyle name="Separador de milhares 3 14 11" xfId="3072"/>
    <cellStyle name="Separador de milhares 3 14 11 2" xfId="7290"/>
    <cellStyle name="Separador de milhares 3 14 11 2 2" xfId="10434"/>
    <cellStyle name="Separador de milhares 3 14 11 2 2 2" xfId="28648"/>
    <cellStyle name="Separador de milhares 3 14 11 2 2 2 2" xfId="53715"/>
    <cellStyle name="Separador de milhares 3 14 11 2 2 3" xfId="22734"/>
    <cellStyle name="Separador de milhares 3 14 11 2 2 3 2" xfId="47801"/>
    <cellStyle name="Separador de milhares 3 14 11 2 2 4" xfId="16820"/>
    <cellStyle name="Separador de milhares 3 14 11 2 2 4 2" xfId="41887"/>
    <cellStyle name="Separador de milhares 3 14 11 2 2 5" xfId="35979"/>
    <cellStyle name="Separador de milhares 3 14 11 2 3" xfId="25691"/>
    <cellStyle name="Separador de milhares 3 14 11 2 3 2" xfId="50758"/>
    <cellStyle name="Separador de milhares 3 14 11 2 4" xfId="19777"/>
    <cellStyle name="Separador de milhares 3 14 11 2 4 2" xfId="44844"/>
    <cellStyle name="Separador de milhares 3 14 11 2 5" xfId="13679"/>
    <cellStyle name="Separador de milhares 3 14 11 2 5 2" xfId="38933"/>
    <cellStyle name="Separador de milhares 3 14 11 2 6" xfId="33022"/>
    <cellStyle name="Separador de milhares 3 14 11 3" xfId="8966"/>
    <cellStyle name="Separador de milhares 3 14 11 3 2" xfId="27180"/>
    <cellStyle name="Separador de milhares 3 14 11 3 2 2" xfId="52247"/>
    <cellStyle name="Separador de milhares 3 14 11 3 3" xfId="21266"/>
    <cellStyle name="Separador de milhares 3 14 11 3 3 2" xfId="46333"/>
    <cellStyle name="Separador de milhares 3 14 11 3 4" xfId="15352"/>
    <cellStyle name="Separador de milhares 3 14 11 3 4 2" xfId="40419"/>
    <cellStyle name="Separador de milhares 3 14 11 3 5" xfId="34511"/>
    <cellStyle name="Separador de milhares 3 14 11 4" xfId="5591"/>
    <cellStyle name="Separador de milhares 3 14 11 4 2" xfId="24223"/>
    <cellStyle name="Separador de milhares 3 14 11 4 2 2" xfId="49290"/>
    <cellStyle name="Separador de milhares 3 14 11 4 3" xfId="31554"/>
    <cellStyle name="Separador de milhares 3 14 11 5" xfId="18309"/>
    <cellStyle name="Separador de milhares 3 14 11 5 2" xfId="43376"/>
    <cellStyle name="Separador de milhares 3 14 11 6" xfId="11978"/>
    <cellStyle name="Separador de milhares 3 14 11 6 2" xfId="37465"/>
    <cellStyle name="Separador de milhares 3 14 11 7" xfId="30084"/>
    <cellStyle name="Separador de milhares 3 14 12" xfId="3599"/>
    <cellStyle name="Separador de milhares 3 14 12 2" xfId="7437"/>
    <cellStyle name="Separador de milhares 3 14 12 2 2" xfId="10581"/>
    <cellStyle name="Separador de milhares 3 14 12 2 2 2" xfId="28795"/>
    <cellStyle name="Separador de milhares 3 14 12 2 2 2 2" xfId="53862"/>
    <cellStyle name="Separador de milhares 3 14 12 2 2 3" xfId="22881"/>
    <cellStyle name="Separador de milhares 3 14 12 2 2 3 2" xfId="47948"/>
    <cellStyle name="Separador de milhares 3 14 12 2 2 4" xfId="16967"/>
    <cellStyle name="Separador de milhares 3 14 12 2 2 4 2" xfId="42034"/>
    <cellStyle name="Separador de milhares 3 14 12 2 2 5" xfId="36126"/>
    <cellStyle name="Separador de milhares 3 14 12 2 3" xfId="25838"/>
    <cellStyle name="Separador de milhares 3 14 12 2 3 2" xfId="50905"/>
    <cellStyle name="Separador de milhares 3 14 12 2 4" xfId="19924"/>
    <cellStyle name="Separador de milhares 3 14 12 2 4 2" xfId="44991"/>
    <cellStyle name="Separador de milhares 3 14 12 2 5" xfId="13826"/>
    <cellStyle name="Separador de milhares 3 14 12 2 5 2" xfId="39080"/>
    <cellStyle name="Separador de milhares 3 14 12 2 6" xfId="33169"/>
    <cellStyle name="Separador de milhares 3 14 12 3" xfId="9113"/>
    <cellStyle name="Separador de milhares 3 14 12 3 2" xfId="27327"/>
    <cellStyle name="Separador de milhares 3 14 12 3 2 2" xfId="52394"/>
    <cellStyle name="Separador de milhares 3 14 12 3 3" xfId="21413"/>
    <cellStyle name="Separador de milhares 3 14 12 3 3 2" xfId="46480"/>
    <cellStyle name="Separador de milhares 3 14 12 3 4" xfId="15499"/>
    <cellStyle name="Separador de milhares 3 14 12 3 4 2" xfId="40566"/>
    <cellStyle name="Separador de milhares 3 14 12 3 5" xfId="34658"/>
    <cellStyle name="Separador de milhares 3 14 12 4" xfId="5738"/>
    <cellStyle name="Separador de milhares 3 14 12 4 2" xfId="24370"/>
    <cellStyle name="Separador de milhares 3 14 12 4 2 2" xfId="49437"/>
    <cellStyle name="Separador de milhares 3 14 12 4 3" xfId="31701"/>
    <cellStyle name="Separador de milhares 3 14 12 5" xfId="18456"/>
    <cellStyle name="Separador de milhares 3 14 12 5 2" xfId="43523"/>
    <cellStyle name="Separador de milhares 3 14 12 6" xfId="12125"/>
    <cellStyle name="Separador de milhares 3 14 12 6 2" xfId="37612"/>
    <cellStyle name="Separador de milhares 3 14 12 7" xfId="30231"/>
    <cellStyle name="Separador de milhares 3 14 13" xfId="6421"/>
    <cellStyle name="Separador de milhares 3 14 13 2" xfId="9577"/>
    <cellStyle name="Separador de milhares 3 14 13 2 2" xfId="27791"/>
    <cellStyle name="Separador de milhares 3 14 13 2 2 2" xfId="52858"/>
    <cellStyle name="Separador de milhares 3 14 13 2 3" xfId="21877"/>
    <cellStyle name="Separador de milhares 3 14 13 2 3 2" xfId="46944"/>
    <cellStyle name="Separador de milhares 3 14 13 2 4" xfId="15963"/>
    <cellStyle name="Separador de milhares 3 14 13 2 4 2" xfId="41030"/>
    <cellStyle name="Separador de milhares 3 14 13 2 5" xfId="35122"/>
    <cellStyle name="Separador de milhares 3 14 13 3" xfId="24834"/>
    <cellStyle name="Separador de milhares 3 14 13 3 2" xfId="49901"/>
    <cellStyle name="Separador de milhares 3 14 13 4" xfId="18920"/>
    <cellStyle name="Separador de milhares 3 14 13 4 2" xfId="43987"/>
    <cellStyle name="Separador de milhares 3 14 13 5" xfId="12810"/>
    <cellStyle name="Separador de milhares 3 14 13 5 2" xfId="38076"/>
    <cellStyle name="Separador de milhares 3 14 13 6" xfId="32165"/>
    <cellStyle name="Separador de milhares 3 14 14" xfId="8106"/>
    <cellStyle name="Separador de milhares 3 14 14 2" xfId="26320"/>
    <cellStyle name="Separador de milhares 3 14 14 2 2" xfId="51387"/>
    <cellStyle name="Separador de milhares 3 14 14 3" xfId="20406"/>
    <cellStyle name="Separador de milhares 3 14 14 3 2" xfId="45473"/>
    <cellStyle name="Separador de milhares 3 14 14 4" xfId="14495"/>
    <cellStyle name="Separador de milhares 3 14 14 4 2" xfId="39562"/>
    <cellStyle name="Separador de milhares 3 14 14 5" xfId="33651"/>
    <cellStyle name="Separador de milhares 3 14 15" xfId="4719"/>
    <cellStyle name="Separador de milhares 3 14 15 2" xfId="23363"/>
    <cellStyle name="Separador de milhares 3 14 15 2 2" xfId="48430"/>
    <cellStyle name="Separador de milhares 3 14 15 3" xfId="30695"/>
    <cellStyle name="Separador de milhares 3 14 16" xfId="17449"/>
    <cellStyle name="Separador de milhares 3 14 16 2" xfId="42516"/>
    <cellStyle name="Separador de milhares 3 14 17" xfId="11109"/>
    <cellStyle name="Separador de milhares 3 14 17 2" xfId="36608"/>
    <cellStyle name="Separador de milhares 3 14 18" xfId="29223"/>
    <cellStyle name="Separador de milhares 3 14 2" xfId="136"/>
    <cellStyle name="Separador de milhares 3 14 2 10" xfId="6450"/>
    <cellStyle name="Separador de milhares 3 14 2 10 2" xfId="9604"/>
    <cellStyle name="Separador de milhares 3 14 2 10 2 2" xfId="27818"/>
    <cellStyle name="Separador de milhares 3 14 2 10 2 2 2" xfId="52885"/>
    <cellStyle name="Separador de milhares 3 14 2 10 2 3" xfId="21904"/>
    <cellStyle name="Separador de milhares 3 14 2 10 2 3 2" xfId="46971"/>
    <cellStyle name="Separador de milhares 3 14 2 10 2 4" xfId="15990"/>
    <cellStyle name="Separador de milhares 3 14 2 10 2 4 2" xfId="41057"/>
    <cellStyle name="Separador de milhares 3 14 2 10 2 5" xfId="35149"/>
    <cellStyle name="Separador de milhares 3 14 2 10 3" xfId="24861"/>
    <cellStyle name="Separador de milhares 3 14 2 10 3 2" xfId="49928"/>
    <cellStyle name="Separador de milhares 3 14 2 10 4" xfId="18947"/>
    <cellStyle name="Separador de milhares 3 14 2 10 4 2" xfId="44014"/>
    <cellStyle name="Separador de milhares 3 14 2 10 5" xfId="12839"/>
    <cellStyle name="Separador de milhares 3 14 2 10 5 2" xfId="38103"/>
    <cellStyle name="Separador de milhares 3 14 2 10 6" xfId="32192"/>
    <cellStyle name="Separador de milhares 3 14 2 11" xfId="8133"/>
    <cellStyle name="Separador de milhares 3 14 2 11 2" xfId="26347"/>
    <cellStyle name="Separador de milhares 3 14 2 11 2 2" xfId="51414"/>
    <cellStyle name="Separador de milhares 3 14 2 11 3" xfId="20433"/>
    <cellStyle name="Separador de milhares 3 14 2 11 3 2" xfId="45500"/>
    <cellStyle name="Separador de milhares 3 14 2 11 4" xfId="14522"/>
    <cellStyle name="Separador de milhares 3 14 2 11 4 2" xfId="39589"/>
    <cellStyle name="Separador de milhares 3 14 2 11 5" xfId="33678"/>
    <cellStyle name="Separador de milhares 3 14 2 12" xfId="4749"/>
    <cellStyle name="Separador de milhares 3 14 2 12 2" xfId="23390"/>
    <cellStyle name="Separador de milhares 3 14 2 12 2 2" xfId="48457"/>
    <cellStyle name="Separador de milhares 3 14 2 12 3" xfId="30722"/>
    <cellStyle name="Separador de milhares 3 14 2 13" xfId="17476"/>
    <cellStyle name="Separador de milhares 3 14 2 13 2" xfId="42543"/>
    <cellStyle name="Separador de milhares 3 14 2 14" xfId="11138"/>
    <cellStyle name="Separador de milhares 3 14 2 14 2" xfId="36635"/>
    <cellStyle name="Separador de milhares 3 14 2 15" xfId="29251"/>
    <cellStyle name="Separador de milhares 3 14 2 2" xfId="409"/>
    <cellStyle name="Separador de milhares 3 14 2 2 10" xfId="17550"/>
    <cellStyle name="Separador de milhares 3 14 2 2 10 2" xfId="42617"/>
    <cellStyle name="Separador de milhares 3 14 2 2 11" xfId="11219"/>
    <cellStyle name="Separador de milhares 3 14 2 2 11 2" xfId="36709"/>
    <cellStyle name="Separador de milhares 3 14 2 2 12" xfId="29325"/>
    <cellStyle name="Separador de milhares 3 14 2 2 2" xfId="1928"/>
    <cellStyle name="Separador de milhares 3 14 2 2 2 2" xfId="6969"/>
    <cellStyle name="Separador de milhares 3 14 2 2 2 2 2" xfId="10116"/>
    <cellStyle name="Separador de milhares 3 14 2 2 2 2 2 2" xfId="28330"/>
    <cellStyle name="Separador de milhares 3 14 2 2 2 2 2 2 2" xfId="53397"/>
    <cellStyle name="Separador de milhares 3 14 2 2 2 2 2 3" xfId="22416"/>
    <cellStyle name="Separador de milhares 3 14 2 2 2 2 2 3 2" xfId="47483"/>
    <cellStyle name="Separador de milhares 3 14 2 2 2 2 2 4" xfId="16502"/>
    <cellStyle name="Separador de milhares 3 14 2 2 2 2 2 4 2" xfId="41569"/>
    <cellStyle name="Separador de milhares 3 14 2 2 2 2 2 5" xfId="35661"/>
    <cellStyle name="Separador de milhares 3 14 2 2 2 2 3" xfId="25373"/>
    <cellStyle name="Separador de milhares 3 14 2 2 2 2 3 2" xfId="50440"/>
    <cellStyle name="Separador de milhares 3 14 2 2 2 2 4" xfId="19459"/>
    <cellStyle name="Separador de milhares 3 14 2 2 2 2 4 2" xfId="44526"/>
    <cellStyle name="Separador de milhares 3 14 2 2 2 2 5" xfId="13358"/>
    <cellStyle name="Separador de milhares 3 14 2 2 2 2 5 2" xfId="38615"/>
    <cellStyle name="Separador de milhares 3 14 2 2 2 2 6" xfId="32704"/>
    <cellStyle name="Separador de milhares 3 14 2 2 2 3" xfId="8648"/>
    <cellStyle name="Separador de milhares 3 14 2 2 2 3 2" xfId="26862"/>
    <cellStyle name="Separador de milhares 3 14 2 2 2 3 2 2" xfId="51929"/>
    <cellStyle name="Separador de milhares 3 14 2 2 2 3 3" xfId="20948"/>
    <cellStyle name="Separador de milhares 3 14 2 2 2 3 3 2" xfId="46015"/>
    <cellStyle name="Separador de milhares 3 14 2 2 2 3 4" xfId="15034"/>
    <cellStyle name="Separador de milhares 3 14 2 2 2 3 4 2" xfId="40101"/>
    <cellStyle name="Separador de milhares 3 14 2 2 2 3 5" xfId="34193"/>
    <cellStyle name="Separador de milhares 3 14 2 2 2 4" xfId="5270"/>
    <cellStyle name="Separador de milhares 3 14 2 2 2 4 2" xfId="23905"/>
    <cellStyle name="Separador de milhares 3 14 2 2 2 4 2 2" xfId="48972"/>
    <cellStyle name="Separador de milhares 3 14 2 2 2 4 3" xfId="31236"/>
    <cellStyle name="Separador de milhares 3 14 2 2 2 5" xfId="17991"/>
    <cellStyle name="Separador de milhares 3 14 2 2 2 5 2" xfId="43058"/>
    <cellStyle name="Separador de milhares 3 14 2 2 2 6" xfId="11657"/>
    <cellStyle name="Separador de milhares 3 14 2 2 2 6 2" xfId="37147"/>
    <cellStyle name="Separador de milhares 3 14 2 2 2 7" xfId="29766"/>
    <cellStyle name="Separador de milhares 3 14 2 2 3" xfId="2458"/>
    <cellStyle name="Separador de milhares 3 14 2 2 3 2" xfId="7119"/>
    <cellStyle name="Separador de milhares 3 14 2 2 3 2 2" xfId="10263"/>
    <cellStyle name="Separador de milhares 3 14 2 2 3 2 2 2" xfId="28477"/>
    <cellStyle name="Separador de milhares 3 14 2 2 3 2 2 2 2" xfId="53544"/>
    <cellStyle name="Separador de milhares 3 14 2 2 3 2 2 3" xfId="22563"/>
    <cellStyle name="Separador de milhares 3 14 2 2 3 2 2 3 2" xfId="47630"/>
    <cellStyle name="Separador de milhares 3 14 2 2 3 2 2 4" xfId="16649"/>
    <cellStyle name="Separador de milhares 3 14 2 2 3 2 2 4 2" xfId="41716"/>
    <cellStyle name="Separador de milhares 3 14 2 2 3 2 2 5" xfId="35808"/>
    <cellStyle name="Separador de milhares 3 14 2 2 3 2 3" xfId="25520"/>
    <cellStyle name="Separador de milhares 3 14 2 2 3 2 3 2" xfId="50587"/>
    <cellStyle name="Separador de milhares 3 14 2 2 3 2 4" xfId="19606"/>
    <cellStyle name="Separador de milhares 3 14 2 2 3 2 4 2" xfId="44673"/>
    <cellStyle name="Separador de milhares 3 14 2 2 3 2 5" xfId="13508"/>
    <cellStyle name="Separador de milhares 3 14 2 2 3 2 5 2" xfId="38762"/>
    <cellStyle name="Separador de milhares 3 14 2 2 3 2 6" xfId="32851"/>
    <cellStyle name="Separador de milhares 3 14 2 2 3 3" xfId="8795"/>
    <cellStyle name="Separador de milhares 3 14 2 2 3 3 2" xfId="27009"/>
    <cellStyle name="Separador de milhares 3 14 2 2 3 3 2 2" xfId="52076"/>
    <cellStyle name="Separador de milhares 3 14 2 2 3 3 3" xfId="21095"/>
    <cellStyle name="Separador de milhares 3 14 2 2 3 3 3 2" xfId="46162"/>
    <cellStyle name="Separador de milhares 3 14 2 2 3 3 4" xfId="15181"/>
    <cellStyle name="Separador de milhares 3 14 2 2 3 3 4 2" xfId="40248"/>
    <cellStyle name="Separador de milhares 3 14 2 2 3 3 5" xfId="34340"/>
    <cellStyle name="Separador de milhares 3 14 2 2 3 4" xfId="5420"/>
    <cellStyle name="Separador de milhares 3 14 2 2 3 4 2" xfId="24052"/>
    <cellStyle name="Separador de milhares 3 14 2 2 3 4 2 2" xfId="49119"/>
    <cellStyle name="Separador de milhares 3 14 2 2 3 4 3" xfId="31383"/>
    <cellStyle name="Separador de milhares 3 14 2 2 3 5" xfId="18138"/>
    <cellStyle name="Separador de milhares 3 14 2 2 3 5 2" xfId="43205"/>
    <cellStyle name="Separador de milhares 3 14 2 2 3 6" xfId="11807"/>
    <cellStyle name="Separador de milhares 3 14 2 2 3 6 2" xfId="37294"/>
    <cellStyle name="Separador de milhares 3 14 2 2 3 7" xfId="29913"/>
    <cellStyle name="Separador de milhares 3 14 2 2 4" xfId="2985"/>
    <cellStyle name="Separador de milhares 3 14 2 2 4 2" xfId="7266"/>
    <cellStyle name="Separador de milhares 3 14 2 2 4 2 2" xfId="10410"/>
    <cellStyle name="Separador de milhares 3 14 2 2 4 2 2 2" xfId="28624"/>
    <cellStyle name="Separador de milhares 3 14 2 2 4 2 2 2 2" xfId="53691"/>
    <cellStyle name="Separador de milhares 3 14 2 2 4 2 2 3" xfId="22710"/>
    <cellStyle name="Separador de milhares 3 14 2 2 4 2 2 3 2" xfId="47777"/>
    <cellStyle name="Separador de milhares 3 14 2 2 4 2 2 4" xfId="16796"/>
    <cellStyle name="Separador de milhares 3 14 2 2 4 2 2 4 2" xfId="41863"/>
    <cellStyle name="Separador de milhares 3 14 2 2 4 2 2 5" xfId="35955"/>
    <cellStyle name="Separador de milhares 3 14 2 2 4 2 3" xfId="25667"/>
    <cellStyle name="Separador de milhares 3 14 2 2 4 2 3 2" xfId="50734"/>
    <cellStyle name="Separador de milhares 3 14 2 2 4 2 4" xfId="19753"/>
    <cellStyle name="Separador de milhares 3 14 2 2 4 2 4 2" xfId="44820"/>
    <cellStyle name="Separador de milhares 3 14 2 2 4 2 5" xfId="13655"/>
    <cellStyle name="Separador de milhares 3 14 2 2 4 2 5 2" xfId="38909"/>
    <cellStyle name="Separador de milhares 3 14 2 2 4 2 6" xfId="32998"/>
    <cellStyle name="Separador de milhares 3 14 2 2 4 3" xfId="8942"/>
    <cellStyle name="Separador de milhares 3 14 2 2 4 3 2" xfId="27156"/>
    <cellStyle name="Separador de milhares 3 14 2 2 4 3 2 2" xfId="52223"/>
    <cellStyle name="Separador de milhares 3 14 2 2 4 3 3" xfId="21242"/>
    <cellStyle name="Separador de milhares 3 14 2 2 4 3 3 2" xfId="46309"/>
    <cellStyle name="Separador de milhares 3 14 2 2 4 3 4" xfId="15328"/>
    <cellStyle name="Separador de milhares 3 14 2 2 4 3 4 2" xfId="40395"/>
    <cellStyle name="Separador de milhares 3 14 2 2 4 3 5" xfId="34487"/>
    <cellStyle name="Separador de milhares 3 14 2 2 4 4" xfId="5567"/>
    <cellStyle name="Separador de milhares 3 14 2 2 4 4 2" xfId="24199"/>
    <cellStyle name="Separador de milhares 3 14 2 2 4 4 2 2" xfId="49266"/>
    <cellStyle name="Separador de milhares 3 14 2 2 4 4 3" xfId="31530"/>
    <cellStyle name="Separador de milhares 3 14 2 2 4 5" xfId="18285"/>
    <cellStyle name="Separador de milhares 3 14 2 2 4 5 2" xfId="43352"/>
    <cellStyle name="Separador de milhares 3 14 2 2 4 6" xfId="11954"/>
    <cellStyle name="Separador de milhares 3 14 2 2 4 6 2" xfId="37441"/>
    <cellStyle name="Separador de milhares 3 14 2 2 4 7" xfId="30060"/>
    <cellStyle name="Separador de milhares 3 14 2 2 5" xfId="3512"/>
    <cellStyle name="Separador de milhares 3 14 2 2 5 2" xfId="7413"/>
    <cellStyle name="Separador de milhares 3 14 2 2 5 2 2" xfId="10557"/>
    <cellStyle name="Separador de milhares 3 14 2 2 5 2 2 2" xfId="28771"/>
    <cellStyle name="Separador de milhares 3 14 2 2 5 2 2 2 2" xfId="53838"/>
    <cellStyle name="Separador de milhares 3 14 2 2 5 2 2 3" xfId="22857"/>
    <cellStyle name="Separador de milhares 3 14 2 2 5 2 2 3 2" xfId="47924"/>
    <cellStyle name="Separador de milhares 3 14 2 2 5 2 2 4" xfId="16943"/>
    <cellStyle name="Separador de milhares 3 14 2 2 5 2 2 4 2" xfId="42010"/>
    <cellStyle name="Separador de milhares 3 14 2 2 5 2 2 5" xfId="36102"/>
    <cellStyle name="Separador de milhares 3 14 2 2 5 2 3" xfId="25814"/>
    <cellStyle name="Separador de milhares 3 14 2 2 5 2 3 2" xfId="50881"/>
    <cellStyle name="Separador de milhares 3 14 2 2 5 2 4" xfId="19900"/>
    <cellStyle name="Separador de milhares 3 14 2 2 5 2 4 2" xfId="44967"/>
    <cellStyle name="Separador de milhares 3 14 2 2 5 2 5" xfId="13802"/>
    <cellStyle name="Separador de milhares 3 14 2 2 5 2 5 2" xfId="39056"/>
    <cellStyle name="Separador de milhares 3 14 2 2 5 2 6" xfId="33145"/>
    <cellStyle name="Separador de milhares 3 14 2 2 5 3" xfId="9089"/>
    <cellStyle name="Separador de milhares 3 14 2 2 5 3 2" xfId="27303"/>
    <cellStyle name="Separador de milhares 3 14 2 2 5 3 2 2" xfId="52370"/>
    <cellStyle name="Separador de milhares 3 14 2 2 5 3 3" xfId="21389"/>
    <cellStyle name="Separador de milhares 3 14 2 2 5 3 3 2" xfId="46456"/>
    <cellStyle name="Separador de milhares 3 14 2 2 5 3 4" xfId="15475"/>
    <cellStyle name="Separador de milhares 3 14 2 2 5 3 4 2" xfId="40542"/>
    <cellStyle name="Separador de milhares 3 14 2 2 5 3 5" xfId="34634"/>
    <cellStyle name="Separador de milhares 3 14 2 2 5 4" xfId="5714"/>
    <cellStyle name="Separador de milhares 3 14 2 2 5 4 2" xfId="24346"/>
    <cellStyle name="Separador de milhares 3 14 2 2 5 4 2 2" xfId="49413"/>
    <cellStyle name="Separador de milhares 3 14 2 2 5 4 3" xfId="31677"/>
    <cellStyle name="Separador de milhares 3 14 2 2 5 5" xfId="18432"/>
    <cellStyle name="Separador de milhares 3 14 2 2 5 5 2" xfId="43499"/>
    <cellStyle name="Separador de milhares 3 14 2 2 5 6" xfId="12101"/>
    <cellStyle name="Separador de milhares 3 14 2 2 5 6 2" xfId="37588"/>
    <cellStyle name="Separador de milhares 3 14 2 2 5 7" xfId="30207"/>
    <cellStyle name="Separador de milhares 3 14 2 2 6" xfId="4039"/>
    <cellStyle name="Separador de milhares 3 14 2 2 6 2" xfId="7560"/>
    <cellStyle name="Separador de milhares 3 14 2 2 6 2 2" xfId="10704"/>
    <cellStyle name="Separador de milhares 3 14 2 2 6 2 2 2" xfId="28918"/>
    <cellStyle name="Separador de milhares 3 14 2 2 6 2 2 2 2" xfId="53985"/>
    <cellStyle name="Separador de milhares 3 14 2 2 6 2 2 3" xfId="23004"/>
    <cellStyle name="Separador de milhares 3 14 2 2 6 2 2 3 2" xfId="48071"/>
    <cellStyle name="Separador de milhares 3 14 2 2 6 2 2 4" xfId="17090"/>
    <cellStyle name="Separador de milhares 3 14 2 2 6 2 2 4 2" xfId="42157"/>
    <cellStyle name="Separador de milhares 3 14 2 2 6 2 2 5" xfId="36249"/>
    <cellStyle name="Separador de milhares 3 14 2 2 6 2 3" xfId="25961"/>
    <cellStyle name="Separador de milhares 3 14 2 2 6 2 3 2" xfId="51028"/>
    <cellStyle name="Separador de milhares 3 14 2 2 6 2 4" xfId="20047"/>
    <cellStyle name="Separador de milhares 3 14 2 2 6 2 4 2" xfId="45114"/>
    <cellStyle name="Separador de milhares 3 14 2 2 6 2 5" xfId="13949"/>
    <cellStyle name="Separador de milhares 3 14 2 2 6 2 5 2" xfId="39203"/>
    <cellStyle name="Separador de milhares 3 14 2 2 6 2 6" xfId="33292"/>
    <cellStyle name="Separador de milhares 3 14 2 2 6 3" xfId="9236"/>
    <cellStyle name="Separador de milhares 3 14 2 2 6 3 2" xfId="27450"/>
    <cellStyle name="Separador de milhares 3 14 2 2 6 3 2 2" xfId="52517"/>
    <cellStyle name="Separador de milhares 3 14 2 2 6 3 3" xfId="21536"/>
    <cellStyle name="Separador de milhares 3 14 2 2 6 3 3 2" xfId="46603"/>
    <cellStyle name="Separador de milhares 3 14 2 2 6 3 4" xfId="15622"/>
    <cellStyle name="Separador de milhares 3 14 2 2 6 3 4 2" xfId="40689"/>
    <cellStyle name="Separador de milhares 3 14 2 2 6 3 5" xfId="34781"/>
    <cellStyle name="Separador de milhares 3 14 2 2 6 4" xfId="5861"/>
    <cellStyle name="Separador de milhares 3 14 2 2 6 4 2" xfId="24493"/>
    <cellStyle name="Separador de milhares 3 14 2 2 6 4 2 2" xfId="49560"/>
    <cellStyle name="Separador de milhares 3 14 2 2 6 4 3" xfId="31824"/>
    <cellStyle name="Separador de milhares 3 14 2 2 6 5" xfId="18579"/>
    <cellStyle name="Separador de milhares 3 14 2 2 6 5 2" xfId="43646"/>
    <cellStyle name="Separador de milhares 3 14 2 2 6 6" xfId="12248"/>
    <cellStyle name="Separador de milhares 3 14 2 2 6 6 2" xfId="37735"/>
    <cellStyle name="Separador de milhares 3 14 2 2 6 7" xfId="30354"/>
    <cellStyle name="Separador de milhares 3 14 2 2 7" xfId="6531"/>
    <cellStyle name="Separador de milhares 3 14 2 2 7 2" xfId="9678"/>
    <cellStyle name="Separador de milhares 3 14 2 2 7 2 2" xfId="27892"/>
    <cellStyle name="Separador de milhares 3 14 2 2 7 2 2 2" xfId="52959"/>
    <cellStyle name="Separador de milhares 3 14 2 2 7 2 3" xfId="21978"/>
    <cellStyle name="Separador de milhares 3 14 2 2 7 2 3 2" xfId="47045"/>
    <cellStyle name="Separador de milhares 3 14 2 2 7 2 4" xfId="16064"/>
    <cellStyle name="Separador de milhares 3 14 2 2 7 2 4 2" xfId="41131"/>
    <cellStyle name="Separador de milhares 3 14 2 2 7 2 5" xfId="35223"/>
    <cellStyle name="Separador de milhares 3 14 2 2 7 3" xfId="24935"/>
    <cellStyle name="Separador de milhares 3 14 2 2 7 3 2" xfId="50002"/>
    <cellStyle name="Separador de milhares 3 14 2 2 7 4" xfId="19021"/>
    <cellStyle name="Separador de milhares 3 14 2 2 7 4 2" xfId="44088"/>
    <cellStyle name="Separador de milhares 3 14 2 2 7 5" xfId="12920"/>
    <cellStyle name="Separador de milhares 3 14 2 2 7 5 2" xfId="38177"/>
    <cellStyle name="Separador de milhares 3 14 2 2 7 6" xfId="32266"/>
    <cellStyle name="Separador de milhares 3 14 2 2 8" xfId="8207"/>
    <cellStyle name="Separador de milhares 3 14 2 2 8 2" xfId="26421"/>
    <cellStyle name="Separador de milhares 3 14 2 2 8 2 2" xfId="51488"/>
    <cellStyle name="Separador de milhares 3 14 2 2 8 3" xfId="20507"/>
    <cellStyle name="Separador de milhares 3 14 2 2 8 3 2" xfId="45574"/>
    <cellStyle name="Separador de milhares 3 14 2 2 8 4" xfId="14596"/>
    <cellStyle name="Separador de milhares 3 14 2 2 8 4 2" xfId="39663"/>
    <cellStyle name="Separador de milhares 3 14 2 2 8 5" xfId="33752"/>
    <cellStyle name="Separador de milhares 3 14 2 2 9" xfId="4830"/>
    <cellStyle name="Separador de milhares 3 14 2 2 9 2" xfId="23464"/>
    <cellStyle name="Separador de milhares 3 14 2 2 9 2 2" xfId="48531"/>
    <cellStyle name="Separador de milhares 3 14 2 2 9 3" xfId="30796"/>
    <cellStyle name="Separador de milhares 3 14 2 3" xfId="882"/>
    <cellStyle name="Separador de milhares 3 14 2 3 2" xfId="6682"/>
    <cellStyle name="Separador de milhares 3 14 2 3 2 2" xfId="9829"/>
    <cellStyle name="Separador de milhares 3 14 2 3 2 2 2" xfId="28043"/>
    <cellStyle name="Separador de milhares 3 14 2 3 2 2 2 2" xfId="53110"/>
    <cellStyle name="Separador de milhares 3 14 2 3 2 2 3" xfId="22129"/>
    <cellStyle name="Separador de milhares 3 14 2 3 2 2 3 2" xfId="47196"/>
    <cellStyle name="Separador de milhares 3 14 2 3 2 2 4" xfId="16215"/>
    <cellStyle name="Separador de milhares 3 14 2 3 2 2 4 2" xfId="41282"/>
    <cellStyle name="Separador de milhares 3 14 2 3 2 2 5" xfId="35374"/>
    <cellStyle name="Separador de milhares 3 14 2 3 2 3" xfId="25086"/>
    <cellStyle name="Separador de milhares 3 14 2 3 2 3 2" xfId="50153"/>
    <cellStyle name="Separador de milhares 3 14 2 3 2 4" xfId="19172"/>
    <cellStyle name="Separador de milhares 3 14 2 3 2 4 2" xfId="44239"/>
    <cellStyle name="Separador de milhares 3 14 2 3 2 5" xfId="13071"/>
    <cellStyle name="Separador de milhares 3 14 2 3 2 5 2" xfId="38328"/>
    <cellStyle name="Separador de milhares 3 14 2 3 2 6" xfId="32417"/>
    <cellStyle name="Separador de milhares 3 14 2 3 3" xfId="8361"/>
    <cellStyle name="Separador de milhares 3 14 2 3 3 2" xfId="26575"/>
    <cellStyle name="Separador de milhares 3 14 2 3 3 2 2" xfId="51642"/>
    <cellStyle name="Separador de milhares 3 14 2 3 3 3" xfId="20661"/>
    <cellStyle name="Separador de milhares 3 14 2 3 3 3 2" xfId="45728"/>
    <cellStyle name="Separador de milhares 3 14 2 3 3 4" xfId="14747"/>
    <cellStyle name="Separador de milhares 3 14 2 3 3 4 2" xfId="39814"/>
    <cellStyle name="Separador de milhares 3 14 2 3 3 5" xfId="33906"/>
    <cellStyle name="Separador de milhares 3 14 2 3 4" xfId="4983"/>
    <cellStyle name="Separador de milhares 3 14 2 3 4 2" xfId="23618"/>
    <cellStyle name="Separador de milhares 3 14 2 3 4 2 2" xfId="48685"/>
    <cellStyle name="Separador de milhares 3 14 2 3 4 3" xfId="30949"/>
    <cellStyle name="Separador de milhares 3 14 2 3 5" xfId="17704"/>
    <cellStyle name="Separador de milhares 3 14 2 3 5 2" xfId="42771"/>
    <cellStyle name="Separador de milhares 3 14 2 3 6" xfId="11370"/>
    <cellStyle name="Separador de milhares 3 14 2 3 6 2" xfId="36860"/>
    <cellStyle name="Separador de milhares 3 14 2 3 7" xfId="29479"/>
    <cellStyle name="Separador de milhares 3 14 2 4" xfId="1233"/>
    <cellStyle name="Separador de milhares 3 14 2 4 2" xfId="6780"/>
    <cellStyle name="Separador de milhares 3 14 2 4 2 2" xfId="9927"/>
    <cellStyle name="Separador de milhares 3 14 2 4 2 2 2" xfId="28141"/>
    <cellStyle name="Separador de milhares 3 14 2 4 2 2 2 2" xfId="53208"/>
    <cellStyle name="Separador de milhares 3 14 2 4 2 2 3" xfId="22227"/>
    <cellStyle name="Separador de milhares 3 14 2 4 2 2 3 2" xfId="47294"/>
    <cellStyle name="Separador de milhares 3 14 2 4 2 2 4" xfId="16313"/>
    <cellStyle name="Separador de milhares 3 14 2 4 2 2 4 2" xfId="41380"/>
    <cellStyle name="Separador de milhares 3 14 2 4 2 2 5" xfId="35472"/>
    <cellStyle name="Separador de milhares 3 14 2 4 2 3" xfId="25184"/>
    <cellStyle name="Separador de milhares 3 14 2 4 2 3 2" xfId="50251"/>
    <cellStyle name="Separador de milhares 3 14 2 4 2 4" xfId="19270"/>
    <cellStyle name="Separador de milhares 3 14 2 4 2 4 2" xfId="44337"/>
    <cellStyle name="Separador de milhares 3 14 2 4 2 5" xfId="13169"/>
    <cellStyle name="Separador de milhares 3 14 2 4 2 5 2" xfId="38426"/>
    <cellStyle name="Separador de milhares 3 14 2 4 2 6" xfId="32515"/>
    <cellStyle name="Separador de milhares 3 14 2 4 3" xfId="8459"/>
    <cellStyle name="Separador de milhares 3 14 2 4 3 2" xfId="26673"/>
    <cellStyle name="Separador de milhares 3 14 2 4 3 2 2" xfId="51740"/>
    <cellStyle name="Separador de milhares 3 14 2 4 3 3" xfId="20759"/>
    <cellStyle name="Separador de milhares 3 14 2 4 3 3 2" xfId="45826"/>
    <cellStyle name="Separador de milhares 3 14 2 4 3 4" xfId="14845"/>
    <cellStyle name="Separador de milhares 3 14 2 4 3 4 2" xfId="39912"/>
    <cellStyle name="Separador de milhares 3 14 2 4 3 5" xfId="34004"/>
    <cellStyle name="Separador de milhares 3 14 2 4 4" xfId="5081"/>
    <cellStyle name="Separador de milhares 3 14 2 4 4 2" xfId="23716"/>
    <cellStyle name="Separador de milhares 3 14 2 4 4 2 2" xfId="48783"/>
    <cellStyle name="Separador de milhares 3 14 2 4 4 3" xfId="31047"/>
    <cellStyle name="Separador de milhares 3 14 2 4 5" xfId="17802"/>
    <cellStyle name="Separador de milhares 3 14 2 4 5 2" xfId="42869"/>
    <cellStyle name="Separador de milhares 3 14 2 4 6" xfId="11468"/>
    <cellStyle name="Separador de milhares 3 14 2 4 6 2" xfId="36958"/>
    <cellStyle name="Separador de milhares 3 14 2 4 7" xfId="29577"/>
    <cellStyle name="Separador de milhares 3 14 2 5" xfId="1668"/>
    <cellStyle name="Separador de milhares 3 14 2 5 2" xfId="6899"/>
    <cellStyle name="Separador de milhares 3 14 2 5 2 2" xfId="10046"/>
    <cellStyle name="Separador de milhares 3 14 2 5 2 2 2" xfId="28260"/>
    <cellStyle name="Separador de milhares 3 14 2 5 2 2 2 2" xfId="53327"/>
    <cellStyle name="Separador de milhares 3 14 2 5 2 2 3" xfId="22346"/>
    <cellStyle name="Separador de milhares 3 14 2 5 2 2 3 2" xfId="47413"/>
    <cellStyle name="Separador de milhares 3 14 2 5 2 2 4" xfId="16432"/>
    <cellStyle name="Separador de milhares 3 14 2 5 2 2 4 2" xfId="41499"/>
    <cellStyle name="Separador de milhares 3 14 2 5 2 2 5" xfId="35591"/>
    <cellStyle name="Separador de milhares 3 14 2 5 2 3" xfId="25303"/>
    <cellStyle name="Separador de milhares 3 14 2 5 2 3 2" xfId="50370"/>
    <cellStyle name="Separador de milhares 3 14 2 5 2 4" xfId="19389"/>
    <cellStyle name="Separador de milhares 3 14 2 5 2 4 2" xfId="44456"/>
    <cellStyle name="Separador de milhares 3 14 2 5 2 5" xfId="13288"/>
    <cellStyle name="Separador de milhares 3 14 2 5 2 5 2" xfId="38545"/>
    <cellStyle name="Separador de milhares 3 14 2 5 2 6" xfId="32634"/>
    <cellStyle name="Separador de milhares 3 14 2 5 3" xfId="8578"/>
    <cellStyle name="Separador de milhares 3 14 2 5 3 2" xfId="26792"/>
    <cellStyle name="Separador de milhares 3 14 2 5 3 2 2" xfId="51859"/>
    <cellStyle name="Separador de milhares 3 14 2 5 3 3" xfId="20878"/>
    <cellStyle name="Separador de milhares 3 14 2 5 3 3 2" xfId="45945"/>
    <cellStyle name="Separador de milhares 3 14 2 5 3 4" xfId="14964"/>
    <cellStyle name="Separador de milhares 3 14 2 5 3 4 2" xfId="40031"/>
    <cellStyle name="Separador de milhares 3 14 2 5 3 5" xfId="34123"/>
    <cellStyle name="Separador de milhares 3 14 2 5 4" xfId="5200"/>
    <cellStyle name="Separador de milhares 3 14 2 5 4 2" xfId="23835"/>
    <cellStyle name="Separador de milhares 3 14 2 5 4 2 2" xfId="48902"/>
    <cellStyle name="Separador de milhares 3 14 2 5 4 3" xfId="31166"/>
    <cellStyle name="Separador de milhares 3 14 2 5 5" xfId="17921"/>
    <cellStyle name="Separador de milhares 3 14 2 5 5 2" xfId="42988"/>
    <cellStyle name="Separador de milhares 3 14 2 5 6" xfId="11587"/>
    <cellStyle name="Separador de milhares 3 14 2 5 6 2" xfId="37077"/>
    <cellStyle name="Separador de milhares 3 14 2 5 7" xfId="29696"/>
    <cellStyle name="Separador de milhares 3 14 2 6" xfId="2198"/>
    <cellStyle name="Separador de milhares 3 14 2 6 2" xfId="7049"/>
    <cellStyle name="Separador de milhares 3 14 2 6 2 2" xfId="10193"/>
    <cellStyle name="Separador de milhares 3 14 2 6 2 2 2" xfId="28407"/>
    <cellStyle name="Separador de milhares 3 14 2 6 2 2 2 2" xfId="53474"/>
    <cellStyle name="Separador de milhares 3 14 2 6 2 2 3" xfId="22493"/>
    <cellStyle name="Separador de milhares 3 14 2 6 2 2 3 2" xfId="47560"/>
    <cellStyle name="Separador de milhares 3 14 2 6 2 2 4" xfId="16579"/>
    <cellStyle name="Separador de milhares 3 14 2 6 2 2 4 2" xfId="41646"/>
    <cellStyle name="Separador de milhares 3 14 2 6 2 2 5" xfId="35738"/>
    <cellStyle name="Separador de milhares 3 14 2 6 2 3" xfId="25450"/>
    <cellStyle name="Separador de milhares 3 14 2 6 2 3 2" xfId="50517"/>
    <cellStyle name="Separador de milhares 3 14 2 6 2 4" xfId="19536"/>
    <cellStyle name="Separador de milhares 3 14 2 6 2 4 2" xfId="44603"/>
    <cellStyle name="Separador de milhares 3 14 2 6 2 5" xfId="13438"/>
    <cellStyle name="Separador de milhares 3 14 2 6 2 5 2" xfId="38692"/>
    <cellStyle name="Separador de milhares 3 14 2 6 2 6" xfId="32781"/>
    <cellStyle name="Separador de milhares 3 14 2 6 3" xfId="8725"/>
    <cellStyle name="Separador de milhares 3 14 2 6 3 2" xfId="26939"/>
    <cellStyle name="Separador de milhares 3 14 2 6 3 2 2" xfId="52006"/>
    <cellStyle name="Separador de milhares 3 14 2 6 3 3" xfId="21025"/>
    <cellStyle name="Separador de milhares 3 14 2 6 3 3 2" xfId="46092"/>
    <cellStyle name="Separador de milhares 3 14 2 6 3 4" xfId="15111"/>
    <cellStyle name="Separador de milhares 3 14 2 6 3 4 2" xfId="40178"/>
    <cellStyle name="Separador de milhares 3 14 2 6 3 5" xfId="34270"/>
    <cellStyle name="Separador de milhares 3 14 2 6 4" xfId="5350"/>
    <cellStyle name="Separador de milhares 3 14 2 6 4 2" xfId="23982"/>
    <cellStyle name="Separador de milhares 3 14 2 6 4 2 2" xfId="49049"/>
    <cellStyle name="Separador de milhares 3 14 2 6 4 3" xfId="31313"/>
    <cellStyle name="Separador de milhares 3 14 2 6 5" xfId="18068"/>
    <cellStyle name="Separador de milhares 3 14 2 6 5 2" xfId="43135"/>
    <cellStyle name="Separador de milhares 3 14 2 6 6" xfId="11737"/>
    <cellStyle name="Separador de milhares 3 14 2 6 6 2" xfId="37224"/>
    <cellStyle name="Separador de milhares 3 14 2 6 7" xfId="29843"/>
    <cellStyle name="Separador de milhares 3 14 2 7" xfId="2725"/>
    <cellStyle name="Separador de milhares 3 14 2 7 2" xfId="7196"/>
    <cellStyle name="Separador de milhares 3 14 2 7 2 2" xfId="10340"/>
    <cellStyle name="Separador de milhares 3 14 2 7 2 2 2" xfId="28554"/>
    <cellStyle name="Separador de milhares 3 14 2 7 2 2 2 2" xfId="53621"/>
    <cellStyle name="Separador de milhares 3 14 2 7 2 2 3" xfId="22640"/>
    <cellStyle name="Separador de milhares 3 14 2 7 2 2 3 2" xfId="47707"/>
    <cellStyle name="Separador de milhares 3 14 2 7 2 2 4" xfId="16726"/>
    <cellStyle name="Separador de milhares 3 14 2 7 2 2 4 2" xfId="41793"/>
    <cellStyle name="Separador de milhares 3 14 2 7 2 2 5" xfId="35885"/>
    <cellStyle name="Separador de milhares 3 14 2 7 2 3" xfId="25597"/>
    <cellStyle name="Separador de milhares 3 14 2 7 2 3 2" xfId="50664"/>
    <cellStyle name="Separador de milhares 3 14 2 7 2 4" xfId="19683"/>
    <cellStyle name="Separador de milhares 3 14 2 7 2 4 2" xfId="44750"/>
    <cellStyle name="Separador de milhares 3 14 2 7 2 5" xfId="13585"/>
    <cellStyle name="Separador de milhares 3 14 2 7 2 5 2" xfId="38839"/>
    <cellStyle name="Separador de milhares 3 14 2 7 2 6" xfId="32928"/>
    <cellStyle name="Separador de milhares 3 14 2 7 3" xfId="8872"/>
    <cellStyle name="Separador de milhares 3 14 2 7 3 2" xfId="27086"/>
    <cellStyle name="Separador de milhares 3 14 2 7 3 2 2" xfId="52153"/>
    <cellStyle name="Separador de milhares 3 14 2 7 3 3" xfId="21172"/>
    <cellStyle name="Separador de milhares 3 14 2 7 3 3 2" xfId="46239"/>
    <cellStyle name="Separador de milhares 3 14 2 7 3 4" xfId="15258"/>
    <cellStyle name="Separador de milhares 3 14 2 7 3 4 2" xfId="40325"/>
    <cellStyle name="Separador de milhares 3 14 2 7 3 5" xfId="34417"/>
    <cellStyle name="Separador de milhares 3 14 2 7 4" xfId="5497"/>
    <cellStyle name="Separador de milhares 3 14 2 7 4 2" xfId="24129"/>
    <cellStyle name="Separador de milhares 3 14 2 7 4 2 2" xfId="49196"/>
    <cellStyle name="Separador de milhares 3 14 2 7 4 3" xfId="31460"/>
    <cellStyle name="Separador de milhares 3 14 2 7 5" xfId="18215"/>
    <cellStyle name="Separador de milhares 3 14 2 7 5 2" xfId="43282"/>
    <cellStyle name="Separador de milhares 3 14 2 7 6" xfId="11884"/>
    <cellStyle name="Separador de milhares 3 14 2 7 6 2" xfId="37371"/>
    <cellStyle name="Separador de milhares 3 14 2 7 7" xfId="29990"/>
    <cellStyle name="Separador de milhares 3 14 2 8" xfId="3252"/>
    <cellStyle name="Separador de milhares 3 14 2 8 2" xfId="7343"/>
    <cellStyle name="Separador de milhares 3 14 2 8 2 2" xfId="10487"/>
    <cellStyle name="Separador de milhares 3 14 2 8 2 2 2" xfId="28701"/>
    <cellStyle name="Separador de milhares 3 14 2 8 2 2 2 2" xfId="53768"/>
    <cellStyle name="Separador de milhares 3 14 2 8 2 2 3" xfId="22787"/>
    <cellStyle name="Separador de milhares 3 14 2 8 2 2 3 2" xfId="47854"/>
    <cellStyle name="Separador de milhares 3 14 2 8 2 2 4" xfId="16873"/>
    <cellStyle name="Separador de milhares 3 14 2 8 2 2 4 2" xfId="41940"/>
    <cellStyle name="Separador de milhares 3 14 2 8 2 2 5" xfId="36032"/>
    <cellStyle name="Separador de milhares 3 14 2 8 2 3" xfId="25744"/>
    <cellStyle name="Separador de milhares 3 14 2 8 2 3 2" xfId="50811"/>
    <cellStyle name="Separador de milhares 3 14 2 8 2 4" xfId="19830"/>
    <cellStyle name="Separador de milhares 3 14 2 8 2 4 2" xfId="44897"/>
    <cellStyle name="Separador de milhares 3 14 2 8 2 5" xfId="13732"/>
    <cellStyle name="Separador de milhares 3 14 2 8 2 5 2" xfId="38986"/>
    <cellStyle name="Separador de milhares 3 14 2 8 2 6" xfId="33075"/>
    <cellStyle name="Separador de milhares 3 14 2 8 3" xfId="9019"/>
    <cellStyle name="Separador de milhares 3 14 2 8 3 2" xfId="27233"/>
    <cellStyle name="Separador de milhares 3 14 2 8 3 2 2" xfId="52300"/>
    <cellStyle name="Separador de milhares 3 14 2 8 3 3" xfId="21319"/>
    <cellStyle name="Separador de milhares 3 14 2 8 3 3 2" xfId="46386"/>
    <cellStyle name="Separador de milhares 3 14 2 8 3 4" xfId="15405"/>
    <cellStyle name="Separador de milhares 3 14 2 8 3 4 2" xfId="40472"/>
    <cellStyle name="Separador de milhares 3 14 2 8 3 5" xfId="34564"/>
    <cellStyle name="Separador de milhares 3 14 2 8 4" xfId="5644"/>
    <cellStyle name="Separador de milhares 3 14 2 8 4 2" xfId="24276"/>
    <cellStyle name="Separador de milhares 3 14 2 8 4 2 2" xfId="49343"/>
    <cellStyle name="Separador de milhares 3 14 2 8 4 3" xfId="31607"/>
    <cellStyle name="Separador de milhares 3 14 2 8 5" xfId="18362"/>
    <cellStyle name="Separador de milhares 3 14 2 8 5 2" xfId="43429"/>
    <cellStyle name="Separador de milhares 3 14 2 8 6" xfId="12031"/>
    <cellStyle name="Separador de milhares 3 14 2 8 6 2" xfId="37518"/>
    <cellStyle name="Separador de milhares 3 14 2 8 7" xfId="30137"/>
    <cellStyle name="Separador de milhares 3 14 2 9" xfId="3779"/>
    <cellStyle name="Separador de milhares 3 14 2 9 2" xfId="7490"/>
    <cellStyle name="Separador de milhares 3 14 2 9 2 2" xfId="10634"/>
    <cellStyle name="Separador de milhares 3 14 2 9 2 2 2" xfId="28848"/>
    <cellStyle name="Separador de milhares 3 14 2 9 2 2 2 2" xfId="53915"/>
    <cellStyle name="Separador de milhares 3 14 2 9 2 2 3" xfId="22934"/>
    <cellStyle name="Separador de milhares 3 14 2 9 2 2 3 2" xfId="48001"/>
    <cellStyle name="Separador de milhares 3 14 2 9 2 2 4" xfId="17020"/>
    <cellStyle name="Separador de milhares 3 14 2 9 2 2 4 2" xfId="42087"/>
    <cellStyle name="Separador de milhares 3 14 2 9 2 2 5" xfId="36179"/>
    <cellStyle name="Separador de milhares 3 14 2 9 2 3" xfId="25891"/>
    <cellStyle name="Separador de milhares 3 14 2 9 2 3 2" xfId="50958"/>
    <cellStyle name="Separador de milhares 3 14 2 9 2 4" xfId="19977"/>
    <cellStyle name="Separador de milhares 3 14 2 9 2 4 2" xfId="45044"/>
    <cellStyle name="Separador de milhares 3 14 2 9 2 5" xfId="13879"/>
    <cellStyle name="Separador de milhares 3 14 2 9 2 5 2" xfId="39133"/>
    <cellStyle name="Separador de milhares 3 14 2 9 2 6" xfId="33222"/>
    <cellStyle name="Separador de milhares 3 14 2 9 3" xfId="9166"/>
    <cellStyle name="Separador de milhares 3 14 2 9 3 2" xfId="27380"/>
    <cellStyle name="Separador de milhares 3 14 2 9 3 2 2" xfId="52447"/>
    <cellStyle name="Separador de milhares 3 14 2 9 3 3" xfId="21466"/>
    <cellStyle name="Separador de milhares 3 14 2 9 3 3 2" xfId="46533"/>
    <cellStyle name="Separador de milhares 3 14 2 9 3 4" xfId="15552"/>
    <cellStyle name="Separador de milhares 3 14 2 9 3 4 2" xfId="40619"/>
    <cellStyle name="Separador de milhares 3 14 2 9 3 5" xfId="34711"/>
    <cellStyle name="Separador de milhares 3 14 2 9 4" xfId="5791"/>
    <cellStyle name="Separador de milhares 3 14 2 9 4 2" xfId="24423"/>
    <cellStyle name="Separador de milhares 3 14 2 9 4 2 2" xfId="49490"/>
    <cellStyle name="Separador de milhares 3 14 2 9 4 3" xfId="31754"/>
    <cellStyle name="Separador de milhares 3 14 2 9 5" xfId="18509"/>
    <cellStyle name="Separador de milhares 3 14 2 9 5 2" xfId="43576"/>
    <cellStyle name="Separador de milhares 3 14 2 9 6" xfId="12178"/>
    <cellStyle name="Separador de milhares 3 14 2 9 6 2" xfId="37665"/>
    <cellStyle name="Separador de milhares 3 14 2 9 7" xfId="30284"/>
    <cellStyle name="Separador de milhares 3 14 3" xfId="231"/>
    <cellStyle name="Separador de milhares 3 14 3 10" xfId="6481"/>
    <cellStyle name="Separador de milhares 3 14 3 10 2" xfId="9632"/>
    <cellStyle name="Separador de milhares 3 14 3 10 2 2" xfId="27846"/>
    <cellStyle name="Separador de milhares 3 14 3 10 2 2 2" xfId="52913"/>
    <cellStyle name="Separador de milhares 3 14 3 10 2 3" xfId="21932"/>
    <cellStyle name="Separador de milhares 3 14 3 10 2 3 2" xfId="46999"/>
    <cellStyle name="Separador de milhares 3 14 3 10 2 4" xfId="16018"/>
    <cellStyle name="Separador de milhares 3 14 3 10 2 4 2" xfId="41085"/>
    <cellStyle name="Separador de milhares 3 14 3 10 2 5" xfId="35177"/>
    <cellStyle name="Separador de milhares 3 14 3 10 3" xfId="24889"/>
    <cellStyle name="Separador de milhares 3 14 3 10 3 2" xfId="49956"/>
    <cellStyle name="Separador de milhares 3 14 3 10 4" xfId="18975"/>
    <cellStyle name="Separador de milhares 3 14 3 10 4 2" xfId="44042"/>
    <cellStyle name="Separador de milhares 3 14 3 10 5" xfId="12870"/>
    <cellStyle name="Separador de milhares 3 14 3 10 5 2" xfId="38131"/>
    <cellStyle name="Separador de milhares 3 14 3 10 6" xfId="32220"/>
    <cellStyle name="Separador de milhares 3 14 3 11" xfId="8161"/>
    <cellStyle name="Separador de milhares 3 14 3 11 2" xfId="26375"/>
    <cellStyle name="Separador de milhares 3 14 3 11 2 2" xfId="51442"/>
    <cellStyle name="Separador de milhares 3 14 3 11 3" xfId="20461"/>
    <cellStyle name="Separador de milhares 3 14 3 11 3 2" xfId="45528"/>
    <cellStyle name="Separador de milhares 3 14 3 11 4" xfId="14550"/>
    <cellStyle name="Separador de milhares 3 14 3 11 4 2" xfId="39617"/>
    <cellStyle name="Separador de milhares 3 14 3 11 5" xfId="33706"/>
    <cellStyle name="Separador de milhares 3 14 3 12" xfId="4780"/>
    <cellStyle name="Separador de milhares 3 14 3 12 2" xfId="23418"/>
    <cellStyle name="Separador de milhares 3 14 3 12 2 2" xfId="48485"/>
    <cellStyle name="Separador de milhares 3 14 3 12 3" xfId="30750"/>
    <cellStyle name="Separador de milhares 3 14 3 13" xfId="17504"/>
    <cellStyle name="Separador de milhares 3 14 3 13 2" xfId="42571"/>
    <cellStyle name="Separador de milhares 3 14 3 14" xfId="11169"/>
    <cellStyle name="Separador de milhares 3 14 3 14 2" xfId="36663"/>
    <cellStyle name="Separador de milhares 3 14 3 15" xfId="29279"/>
    <cellStyle name="Separador de milhares 3 14 3 2" xfId="494"/>
    <cellStyle name="Separador de milhares 3 14 3 2 2" xfId="6552"/>
    <cellStyle name="Separador de milhares 3 14 3 2 2 2" xfId="9699"/>
    <cellStyle name="Separador de milhares 3 14 3 2 2 2 2" xfId="27913"/>
    <cellStyle name="Separador de milhares 3 14 3 2 2 2 2 2" xfId="52980"/>
    <cellStyle name="Separador de milhares 3 14 3 2 2 2 3" xfId="21999"/>
    <cellStyle name="Separador de milhares 3 14 3 2 2 2 3 2" xfId="47066"/>
    <cellStyle name="Separador de milhares 3 14 3 2 2 2 4" xfId="16085"/>
    <cellStyle name="Separador de milhares 3 14 3 2 2 2 4 2" xfId="41152"/>
    <cellStyle name="Separador de milhares 3 14 3 2 2 2 5" xfId="35244"/>
    <cellStyle name="Separador de milhares 3 14 3 2 2 3" xfId="24956"/>
    <cellStyle name="Separador de milhares 3 14 3 2 2 3 2" xfId="50023"/>
    <cellStyle name="Separador de milhares 3 14 3 2 2 4" xfId="19042"/>
    <cellStyle name="Separador de milhares 3 14 3 2 2 4 2" xfId="44109"/>
    <cellStyle name="Separador de milhares 3 14 3 2 2 5" xfId="12941"/>
    <cellStyle name="Separador de milhares 3 14 3 2 2 5 2" xfId="38198"/>
    <cellStyle name="Separador de milhares 3 14 3 2 2 6" xfId="32287"/>
    <cellStyle name="Separador de milhares 3 14 3 2 3" xfId="8228"/>
    <cellStyle name="Separador de milhares 3 14 3 2 3 2" xfId="26442"/>
    <cellStyle name="Separador de milhares 3 14 3 2 3 2 2" xfId="51509"/>
    <cellStyle name="Separador de milhares 3 14 3 2 3 3" xfId="20528"/>
    <cellStyle name="Separador de milhares 3 14 3 2 3 3 2" xfId="45595"/>
    <cellStyle name="Separador de milhares 3 14 3 2 3 4" xfId="14617"/>
    <cellStyle name="Separador de milhares 3 14 3 2 3 4 2" xfId="39684"/>
    <cellStyle name="Separador de milhares 3 14 3 2 3 5" xfId="33773"/>
    <cellStyle name="Separador de milhares 3 14 3 2 4" xfId="4851"/>
    <cellStyle name="Separador de milhares 3 14 3 2 4 2" xfId="23485"/>
    <cellStyle name="Separador de milhares 3 14 3 2 4 2 2" xfId="48552"/>
    <cellStyle name="Separador de milhares 3 14 3 2 4 3" xfId="30817"/>
    <cellStyle name="Separador de milhares 3 14 3 2 5" xfId="17571"/>
    <cellStyle name="Separador de milhares 3 14 3 2 5 2" xfId="42638"/>
    <cellStyle name="Separador de milhares 3 14 3 2 6" xfId="11240"/>
    <cellStyle name="Separador de milhares 3 14 3 2 6 2" xfId="36730"/>
    <cellStyle name="Separador de milhares 3 14 3 2 7" xfId="29346"/>
    <cellStyle name="Separador de milhares 3 14 3 3" xfId="791"/>
    <cellStyle name="Separador de milhares 3 14 3 3 2" xfId="6654"/>
    <cellStyle name="Separador de milhares 3 14 3 3 2 2" xfId="9801"/>
    <cellStyle name="Separador de milhares 3 14 3 3 2 2 2" xfId="28015"/>
    <cellStyle name="Separador de milhares 3 14 3 3 2 2 2 2" xfId="53082"/>
    <cellStyle name="Separador de milhares 3 14 3 3 2 2 3" xfId="22101"/>
    <cellStyle name="Separador de milhares 3 14 3 3 2 2 3 2" xfId="47168"/>
    <cellStyle name="Separador de milhares 3 14 3 3 2 2 4" xfId="16187"/>
    <cellStyle name="Separador de milhares 3 14 3 3 2 2 4 2" xfId="41254"/>
    <cellStyle name="Separador de milhares 3 14 3 3 2 2 5" xfId="35346"/>
    <cellStyle name="Separador de milhares 3 14 3 3 2 3" xfId="25058"/>
    <cellStyle name="Separador de milhares 3 14 3 3 2 3 2" xfId="50125"/>
    <cellStyle name="Separador de milhares 3 14 3 3 2 4" xfId="19144"/>
    <cellStyle name="Separador de milhares 3 14 3 3 2 4 2" xfId="44211"/>
    <cellStyle name="Separador de milhares 3 14 3 3 2 5" xfId="13043"/>
    <cellStyle name="Separador de milhares 3 14 3 3 2 5 2" xfId="38300"/>
    <cellStyle name="Separador de milhares 3 14 3 3 2 6" xfId="32389"/>
    <cellStyle name="Separador de milhares 3 14 3 3 3" xfId="8333"/>
    <cellStyle name="Separador de milhares 3 14 3 3 3 2" xfId="26547"/>
    <cellStyle name="Separador de milhares 3 14 3 3 3 2 2" xfId="51614"/>
    <cellStyle name="Separador de milhares 3 14 3 3 3 3" xfId="20633"/>
    <cellStyle name="Separador de milhares 3 14 3 3 3 3 2" xfId="45700"/>
    <cellStyle name="Separador de milhares 3 14 3 3 3 4" xfId="14719"/>
    <cellStyle name="Separador de milhares 3 14 3 3 3 4 2" xfId="39786"/>
    <cellStyle name="Separador de milhares 3 14 3 3 3 5" xfId="33878"/>
    <cellStyle name="Separador de milhares 3 14 3 3 4" xfId="4955"/>
    <cellStyle name="Separador de milhares 3 14 3 3 4 2" xfId="23590"/>
    <cellStyle name="Separador de milhares 3 14 3 3 4 2 2" xfId="48657"/>
    <cellStyle name="Separador de milhares 3 14 3 3 4 3" xfId="30921"/>
    <cellStyle name="Separador de milhares 3 14 3 3 5" xfId="17676"/>
    <cellStyle name="Separador de milhares 3 14 3 3 5 2" xfId="42743"/>
    <cellStyle name="Separador de milhares 3 14 3 3 6" xfId="11342"/>
    <cellStyle name="Separador de milhares 3 14 3 3 6 2" xfId="36832"/>
    <cellStyle name="Separador de milhares 3 14 3 3 7" xfId="29451"/>
    <cellStyle name="Separador de milhares 3 14 3 4" xfId="1142"/>
    <cellStyle name="Separador de milhares 3 14 3 4 2" xfId="6752"/>
    <cellStyle name="Separador de milhares 3 14 3 4 2 2" xfId="9899"/>
    <cellStyle name="Separador de milhares 3 14 3 4 2 2 2" xfId="28113"/>
    <cellStyle name="Separador de milhares 3 14 3 4 2 2 2 2" xfId="53180"/>
    <cellStyle name="Separador de milhares 3 14 3 4 2 2 3" xfId="22199"/>
    <cellStyle name="Separador de milhares 3 14 3 4 2 2 3 2" xfId="47266"/>
    <cellStyle name="Separador de milhares 3 14 3 4 2 2 4" xfId="16285"/>
    <cellStyle name="Separador de milhares 3 14 3 4 2 2 4 2" xfId="41352"/>
    <cellStyle name="Separador de milhares 3 14 3 4 2 2 5" xfId="35444"/>
    <cellStyle name="Separador de milhares 3 14 3 4 2 3" xfId="25156"/>
    <cellStyle name="Separador de milhares 3 14 3 4 2 3 2" xfId="50223"/>
    <cellStyle name="Separador de milhares 3 14 3 4 2 4" xfId="19242"/>
    <cellStyle name="Separador de milhares 3 14 3 4 2 4 2" xfId="44309"/>
    <cellStyle name="Separador de milhares 3 14 3 4 2 5" xfId="13141"/>
    <cellStyle name="Separador de milhares 3 14 3 4 2 5 2" xfId="38398"/>
    <cellStyle name="Separador de milhares 3 14 3 4 2 6" xfId="32487"/>
    <cellStyle name="Separador de milhares 3 14 3 4 3" xfId="8431"/>
    <cellStyle name="Separador de milhares 3 14 3 4 3 2" xfId="26645"/>
    <cellStyle name="Separador de milhares 3 14 3 4 3 2 2" xfId="51712"/>
    <cellStyle name="Separador de milhares 3 14 3 4 3 3" xfId="20731"/>
    <cellStyle name="Separador de milhares 3 14 3 4 3 3 2" xfId="45798"/>
    <cellStyle name="Separador de milhares 3 14 3 4 3 4" xfId="14817"/>
    <cellStyle name="Separador de milhares 3 14 3 4 3 4 2" xfId="39884"/>
    <cellStyle name="Separador de milhares 3 14 3 4 3 5" xfId="33976"/>
    <cellStyle name="Separador de milhares 3 14 3 4 4" xfId="5053"/>
    <cellStyle name="Separador de milhares 3 14 3 4 4 2" xfId="23688"/>
    <cellStyle name="Separador de milhares 3 14 3 4 4 2 2" xfId="48755"/>
    <cellStyle name="Separador de milhares 3 14 3 4 4 3" xfId="31019"/>
    <cellStyle name="Separador de milhares 3 14 3 4 5" xfId="17774"/>
    <cellStyle name="Separador de milhares 3 14 3 4 5 2" xfId="42841"/>
    <cellStyle name="Separador de milhares 3 14 3 4 6" xfId="11440"/>
    <cellStyle name="Separador de milhares 3 14 3 4 6 2" xfId="36930"/>
    <cellStyle name="Separador de milhares 3 14 3 4 7" xfId="29549"/>
    <cellStyle name="Separador de milhares 3 14 3 5" xfId="1577"/>
    <cellStyle name="Separador de milhares 3 14 3 5 2" xfId="6871"/>
    <cellStyle name="Separador de milhares 3 14 3 5 2 2" xfId="10018"/>
    <cellStyle name="Separador de milhares 3 14 3 5 2 2 2" xfId="28232"/>
    <cellStyle name="Separador de milhares 3 14 3 5 2 2 2 2" xfId="53299"/>
    <cellStyle name="Separador de milhares 3 14 3 5 2 2 3" xfId="22318"/>
    <cellStyle name="Separador de milhares 3 14 3 5 2 2 3 2" xfId="47385"/>
    <cellStyle name="Separador de milhares 3 14 3 5 2 2 4" xfId="16404"/>
    <cellStyle name="Separador de milhares 3 14 3 5 2 2 4 2" xfId="41471"/>
    <cellStyle name="Separador de milhares 3 14 3 5 2 2 5" xfId="35563"/>
    <cellStyle name="Separador de milhares 3 14 3 5 2 3" xfId="25275"/>
    <cellStyle name="Separador de milhares 3 14 3 5 2 3 2" xfId="50342"/>
    <cellStyle name="Separador de milhares 3 14 3 5 2 4" xfId="19361"/>
    <cellStyle name="Separador de milhares 3 14 3 5 2 4 2" xfId="44428"/>
    <cellStyle name="Separador de milhares 3 14 3 5 2 5" xfId="13260"/>
    <cellStyle name="Separador de milhares 3 14 3 5 2 5 2" xfId="38517"/>
    <cellStyle name="Separador de milhares 3 14 3 5 2 6" xfId="32606"/>
    <cellStyle name="Separador de milhares 3 14 3 5 3" xfId="8550"/>
    <cellStyle name="Separador de milhares 3 14 3 5 3 2" xfId="26764"/>
    <cellStyle name="Separador de milhares 3 14 3 5 3 2 2" xfId="51831"/>
    <cellStyle name="Separador de milhares 3 14 3 5 3 3" xfId="20850"/>
    <cellStyle name="Separador de milhares 3 14 3 5 3 3 2" xfId="45917"/>
    <cellStyle name="Separador de milhares 3 14 3 5 3 4" xfId="14936"/>
    <cellStyle name="Separador de milhares 3 14 3 5 3 4 2" xfId="40003"/>
    <cellStyle name="Separador de milhares 3 14 3 5 3 5" xfId="34095"/>
    <cellStyle name="Separador de milhares 3 14 3 5 4" xfId="5172"/>
    <cellStyle name="Separador de milhares 3 14 3 5 4 2" xfId="23807"/>
    <cellStyle name="Separador de milhares 3 14 3 5 4 2 2" xfId="48874"/>
    <cellStyle name="Separador de milhares 3 14 3 5 4 3" xfId="31138"/>
    <cellStyle name="Separador de milhares 3 14 3 5 5" xfId="17893"/>
    <cellStyle name="Separador de milhares 3 14 3 5 5 2" xfId="42960"/>
    <cellStyle name="Separador de milhares 3 14 3 5 6" xfId="11559"/>
    <cellStyle name="Separador de milhares 3 14 3 5 6 2" xfId="37049"/>
    <cellStyle name="Separador de milhares 3 14 3 5 7" xfId="29668"/>
    <cellStyle name="Separador de milhares 3 14 3 6" xfId="2107"/>
    <cellStyle name="Separador de milhares 3 14 3 6 2" xfId="7021"/>
    <cellStyle name="Separador de milhares 3 14 3 6 2 2" xfId="10165"/>
    <cellStyle name="Separador de milhares 3 14 3 6 2 2 2" xfId="28379"/>
    <cellStyle name="Separador de milhares 3 14 3 6 2 2 2 2" xfId="53446"/>
    <cellStyle name="Separador de milhares 3 14 3 6 2 2 3" xfId="22465"/>
    <cellStyle name="Separador de milhares 3 14 3 6 2 2 3 2" xfId="47532"/>
    <cellStyle name="Separador de milhares 3 14 3 6 2 2 4" xfId="16551"/>
    <cellStyle name="Separador de milhares 3 14 3 6 2 2 4 2" xfId="41618"/>
    <cellStyle name="Separador de milhares 3 14 3 6 2 2 5" xfId="35710"/>
    <cellStyle name="Separador de milhares 3 14 3 6 2 3" xfId="25422"/>
    <cellStyle name="Separador de milhares 3 14 3 6 2 3 2" xfId="50489"/>
    <cellStyle name="Separador de milhares 3 14 3 6 2 4" xfId="19508"/>
    <cellStyle name="Separador de milhares 3 14 3 6 2 4 2" xfId="44575"/>
    <cellStyle name="Separador de milhares 3 14 3 6 2 5" xfId="13410"/>
    <cellStyle name="Separador de milhares 3 14 3 6 2 5 2" xfId="38664"/>
    <cellStyle name="Separador de milhares 3 14 3 6 2 6" xfId="32753"/>
    <cellStyle name="Separador de milhares 3 14 3 6 3" xfId="8697"/>
    <cellStyle name="Separador de milhares 3 14 3 6 3 2" xfId="26911"/>
    <cellStyle name="Separador de milhares 3 14 3 6 3 2 2" xfId="51978"/>
    <cellStyle name="Separador de milhares 3 14 3 6 3 3" xfId="20997"/>
    <cellStyle name="Separador de milhares 3 14 3 6 3 3 2" xfId="46064"/>
    <cellStyle name="Separador de milhares 3 14 3 6 3 4" xfId="15083"/>
    <cellStyle name="Separador de milhares 3 14 3 6 3 4 2" xfId="40150"/>
    <cellStyle name="Separador de milhares 3 14 3 6 3 5" xfId="34242"/>
    <cellStyle name="Separador de milhares 3 14 3 6 4" xfId="5322"/>
    <cellStyle name="Separador de milhares 3 14 3 6 4 2" xfId="23954"/>
    <cellStyle name="Separador de milhares 3 14 3 6 4 2 2" xfId="49021"/>
    <cellStyle name="Separador de milhares 3 14 3 6 4 3" xfId="31285"/>
    <cellStyle name="Separador de milhares 3 14 3 6 5" xfId="18040"/>
    <cellStyle name="Separador de milhares 3 14 3 6 5 2" xfId="43107"/>
    <cellStyle name="Separador de milhares 3 14 3 6 6" xfId="11709"/>
    <cellStyle name="Separador de milhares 3 14 3 6 6 2" xfId="37196"/>
    <cellStyle name="Separador de milhares 3 14 3 6 7" xfId="29815"/>
    <cellStyle name="Separador de milhares 3 14 3 7" xfId="2634"/>
    <cellStyle name="Separador de milhares 3 14 3 7 2" xfId="7168"/>
    <cellStyle name="Separador de milhares 3 14 3 7 2 2" xfId="10312"/>
    <cellStyle name="Separador de milhares 3 14 3 7 2 2 2" xfId="28526"/>
    <cellStyle name="Separador de milhares 3 14 3 7 2 2 2 2" xfId="53593"/>
    <cellStyle name="Separador de milhares 3 14 3 7 2 2 3" xfId="22612"/>
    <cellStyle name="Separador de milhares 3 14 3 7 2 2 3 2" xfId="47679"/>
    <cellStyle name="Separador de milhares 3 14 3 7 2 2 4" xfId="16698"/>
    <cellStyle name="Separador de milhares 3 14 3 7 2 2 4 2" xfId="41765"/>
    <cellStyle name="Separador de milhares 3 14 3 7 2 2 5" xfId="35857"/>
    <cellStyle name="Separador de milhares 3 14 3 7 2 3" xfId="25569"/>
    <cellStyle name="Separador de milhares 3 14 3 7 2 3 2" xfId="50636"/>
    <cellStyle name="Separador de milhares 3 14 3 7 2 4" xfId="19655"/>
    <cellStyle name="Separador de milhares 3 14 3 7 2 4 2" xfId="44722"/>
    <cellStyle name="Separador de milhares 3 14 3 7 2 5" xfId="13557"/>
    <cellStyle name="Separador de milhares 3 14 3 7 2 5 2" xfId="38811"/>
    <cellStyle name="Separador de milhares 3 14 3 7 2 6" xfId="32900"/>
    <cellStyle name="Separador de milhares 3 14 3 7 3" xfId="8844"/>
    <cellStyle name="Separador de milhares 3 14 3 7 3 2" xfId="27058"/>
    <cellStyle name="Separador de milhares 3 14 3 7 3 2 2" xfId="52125"/>
    <cellStyle name="Separador de milhares 3 14 3 7 3 3" xfId="21144"/>
    <cellStyle name="Separador de milhares 3 14 3 7 3 3 2" xfId="46211"/>
    <cellStyle name="Separador de milhares 3 14 3 7 3 4" xfId="15230"/>
    <cellStyle name="Separador de milhares 3 14 3 7 3 4 2" xfId="40297"/>
    <cellStyle name="Separador de milhares 3 14 3 7 3 5" xfId="34389"/>
    <cellStyle name="Separador de milhares 3 14 3 7 4" xfId="5469"/>
    <cellStyle name="Separador de milhares 3 14 3 7 4 2" xfId="24101"/>
    <cellStyle name="Separador de milhares 3 14 3 7 4 2 2" xfId="49168"/>
    <cellStyle name="Separador de milhares 3 14 3 7 4 3" xfId="31432"/>
    <cellStyle name="Separador de milhares 3 14 3 7 5" xfId="18187"/>
    <cellStyle name="Separador de milhares 3 14 3 7 5 2" xfId="43254"/>
    <cellStyle name="Separador de milhares 3 14 3 7 6" xfId="11856"/>
    <cellStyle name="Separador de milhares 3 14 3 7 6 2" xfId="37343"/>
    <cellStyle name="Separador de milhares 3 14 3 7 7" xfId="29962"/>
    <cellStyle name="Separador de milhares 3 14 3 8" xfId="3161"/>
    <cellStyle name="Separador de milhares 3 14 3 8 2" xfId="7315"/>
    <cellStyle name="Separador de milhares 3 14 3 8 2 2" xfId="10459"/>
    <cellStyle name="Separador de milhares 3 14 3 8 2 2 2" xfId="28673"/>
    <cellStyle name="Separador de milhares 3 14 3 8 2 2 2 2" xfId="53740"/>
    <cellStyle name="Separador de milhares 3 14 3 8 2 2 3" xfId="22759"/>
    <cellStyle name="Separador de milhares 3 14 3 8 2 2 3 2" xfId="47826"/>
    <cellStyle name="Separador de milhares 3 14 3 8 2 2 4" xfId="16845"/>
    <cellStyle name="Separador de milhares 3 14 3 8 2 2 4 2" xfId="41912"/>
    <cellStyle name="Separador de milhares 3 14 3 8 2 2 5" xfId="36004"/>
    <cellStyle name="Separador de milhares 3 14 3 8 2 3" xfId="25716"/>
    <cellStyle name="Separador de milhares 3 14 3 8 2 3 2" xfId="50783"/>
    <cellStyle name="Separador de milhares 3 14 3 8 2 4" xfId="19802"/>
    <cellStyle name="Separador de milhares 3 14 3 8 2 4 2" xfId="44869"/>
    <cellStyle name="Separador de milhares 3 14 3 8 2 5" xfId="13704"/>
    <cellStyle name="Separador de milhares 3 14 3 8 2 5 2" xfId="38958"/>
    <cellStyle name="Separador de milhares 3 14 3 8 2 6" xfId="33047"/>
    <cellStyle name="Separador de milhares 3 14 3 8 3" xfId="8991"/>
    <cellStyle name="Separador de milhares 3 14 3 8 3 2" xfId="27205"/>
    <cellStyle name="Separador de milhares 3 14 3 8 3 2 2" xfId="52272"/>
    <cellStyle name="Separador de milhares 3 14 3 8 3 3" xfId="21291"/>
    <cellStyle name="Separador de milhares 3 14 3 8 3 3 2" xfId="46358"/>
    <cellStyle name="Separador de milhares 3 14 3 8 3 4" xfId="15377"/>
    <cellStyle name="Separador de milhares 3 14 3 8 3 4 2" xfId="40444"/>
    <cellStyle name="Separador de milhares 3 14 3 8 3 5" xfId="34536"/>
    <cellStyle name="Separador de milhares 3 14 3 8 4" xfId="5616"/>
    <cellStyle name="Separador de milhares 3 14 3 8 4 2" xfId="24248"/>
    <cellStyle name="Separador de milhares 3 14 3 8 4 2 2" xfId="49315"/>
    <cellStyle name="Separador de milhares 3 14 3 8 4 3" xfId="31579"/>
    <cellStyle name="Separador de milhares 3 14 3 8 5" xfId="18334"/>
    <cellStyle name="Separador de milhares 3 14 3 8 5 2" xfId="43401"/>
    <cellStyle name="Separador de milhares 3 14 3 8 6" xfId="12003"/>
    <cellStyle name="Separador de milhares 3 14 3 8 6 2" xfId="37490"/>
    <cellStyle name="Separador de milhares 3 14 3 8 7" xfId="30109"/>
    <cellStyle name="Separador de milhares 3 14 3 9" xfId="3688"/>
    <cellStyle name="Separador de milhares 3 14 3 9 2" xfId="7462"/>
    <cellStyle name="Separador de milhares 3 14 3 9 2 2" xfId="10606"/>
    <cellStyle name="Separador de milhares 3 14 3 9 2 2 2" xfId="28820"/>
    <cellStyle name="Separador de milhares 3 14 3 9 2 2 2 2" xfId="53887"/>
    <cellStyle name="Separador de milhares 3 14 3 9 2 2 3" xfId="22906"/>
    <cellStyle name="Separador de milhares 3 14 3 9 2 2 3 2" xfId="47973"/>
    <cellStyle name="Separador de milhares 3 14 3 9 2 2 4" xfId="16992"/>
    <cellStyle name="Separador de milhares 3 14 3 9 2 2 4 2" xfId="42059"/>
    <cellStyle name="Separador de milhares 3 14 3 9 2 2 5" xfId="36151"/>
    <cellStyle name="Separador de milhares 3 14 3 9 2 3" xfId="25863"/>
    <cellStyle name="Separador de milhares 3 14 3 9 2 3 2" xfId="50930"/>
    <cellStyle name="Separador de milhares 3 14 3 9 2 4" xfId="19949"/>
    <cellStyle name="Separador de milhares 3 14 3 9 2 4 2" xfId="45016"/>
    <cellStyle name="Separador de milhares 3 14 3 9 2 5" xfId="13851"/>
    <cellStyle name="Separador de milhares 3 14 3 9 2 5 2" xfId="39105"/>
    <cellStyle name="Separador de milhares 3 14 3 9 2 6" xfId="33194"/>
    <cellStyle name="Separador de milhares 3 14 3 9 3" xfId="9138"/>
    <cellStyle name="Separador de milhares 3 14 3 9 3 2" xfId="27352"/>
    <cellStyle name="Separador de milhares 3 14 3 9 3 2 2" xfId="52419"/>
    <cellStyle name="Separador de milhares 3 14 3 9 3 3" xfId="21438"/>
    <cellStyle name="Separador de milhares 3 14 3 9 3 3 2" xfId="46505"/>
    <cellStyle name="Separador de milhares 3 14 3 9 3 4" xfId="15524"/>
    <cellStyle name="Separador de milhares 3 14 3 9 3 4 2" xfId="40591"/>
    <cellStyle name="Separador de milhares 3 14 3 9 3 5" xfId="34683"/>
    <cellStyle name="Separador de milhares 3 14 3 9 4" xfId="5763"/>
    <cellStyle name="Separador de milhares 3 14 3 9 4 2" xfId="24395"/>
    <cellStyle name="Separador de milhares 3 14 3 9 4 2 2" xfId="49462"/>
    <cellStyle name="Separador de milhares 3 14 3 9 4 3" xfId="31726"/>
    <cellStyle name="Separador de milhares 3 14 3 9 5" xfId="18481"/>
    <cellStyle name="Separador de milhares 3 14 3 9 5 2" xfId="43548"/>
    <cellStyle name="Separador de milhares 3 14 3 9 6" xfId="12150"/>
    <cellStyle name="Separador de milhares 3 14 3 9 6 2" xfId="37637"/>
    <cellStyle name="Separador de milhares 3 14 3 9 7" xfId="30256"/>
    <cellStyle name="Separador de milhares 3 14 4" xfId="324"/>
    <cellStyle name="Separador de milhares 3 14 4 10" xfId="6509"/>
    <cellStyle name="Separador de milhares 3 14 4 10 2" xfId="9657"/>
    <cellStyle name="Separador de milhares 3 14 4 10 2 2" xfId="27871"/>
    <cellStyle name="Separador de milhares 3 14 4 10 2 2 2" xfId="52938"/>
    <cellStyle name="Separador de milhares 3 14 4 10 2 3" xfId="21957"/>
    <cellStyle name="Separador de milhares 3 14 4 10 2 3 2" xfId="47024"/>
    <cellStyle name="Separador de milhares 3 14 4 10 2 4" xfId="16043"/>
    <cellStyle name="Separador de milhares 3 14 4 10 2 4 2" xfId="41110"/>
    <cellStyle name="Separador de milhares 3 14 4 10 2 5" xfId="35202"/>
    <cellStyle name="Separador de milhares 3 14 4 10 3" xfId="24914"/>
    <cellStyle name="Separador de milhares 3 14 4 10 3 2" xfId="49981"/>
    <cellStyle name="Separador de milhares 3 14 4 10 4" xfId="19000"/>
    <cellStyle name="Separador de milhares 3 14 4 10 4 2" xfId="44067"/>
    <cellStyle name="Separador de milhares 3 14 4 10 5" xfId="12898"/>
    <cellStyle name="Separador de milhares 3 14 4 10 5 2" xfId="38156"/>
    <cellStyle name="Separador de milhares 3 14 4 10 6" xfId="32245"/>
    <cellStyle name="Separador de milhares 3 14 4 11" xfId="8186"/>
    <cellStyle name="Separador de milhares 3 14 4 11 2" xfId="26400"/>
    <cellStyle name="Separador de milhares 3 14 4 11 2 2" xfId="51467"/>
    <cellStyle name="Separador de milhares 3 14 4 11 3" xfId="20486"/>
    <cellStyle name="Separador de milhares 3 14 4 11 3 2" xfId="45553"/>
    <cellStyle name="Separador de milhares 3 14 4 11 4" xfId="14575"/>
    <cellStyle name="Separador de milhares 3 14 4 11 4 2" xfId="39642"/>
    <cellStyle name="Separador de milhares 3 14 4 11 5" xfId="33731"/>
    <cellStyle name="Separador de milhares 3 14 4 12" xfId="4808"/>
    <cellStyle name="Separador de milhares 3 14 4 12 2" xfId="23443"/>
    <cellStyle name="Separador de milhares 3 14 4 12 2 2" xfId="48510"/>
    <cellStyle name="Separador de milhares 3 14 4 12 3" xfId="30775"/>
    <cellStyle name="Separador de milhares 3 14 4 13" xfId="17529"/>
    <cellStyle name="Separador de milhares 3 14 4 13 2" xfId="42596"/>
    <cellStyle name="Separador de milhares 3 14 4 14" xfId="11197"/>
    <cellStyle name="Separador de milhares 3 14 4 14 2" xfId="36688"/>
    <cellStyle name="Separador de milhares 3 14 4 15" xfId="29304"/>
    <cellStyle name="Separador de milhares 3 14 4 2" xfId="969"/>
    <cellStyle name="Separador de milhares 3 14 4 2 2" xfId="6706"/>
    <cellStyle name="Separador de milhares 3 14 4 2 2 2" xfId="9853"/>
    <cellStyle name="Separador de milhares 3 14 4 2 2 2 2" xfId="28067"/>
    <cellStyle name="Separador de milhares 3 14 4 2 2 2 2 2" xfId="53134"/>
    <cellStyle name="Separador de milhares 3 14 4 2 2 2 3" xfId="22153"/>
    <cellStyle name="Separador de milhares 3 14 4 2 2 2 3 2" xfId="47220"/>
    <cellStyle name="Separador de milhares 3 14 4 2 2 2 4" xfId="16239"/>
    <cellStyle name="Separador de milhares 3 14 4 2 2 2 4 2" xfId="41306"/>
    <cellStyle name="Separador de milhares 3 14 4 2 2 2 5" xfId="35398"/>
    <cellStyle name="Separador de milhares 3 14 4 2 2 3" xfId="25110"/>
    <cellStyle name="Separador de milhares 3 14 4 2 2 3 2" xfId="50177"/>
    <cellStyle name="Separador de milhares 3 14 4 2 2 4" xfId="19196"/>
    <cellStyle name="Separador de milhares 3 14 4 2 2 4 2" xfId="44263"/>
    <cellStyle name="Separador de milhares 3 14 4 2 2 5" xfId="13095"/>
    <cellStyle name="Separador de milhares 3 14 4 2 2 5 2" xfId="38352"/>
    <cellStyle name="Separador de milhares 3 14 4 2 2 6" xfId="32441"/>
    <cellStyle name="Separador de milhares 3 14 4 2 3" xfId="8385"/>
    <cellStyle name="Separador de milhares 3 14 4 2 3 2" xfId="26599"/>
    <cellStyle name="Separador de milhares 3 14 4 2 3 2 2" xfId="51666"/>
    <cellStyle name="Separador de milhares 3 14 4 2 3 3" xfId="20685"/>
    <cellStyle name="Separador de milhares 3 14 4 2 3 3 2" xfId="45752"/>
    <cellStyle name="Separador de milhares 3 14 4 2 3 4" xfId="14771"/>
    <cellStyle name="Separador de milhares 3 14 4 2 3 4 2" xfId="39838"/>
    <cellStyle name="Separador de milhares 3 14 4 2 3 5" xfId="33930"/>
    <cellStyle name="Separador de milhares 3 14 4 2 4" xfId="5007"/>
    <cellStyle name="Separador de milhares 3 14 4 2 4 2" xfId="23642"/>
    <cellStyle name="Separador de milhares 3 14 4 2 4 2 2" xfId="48709"/>
    <cellStyle name="Separador de milhares 3 14 4 2 4 3" xfId="30973"/>
    <cellStyle name="Separador de milhares 3 14 4 2 5" xfId="17728"/>
    <cellStyle name="Separador de milhares 3 14 4 2 5 2" xfId="42795"/>
    <cellStyle name="Separador de milhares 3 14 4 2 6" xfId="11394"/>
    <cellStyle name="Separador de milhares 3 14 4 2 6 2" xfId="36884"/>
    <cellStyle name="Separador de milhares 3 14 4 2 7" xfId="29503"/>
    <cellStyle name="Separador de milhares 3 14 4 3" xfId="1320"/>
    <cellStyle name="Separador de milhares 3 14 4 3 2" xfId="6804"/>
    <cellStyle name="Separador de milhares 3 14 4 3 2 2" xfId="9951"/>
    <cellStyle name="Separador de milhares 3 14 4 3 2 2 2" xfId="28165"/>
    <cellStyle name="Separador de milhares 3 14 4 3 2 2 2 2" xfId="53232"/>
    <cellStyle name="Separador de milhares 3 14 4 3 2 2 3" xfId="22251"/>
    <cellStyle name="Separador de milhares 3 14 4 3 2 2 3 2" xfId="47318"/>
    <cellStyle name="Separador de milhares 3 14 4 3 2 2 4" xfId="16337"/>
    <cellStyle name="Separador de milhares 3 14 4 3 2 2 4 2" xfId="41404"/>
    <cellStyle name="Separador de milhares 3 14 4 3 2 2 5" xfId="35496"/>
    <cellStyle name="Separador de milhares 3 14 4 3 2 3" xfId="25208"/>
    <cellStyle name="Separador de milhares 3 14 4 3 2 3 2" xfId="50275"/>
    <cellStyle name="Separador de milhares 3 14 4 3 2 4" xfId="19294"/>
    <cellStyle name="Separador de milhares 3 14 4 3 2 4 2" xfId="44361"/>
    <cellStyle name="Separador de milhares 3 14 4 3 2 5" xfId="13193"/>
    <cellStyle name="Separador de milhares 3 14 4 3 2 5 2" xfId="38450"/>
    <cellStyle name="Separador de milhares 3 14 4 3 2 6" xfId="32539"/>
    <cellStyle name="Separador de milhares 3 14 4 3 3" xfId="8483"/>
    <cellStyle name="Separador de milhares 3 14 4 3 3 2" xfId="26697"/>
    <cellStyle name="Separador de milhares 3 14 4 3 3 2 2" xfId="51764"/>
    <cellStyle name="Separador de milhares 3 14 4 3 3 3" xfId="20783"/>
    <cellStyle name="Separador de milhares 3 14 4 3 3 3 2" xfId="45850"/>
    <cellStyle name="Separador de milhares 3 14 4 3 3 4" xfId="14869"/>
    <cellStyle name="Separador de milhares 3 14 4 3 3 4 2" xfId="39936"/>
    <cellStyle name="Separador de milhares 3 14 4 3 3 5" xfId="34028"/>
    <cellStyle name="Separador de milhares 3 14 4 3 4" xfId="5105"/>
    <cellStyle name="Separador de milhares 3 14 4 3 4 2" xfId="23740"/>
    <cellStyle name="Separador de milhares 3 14 4 3 4 2 2" xfId="48807"/>
    <cellStyle name="Separador de milhares 3 14 4 3 4 3" xfId="31071"/>
    <cellStyle name="Separador de milhares 3 14 4 3 5" xfId="17826"/>
    <cellStyle name="Separador de milhares 3 14 4 3 5 2" xfId="42893"/>
    <cellStyle name="Separador de milhares 3 14 4 3 6" xfId="11492"/>
    <cellStyle name="Separador de milhares 3 14 4 3 6 2" xfId="36982"/>
    <cellStyle name="Separador de milhares 3 14 4 3 7" xfId="29601"/>
    <cellStyle name="Separador de milhares 3 14 4 4" xfId="1755"/>
    <cellStyle name="Separador de milhares 3 14 4 4 2" xfId="6923"/>
    <cellStyle name="Separador de milhares 3 14 4 4 2 2" xfId="10070"/>
    <cellStyle name="Separador de milhares 3 14 4 4 2 2 2" xfId="28284"/>
    <cellStyle name="Separador de milhares 3 14 4 4 2 2 2 2" xfId="53351"/>
    <cellStyle name="Separador de milhares 3 14 4 4 2 2 3" xfId="22370"/>
    <cellStyle name="Separador de milhares 3 14 4 4 2 2 3 2" xfId="47437"/>
    <cellStyle name="Separador de milhares 3 14 4 4 2 2 4" xfId="16456"/>
    <cellStyle name="Separador de milhares 3 14 4 4 2 2 4 2" xfId="41523"/>
    <cellStyle name="Separador de milhares 3 14 4 4 2 2 5" xfId="35615"/>
    <cellStyle name="Separador de milhares 3 14 4 4 2 3" xfId="25327"/>
    <cellStyle name="Separador de milhares 3 14 4 4 2 3 2" xfId="50394"/>
    <cellStyle name="Separador de milhares 3 14 4 4 2 4" xfId="19413"/>
    <cellStyle name="Separador de milhares 3 14 4 4 2 4 2" xfId="44480"/>
    <cellStyle name="Separador de milhares 3 14 4 4 2 5" xfId="13312"/>
    <cellStyle name="Separador de milhares 3 14 4 4 2 5 2" xfId="38569"/>
    <cellStyle name="Separador de milhares 3 14 4 4 2 6" xfId="32658"/>
    <cellStyle name="Separador de milhares 3 14 4 4 3" xfId="8602"/>
    <cellStyle name="Separador de milhares 3 14 4 4 3 2" xfId="26816"/>
    <cellStyle name="Separador de milhares 3 14 4 4 3 2 2" xfId="51883"/>
    <cellStyle name="Separador de milhares 3 14 4 4 3 3" xfId="20902"/>
    <cellStyle name="Separador de milhares 3 14 4 4 3 3 2" xfId="45969"/>
    <cellStyle name="Separador de milhares 3 14 4 4 3 4" xfId="14988"/>
    <cellStyle name="Separador de milhares 3 14 4 4 3 4 2" xfId="40055"/>
    <cellStyle name="Separador de milhares 3 14 4 4 3 5" xfId="34147"/>
    <cellStyle name="Separador de milhares 3 14 4 4 4" xfId="5224"/>
    <cellStyle name="Separador de milhares 3 14 4 4 4 2" xfId="23859"/>
    <cellStyle name="Separador de milhares 3 14 4 4 4 2 2" xfId="48926"/>
    <cellStyle name="Separador de milhares 3 14 4 4 4 3" xfId="31190"/>
    <cellStyle name="Separador de milhares 3 14 4 4 5" xfId="17945"/>
    <cellStyle name="Separador de milhares 3 14 4 4 5 2" xfId="43012"/>
    <cellStyle name="Separador de milhares 3 14 4 4 6" xfId="11611"/>
    <cellStyle name="Separador de milhares 3 14 4 4 6 2" xfId="37101"/>
    <cellStyle name="Separador de milhares 3 14 4 4 7" xfId="29720"/>
    <cellStyle name="Separador de milhares 3 14 4 5" xfId="2285"/>
    <cellStyle name="Separador de milhares 3 14 4 5 2" xfId="7073"/>
    <cellStyle name="Separador de milhares 3 14 4 5 2 2" xfId="10217"/>
    <cellStyle name="Separador de milhares 3 14 4 5 2 2 2" xfId="28431"/>
    <cellStyle name="Separador de milhares 3 14 4 5 2 2 2 2" xfId="53498"/>
    <cellStyle name="Separador de milhares 3 14 4 5 2 2 3" xfId="22517"/>
    <cellStyle name="Separador de milhares 3 14 4 5 2 2 3 2" xfId="47584"/>
    <cellStyle name="Separador de milhares 3 14 4 5 2 2 4" xfId="16603"/>
    <cellStyle name="Separador de milhares 3 14 4 5 2 2 4 2" xfId="41670"/>
    <cellStyle name="Separador de milhares 3 14 4 5 2 2 5" xfId="35762"/>
    <cellStyle name="Separador de milhares 3 14 4 5 2 3" xfId="25474"/>
    <cellStyle name="Separador de milhares 3 14 4 5 2 3 2" xfId="50541"/>
    <cellStyle name="Separador de milhares 3 14 4 5 2 4" xfId="19560"/>
    <cellStyle name="Separador de milhares 3 14 4 5 2 4 2" xfId="44627"/>
    <cellStyle name="Separador de milhares 3 14 4 5 2 5" xfId="13462"/>
    <cellStyle name="Separador de milhares 3 14 4 5 2 5 2" xfId="38716"/>
    <cellStyle name="Separador de milhares 3 14 4 5 2 6" xfId="32805"/>
    <cellStyle name="Separador de milhares 3 14 4 5 3" xfId="8749"/>
    <cellStyle name="Separador de milhares 3 14 4 5 3 2" xfId="26963"/>
    <cellStyle name="Separador de milhares 3 14 4 5 3 2 2" xfId="52030"/>
    <cellStyle name="Separador de milhares 3 14 4 5 3 3" xfId="21049"/>
    <cellStyle name="Separador de milhares 3 14 4 5 3 3 2" xfId="46116"/>
    <cellStyle name="Separador de milhares 3 14 4 5 3 4" xfId="15135"/>
    <cellStyle name="Separador de milhares 3 14 4 5 3 4 2" xfId="40202"/>
    <cellStyle name="Separador de milhares 3 14 4 5 3 5" xfId="34294"/>
    <cellStyle name="Separador de milhares 3 14 4 5 4" xfId="5374"/>
    <cellStyle name="Separador de milhares 3 14 4 5 4 2" xfId="24006"/>
    <cellStyle name="Separador de milhares 3 14 4 5 4 2 2" xfId="49073"/>
    <cellStyle name="Separador de milhares 3 14 4 5 4 3" xfId="31337"/>
    <cellStyle name="Separador de milhares 3 14 4 5 5" xfId="18092"/>
    <cellStyle name="Separador de milhares 3 14 4 5 5 2" xfId="43159"/>
    <cellStyle name="Separador de milhares 3 14 4 5 6" xfId="11761"/>
    <cellStyle name="Separador de milhares 3 14 4 5 6 2" xfId="37248"/>
    <cellStyle name="Separador de milhares 3 14 4 5 7" xfId="29867"/>
    <cellStyle name="Separador de milhares 3 14 4 6" xfId="2812"/>
    <cellStyle name="Separador de milhares 3 14 4 6 2" xfId="7220"/>
    <cellStyle name="Separador de milhares 3 14 4 6 2 2" xfId="10364"/>
    <cellStyle name="Separador de milhares 3 14 4 6 2 2 2" xfId="28578"/>
    <cellStyle name="Separador de milhares 3 14 4 6 2 2 2 2" xfId="53645"/>
    <cellStyle name="Separador de milhares 3 14 4 6 2 2 3" xfId="22664"/>
    <cellStyle name="Separador de milhares 3 14 4 6 2 2 3 2" xfId="47731"/>
    <cellStyle name="Separador de milhares 3 14 4 6 2 2 4" xfId="16750"/>
    <cellStyle name="Separador de milhares 3 14 4 6 2 2 4 2" xfId="41817"/>
    <cellStyle name="Separador de milhares 3 14 4 6 2 2 5" xfId="35909"/>
    <cellStyle name="Separador de milhares 3 14 4 6 2 3" xfId="25621"/>
    <cellStyle name="Separador de milhares 3 14 4 6 2 3 2" xfId="50688"/>
    <cellStyle name="Separador de milhares 3 14 4 6 2 4" xfId="19707"/>
    <cellStyle name="Separador de milhares 3 14 4 6 2 4 2" xfId="44774"/>
    <cellStyle name="Separador de milhares 3 14 4 6 2 5" xfId="13609"/>
    <cellStyle name="Separador de milhares 3 14 4 6 2 5 2" xfId="38863"/>
    <cellStyle name="Separador de milhares 3 14 4 6 2 6" xfId="32952"/>
    <cellStyle name="Separador de milhares 3 14 4 6 3" xfId="8896"/>
    <cellStyle name="Separador de milhares 3 14 4 6 3 2" xfId="27110"/>
    <cellStyle name="Separador de milhares 3 14 4 6 3 2 2" xfId="52177"/>
    <cellStyle name="Separador de milhares 3 14 4 6 3 3" xfId="21196"/>
    <cellStyle name="Separador de milhares 3 14 4 6 3 3 2" xfId="46263"/>
    <cellStyle name="Separador de milhares 3 14 4 6 3 4" xfId="15282"/>
    <cellStyle name="Separador de milhares 3 14 4 6 3 4 2" xfId="40349"/>
    <cellStyle name="Separador de milhares 3 14 4 6 3 5" xfId="34441"/>
    <cellStyle name="Separador de milhares 3 14 4 6 4" xfId="5521"/>
    <cellStyle name="Separador de milhares 3 14 4 6 4 2" xfId="24153"/>
    <cellStyle name="Separador de milhares 3 14 4 6 4 2 2" xfId="49220"/>
    <cellStyle name="Separador de milhares 3 14 4 6 4 3" xfId="31484"/>
    <cellStyle name="Separador de milhares 3 14 4 6 5" xfId="18239"/>
    <cellStyle name="Separador de milhares 3 14 4 6 5 2" xfId="43306"/>
    <cellStyle name="Separador de milhares 3 14 4 6 6" xfId="11908"/>
    <cellStyle name="Separador de milhares 3 14 4 6 6 2" xfId="37395"/>
    <cellStyle name="Separador de milhares 3 14 4 6 7" xfId="30014"/>
    <cellStyle name="Separador de milhares 3 14 4 7" xfId="3339"/>
    <cellStyle name="Separador de milhares 3 14 4 7 2" xfId="7367"/>
    <cellStyle name="Separador de milhares 3 14 4 7 2 2" xfId="10511"/>
    <cellStyle name="Separador de milhares 3 14 4 7 2 2 2" xfId="28725"/>
    <cellStyle name="Separador de milhares 3 14 4 7 2 2 2 2" xfId="53792"/>
    <cellStyle name="Separador de milhares 3 14 4 7 2 2 3" xfId="22811"/>
    <cellStyle name="Separador de milhares 3 14 4 7 2 2 3 2" xfId="47878"/>
    <cellStyle name="Separador de milhares 3 14 4 7 2 2 4" xfId="16897"/>
    <cellStyle name="Separador de milhares 3 14 4 7 2 2 4 2" xfId="41964"/>
    <cellStyle name="Separador de milhares 3 14 4 7 2 2 5" xfId="36056"/>
    <cellStyle name="Separador de milhares 3 14 4 7 2 3" xfId="25768"/>
    <cellStyle name="Separador de milhares 3 14 4 7 2 3 2" xfId="50835"/>
    <cellStyle name="Separador de milhares 3 14 4 7 2 4" xfId="19854"/>
    <cellStyle name="Separador de milhares 3 14 4 7 2 4 2" xfId="44921"/>
    <cellStyle name="Separador de milhares 3 14 4 7 2 5" xfId="13756"/>
    <cellStyle name="Separador de milhares 3 14 4 7 2 5 2" xfId="39010"/>
    <cellStyle name="Separador de milhares 3 14 4 7 2 6" xfId="33099"/>
    <cellStyle name="Separador de milhares 3 14 4 7 3" xfId="9043"/>
    <cellStyle name="Separador de milhares 3 14 4 7 3 2" xfId="27257"/>
    <cellStyle name="Separador de milhares 3 14 4 7 3 2 2" xfId="52324"/>
    <cellStyle name="Separador de milhares 3 14 4 7 3 3" xfId="21343"/>
    <cellStyle name="Separador de milhares 3 14 4 7 3 3 2" xfId="46410"/>
    <cellStyle name="Separador de milhares 3 14 4 7 3 4" xfId="15429"/>
    <cellStyle name="Separador de milhares 3 14 4 7 3 4 2" xfId="40496"/>
    <cellStyle name="Separador de milhares 3 14 4 7 3 5" xfId="34588"/>
    <cellStyle name="Separador de milhares 3 14 4 7 4" xfId="5668"/>
    <cellStyle name="Separador de milhares 3 14 4 7 4 2" xfId="24300"/>
    <cellStyle name="Separador de milhares 3 14 4 7 4 2 2" xfId="49367"/>
    <cellStyle name="Separador de milhares 3 14 4 7 4 3" xfId="31631"/>
    <cellStyle name="Separador de milhares 3 14 4 7 5" xfId="18386"/>
    <cellStyle name="Separador de milhares 3 14 4 7 5 2" xfId="43453"/>
    <cellStyle name="Separador de milhares 3 14 4 7 6" xfId="12055"/>
    <cellStyle name="Separador de milhares 3 14 4 7 6 2" xfId="37542"/>
    <cellStyle name="Separador de milhares 3 14 4 7 7" xfId="30161"/>
    <cellStyle name="Separador de milhares 3 14 4 8" xfId="3866"/>
    <cellStyle name="Separador de milhares 3 14 4 8 2" xfId="7514"/>
    <cellStyle name="Separador de milhares 3 14 4 8 2 2" xfId="10658"/>
    <cellStyle name="Separador de milhares 3 14 4 8 2 2 2" xfId="28872"/>
    <cellStyle name="Separador de milhares 3 14 4 8 2 2 2 2" xfId="53939"/>
    <cellStyle name="Separador de milhares 3 14 4 8 2 2 3" xfId="22958"/>
    <cellStyle name="Separador de milhares 3 14 4 8 2 2 3 2" xfId="48025"/>
    <cellStyle name="Separador de milhares 3 14 4 8 2 2 4" xfId="17044"/>
    <cellStyle name="Separador de milhares 3 14 4 8 2 2 4 2" xfId="42111"/>
    <cellStyle name="Separador de milhares 3 14 4 8 2 2 5" xfId="36203"/>
    <cellStyle name="Separador de milhares 3 14 4 8 2 3" xfId="25915"/>
    <cellStyle name="Separador de milhares 3 14 4 8 2 3 2" xfId="50982"/>
    <cellStyle name="Separador de milhares 3 14 4 8 2 4" xfId="20001"/>
    <cellStyle name="Separador de milhares 3 14 4 8 2 4 2" xfId="45068"/>
    <cellStyle name="Separador de milhares 3 14 4 8 2 5" xfId="13903"/>
    <cellStyle name="Separador de milhares 3 14 4 8 2 5 2" xfId="39157"/>
    <cellStyle name="Separador de milhares 3 14 4 8 2 6" xfId="33246"/>
    <cellStyle name="Separador de milhares 3 14 4 8 3" xfId="9190"/>
    <cellStyle name="Separador de milhares 3 14 4 8 3 2" xfId="27404"/>
    <cellStyle name="Separador de milhares 3 14 4 8 3 2 2" xfId="52471"/>
    <cellStyle name="Separador de milhares 3 14 4 8 3 3" xfId="21490"/>
    <cellStyle name="Separador de milhares 3 14 4 8 3 3 2" xfId="46557"/>
    <cellStyle name="Separador de milhares 3 14 4 8 3 4" xfId="15576"/>
    <cellStyle name="Separador de milhares 3 14 4 8 3 4 2" xfId="40643"/>
    <cellStyle name="Separador de milhares 3 14 4 8 3 5" xfId="34735"/>
    <cellStyle name="Separador de milhares 3 14 4 8 4" xfId="5815"/>
    <cellStyle name="Separador de milhares 3 14 4 8 4 2" xfId="24447"/>
    <cellStyle name="Separador de milhares 3 14 4 8 4 2 2" xfId="49514"/>
    <cellStyle name="Separador de milhares 3 14 4 8 4 3" xfId="31778"/>
    <cellStyle name="Separador de milhares 3 14 4 8 5" xfId="18533"/>
    <cellStyle name="Separador de milhares 3 14 4 8 5 2" xfId="43600"/>
    <cellStyle name="Separador de milhares 3 14 4 8 6" xfId="12202"/>
    <cellStyle name="Separador de milhares 3 14 4 8 6 2" xfId="37689"/>
    <cellStyle name="Separador de milhares 3 14 4 8 7" xfId="30308"/>
    <cellStyle name="Separador de milhares 3 14 4 9" xfId="673"/>
    <cellStyle name="Separador de milhares 3 14 4 9 2" xfId="6608"/>
    <cellStyle name="Separador de milhares 3 14 4 9 2 2" xfId="9755"/>
    <cellStyle name="Separador de milhares 3 14 4 9 2 2 2" xfId="27969"/>
    <cellStyle name="Separador de milhares 3 14 4 9 2 2 2 2" xfId="53036"/>
    <cellStyle name="Separador de milhares 3 14 4 9 2 2 3" xfId="22055"/>
    <cellStyle name="Separador de milhares 3 14 4 9 2 2 3 2" xfId="47122"/>
    <cellStyle name="Separador de milhares 3 14 4 9 2 2 4" xfId="16141"/>
    <cellStyle name="Separador de milhares 3 14 4 9 2 2 4 2" xfId="41208"/>
    <cellStyle name="Separador de milhares 3 14 4 9 2 2 5" xfId="35300"/>
    <cellStyle name="Separador de milhares 3 14 4 9 2 3" xfId="25012"/>
    <cellStyle name="Separador de milhares 3 14 4 9 2 3 2" xfId="50079"/>
    <cellStyle name="Separador de milhares 3 14 4 9 2 4" xfId="19098"/>
    <cellStyle name="Separador de milhares 3 14 4 9 2 4 2" xfId="44165"/>
    <cellStyle name="Separador de milhares 3 14 4 9 2 5" xfId="12997"/>
    <cellStyle name="Separador de milhares 3 14 4 9 2 5 2" xfId="38254"/>
    <cellStyle name="Separador de milhares 3 14 4 9 2 6" xfId="32343"/>
    <cellStyle name="Separador de milhares 3 14 4 9 3" xfId="8287"/>
    <cellStyle name="Separador de milhares 3 14 4 9 3 2" xfId="26501"/>
    <cellStyle name="Separador de milhares 3 14 4 9 3 2 2" xfId="51568"/>
    <cellStyle name="Separador de milhares 3 14 4 9 3 3" xfId="20587"/>
    <cellStyle name="Separador de milhares 3 14 4 9 3 3 2" xfId="45654"/>
    <cellStyle name="Separador de milhares 3 14 4 9 3 4" xfId="14673"/>
    <cellStyle name="Separador de milhares 3 14 4 9 3 4 2" xfId="39740"/>
    <cellStyle name="Separador de milhares 3 14 4 9 3 5" xfId="33832"/>
    <cellStyle name="Separador de milhares 3 14 4 9 4" xfId="4909"/>
    <cellStyle name="Separador de milhares 3 14 4 9 4 2" xfId="23544"/>
    <cellStyle name="Separador de milhares 3 14 4 9 4 2 2" xfId="48611"/>
    <cellStyle name="Separador de milhares 3 14 4 9 4 3" xfId="30875"/>
    <cellStyle name="Separador de milhares 3 14 4 9 5" xfId="17630"/>
    <cellStyle name="Separador de milhares 3 14 4 9 5 2" xfId="42697"/>
    <cellStyle name="Separador de milhares 3 14 4 9 6" xfId="11296"/>
    <cellStyle name="Separador de milhares 3 14 4 9 6 2" xfId="36786"/>
    <cellStyle name="Separador de milhares 3 14 4 9 7" xfId="29405"/>
    <cellStyle name="Separador de milhares 3 14 5" xfId="581"/>
    <cellStyle name="Separador de milhares 3 14 5 10" xfId="4873"/>
    <cellStyle name="Separador de milhares 3 14 5 10 2" xfId="23507"/>
    <cellStyle name="Separador de milhares 3 14 5 10 2 2" xfId="48574"/>
    <cellStyle name="Separador de milhares 3 14 5 10 3" xfId="30839"/>
    <cellStyle name="Separador de milhares 3 14 5 11" xfId="17593"/>
    <cellStyle name="Separador de milhares 3 14 5 11 2" xfId="42660"/>
    <cellStyle name="Separador de milhares 3 14 5 12" xfId="11262"/>
    <cellStyle name="Separador de milhares 3 14 5 12 2" xfId="36752"/>
    <cellStyle name="Separador de milhares 3 14 5 13" xfId="29368"/>
    <cellStyle name="Separador de milhares 3 14 5 2" xfId="1404"/>
    <cellStyle name="Separador de milhares 3 14 5 2 2" xfId="6825"/>
    <cellStyle name="Separador de milhares 3 14 5 2 2 2" xfId="9972"/>
    <cellStyle name="Separador de milhares 3 14 5 2 2 2 2" xfId="28186"/>
    <cellStyle name="Separador de milhares 3 14 5 2 2 2 2 2" xfId="53253"/>
    <cellStyle name="Separador de milhares 3 14 5 2 2 2 3" xfId="22272"/>
    <cellStyle name="Separador de milhares 3 14 5 2 2 2 3 2" xfId="47339"/>
    <cellStyle name="Separador de milhares 3 14 5 2 2 2 4" xfId="16358"/>
    <cellStyle name="Separador de milhares 3 14 5 2 2 2 4 2" xfId="41425"/>
    <cellStyle name="Separador de milhares 3 14 5 2 2 2 5" xfId="35517"/>
    <cellStyle name="Separador de milhares 3 14 5 2 2 3" xfId="25229"/>
    <cellStyle name="Separador de milhares 3 14 5 2 2 3 2" xfId="50296"/>
    <cellStyle name="Separador de milhares 3 14 5 2 2 4" xfId="19315"/>
    <cellStyle name="Separador de milhares 3 14 5 2 2 4 2" xfId="44382"/>
    <cellStyle name="Separador de milhares 3 14 5 2 2 5" xfId="13214"/>
    <cellStyle name="Separador de milhares 3 14 5 2 2 5 2" xfId="38471"/>
    <cellStyle name="Separador de milhares 3 14 5 2 2 6" xfId="32560"/>
    <cellStyle name="Separador de milhares 3 14 5 2 3" xfId="8504"/>
    <cellStyle name="Separador de milhares 3 14 5 2 3 2" xfId="26718"/>
    <cellStyle name="Separador de milhares 3 14 5 2 3 2 2" xfId="51785"/>
    <cellStyle name="Separador de milhares 3 14 5 2 3 3" xfId="20804"/>
    <cellStyle name="Separador de milhares 3 14 5 2 3 3 2" xfId="45871"/>
    <cellStyle name="Separador de milhares 3 14 5 2 3 4" xfId="14890"/>
    <cellStyle name="Separador de milhares 3 14 5 2 3 4 2" xfId="39957"/>
    <cellStyle name="Separador de milhares 3 14 5 2 3 5" xfId="34049"/>
    <cellStyle name="Separador de milhares 3 14 5 2 4" xfId="5126"/>
    <cellStyle name="Separador de milhares 3 14 5 2 4 2" xfId="23761"/>
    <cellStyle name="Separador de milhares 3 14 5 2 4 2 2" xfId="48828"/>
    <cellStyle name="Separador de milhares 3 14 5 2 4 3" xfId="31092"/>
    <cellStyle name="Separador de milhares 3 14 5 2 5" xfId="17847"/>
    <cellStyle name="Separador de milhares 3 14 5 2 5 2" xfId="42914"/>
    <cellStyle name="Separador de milhares 3 14 5 2 6" xfId="11513"/>
    <cellStyle name="Separador de milhares 3 14 5 2 6 2" xfId="37003"/>
    <cellStyle name="Separador de milhares 3 14 5 2 7" xfId="29622"/>
    <cellStyle name="Separador de milhares 3 14 5 3" xfId="1839"/>
    <cellStyle name="Separador de milhares 3 14 5 3 2" xfId="6944"/>
    <cellStyle name="Separador de milhares 3 14 5 3 2 2" xfId="10091"/>
    <cellStyle name="Separador de milhares 3 14 5 3 2 2 2" xfId="28305"/>
    <cellStyle name="Separador de milhares 3 14 5 3 2 2 2 2" xfId="53372"/>
    <cellStyle name="Separador de milhares 3 14 5 3 2 2 3" xfId="22391"/>
    <cellStyle name="Separador de milhares 3 14 5 3 2 2 3 2" xfId="47458"/>
    <cellStyle name="Separador de milhares 3 14 5 3 2 2 4" xfId="16477"/>
    <cellStyle name="Separador de milhares 3 14 5 3 2 2 4 2" xfId="41544"/>
    <cellStyle name="Separador de milhares 3 14 5 3 2 2 5" xfId="35636"/>
    <cellStyle name="Separador de milhares 3 14 5 3 2 3" xfId="25348"/>
    <cellStyle name="Separador de milhares 3 14 5 3 2 3 2" xfId="50415"/>
    <cellStyle name="Separador de milhares 3 14 5 3 2 4" xfId="19434"/>
    <cellStyle name="Separador de milhares 3 14 5 3 2 4 2" xfId="44501"/>
    <cellStyle name="Separador de milhares 3 14 5 3 2 5" xfId="13333"/>
    <cellStyle name="Separador de milhares 3 14 5 3 2 5 2" xfId="38590"/>
    <cellStyle name="Separador de milhares 3 14 5 3 2 6" xfId="32679"/>
    <cellStyle name="Separador de milhares 3 14 5 3 3" xfId="8623"/>
    <cellStyle name="Separador de milhares 3 14 5 3 3 2" xfId="26837"/>
    <cellStyle name="Separador de milhares 3 14 5 3 3 2 2" xfId="51904"/>
    <cellStyle name="Separador de milhares 3 14 5 3 3 3" xfId="20923"/>
    <cellStyle name="Separador de milhares 3 14 5 3 3 3 2" xfId="45990"/>
    <cellStyle name="Separador de milhares 3 14 5 3 3 4" xfId="15009"/>
    <cellStyle name="Separador de milhares 3 14 5 3 3 4 2" xfId="40076"/>
    <cellStyle name="Separador de milhares 3 14 5 3 3 5" xfId="34168"/>
    <cellStyle name="Separador de milhares 3 14 5 3 4" xfId="5245"/>
    <cellStyle name="Separador de milhares 3 14 5 3 4 2" xfId="23880"/>
    <cellStyle name="Separador de milhares 3 14 5 3 4 2 2" xfId="48947"/>
    <cellStyle name="Separador de milhares 3 14 5 3 4 3" xfId="31211"/>
    <cellStyle name="Separador de milhares 3 14 5 3 5" xfId="17966"/>
    <cellStyle name="Separador de milhares 3 14 5 3 5 2" xfId="43033"/>
    <cellStyle name="Separador de milhares 3 14 5 3 6" xfId="11632"/>
    <cellStyle name="Separador de milhares 3 14 5 3 6 2" xfId="37122"/>
    <cellStyle name="Separador de milhares 3 14 5 3 7" xfId="29741"/>
    <cellStyle name="Separador de milhares 3 14 5 4" xfId="2369"/>
    <cellStyle name="Separador de milhares 3 14 5 4 2" xfId="7094"/>
    <cellStyle name="Separador de milhares 3 14 5 4 2 2" xfId="10238"/>
    <cellStyle name="Separador de milhares 3 14 5 4 2 2 2" xfId="28452"/>
    <cellStyle name="Separador de milhares 3 14 5 4 2 2 2 2" xfId="53519"/>
    <cellStyle name="Separador de milhares 3 14 5 4 2 2 3" xfId="22538"/>
    <cellStyle name="Separador de milhares 3 14 5 4 2 2 3 2" xfId="47605"/>
    <cellStyle name="Separador de milhares 3 14 5 4 2 2 4" xfId="16624"/>
    <cellStyle name="Separador de milhares 3 14 5 4 2 2 4 2" xfId="41691"/>
    <cellStyle name="Separador de milhares 3 14 5 4 2 2 5" xfId="35783"/>
    <cellStyle name="Separador de milhares 3 14 5 4 2 3" xfId="25495"/>
    <cellStyle name="Separador de milhares 3 14 5 4 2 3 2" xfId="50562"/>
    <cellStyle name="Separador de milhares 3 14 5 4 2 4" xfId="19581"/>
    <cellStyle name="Separador de milhares 3 14 5 4 2 4 2" xfId="44648"/>
    <cellStyle name="Separador de milhares 3 14 5 4 2 5" xfId="13483"/>
    <cellStyle name="Separador de milhares 3 14 5 4 2 5 2" xfId="38737"/>
    <cellStyle name="Separador de milhares 3 14 5 4 2 6" xfId="32826"/>
    <cellStyle name="Separador de milhares 3 14 5 4 3" xfId="8770"/>
    <cellStyle name="Separador de milhares 3 14 5 4 3 2" xfId="26984"/>
    <cellStyle name="Separador de milhares 3 14 5 4 3 2 2" xfId="52051"/>
    <cellStyle name="Separador de milhares 3 14 5 4 3 3" xfId="21070"/>
    <cellStyle name="Separador de milhares 3 14 5 4 3 3 2" xfId="46137"/>
    <cellStyle name="Separador de milhares 3 14 5 4 3 4" xfId="15156"/>
    <cellStyle name="Separador de milhares 3 14 5 4 3 4 2" xfId="40223"/>
    <cellStyle name="Separador de milhares 3 14 5 4 3 5" xfId="34315"/>
    <cellStyle name="Separador de milhares 3 14 5 4 4" xfId="5395"/>
    <cellStyle name="Separador de milhares 3 14 5 4 4 2" xfId="24027"/>
    <cellStyle name="Separador de milhares 3 14 5 4 4 2 2" xfId="49094"/>
    <cellStyle name="Separador de milhares 3 14 5 4 4 3" xfId="31358"/>
    <cellStyle name="Separador de milhares 3 14 5 4 5" xfId="18113"/>
    <cellStyle name="Separador de milhares 3 14 5 4 5 2" xfId="43180"/>
    <cellStyle name="Separador de milhares 3 14 5 4 6" xfId="11782"/>
    <cellStyle name="Separador de milhares 3 14 5 4 6 2" xfId="37269"/>
    <cellStyle name="Separador de milhares 3 14 5 4 7" xfId="29888"/>
    <cellStyle name="Separador de milhares 3 14 5 5" xfId="2896"/>
    <cellStyle name="Separador de milhares 3 14 5 5 2" xfId="7241"/>
    <cellStyle name="Separador de milhares 3 14 5 5 2 2" xfId="10385"/>
    <cellStyle name="Separador de milhares 3 14 5 5 2 2 2" xfId="28599"/>
    <cellStyle name="Separador de milhares 3 14 5 5 2 2 2 2" xfId="53666"/>
    <cellStyle name="Separador de milhares 3 14 5 5 2 2 3" xfId="22685"/>
    <cellStyle name="Separador de milhares 3 14 5 5 2 2 3 2" xfId="47752"/>
    <cellStyle name="Separador de milhares 3 14 5 5 2 2 4" xfId="16771"/>
    <cellStyle name="Separador de milhares 3 14 5 5 2 2 4 2" xfId="41838"/>
    <cellStyle name="Separador de milhares 3 14 5 5 2 2 5" xfId="35930"/>
    <cellStyle name="Separador de milhares 3 14 5 5 2 3" xfId="25642"/>
    <cellStyle name="Separador de milhares 3 14 5 5 2 3 2" xfId="50709"/>
    <cellStyle name="Separador de milhares 3 14 5 5 2 4" xfId="19728"/>
    <cellStyle name="Separador de milhares 3 14 5 5 2 4 2" xfId="44795"/>
    <cellStyle name="Separador de milhares 3 14 5 5 2 5" xfId="13630"/>
    <cellStyle name="Separador de milhares 3 14 5 5 2 5 2" xfId="38884"/>
    <cellStyle name="Separador de milhares 3 14 5 5 2 6" xfId="32973"/>
    <cellStyle name="Separador de milhares 3 14 5 5 3" xfId="8917"/>
    <cellStyle name="Separador de milhares 3 14 5 5 3 2" xfId="27131"/>
    <cellStyle name="Separador de milhares 3 14 5 5 3 2 2" xfId="52198"/>
    <cellStyle name="Separador de milhares 3 14 5 5 3 3" xfId="21217"/>
    <cellStyle name="Separador de milhares 3 14 5 5 3 3 2" xfId="46284"/>
    <cellStyle name="Separador de milhares 3 14 5 5 3 4" xfId="15303"/>
    <cellStyle name="Separador de milhares 3 14 5 5 3 4 2" xfId="40370"/>
    <cellStyle name="Separador de milhares 3 14 5 5 3 5" xfId="34462"/>
    <cellStyle name="Separador de milhares 3 14 5 5 4" xfId="5542"/>
    <cellStyle name="Separador de milhares 3 14 5 5 4 2" xfId="24174"/>
    <cellStyle name="Separador de milhares 3 14 5 5 4 2 2" xfId="49241"/>
    <cellStyle name="Separador de milhares 3 14 5 5 4 3" xfId="31505"/>
    <cellStyle name="Separador de milhares 3 14 5 5 5" xfId="18260"/>
    <cellStyle name="Separador de milhares 3 14 5 5 5 2" xfId="43327"/>
    <cellStyle name="Separador de milhares 3 14 5 5 6" xfId="11929"/>
    <cellStyle name="Separador de milhares 3 14 5 5 6 2" xfId="37416"/>
    <cellStyle name="Separador de milhares 3 14 5 5 7" xfId="30035"/>
    <cellStyle name="Separador de milhares 3 14 5 6" xfId="3423"/>
    <cellStyle name="Separador de milhares 3 14 5 6 2" xfId="7388"/>
    <cellStyle name="Separador de milhares 3 14 5 6 2 2" xfId="10532"/>
    <cellStyle name="Separador de milhares 3 14 5 6 2 2 2" xfId="28746"/>
    <cellStyle name="Separador de milhares 3 14 5 6 2 2 2 2" xfId="53813"/>
    <cellStyle name="Separador de milhares 3 14 5 6 2 2 3" xfId="22832"/>
    <cellStyle name="Separador de milhares 3 14 5 6 2 2 3 2" xfId="47899"/>
    <cellStyle name="Separador de milhares 3 14 5 6 2 2 4" xfId="16918"/>
    <cellStyle name="Separador de milhares 3 14 5 6 2 2 4 2" xfId="41985"/>
    <cellStyle name="Separador de milhares 3 14 5 6 2 2 5" xfId="36077"/>
    <cellStyle name="Separador de milhares 3 14 5 6 2 3" xfId="25789"/>
    <cellStyle name="Separador de milhares 3 14 5 6 2 3 2" xfId="50856"/>
    <cellStyle name="Separador de milhares 3 14 5 6 2 4" xfId="19875"/>
    <cellStyle name="Separador de milhares 3 14 5 6 2 4 2" xfId="44942"/>
    <cellStyle name="Separador de milhares 3 14 5 6 2 5" xfId="13777"/>
    <cellStyle name="Separador de milhares 3 14 5 6 2 5 2" xfId="39031"/>
    <cellStyle name="Separador de milhares 3 14 5 6 2 6" xfId="33120"/>
    <cellStyle name="Separador de milhares 3 14 5 6 3" xfId="9064"/>
    <cellStyle name="Separador de milhares 3 14 5 6 3 2" xfId="27278"/>
    <cellStyle name="Separador de milhares 3 14 5 6 3 2 2" xfId="52345"/>
    <cellStyle name="Separador de milhares 3 14 5 6 3 3" xfId="21364"/>
    <cellStyle name="Separador de milhares 3 14 5 6 3 3 2" xfId="46431"/>
    <cellStyle name="Separador de milhares 3 14 5 6 3 4" xfId="15450"/>
    <cellStyle name="Separador de milhares 3 14 5 6 3 4 2" xfId="40517"/>
    <cellStyle name="Separador de milhares 3 14 5 6 3 5" xfId="34609"/>
    <cellStyle name="Separador de milhares 3 14 5 6 4" xfId="5689"/>
    <cellStyle name="Separador de milhares 3 14 5 6 4 2" xfId="24321"/>
    <cellStyle name="Separador de milhares 3 14 5 6 4 2 2" xfId="49388"/>
    <cellStyle name="Separador de milhares 3 14 5 6 4 3" xfId="31652"/>
    <cellStyle name="Separador de milhares 3 14 5 6 5" xfId="18407"/>
    <cellStyle name="Separador de milhares 3 14 5 6 5 2" xfId="43474"/>
    <cellStyle name="Separador de milhares 3 14 5 6 6" xfId="12076"/>
    <cellStyle name="Separador de milhares 3 14 5 6 6 2" xfId="37563"/>
    <cellStyle name="Separador de milhares 3 14 5 6 7" xfId="30182"/>
    <cellStyle name="Separador de milhares 3 14 5 7" xfId="3950"/>
    <cellStyle name="Separador de milhares 3 14 5 7 2" xfId="7535"/>
    <cellStyle name="Separador de milhares 3 14 5 7 2 2" xfId="10679"/>
    <cellStyle name="Separador de milhares 3 14 5 7 2 2 2" xfId="28893"/>
    <cellStyle name="Separador de milhares 3 14 5 7 2 2 2 2" xfId="53960"/>
    <cellStyle name="Separador de milhares 3 14 5 7 2 2 3" xfId="22979"/>
    <cellStyle name="Separador de milhares 3 14 5 7 2 2 3 2" xfId="48046"/>
    <cellStyle name="Separador de milhares 3 14 5 7 2 2 4" xfId="17065"/>
    <cellStyle name="Separador de milhares 3 14 5 7 2 2 4 2" xfId="42132"/>
    <cellStyle name="Separador de milhares 3 14 5 7 2 2 5" xfId="36224"/>
    <cellStyle name="Separador de milhares 3 14 5 7 2 3" xfId="25936"/>
    <cellStyle name="Separador de milhares 3 14 5 7 2 3 2" xfId="51003"/>
    <cellStyle name="Separador de milhares 3 14 5 7 2 4" xfId="20022"/>
    <cellStyle name="Separador de milhares 3 14 5 7 2 4 2" xfId="45089"/>
    <cellStyle name="Separador de milhares 3 14 5 7 2 5" xfId="13924"/>
    <cellStyle name="Separador de milhares 3 14 5 7 2 5 2" xfId="39178"/>
    <cellStyle name="Separador de milhares 3 14 5 7 2 6" xfId="33267"/>
    <cellStyle name="Separador de milhares 3 14 5 7 3" xfId="9211"/>
    <cellStyle name="Separador de milhares 3 14 5 7 3 2" xfId="27425"/>
    <cellStyle name="Separador de milhares 3 14 5 7 3 2 2" xfId="52492"/>
    <cellStyle name="Separador de milhares 3 14 5 7 3 3" xfId="21511"/>
    <cellStyle name="Separador de milhares 3 14 5 7 3 3 2" xfId="46578"/>
    <cellStyle name="Separador de milhares 3 14 5 7 3 4" xfId="15597"/>
    <cellStyle name="Separador de milhares 3 14 5 7 3 4 2" xfId="40664"/>
    <cellStyle name="Separador de milhares 3 14 5 7 3 5" xfId="34756"/>
    <cellStyle name="Separador de milhares 3 14 5 7 4" xfId="5836"/>
    <cellStyle name="Separador de milhares 3 14 5 7 4 2" xfId="24468"/>
    <cellStyle name="Separador de milhares 3 14 5 7 4 2 2" xfId="49535"/>
    <cellStyle name="Separador de milhares 3 14 5 7 4 3" xfId="31799"/>
    <cellStyle name="Separador de milhares 3 14 5 7 5" xfId="18554"/>
    <cellStyle name="Separador de milhares 3 14 5 7 5 2" xfId="43621"/>
    <cellStyle name="Separador de milhares 3 14 5 7 6" xfId="12223"/>
    <cellStyle name="Separador de milhares 3 14 5 7 6 2" xfId="37710"/>
    <cellStyle name="Separador de milhares 3 14 5 7 7" xfId="30329"/>
    <cellStyle name="Separador de milhares 3 14 5 8" xfId="6574"/>
    <cellStyle name="Separador de milhares 3 14 5 8 2" xfId="9721"/>
    <cellStyle name="Separador de milhares 3 14 5 8 2 2" xfId="27935"/>
    <cellStyle name="Separador de milhares 3 14 5 8 2 2 2" xfId="53002"/>
    <cellStyle name="Separador de milhares 3 14 5 8 2 3" xfId="22021"/>
    <cellStyle name="Separador de milhares 3 14 5 8 2 3 2" xfId="47088"/>
    <cellStyle name="Separador de milhares 3 14 5 8 2 4" xfId="16107"/>
    <cellStyle name="Separador de milhares 3 14 5 8 2 4 2" xfId="41174"/>
    <cellStyle name="Separador de milhares 3 14 5 8 2 5" xfId="35266"/>
    <cellStyle name="Separador de milhares 3 14 5 8 3" xfId="24978"/>
    <cellStyle name="Separador de milhares 3 14 5 8 3 2" xfId="50045"/>
    <cellStyle name="Separador de milhares 3 14 5 8 4" xfId="19064"/>
    <cellStyle name="Separador de milhares 3 14 5 8 4 2" xfId="44131"/>
    <cellStyle name="Separador de milhares 3 14 5 8 5" xfId="12963"/>
    <cellStyle name="Separador de milhares 3 14 5 8 5 2" xfId="38220"/>
    <cellStyle name="Separador de milhares 3 14 5 8 6" xfId="32309"/>
    <cellStyle name="Separador de milhares 3 14 5 9" xfId="8250"/>
    <cellStyle name="Separador de milhares 3 14 5 9 2" xfId="26464"/>
    <cellStyle name="Separador de milhares 3 14 5 9 2 2" xfId="51531"/>
    <cellStyle name="Separador de milhares 3 14 5 9 3" xfId="20550"/>
    <cellStyle name="Separador de milhares 3 14 5 9 3 2" xfId="45617"/>
    <cellStyle name="Separador de milhares 3 14 5 9 4" xfId="14639"/>
    <cellStyle name="Separador de milhares 3 14 5 9 4 2" xfId="39706"/>
    <cellStyle name="Separador de milhares 3 14 5 9 5" xfId="33795"/>
    <cellStyle name="Separador de milhares 3 14 6" xfId="702"/>
    <cellStyle name="Separador de milhares 3 14 6 2" xfId="4126"/>
    <cellStyle name="Separador de milhares 3 14 6 2 2" xfId="7584"/>
    <cellStyle name="Separador de milhares 3 14 6 2 2 2" xfId="10728"/>
    <cellStyle name="Separador de milhares 3 14 6 2 2 2 2" xfId="28942"/>
    <cellStyle name="Separador de milhares 3 14 6 2 2 2 2 2" xfId="54009"/>
    <cellStyle name="Separador de milhares 3 14 6 2 2 2 3" xfId="23028"/>
    <cellStyle name="Separador de milhares 3 14 6 2 2 2 3 2" xfId="48095"/>
    <cellStyle name="Separador de milhares 3 14 6 2 2 2 4" xfId="17114"/>
    <cellStyle name="Separador de milhares 3 14 6 2 2 2 4 2" xfId="42181"/>
    <cellStyle name="Separador de milhares 3 14 6 2 2 2 5" xfId="36273"/>
    <cellStyle name="Separador de milhares 3 14 6 2 2 3" xfId="25985"/>
    <cellStyle name="Separador de milhares 3 14 6 2 2 3 2" xfId="51052"/>
    <cellStyle name="Separador de milhares 3 14 6 2 2 4" xfId="20071"/>
    <cellStyle name="Separador de milhares 3 14 6 2 2 4 2" xfId="45138"/>
    <cellStyle name="Separador de milhares 3 14 6 2 2 5" xfId="13973"/>
    <cellStyle name="Separador de milhares 3 14 6 2 2 5 2" xfId="39227"/>
    <cellStyle name="Separador de milhares 3 14 6 2 2 6" xfId="33316"/>
    <cellStyle name="Separador de milhares 3 14 6 2 3" xfId="9260"/>
    <cellStyle name="Separador de milhares 3 14 6 2 3 2" xfId="27474"/>
    <cellStyle name="Separador de milhares 3 14 6 2 3 2 2" xfId="52541"/>
    <cellStyle name="Separador de milhares 3 14 6 2 3 3" xfId="21560"/>
    <cellStyle name="Separador de milhares 3 14 6 2 3 3 2" xfId="46627"/>
    <cellStyle name="Separador de milhares 3 14 6 2 3 4" xfId="15646"/>
    <cellStyle name="Separador de milhares 3 14 6 2 3 4 2" xfId="40713"/>
    <cellStyle name="Separador de milhares 3 14 6 2 3 5" xfId="34805"/>
    <cellStyle name="Separador de milhares 3 14 6 2 4" xfId="5885"/>
    <cellStyle name="Separador de milhares 3 14 6 2 4 2" xfId="24517"/>
    <cellStyle name="Separador de milhares 3 14 6 2 4 2 2" xfId="49584"/>
    <cellStyle name="Separador de milhares 3 14 6 2 4 3" xfId="31848"/>
    <cellStyle name="Separador de milhares 3 14 6 2 5" xfId="18603"/>
    <cellStyle name="Separador de milhares 3 14 6 2 5 2" xfId="43670"/>
    <cellStyle name="Separador de milhares 3 14 6 2 6" xfId="12272"/>
    <cellStyle name="Separador de milhares 3 14 6 2 6 2" xfId="37759"/>
    <cellStyle name="Separador de milhares 3 14 6 2 7" xfId="30378"/>
    <cellStyle name="Separador de milhares 3 14 6 3" xfId="6629"/>
    <cellStyle name="Separador de milhares 3 14 6 3 2" xfId="9776"/>
    <cellStyle name="Separador de milhares 3 14 6 3 2 2" xfId="27990"/>
    <cellStyle name="Separador de milhares 3 14 6 3 2 2 2" xfId="53057"/>
    <cellStyle name="Separador de milhares 3 14 6 3 2 3" xfId="22076"/>
    <cellStyle name="Separador de milhares 3 14 6 3 2 3 2" xfId="47143"/>
    <cellStyle name="Separador de milhares 3 14 6 3 2 4" xfId="16162"/>
    <cellStyle name="Separador de milhares 3 14 6 3 2 4 2" xfId="41229"/>
    <cellStyle name="Separador de milhares 3 14 6 3 2 5" xfId="35321"/>
    <cellStyle name="Separador de milhares 3 14 6 3 3" xfId="25033"/>
    <cellStyle name="Separador de milhares 3 14 6 3 3 2" xfId="50100"/>
    <cellStyle name="Separador de milhares 3 14 6 3 4" xfId="19119"/>
    <cellStyle name="Separador de milhares 3 14 6 3 4 2" xfId="44186"/>
    <cellStyle name="Separador de milhares 3 14 6 3 5" xfId="13018"/>
    <cellStyle name="Separador de milhares 3 14 6 3 5 2" xfId="38275"/>
    <cellStyle name="Separador de milhares 3 14 6 3 6" xfId="32364"/>
    <cellStyle name="Separador de milhares 3 14 6 4" xfId="8308"/>
    <cellStyle name="Separador de milhares 3 14 6 4 2" xfId="26522"/>
    <cellStyle name="Separador de milhares 3 14 6 4 2 2" xfId="51589"/>
    <cellStyle name="Separador de milhares 3 14 6 4 3" xfId="20608"/>
    <cellStyle name="Separador de milhares 3 14 6 4 3 2" xfId="45675"/>
    <cellStyle name="Separador de milhares 3 14 6 4 4" xfId="14694"/>
    <cellStyle name="Separador de milhares 3 14 6 4 4 2" xfId="39761"/>
    <cellStyle name="Separador de milhares 3 14 6 4 5" xfId="33853"/>
    <cellStyle name="Separador de milhares 3 14 6 5" xfId="4930"/>
    <cellStyle name="Separador de milhares 3 14 6 5 2" xfId="23565"/>
    <cellStyle name="Separador de milhares 3 14 6 5 2 2" xfId="48632"/>
    <cellStyle name="Separador de milhares 3 14 6 5 3" xfId="30896"/>
    <cellStyle name="Separador de milhares 3 14 6 6" xfId="17651"/>
    <cellStyle name="Separador de milhares 3 14 6 6 2" xfId="42718"/>
    <cellStyle name="Separador de milhares 3 14 6 7" xfId="11317"/>
    <cellStyle name="Separador de milhares 3 14 6 7 2" xfId="36807"/>
    <cellStyle name="Separador de milhares 3 14 6 8" xfId="29426"/>
    <cellStyle name="Separador de milhares 3 14 7" xfId="1053"/>
    <cellStyle name="Separador de milhares 3 14 7 2" xfId="6727"/>
    <cellStyle name="Separador de milhares 3 14 7 2 2" xfId="9874"/>
    <cellStyle name="Separador de milhares 3 14 7 2 2 2" xfId="28088"/>
    <cellStyle name="Separador de milhares 3 14 7 2 2 2 2" xfId="53155"/>
    <cellStyle name="Separador de milhares 3 14 7 2 2 3" xfId="22174"/>
    <cellStyle name="Separador de milhares 3 14 7 2 2 3 2" xfId="47241"/>
    <cellStyle name="Separador de milhares 3 14 7 2 2 4" xfId="16260"/>
    <cellStyle name="Separador de milhares 3 14 7 2 2 4 2" xfId="41327"/>
    <cellStyle name="Separador de milhares 3 14 7 2 2 5" xfId="35419"/>
    <cellStyle name="Separador de milhares 3 14 7 2 3" xfId="25131"/>
    <cellStyle name="Separador de milhares 3 14 7 2 3 2" xfId="50198"/>
    <cellStyle name="Separador de milhares 3 14 7 2 4" xfId="19217"/>
    <cellStyle name="Separador de milhares 3 14 7 2 4 2" xfId="44284"/>
    <cellStyle name="Separador de milhares 3 14 7 2 5" xfId="13116"/>
    <cellStyle name="Separador de milhares 3 14 7 2 5 2" xfId="38373"/>
    <cellStyle name="Separador de milhares 3 14 7 2 6" xfId="32462"/>
    <cellStyle name="Separador de milhares 3 14 7 3" xfId="8406"/>
    <cellStyle name="Separador de milhares 3 14 7 3 2" xfId="26620"/>
    <cellStyle name="Separador de milhares 3 14 7 3 2 2" xfId="51687"/>
    <cellStyle name="Separador de milhares 3 14 7 3 3" xfId="20706"/>
    <cellStyle name="Separador de milhares 3 14 7 3 3 2" xfId="45773"/>
    <cellStyle name="Separador de milhares 3 14 7 3 4" xfId="14792"/>
    <cellStyle name="Separador de milhares 3 14 7 3 4 2" xfId="39859"/>
    <cellStyle name="Separador de milhares 3 14 7 3 5" xfId="33951"/>
    <cellStyle name="Separador de milhares 3 14 7 4" xfId="5028"/>
    <cellStyle name="Separador de milhares 3 14 7 4 2" xfId="23663"/>
    <cellStyle name="Separador de milhares 3 14 7 4 2 2" xfId="48730"/>
    <cellStyle name="Separador de milhares 3 14 7 4 3" xfId="30994"/>
    <cellStyle name="Separador de milhares 3 14 7 5" xfId="17749"/>
    <cellStyle name="Separador de milhares 3 14 7 5 2" xfId="42816"/>
    <cellStyle name="Separador de milhares 3 14 7 6" xfId="11415"/>
    <cellStyle name="Separador de milhares 3 14 7 6 2" xfId="36905"/>
    <cellStyle name="Separador de milhares 3 14 7 7" xfId="29524"/>
    <cellStyle name="Separador de milhares 3 14 8" xfId="1488"/>
    <cellStyle name="Separador de milhares 3 14 8 2" xfId="6846"/>
    <cellStyle name="Separador de milhares 3 14 8 2 2" xfId="9993"/>
    <cellStyle name="Separador de milhares 3 14 8 2 2 2" xfId="28207"/>
    <cellStyle name="Separador de milhares 3 14 8 2 2 2 2" xfId="53274"/>
    <cellStyle name="Separador de milhares 3 14 8 2 2 3" xfId="22293"/>
    <cellStyle name="Separador de milhares 3 14 8 2 2 3 2" xfId="47360"/>
    <cellStyle name="Separador de milhares 3 14 8 2 2 4" xfId="16379"/>
    <cellStyle name="Separador de milhares 3 14 8 2 2 4 2" xfId="41446"/>
    <cellStyle name="Separador de milhares 3 14 8 2 2 5" xfId="35538"/>
    <cellStyle name="Separador de milhares 3 14 8 2 3" xfId="25250"/>
    <cellStyle name="Separador de milhares 3 14 8 2 3 2" xfId="50317"/>
    <cellStyle name="Separador de milhares 3 14 8 2 4" xfId="19336"/>
    <cellStyle name="Separador de milhares 3 14 8 2 4 2" xfId="44403"/>
    <cellStyle name="Separador de milhares 3 14 8 2 5" xfId="13235"/>
    <cellStyle name="Separador de milhares 3 14 8 2 5 2" xfId="38492"/>
    <cellStyle name="Separador de milhares 3 14 8 2 6" xfId="32581"/>
    <cellStyle name="Separador de milhares 3 14 8 3" xfId="8525"/>
    <cellStyle name="Separador de milhares 3 14 8 3 2" xfId="26739"/>
    <cellStyle name="Separador de milhares 3 14 8 3 2 2" xfId="51806"/>
    <cellStyle name="Separador de milhares 3 14 8 3 3" xfId="20825"/>
    <cellStyle name="Separador de milhares 3 14 8 3 3 2" xfId="45892"/>
    <cellStyle name="Separador de milhares 3 14 8 3 4" xfId="14911"/>
    <cellStyle name="Separador de milhares 3 14 8 3 4 2" xfId="39978"/>
    <cellStyle name="Separador de milhares 3 14 8 3 5" xfId="34070"/>
    <cellStyle name="Separador de milhares 3 14 8 4" xfId="5147"/>
    <cellStyle name="Separador de milhares 3 14 8 4 2" xfId="23782"/>
    <cellStyle name="Separador de milhares 3 14 8 4 2 2" xfId="48849"/>
    <cellStyle name="Separador de milhares 3 14 8 4 3" xfId="31113"/>
    <cellStyle name="Separador de milhares 3 14 8 5" xfId="17868"/>
    <cellStyle name="Separador de milhares 3 14 8 5 2" xfId="42935"/>
    <cellStyle name="Separador de milhares 3 14 8 6" xfId="11534"/>
    <cellStyle name="Separador de milhares 3 14 8 6 2" xfId="37024"/>
    <cellStyle name="Separador de milhares 3 14 8 7" xfId="29643"/>
    <cellStyle name="Separador de milhares 3 14 9" xfId="2018"/>
    <cellStyle name="Separador de milhares 3 14 9 2" xfId="6996"/>
    <cellStyle name="Separador de milhares 3 14 9 2 2" xfId="10140"/>
    <cellStyle name="Separador de milhares 3 14 9 2 2 2" xfId="28354"/>
    <cellStyle name="Separador de milhares 3 14 9 2 2 2 2" xfId="53421"/>
    <cellStyle name="Separador de milhares 3 14 9 2 2 3" xfId="22440"/>
    <cellStyle name="Separador de milhares 3 14 9 2 2 3 2" xfId="47507"/>
    <cellStyle name="Separador de milhares 3 14 9 2 2 4" xfId="16526"/>
    <cellStyle name="Separador de milhares 3 14 9 2 2 4 2" xfId="41593"/>
    <cellStyle name="Separador de milhares 3 14 9 2 2 5" xfId="35685"/>
    <cellStyle name="Separador de milhares 3 14 9 2 3" xfId="25397"/>
    <cellStyle name="Separador de milhares 3 14 9 2 3 2" xfId="50464"/>
    <cellStyle name="Separador de milhares 3 14 9 2 4" xfId="19483"/>
    <cellStyle name="Separador de milhares 3 14 9 2 4 2" xfId="44550"/>
    <cellStyle name="Separador de milhares 3 14 9 2 5" xfId="13385"/>
    <cellStyle name="Separador de milhares 3 14 9 2 5 2" xfId="38639"/>
    <cellStyle name="Separador de milhares 3 14 9 2 6" xfId="32728"/>
    <cellStyle name="Separador de milhares 3 14 9 3" xfId="8672"/>
    <cellStyle name="Separador de milhares 3 14 9 3 2" xfId="26886"/>
    <cellStyle name="Separador de milhares 3 14 9 3 2 2" xfId="51953"/>
    <cellStyle name="Separador de milhares 3 14 9 3 3" xfId="20972"/>
    <cellStyle name="Separador de milhares 3 14 9 3 3 2" xfId="46039"/>
    <cellStyle name="Separador de milhares 3 14 9 3 4" xfId="15058"/>
    <cellStyle name="Separador de milhares 3 14 9 3 4 2" xfId="40125"/>
    <cellStyle name="Separador de milhares 3 14 9 3 5" xfId="34217"/>
    <cellStyle name="Separador de milhares 3 14 9 4" xfId="5297"/>
    <cellStyle name="Separador de milhares 3 14 9 4 2" xfId="23929"/>
    <cellStyle name="Separador de milhares 3 14 9 4 2 2" xfId="48996"/>
    <cellStyle name="Separador de milhares 3 14 9 4 3" xfId="31260"/>
    <cellStyle name="Separador de milhares 3 14 9 5" xfId="18015"/>
    <cellStyle name="Separador de milhares 3 14 9 5 2" xfId="43082"/>
    <cellStyle name="Separador de milhares 3 14 9 6" xfId="11684"/>
    <cellStyle name="Separador de milhares 3 14 9 6 2" xfId="37171"/>
    <cellStyle name="Separador de milhares 3 14 9 7" xfId="29790"/>
    <cellStyle name="Separador de milhares 3 15" xfId="114"/>
    <cellStyle name="Separador de milhares 3 15 10" xfId="2617"/>
    <cellStyle name="Separador de milhares 3 15 10 2" xfId="7161"/>
    <cellStyle name="Separador de milhares 3 15 10 2 2" xfId="10305"/>
    <cellStyle name="Separador de milhares 3 15 10 2 2 2" xfId="28519"/>
    <cellStyle name="Separador de milhares 3 15 10 2 2 2 2" xfId="53586"/>
    <cellStyle name="Separador de milhares 3 15 10 2 2 3" xfId="22605"/>
    <cellStyle name="Separador de milhares 3 15 10 2 2 3 2" xfId="47672"/>
    <cellStyle name="Separador de milhares 3 15 10 2 2 4" xfId="16691"/>
    <cellStyle name="Separador de milhares 3 15 10 2 2 4 2" xfId="41758"/>
    <cellStyle name="Separador de milhares 3 15 10 2 2 5" xfId="35850"/>
    <cellStyle name="Separador de milhares 3 15 10 2 3" xfId="25562"/>
    <cellStyle name="Separador de milhares 3 15 10 2 3 2" xfId="50629"/>
    <cellStyle name="Separador de milhares 3 15 10 2 4" xfId="19648"/>
    <cellStyle name="Separador de milhares 3 15 10 2 4 2" xfId="44715"/>
    <cellStyle name="Separador de milhares 3 15 10 2 5" xfId="13550"/>
    <cellStyle name="Separador de milhares 3 15 10 2 5 2" xfId="38804"/>
    <cellStyle name="Separador de milhares 3 15 10 2 6" xfId="32893"/>
    <cellStyle name="Separador de milhares 3 15 10 3" xfId="8837"/>
    <cellStyle name="Separador de milhares 3 15 10 3 2" xfId="27051"/>
    <cellStyle name="Separador de milhares 3 15 10 3 2 2" xfId="52118"/>
    <cellStyle name="Separador de milhares 3 15 10 3 3" xfId="21137"/>
    <cellStyle name="Separador de milhares 3 15 10 3 3 2" xfId="46204"/>
    <cellStyle name="Separador de milhares 3 15 10 3 4" xfId="15223"/>
    <cellStyle name="Separador de milhares 3 15 10 3 4 2" xfId="40290"/>
    <cellStyle name="Separador de milhares 3 15 10 3 5" xfId="34382"/>
    <cellStyle name="Separador de milhares 3 15 10 4" xfId="5462"/>
    <cellStyle name="Separador de milhares 3 15 10 4 2" xfId="24094"/>
    <cellStyle name="Separador de milhares 3 15 10 4 2 2" xfId="49161"/>
    <cellStyle name="Separador de milhares 3 15 10 4 3" xfId="31425"/>
    <cellStyle name="Separador de milhares 3 15 10 5" xfId="18180"/>
    <cellStyle name="Separador de milhares 3 15 10 5 2" xfId="43247"/>
    <cellStyle name="Separador de milhares 3 15 10 6" xfId="11849"/>
    <cellStyle name="Separador de milhares 3 15 10 6 2" xfId="37336"/>
    <cellStyle name="Separador de milhares 3 15 10 7" xfId="29955"/>
    <cellStyle name="Separador de milhares 3 15 11" xfId="3144"/>
    <cellStyle name="Separador de milhares 3 15 11 2" xfId="7308"/>
    <cellStyle name="Separador de milhares 3 15 11 2 2" xfId="10452"/>
    <cellStyle name="Separador de milhares 3 15 11 2 2 2" xfId="28666"/>
    <cellStyle name="Separador de milhares 3 15 11 2 2 2 2" xfId="53733"/>
    <cellStyle name="Separador de milhares 3 15 11 2 2 3" xfId="22752"/>
    <cellStyle name="Separador de milhares 3 15 11 2 2 3 2" xfId="47819"/>
    <cellStyle name="Separador de milhares 3 15 11 2 2 4" xfId="16838"/>
    <cellStyle name="Separador de milhares 3 15 11 2 2 4 2" xfId="41905"/>
    <cellStyle name="Separador de milhares 3 15 11 2 2 5" xfId="35997"/>
    <cellStyle name="Separador de milhares 3 15 11 2 3" xfId="25709"/>
    <cellStyle name="Separador de milhares 3 15 11 2 3 2" xfId="50776"/>
    <cellStyle name="Separador de milhares 3 15 11 2 4" xfId="19795"/>
    <cellStyle name="Separador de milhares 3 15 11 2 4 2" xfId="44862"/>
    <cellStyle name="Separador de milhares 3 15 11 2 5" xfId="13697"/>
    <cellStyle name="Separador de milhares 3 15 11 2 5 2" xfId="38951"/>
    <cellStyle name="Separador de milhares 3 15 11 2 6" xfId="33040"/>
    <cellStyle name="Separador de milhares 3 15 11 3" xfId="8984"/>
    <cellStyle name="Separador de milhares 3 15 11 3 2" xfId="27198"/>
    <cellStyle name="Separador de milhares 3 15 11 3 2 2" xfId="52265"/>
    <cellStyle name="Separador de milhares 3 15 11 3 3" xfId="21284"/>
    <cellStyle name="Separador de milhares 3 15 11 3 3 2" xfId="46351"/>
    <cellStyle name="Separador de milhares 3 15 11 3 4" xfId="15370"/>
    <cellStyle name="Separador de milhares 3 15 11 3 4 2" xfId="40437"/>
    <cellStyle name="Separador de milhares 3 15 11 3 5" xfId="34529"/>
    <cellStyle name="Separador de milhares 3 15 11 4" xfId="5609"/>
    <cellStyle name="Separador de milhares 3 15 11 4 2" xfId="24241"/>
    <cellStyle name="Separador de milhares 3 15 11 4 2 2" xfId="49308"/>
    <cellStyle name="Separador de milhares 3 15 11 4 3" xfId="31572"/>
    <cellStyle name="Separador de milhares 3 15 11 5" xfId="18327"/>
    <cellStyle name="Separador de milhares 3 15 11 5 2" xfId="43394"/>
    <cellStyle name="Separador de milhares 3 15 11 6" xfId="11996"/>
    <cellStyle name="Separador de milhares 3 15 11 6 2" xfId="37483"/>
    <cellStyle name="Separador de milhares 3 15 11 7" xfId="30102"/>
    <cellStyle name="Separador de milhares 3 15 12" xfId="3671"/>
    <cellStyle name="Separador de milhares 3 15 12 2" xfId="7455"/>
    <cellStyle name="Separador de milhares 3 15 12 2 2" xfId="10599"/>
    <cellStyle name="Separador de milhares 3 15 12 2 2 2" xfId="28813"/>
    <cellStyle name="Separador de milhares 3 15 12 2 2 2 2" xfId="53880"/>
    <cellStyle name="Separador de milhares 3 15 12 2 2 3" xfId="22899"/>
    <cellStyle name="Separador de milhares 3 15 12 2 2 3 2" xfId="47966"/>
    <cellStyle name="Separador de milhares 3 15 12 2 2 4" xfId="16985"/>
    <cellStyle name="Separador de milhares 3 15 12 2 2 4 2" xfId="42052"/>
    <cellStyle name="Separador de milhares 3 15 12 2 2 5" xfId="36144"/>
    <cellStyle name="Separador de milhares 3 15 12 2 3" xfId="25856"/>
    <cellStyle name="Separador de milhares 3 15 12 2 3 2" xfId="50923"/>
    <cellStyle name="Separador de milhares 3 15 12 2 4" xfId="19942"/>
    <cellStyle name="Separador de milhares 3 15 12 2 4 2" xfId="45009"/>
    <cellStyle name="Separador de milhares 3 15 12 2 5" xfId="13844"/>
    <cellStyle name="Separador de milhares 3 15 12 2 5 2" xfId="39098"/>
    <cellStyle name="Separador de milhares 3 15 12 2 6" xfId="33187"/>
    <cellStyle name="Separador de milhares 3 15 12 3" xfId="9131"/>
    <cellStyle name="Separador de milhares 3 15 12 3 2" xfId="27345"/>
    <cellStyle name="Separador de milhares 3 15 12 3 2 2" xfId="52412"/>
    <cellStyle name="Separador de milhares 3 15 12 3 3" xfId="21431"/>
    <cellStyle name="Separador de milhares 3 15 12 3 3 2" xfId="46498"/>
    <cellStyle name="Separador de milhares 3 15 12 3 4" xfId="15517"/>
    <cellStyle name="Separador de milhares 3 15 12 3 4 2" xfId="40584"/>
    <cellStyle name="Separador de milhares 3 15 12 3 5" xfId="34676"/>
    <cellStyle name="Separador de milhares 3 15 12 4" xfId="5756"/>
    <cellStyle name="Separador de milhares 3 15 12 4 2" xfId="24388"/>
    <cellStyle name="Separador de milhares 3 15 12 4 2 2" xfId="49455"/>
    <cellStyle name="Separador de milhares 3 15 12 4 3" xfId="31719"/>
    <cellStyle name="Separador de milhares 3 15 12 5" xfId="18474"/>
    <cellStyle name="Separador de milhares 3 15 12 5 2" xfId="43541"/>
    <cellStyle name="Separador de milhares 3 15 12 6" xfId="12143"/>
    <cellStyle name="Separador de milhares 3 15 12 6 2" xfId="37630"/>
    <cellStyle name="Separador de milhares 3 15 12 7" xfId="30249"/>
    <cellStyle name="Separador de milhares 3 15 13" xfId="6439"/>
    <cellStyle name="Separador de milhares 3 15 13 2" xfId="9595"/>
    <cellStyle name="Separador de milhares 3 15 13 2 2" xfId="27809"/>
    <cellStyle name="Separador de milhares 3 15 13 2 2 2" xfId="52876"/>
    <cellStyle name="Separador de milhares 3 15 13 2 3" xfId="21895"/>
    <cellStyle name="Separador de milhares 3 15 13 2 3 2" xfId="46962"/>
    <cellStyle name="Separador de milhares 3 15 13 2 4" xfId="15981"/>
    <cellStyle name="Separador de milhares 3 15 13 2 4 2" xfId="41048"/>
    <cellStyle name="Separador de milhares 3 15 13 2 5" xfId="35140"/>
    <cellStyle name="Separador de milhares 3 15 13 3" xfId="24852"/>
    <cellStyle name="Separador de milhares 3 15 13 3 2" xfId="49919"/>
    <cellStyle name="Separador de milhares 3 15 13 4" xfId="18938"/>
    <cellStyle name="Separador de milhares 3 15 13 4 2" xfId="44005"/>
    <cellStyle name="Separador de milhares 3 15 13 5" xfId="12828"/>
    <cellStyle name="Separador de milhares 3 15 13 5 2" xfId="38094"/>
    <cellStyle name="Separador de milhares 3 15 13 6" xfId="32183"/>
    <cellStyle name="Separador de milhares 3 15 14" xfId="8124"/>
    <cellStyle name="Separador de milhares 3 15 14 2" xfId="26338"/>
    <cellStyle name="Separador de milhares 3 15 14 2 2" xfId="51405"/>
    <cellStyle name="Separador de milhares 3 15 14 3" xfId="20424"/>
    <cellStyle name="Separador de milhares 3 15 14 3 2" xfId="45491"/>
    <cellStyle name="Separador de milhares 3 15 14 4" xfId="14513"/>
    <cellStyle name="Separador de milhares 3 15 14 4 2" xfId="39580"/>
    <cellStyle name="Separador de milhares 3 15 14 5" xfId="33669"/>
    <cellStyle name="Separador de milhares 3 15 15" xfId="4737"/>
    <cellStyle name="Separador de milhares 3 15 15 2" xfId="23381"/>
    <cellStyle name="Separador de milhares 3 15 15 2 2" xfId="48448"/>
    <cellStyle name="Separador de milhares 3 15 15 3" xfId="30713"/>
    <cellStyle name="Separador de milhares 3 15 16" xfId="17467"/>
    <cellStyle name="Separador de milhares 3 15 16 2" xfId="42534"/>
    <cellStyle name="Separador de milhares 3 15 17" xfId="11127"/>
    <cellStyle name="Separador de milhares 3 15 17 2" xfId="36626"/>
    <cellStyle name="Separador de milhares 3 15 18" xfId="29241"/>
    <cellStyle name="Separador de milhares 3 15 2" xfId="208"/>
    <cellStyle name="Separador de milhares 3 15 2 10" xfId="6468"/>
    <cellStyle name="Separador de milhares 3 15 2 10 2" xfId="9622"/>
    <cellStyle name="Separador de milhares 3 15 2 10 2 2" xfId="27836"/>
    <cellStyle name="Separador de milhares 3 15 2 10 2 2 2" xfId="52903"/>
    <cellStyle name="Separador de milhares 3 15 2 10 2 3" xfId="21922"/>
    <cellStyle name="Separador de milhares 3 15 2 10 2 3 2" xfId="46989"/>
    <cellStyle name="Separador de milhares 3 15 2 10 2 4" xfId="16008"/>
    <cellStyle name="Separador de milhares 3 15 2 10 2 4 2" xfId="41075"/>
    <cellStyle name="Separador de milhares 3 15 2 10 2 5" xfId="35167"/>
    <cellStyle name="Separador de milhares 3 15 2 10 3" xfId="24879"/>
    <cellStyle name="Separador de milhares 3 15 2 10 3 2" xfId="49946"/>
    <cellStyle name="Separador de milhares 3 15 2 10 4" xfId="18965"/>
    <cellStyle name="Separador de milhares 3 15 2 10 4 2" xfId="44032"/>
    <cellStyle name="Separador de milhares 3 15 2 10 5" xfId="12857"/>
    <cellStyle name="Separador de milhares 3 15 2 10 5 2" xfId="38121"/>
    <cellStyle name="Separador de milhares 3 15 2 10 6" xfId="32210"/>
    <cellStyle name="Separador de milhares 3 15 2 11" xfId="8151"/>
    <cellStyle name="Separador de milhares 3 15 2 11 2" xfId="26365"/>
    <cellStyle name="Separador de milhares 3 15 2 11 2 2" xfId="51432"/>
    <cellStyle name="Separador de milhares 3 15 2 11 3" xfId="20451"/>
    <cellStyle name="Separador de milhares 3 15 2 11 3 2" xfId="45518"/>
    <cellStyle name="Separador de milhares 3 15 2 11 4" xfId="14540"/>
    <cellStyle name="Separador de milhares 3 15 2 11 4 2" xfId="39607"/>
    <cellStyle name="Separador de milhares 3 15 2 11 5" xfId="33696"/>
    <cellStyle name="Separador de milhares 3 15 2 12" xfId="4767"/>
    <cellStyle name="Separador de milhares 3 15 2 12 2" xfId="23408"/>
    <cellStyle name="Separador de milhares 3 15 2 12 2 2" xfId="48475"/>
    <cellStyle name="Separador de milhares 3 15 2 12 3" xfId="30740"/>
    <cellStyle name="Separador de milhares 3 15 2 13" xfId="17494"/>
    <cellStyle name="Separador de milhares 3 15 2 13 2" xfId="42561"/>
    <cellStyle name="Separador de milhares 3 15 2 14" xfId="11156"/>
    <cellStyle name="Separador de milhares 3 15 2 14 2" xfId="36653"/>
    <cellStyle name="Separador de milhares 3 15 2 15" xfId="29269"/>
    <cellStyle name="Separador de milhares 3 15 2 2" xfId="481"/>
    <cellStyle name="Separador de milhares 3 15 2 2 10" xfId="17568"/>
    <cellStyle name="Separador de milhares 3 15 2 2 10 2" xfId="42635"/>
    <cellStyle name="Separador de milhares 3 15 2 2 11" xfId="11237"/>
    <cellStyle name="Separador de milhares 3 15 2 2 11 2" xfId="36727"/>
    <cellStyle name="Separador de milhares 3 15 2 2 12" xfId="29343"/>
    <cellStyle name="Separador de milhares 3 15 2 2 2" xfId="2000"/>
    <cellStyle name="Separador de milhares 3 15 2 2 2 2" xfId="6987"/>
    <cellStyle name="Separador de milhares 3 15 2 2 2 2 2" xfId="10134"/>
    <cellStyle name="Separador de milhares 3 15 2 2 2 2 2 2" xfId="28348"/>
    <cellStyle name="Separador de milhares 3 15 2 2 2 2 2 2 2" xfId="53415"/>
    <cellStyle name="Separador de milhares 3 15 2 2 2 2 2 3" xfId="22434"/>
    <cellStyle name="Separador de milhares 3 15 2 2 2 2 2 3 2" xfId="47501"/>
    <cellStyle name="Separador de milhares 3 15 2 2 2 2 2 4" xfId="16520"/>
    <cellStyle name="Separador de milhares 3 15 2 2 2 2 2 4 2" xfId="41587"/>
    <cellStyle name="Separador de milhares 3 15 2 2 2 2 2 5" xfId="35679"/>
    <cellStyle name="Separador de milhares 3 15 2 2 2 2 3" xfId="25391"/>
    <cellStyle name="Separador de milhares 3 15 2 2 2 2 3 2" xfId="50458"/>
    <cellStyle name="Separador de milhares 3 15 2 2 2 2 4" xfId="19477"/>
    <cellStyle name="Separador de milhares 3 15 2 2 2 2 4 2" xfId="44544"/>
    <cellStyle name="Separador de milhares 3 15 2 2 2 2 5" xfId="13376"/>
    <cellStyle name="Separador de milhares 3 15 2 2 2 2 5 2" xfId="38633"/>
    <cellStyle name="Separador de milhares 3 15 2 2 2 2 6" xfId="32722"/>
    <cellStyle name="Separador de milhares 3 15 2 2 2 3" xfId="8666"/>
    <cellStyle name="Separador de milhares 3 15 2 2 2 3 2" xfId="26880"/>
    <cellStyle name="Separador de milhares 3 15 2 2 2 3 2 2" xfId="51947"/>
    <cellStyle name="Separador de milhares 3 15 2 2 2 3 3" xfId="20966"/>
    <cellStyle name="Separador de milhares 3 15 2 2 2 3 3 2" xfId="46033"/>
    <cellStyle name="Separador de milhares 3 15 2 2 2 3 4" xfId="15052"/>
    <cellStyle name="Separador de milhares 3 15 2 2 2 3 4 2" xfId="40119"/>
    <cellStyle name="Separador de milhares 3 15 2 2 2 3 5" xfId="34211"/>
    <cellStyle name="Separador de milhares 3 15 2 2 2 4" xfId="5288"/>
    <cellStyle name="Separador de milhares 3 15 2 2 2 4 2" xfId="23923"/>
    <cellStyle name="Separador de milhares 3 15 2 2 2 4 2 2" xfId="48990"/>
    <cellStyle name="Separador de milhares 3 15 2 2 2 4 3" xfId="31254"/>
    <cellStyle name="Separador de milhares 3 15 2 2 2 5" xfId="18009"/>
    <cellStyle name="Separador de milhares 3 15 2 2 2 5 2" xfId="43076"/>
    <cellStyle name="Separador de milhares 3 15 2 2 2 6" xfId="11675"/>
    <cellStyle name="Separador de milhares 3 15 2 2 2 6 2" xfId="37165"/>
    <cellStyle name="Separador de milhares 3 15 2 2 2 7" xfId="29784"/>
    <cellStyle name="Separador de milhares 3 15 2 2 3" xfId="2530"/>
    <cellStyle name="Separador de milhares 3 15 2 2 3 2" xfId="7137"/>
    <cellStyle name="Separador de milhares 3 15 2 2 3 2 2" xfId="10281"/>
    <cellStyle name="Separador de milhares 3 15 2 2 3 2 2 2" xfId="28495"/>
    <cellStyle name="Separador de milhares 3 15 2 2 3 2 2 2 2" xfId="53562"/>
    <cellStyle name="Separador de milhares 3 15 2 2 3 2 2 3" xfId="22581"/>
    <cellStyle name="Separador de milhares 3 15 2 2 3 2 2 3 2" xfId="47648"/>
    <cellStyle name="Separador de milhares 3 15 2 2 3 2 2 4" xfId="16667"/>
    <cellStyle name="Separador de milhares 3 15 2 2 3 2 2 4 2" xfId="41734"/>
    <cellStyle name="Separador de milhares 3 15 2 2 3 2 2 5" xfId="35826"/>
    <cellStyle name="Separador de milhares 3 15 2 2 3 2 3" xfId="25538"/>
    <cellStyle name="Separador de milhares 3 15 2 2 3 2 3 2" xfId="50605"/>
    <cellStyle name="Separador de milhares 3 15 2 2 3 2 4" xfId="19624"/>
    <cellStyle name="Separador de milhares 3 15 2 2 3 2 4 2" xfId="44691"/>
    <cellStyle name="Separador de milhares 3 15 2 2 3 2 5" xfId="13526"/>
    <cellStyle name="Separador de milhares 3 15 2 2 3 2 5 2" xfId="38780"/>
    <cellStyle name="Separador de milhares 3 15 2 2 3 2 6" xfId="32869"/>
    <cellStyle name="Separador de milhares 3 15 2 2 3 3" xfId="8813"/>
    <cellStyle name="Separador de milhares 3 15 2 2 3 3 2" xfId="27027"/>
    <cellStyle name="Separador de milhares 3 15 2 2 3 3 2 2" xfId="52094"/>
    <cellStyle name="Separador de milhares 3 15 2 2 3 3 3" xfId="21113"/>
    <cellStyle name="Separador de milhares 3 15 2 2 3 3 3 2" xfId="46180"/>
    <cellStyle name="Separador de milhares 3 15 2 2 3 3 4" xfId="15199"/>
    <cellStyle name="Separador de milhares 3 15 2 2 3 3 4 2" xfId="40266"/>
    <cellStyle name="Separador de milhares 3 15 2 2 3 3 5" xfId="34358"/>
    <cellStyle name="Separador de milhares 3 15 2 2 3 4" xfId="5438"/>
    <cellStyle name="Separador de milhares 3 15 2 2 3 4 2" xfId="24070"/>
    <cellStyle name="Separador de milhares 3 15 2 2 3 4 2 2" xfId="49137"/>
    <cellStyle name="Separador de milhares 3 15 2 2 3 4 3" xfId="31401"/>
    <cellStyle name="Separador de milhares 3 15 2 2 3 5" xfId="18156"/>
    <cellStyle name="Separador de milhares 3 15 2 2 3 5 2" xfId="43223"/>
    <cellStyle name="Separador de milhares 3 15 2 2 3 6" xfId="11825"/>
    <cellStyle name="Separador de milhares 3 15 2 2 3 6 2" xfId="37312"/>
    <cellStyle name="Separador de milhares 3 15 2 2 3 7" xfId="29931"/>
    <cellStyle name="Separador de milhares 3 15 2 2 4" xfId="3057"/>
    <cellStyle name="Separador de milhares 3 15 2 2 4 2" xfId="7284"/>
    <cellStyle name="Separador de milhares 3 15 2 2 4 2 2" xfId="10428"/>
    <cellStyle name="Separador de milhares 3 15 2 2 4 2 2 2" xfId="28642"/>
    <cellStyle name="Separador de milhares 3 15 2 2 4 2 2 2 2" xfId="53709"/>
    <cellStyle name="Separador de milhares 3 15 2 2 4 2 2 3" xfId="22728"/>
    <cellStyle name="Separador de milhares 3 15 2 2 4 2 2 3 2" xfId="47795"/>
    <cellStyle name="Separador de milhares 3 15 2 2 4 2 2 4" xfId="16814"/>
    <cellStyle name="Separador de milhares 3 15 2 2 4 2 2 4 2" xfId="41881"/>
    <cellStyle name="Separador de milhares 3 15 2 2 4 2 2 5" xfId="35973"/>
    <cellStyle name="Separador de milhares 3 15 2 2 4 2 3" xfId="25685"/>
    <cellStyle name="Separador de milhares 3 15 2 2 4 2 3 2" xfId="50752"/>
    <cellStyle name="Separador de milhares 3 15 2 2 4 2 4" xfId="19771"/>
    <cellStyle name="Separador de milhares 3 15 2 2 4 2 4 2" xfId="44838"/>
    <cellStyle name="Separador de milhares 3 15 2 2 4 2 5" xfId="13673"/>
    <cellStyle name="Separador de milhares 3 15 2 2 4 2 5 2" xfId="38927"/>
    <cellStyle name="Separador de milhares 3 15 2 2 4 2 6" xfId="33016"/>
    <cellStyle name="Separador de milhares 3 15 2 2 4 3" xfId="8960"/>
    <cellStyle name="Separador de milhares 3 15 2 2 4 3 2" xfId="27174"/>
    <cellStyle name="Separador de milhares 3 15 2 2 4 3 2 2" xfId="52241"/>
    <cellStyle name="Separador de milhares 3 15 2 2 4 3 3" xfId="21260"/>
    <cellStyle name="Separador de milhares 3 15 2 2 4 3 3 2" xfId="46327"/>
    <cellStyle name="Separador de milhares 3 15 2 2 4 3 4" xfId="15346"/>
    <cellStyle name="Separador de milhares 3 15 2 2 4 3 4 2" xfId="40413"/>
    <cellStyle name="Separador de milhares 3 15 2 2 4 3 5" xfId="34505"/>
    <cellStyle name="Separador de milhares 3 15 2 2 4 4" xfId="5585"/>
    <cellStyle name="Separador de milhares 3 15 2 2 4 4 2" xfId="24217"/>
    <cellStyle name="Separador de milhares 3 15 2 2 4 4 2 2" xfId="49284"/>
    <cellStyle name="Separador de milhares 3 15 2 2 4 4 3" xfId="31548"/>
    <cellStyle name="Separador de milhares 3 15 2 2 4 5" xfId="18303"/>
    <cellStyle name="Separador de milhares 3 15 2 2 4 5 2" xfId="43370"/>
    <cellStyle name="Separador de milhares 3 15 2 2 4 6" xfId="11972"/>
    <cellStyle name="Separador de milhares 3 15 2 2 4 6 2" xfId="37459"/>
    <cellStyle name="Separador de milhares 3 15 2 2 4 7" xfId="30078"/>
    <cellStyle name="Separador de milhares 3 15 2 2 5" xfId="3584"/>
    <cellStyle name="Separador de milhares 3 15 2 2 5 2" xfId="7431"/>
    <cellStyle name="Separador de milhares 3 15 2 2 5 2 2" xfId="10575"/>
    <cellStyle name="Separador de milhares 3 15 2 2 5 2 2 2" xfId="28789"/>
    <cellStyle name="Separador de milhares 3 15 2 2 5 2 2 2 2" xfId="53856"/>
    <cellStyle name="Separador de milhares 3 15 2 2 5 2 2 3" xfId="22875"/>
    <cellStyle name="Separador de milhares 3 15 2 2 5 2 2 3 2" xfId="47942"/>
    <cellStyle name="Separador de milhares 3 15 2 2 5 2 2 4" xfId="16961"/>
    <cellStyle name="Separador de milhares 3 15 2 2 5 2 2 4 2" xfId="42028"/>
    <cellStyle name="Separador de milhares 3 15 2 2 5 2 2 5" xfId="36120"/>
    <cellStyle name="Separador de milhares 3 15 2 2 5 2 3" xfId="25832"/>
    <cellStyle name="Separador de milhares 3 15 2 2 5 2 3 2" xfId="50899"/>
    <cellStyle name="Separador de milhares 3 15 2 2 5 2 4" xfId="19918"/>
    <cellStyle name="Separador de milhares 3 15 2 2 5 2 4 2" xfId="44985"/>
    <cellStyle name="Separador de milhares 3 15 2 2 5 2 5" xfId="13820"/>
    <cellStyle name="Separador de milhares 3 15 2 2 5 2 5 2" xfId="39074"/>
    <cellStyle name="Separador de milhares 3 15 2 2 5 2 6" xfId="33163"/>
    <cellStyle name="Separador de milhares 3 15 2 2 5 3" xfId="9107"/>
    <cellStyle name="Separador de milhares 3 15 2 2 5 3 2" xfId="27321"/>
    <cellStyle name="Separador de milhares 3 15 2 2 5 3 2 2" xfId="52388"/>
    <cellStyle name="Separador de milhares 3 15 2 2 5 3 3" xfId="21407"/>
    <cellStyle name="Separador de milhares 3 15 2 2 5 3 3 2" xfId="46474"/>
    <cellStyle name="Separador de milhares 3 15 2 2 5 3 4" xfId="15493"/>
    <cellStyle name="Separador de milhares 3 15 2 2 5 3 4 2" xfId="40560"/>
    <cellStyle name="Separador de milhares 3 15 2 2 5 3 5" xfId="34652"/>
    <cellStyle name="Separador de milhares 3 15 2 2 5 4" xfId="5732"/>
    <cellStyle name="Separador de milhares 3 15 2 2 5 4 2" xfId="24364"/>
    <cellStyle name="Separador de milhares 3 15 2 2 5 4 2 2" xfId="49431"/>
    <cellStyle name="Separador de milhares 3 15 2 2 5 4 3" xfId="31695"/>
    <cellStyle name="Separador de milhares 3 15 2 2 5 5" xfId="18450"/>
    <cellStyle name="Separador de milhares 3 15 2 2 5 5 2" xfId="43517"/>
    <cellStyle name="Separador de milhares 3 15 2 2 5 6" xfId="12119"/>
    <cellStyle name="Separador de milhares 3 15 2 2 5 6 2" xfId="37606"/>
    <cellStyle name="Separador de milhares 3 15 2 2 5 7" xfId="30225"/>
    <cellStyle name="Separador de milhares 3 15 2 2 6" xfId="4111"/>
    <cellStyle name="Separador de milhares 3 15 2 2 6 2" xfId="7578"/>
    <cellStyle name="Separador de milhares 3 15 2 2 6 2 2" xfId="10722"/>
    <cellStyle name="Separador de milhares 3 15 2 2 6 2 2 2" xfId="28936"/>
    <cellStyle name="Separador de milhares 3 15 2 2 6 2 2 2 2" xfId="54003"/>
    <cellStyle name="Separador de milhares 3 15 2 2 6 2 2 3" xfId="23022"/>
    <cellStyle name="Separador de milhares 3 15 2 2 6 2 2 3 2" xfId="48089"/>
    <cellStyle name="Separador de milhares 3 15 2 2 6 2 2 4" xfId="17108"/>
    <cellStyle name="Separador de milhares 3 15 2 2 6 2 2 4 2" xfId="42175"/>
    <cellStyle name="Separador de milhares 3 15 2 2 6 2 2 5" xfId="36267"/>
    <cellStyle name="Separador de milhares 3 15 2 2 6 2 3" xfId="25979"/>
    <cellStyle name="Separador de milhares 3 15 2 2 6 2 3 2" xfId="51046"/>
    <cellStyle name="Separador de milhares 3 15 2 2 6 2 4" xfId="20065"/>
    <cellStyle name="Separador de milhares 3 15 2 2 6 2 4 2" xfId="45132"/>
    <cellStyle name="Separador de milhares 3 15 2 2 6 2 5" xfId="13967"/>
    <cellStyle name="Separador de milhares 3 15 2 2 6 2 5 2" xfId="39221"/>
    <cellStyle name="Separador de milhares 3 15 2 2 6 2 6" xfId="33310"/>
    <cellStyle name="Separador de milhares 3 15 2 2 6 3" xfId="9254"/>
    <cellStyle name="Separador de milhares 3 15 2 2 6 3 2" xfId="27468"/>
    <cellStyle name="Separador de milhares 3 15 2 2 6 3 2 2" xfId="52535"/>
    <cellStyle name="Separador de milhares 3 15 2 2 6 3 3" xfId="21554"/>
    <cellStyle name="Separador de milhares 3 15 2 2 6 3 3 2" xfId="46621"/>
    <cellStyle name="Separador de milhares 3 15 2 2 6 3 4" xfId="15640"/>
    <cellStyle name="Separador de milhares 3 15 2 2 6 3 4 2" xfId="40707"/>
    <cellStyle name="Separador de milhares 3 15 2 2 6 3 5" xfId="34799"/>
    <cellStyle name="Separador de milhares 3 15 2 2 6 4" xfId="5879"/>
    <cellStyle name="Separador de milhares 3 15 2 2 6 4 2" xfId="24511"/>
    <cellStyle name="Separador de milhares 3 15 2 2 6 4 2 2" xfId="49578"/>
    <cellStyle name="Separador de milhares 3 15 2 2 6 4 3" xfId="31842"/>
    <cellStyle name="Separador de milhares 3 15 2 2 6 5" xfId="18597"/>
    <cellStyle name="Separador de milhares 3 15 2 2 6 5 2" xfId="43664"/>
    <cellStyle name="Separador de milhares 3 15 2 2 6 6" xfId="12266"/>
    <cellStyle name="Separador de milhares 3 15 2 2 6 6 2" xfId="37753"/>
    <cellStyle name="Separador de milhares 3 15 2 2 6 7" xfId="30372"/>
    <cellStyle name="Separador de milhares 3 15 2 2 7" xfId="6549"/>
    <cellStyle name="Separador de milhares 3 15 2 2 7 2" xfId="9696"/>
    <cellStyle name="Separador de milhares 3 15 2 2 7 2 2" xfId="27910"/>
    <cellStyle name="Separador de milhares 3 15 2 2 7 2 2 2" xfId="52977"/>
    <cellStyle name="Separador de milhares 3 15 2 2 7 2 3" xfId="21996"/>
    <cellStyle name="Separador de milhares 3 15 2 2 7 2 3 2" xfId="47063"/>
    <cellStyle name="Separador de milhares 3 15 2 2 7 2 4" xfId="16082"/>
    <cellStyle name="Separador de milhares 3 15 2 2 7 2 4 2" xfId="41149"/>
    <cellStyle name="Separador de milhares 3 15 2 2 7 2 5" xfId="35241"/>
    <cellStyle name="Separador de milhares 3 15 2 2 7 3" xfId="24953"/>
    <cellStyle name="Separador de milhares 3 15 2 2 7 3 2" xfId="50020"/>
    <cellStyle name="Separador de milhares 3 15 2 2 7 4" xfId="19039"/>
    <cellStyle name="Separador de milhares 3 15 2 2 7 4 2" xfId="44106"/>
    <cellStyle name="Separador de milhares 3 15 2 2 7 5" xfId="12938"/>
    <cellStyle name="Separador de milhares 3 15 2 2 7 5 2" xfId="38195"/>
    <cellStyle name="Separador de milhares 3 15 2 2 7 6" xfId="32284"/>
    <cellStyle name="Separador de milhares 3 15 2 2 8" xfId="8225"/>
    <cellStyle name="Separador de milhares 3 15 2 2 8 2" xfId="26439"/>
    <cellStyle name="Separador de milhares 3 15 2 2 8 2 2" xfId="51506"/>
    <cellStyle name="Separador de milhares 3 15 2 2 8 3" xfId="20525"/>
    <cellStyle name="Separador de milhares 3 15 2 2 8 3 2" xfId="45592"/>
    <cellStyle name="Separador de milhares 3 15 2 2 8 4" xfId="14614"/>
    <cellStyle name="Separador de milhares 3 15 2 2 8 4 2" xfId="39681"/>
    <cellStyle name="Separador de milhares 3 15 2 2 8 5" xfId="33770"/>
    <cellStyle name="Separador de milhares 3 15 2 2 9" xfId="4848"/>
    <cellStyle name="Separador de milhares 3 15 2 2 9 2" xfId="23482"/>
    <cellStyle name="Separador de milhares 3 15 2 2 9 2 2" xfId="48549"/>
    <cellStyle name="Separador de milhares 3 15 2 2 9 3" xfId="30814"/>
    <cellStyle name="Separador de milhares 3 15 2 3" xfId="954"/>
    <cellStyle name="Separador de milhares 3 15 2 3 2" xfId="6700"/>
    <cellStyle name="Separador de milhares 3 15 2 3 2 2" xfId="9847"/>
    <cellStyle name="Separador de milhares 3 15 2 3 2 2 2" xfId="28061"/>
    <cellStyle name="Separador de milhares 3 15 2 3 2 2 2 2" xfId="53128"/>
    <cellStyle name="Separador de milhares 3 15 2 3 2 2 3" xfId="22147"/>
    <cellStyle name="Separador de milhares 3 15 2 3 2 2 3 2" xfId="47214"/>
    <cellStyle name="Separador de milhares 3 15 2 3 2 2 4" xfId="16233"/>
    <cellStyle name="Separador de milhares 3 15 2 3 2 2 4 2" xfId="41300"/>
    <cellStyle name="Separador de milhares 3 15 2 3 2 2 5" xfId="35392"/>
    <cellStyle name="Separador de milhares 3 15 2 3 2 3" xfId="25104"/>
    <cellStyle name="Separador de milhares 3 15 2 3 2 3 2" xfId="50171"/>
    <cellStyle name="Separador de milhares 3 15 2 3 2 4" xfId="19190"/>
    <cellStyle name="Separador de milhares 3 15 2 3 2 4 2" xfId="44257"/>
    <cellStyle name="Separador de milhares 3 15 2 3 2 5" xfId="13089"/>
    <cellStyle name="Separador de milhares 3 15 2 3 2 5 2" xfId="38346"/>
    <cellStyle name="Separador de milhares 3 15 2 3 2 6" xfId="32435"/>
    <cellStyle name="Separador de milhares 3 15 2 3 3" xfId="8379"/>
    <cellStyle name="Separador de milhares 3 15 2 3 3 2" xfId="26593"/>
    <cellStyle name="Separador de milhares 3 15 2 3 3 2 2" xfId="51660"/>
    <cellStyle name="Separador de milhares 3 15 2 3 3 3" xfId="20679"/>
    <cellStyle name="Separador de milhares 3 15 2 3 3 3 2" xfId="45746"/>
    <cellStyle name="Separador de milhares 3 15 2 3 3 4" xfId="14765"/>
    <cellStyle name="Separador de milhares 3 15 2 3 3 4 2" xfId="39832"/>
    <cellStyle name="Separador de milhares 3 15 2 3 3 5" xfId="33924"/>
    <cellStyle name="Separador de milhares 3 15 2 3 4" xfId="5001"/>
    <cellStyle name="Separador de milhares 3 15 2 3 4 2" xfId="23636"/>
    <cellStyle name="Separador de milhares 3 15 2 3 4 2 2" xfId="48703"/>
    <cellStyle name="Separador de milhares 3 15 2 3 4 3" xfId="30967"/>
    <cellStyle name="Separador de milhares 3 15 2 3 5" xfId="17722"/>
    <cellStyle name="Separador de milhares 3 15 2 3 5 2" xfId="42789"/>
    <cellStyle name="Separador de milhares 3 15 2 3 6" xfId="11388"/>
    <cellStyle name="Separador de milhares 3 15 2 3 6 2" xfId="36878"/>
    <cellStyle name="Separador de milhares 3 15 2 3 7" xfId="29497"/>
    <cellStyle name="Separador de milhares 3 15 2 4" xfId="1305"/>
    <cellStyle name="Separador de milhares 3 15 2 4 2" xfId="6798"/>
    <cellStyle name="Separador de milhares 3 15 2 4 2 2" xfId="9945"/>
    <cellStyle name="Separador de milhares 3 15 2 4 2 2 2" xfId="28159"/>
    <cellStyle name="Separador de milhares 3 15 2 4 2 2 2 2" xfId="53226"/>
    <cellStyle name="Separador de milhares 3 15 2 4 2 2 3" xfId="22245"/>
    <cellStyle name="Separador de milhares 3 15 2 4 2 2 3 2" xfId="47312"/>
    <cellStyle name="Separador de milhares 3 15 2 4 2 2 4" xfId="16331"/>
    <cellStyle name="Separador de milhares 3 15 2 4 2 2 4 2" xfId="41398"/>
    <cellStyle name="Separador de milhares 3 15 2 4 2 2 5" xfId="35490"/>
    <cellStyle name="Separador de milhares 3 15 2 4 2 3" xfId="25202"/>
    <cellStyle name="Separador de milhares 3 15 2 4 2 3 2" xfId="50269"/>
    <cellStyle name="Separador de milhares 3 15 2 4 2 4" xfId="19288"/>
    <cellStyle name="Separador de milhares 3 15 2 4 2 4 2" xfId="44355"/>
    <cellStyle name="Separador de milhares 3 15 2 4 2 5" xfId="13187"/>
    <cellStyle name="Separador de milhares 3 15 2 4 2 5 2" xfId="38444"/>
    <cellStyle name="Separador de milhares 3 15 2 4 2 6" xfId="32533"/>
    <cellStyle name="Separador de milhares 3 15 2 4 3" xfId="8477"/>
    <cellStyle name="Separador de milhares 3 15 2 4 3 2" xfId="26691"/>
    <cellStyle name="Separador de milhares 3 15 2 4 3 2 2" xfId="51758"/>
    <cellStyle name="Separador de milhares 3 15 2 4 3 3" xfId="20777"/>
    <cellStyle name="Separador de milhares 3 15 2 4 3 3 2" xfId="45844"/>
    <cellStyle name="Separador de milhares 3 15 2 4 3 4" xfId="14863"/>
    <cellStyle name="Separador de milhares 3 15 2 4 3 4 2" xfId="39930"/>
    <cellStyle name="Separador de milhares 3 15 2 4 3 5" xfId="34022"/>
    <cellStyle name="Separador de milhares 3 15 2 4 4" xfId="5099"/>
    <cellStyle name="Separador de milhares 3 15 2 4 4 2" xfId="23734"/>
    <cellStyle name="Separador de milhares 3 15 2 4 4 2 2" xfId="48801"/>
    <cellStyle name="Separador de milhares 3 15 2 4 4 3" xfId="31065"/>
    <cellStyle name="Separador de milhares 3 15 2 4 5" xfId="17820"/>
    <cellStyle name="Separador de milhares 3 15 2 4 5 2" xfId="42887"/>
    <cellStyle name="Separador de milhares 3 15 2 4 6" xfId="11486"/>
    <cellStyle name="Separador de milhares 3 15 2 4 6 2" xfId="36976"/>
    <cellStyle name="Separador de milhares 3 15 2 4 7" xfId="29595"/>
    <cellStyle name="Separador de milhares 3 15 2 5" xfId="1740"/>
    <cellStyle name="Separador de milhares 3 15 2 5 2" xfId="6917"/>
    <cellStyle name="Separador de milhares 3 15 2 5 2 2" xfId="10064"/>
    <cellStyle name="Separador de milhares 3 15 2 5 2 2 2" xfId="28278"/>
    <cellStyle name="Separador de milhares 3 15 2 5 2 2 2 2" xfId="53345"/>
    <cellStyle name="Separador de milhares 3 15 2 5 2 2 3" xfId="22364"/>
    <cellStyle name="Separador de milhares 3 15 2 5 2 2 3 2" xfId="47431"/>
    <cellStyle name="Separador de milhares 3 15 2 5 2 2 4" xfId="16450"/>
    <cellStyle name="Separador de milhares 3 15 2 5 2 2 4 2" xfId="41517"/>
    <cellStyle name="Separador de milhares 3 15 2 5 2 2 5" xfId="35609"/>
    <cellStyle name="Separador de milhares 3 15 2 5 2 3" xfId="25321"/>
    <cellStyle name="Separador de milhares 3 15 2 5 2 3 2" xfId="50388"/>
    <cellStyle name="Separador de milhares 3 15 2 5 2 4" xfId="19407"/>
    <cellStyle name="Separador de milhares 3 15 2 5 2 4 2" xfId="44474"/>
    <cellStyle name="Separador de milhares 3 15 2 5 2 5" xfId="13306"/>
    <cellStyle name="Separador de milhares 3 15 2 5 2 5 2" xfId="38563"/>
    <cellStyle name="Separador de milhares 3 15 2 5 2 6" xfId="32652"/>
    <cellStyle name="Separador de milhares 3 15 2 5 3" xfId="8596"/>
    <cellStyle name="Separador de milhares 3 15 2 5 3 2" xfId="26810"/>
    <cellStyle name="Separador de milhares 3 15 2 5 3 2 2" xfId="51877"/>
    <cellStyle name="Separador de milhares 3 15 2 5 3 3" xfId="20896"/>
    <cellStyle name="Separador de milhares 3 15 2 5 3 3 2" xfId="45963"/>
    <cellStyle name="Separador de milhares 3 15 2 5 3 4" xfId="14982"/>
    <cellStyle name="Separador de milhares 3 15 2 5 3 4 2" xfId="40049"/>
    <cellStyle name="Separador de milhares 3 15 2 5 3 5" xfId="34141"/>
    <cellStyle name="Separador de milhares 3 15 2 5 4" xfId="5218"/>
    <cellStyle name="Separador de milhares 3 15 2 5 4 2" xfId="23853"/>
    <cellStyle name="Separador de milhares 3 15 2 5 4 2 2" xfId="48920"/>
    <cellStyle name="Separador de milhares 3 15 2 5 4 3" xfId="31184"/>
    <cellStyle name="Separador de milhares 3 15 2 5 5" xfId="17939"/>
    <cellStyle name="Separador de milhares 3 15 2 5 5 2" xfId="43006"/>
    <cellStyle name="Separador de milhares 3 15 2 5 6" xfId="11605"/>
    <cellStyle name="Separador de milhares 3 15 2 5 6 2" xfId="37095"/>
    <cellStyle name="Separador de milhares 3 15 2 5 7" xfId="29714"/>
    <cellStyle name="Separador de milhares 3 15 2 6" xfId="2270"/>
    <cellStyle name="Separador de milhares 3 15 2 6 2" xfId="7067"/>
    <cellStyle name="Separador de milhares 3 15 2 6 2 2" xfId="10211"/>
    <cellStyle name="Separador de milhares 3 15 2 6 2 2 2" xfId="28425"/>
    <cellStyle name="Separador de milhares 3 15 2 6 2 2 2 2" xfId="53492"/>
    <cellStyle name="Separador de milhares 3 15 2 6 2 2 3" xfId="22511"/>
    <cellStyle name="Separador de milhares 3 15 2 6 2 2 3 2" xfId="47578"/>
    <cellStyle name="Separador de milhares 3 15 2 6 2 2 4" xfId="16597"/>
    <cellStyle name="Separador de milhares 3 15 2 6 2 2 4 2" xfId="41664"/>
    <cellStyle name="Separador de milhares 3 15 2 6 2 2 5" xfId="35756"/>
    <cellStyle name="Separador de milhares 3 15 2 6 2 3" xfId="25468"/>
    <cellStyle name="Separador de milhares 3 15 2 6 2 3 2" xfId="50535"/>
    <cellStyle name="Separador de milhares 3 15 2 6 2 4" xfId="19554"/>
    <cellStyle name="Separador de milhares 3 15 2 6 2 4 2" xfId="44621"/>
    <cellStyle name="Separador de milhares 3 15 2 6 2 5" xfId="13456"/>
    <cellStyle name="Separador de milhares 3 15 2 6 2 5 2" xfId="38710"/>
    <cellStyle name="Separador de milhares 3 15 2 6 2 6" xfId="32799"/>
    <cellStyle name="Separador de milhares 3 15 2 6 3" xfId="8743"/>
    <cellStyle name="Separador de milhares 3 15 2 6 3 2" xfId="26957"/>
    <cellStyle name="Separador de milhares 3 15 2 6 3 2 2" xfId="52024"/>
    <cellStyle name="Separador de milhares 3 15 2 6 3 3" xfId="21043"/>
    <cellStyle name="Separador de milhares 3 15 2 6 3 3 2" xfId="46110"/>
    <cellStyle name="Separador de milhares 3 15 2 6 3 4" xfId="15129"/>
    <cellStyle name="Separador de milhares 3 15 2 6 3 4 2" xfId="40196"/>
    <cellStyle name="Separador de milhares 3 15 2 6 3 5" xfId="34288"/>
    <cellStyle name="Separador de milhares 3 15 2 6 4" xfId="5368"/>
    <cellStyle name="Separador de milhares 3 15 2 6 4 2" xfId="24000"/>
    <cellStyle name="Separador de milhares 3 15 2 6 4 2 2" xfId="49067"/>
    <cellStyle name="Separador de milhares 3 15 2 6 4 3" xfId="31331"/>
    <cellStyle name="Separador de milhares 3 15 2 6 5" xfId="18086"/>
    <cellStyle name="Separador de milhares 3 15 2 6 5 2" xfId="43153"/>
    <cellStyle name="Separador de milhares 3 15 2 6 6" xfId="11755"/>
    <cellStyle name="Separador de milhares 3 15 2 6 6 2" xfId="37242"/>
    <cellStyle name="Separador de milhares 3 15 2 6 7" xfId="29861"/>
    <cellStyle name="Separador de milhares 3 15 2 7" xfId="2797"/>
    <cellStyle name="Separador de milhares 3 15 2 7 2" xfId="7214"/>
    <cellStyle name="Separador de milhares 3 15 2 7 2 2" xfId="10358"/>
    <cellStyle name="Separador de milhares 3 15 2 7 2 2 2" xfId="28572"/>
    <cellStyle name="Separador de milhares 3 15 2 7 2 2 2 2" xfId="53639"/>
    <cellStyle name="Separador de milhares 3 15 2 7 2 2 3" xfId="22658"/>
    <cellStyle name="Separador de milhares 3 15 2 7 2 2 3 2" xfId="47725"/>
    <cellStyle name="Separador de milhares 3 15 2 7 2 2 4" xfId="16744"/>
    <cellStyle name="Separador de milhares 3 15 2 7 2 2 4 2" xfId="41811"/>
    <cellStyle name="Separador de milhares 3 15 2 7 2 2 5" xfId="35903"/>
    <cellStyle name="Separador de milhares 3 15 2 7 2 3" xfId="25615"/>
    <cellStyle name="Separador de milhares 3 15 2 7 2 3 2" xfId="50682"/>
    <cellStyle name="Separador de milhares 3 15 2 7 2 4" xfId="19701"/>
    <cellStyle name="Separador de milhares 3 15 2 7 2 4 2" xfId="44768"/>
    <cellStyle name="Separador de milhares 3 15 2 7 2 5" xfId="13603"/>
    <cellStyle name="Separador de milhares 3 15 2 7 2 5 2" xfId="38857"/>
    <cellStyle name="Separador de milhares 3 15 2 7 2 6" xfId="32946"/>
    <cellStyle name="Separador de milhares 3 15 2 7 3" xfId="8890"/>
    <cellStyle name="Separador de milhares 3 15 2 7 3 2" xfId="27104"/>
    <cellStyle name="Separador de milhares 3 15 2 7 3 2 2" xfId="52171"/>
    <cellStyle name="Separador de milhares 3 15 2 7 3 3" xfId="21190"/>
    <cellStyle name="Separador de milhares 3 15 2 7 3 3 2" xfId="46257"/>
    <cellStyle name="Separador de milhares 3 15 2 7 3 4" xfId="15276"/>
    <cellStyle name="Separador de milhares 3 15 2 7 3 4 2" xfId="40343"/>
    <cellStyle name="Separador de milhares 3 15 2 7 3 5" xfId="34435"/>
    <cellStyle name="Separador de milhares 3 15 2 7 4" xfId="5515"/>
    <cellStyle name="Separador de milhares 3 15 2 7 4 2" xfId="24147"/>
    <cellStyle name="Separador de milhares 3 15 2 7 4 2 2" xfId="49214"/>
    <cellStyle name="Separador de milhares 3 15 2 7 4 3" xfId="31478"/>
    <cellStyle name="Separador de milhares 3 15 2 7 5" xfId="18233"/>
    <cellStyle name="Separador de milhares 3 15 2 7 5 2" xfId="43300"/>
    <cellStyle name="Separador de milhares 3 15 2 7 6" xfId="11902"/>
    <cellStyle name="Separador de milhares 3 15 2 7 6 2" xfId="37389"/>
    <cellStyle name="Separador de milhares 3 15 2 7 7" xfId="30008"/>
    <cellStyle name="Separador de milhares 3 15 2 8" xfId="3324"/>
    <cellStyle name="Separador de milhares 3 15 2 8 2" xfId="7361"/>
    <cellStyle name="Separador de milhares 3 15 2 8 2 2" xfId="10505"/>
    <cellStyle name="Separador de milhares 3 15 2 8 2 2 2" xfId="28719"/>
    <cellStyle name="Separador de milhares 3 15 2 8 2 2 2 2" xfId="53786"/>
    <cellStyle name="Separador de milhares 3 15 2 8 2 2 3" xfId="22805"/>
    <cellStyle name="Separador de milhares 3 15 2 8 2 2 3 2" xfId="47872"/>
    <cellStyle name="Separador de milhares 3 15 2 8 2 2 4" xfId="16891"/>
    <cellStyle name="Separador de milhares 3 15 2 8 2 2 4 2" xfId="41958"/>
    <cellStyle name="Separador de milhares 3 15 2 8 2 2 5" xfId="36050"/>
    <cellStyle name="Separador de milhares 3 15 2 8 2 3" xfId="25762"/>
    <cellStyle name="Separador de milhares 3 15 2 8 2 3 2" xfId="50829"/>
    <cellStyle name="Separador de milhares 3 15 2 8 2 4" xfId="19848"/>
    <cellStyle name="Separador de milhares 3 15 2 8 2 4 2" xfId="44915"/>
    <cellStyle name="Separador de milhares 3 15 2 8 2 5" xfId="13750"/>
    <cellStyle name="Separador de milhares 3 15 2 8 2 5 2" xfId="39004"/>
    <cellStyle name="Separador de milhares 3 15 2 8 2 6" xfId="33093"/>
    <cellStyle name="Separador de milhares 3 15 2 8 3" xfId="9037"/>
    <cellStyle name="Separador de milhares 3 15 2 8 3 2" xfId="27251"/>
    <cellStyle name="Separador de milhares 3 15 2 8 3 2 2" xfId="52318"/>
    <cellStyle name="Separador de milhares 3 15 2 8 3 3" xfId="21337"/>
    <cellStyle name="Separador de milhares 3 15 2 8 3 3 2" xfId="46404"/>
    <cellStyle name="Separador de milhares 3 15 2 8 3 4" xfId="15423"/>
    <cellStyle name="Separador de milhares 3 15 2 8 3 4 2" xfId="40490"/>
    <cellStyle name="Separador de milhares 3 15 2 8 3 5" xfId="34582"/>
    <cellStyle name="Separador de milhares 3 15 2 8 4" xfId="5662"/>
    <cellStyle name="Separador de milhares 3 15 2 8 4 2" xfId="24294"/>
    <cellStyle name="Separador de milhares 3 15 2 8 4 2 2" xfId="49361"/>
    <cellStyle name="Separador de milhares 3 15 2 8 4 3" xfId="31625"/>
    <cellStyle name="Separador de milhares 3 15 2 8 5" xfId="18380"/>
    <cellStyle name="Separador de milhares 3 15 2 8 5 2" xfId="43447"/>
    <cellStyle name="Separador de milhares 3 15 2 8 6" xfId="12049"/>
    <cellStyle name="Separador de milhares 3 15 2 8 6 2" xfId="37536"/>
    <cellStyle name="Separador de milhares 3 15 2 8 7" xfId="30155"/>
    <cellStyle name="Separador de milhares 3 15 2 9" xfId="3851"/>
    <cellStyle name="Separador de milhares 3 15 2 9 2" xfId="7508"/>
    <cellStyle name="Separador de milhares 3 15 2 9 2 2" xfId="10652"/>
    <cellStyle name="Separador de milhares 3 15 2 9 2 2 2" xfId="28866"/>
    <cellStyle name="Separador de milhares 3 15 2 9 2 2 2 2" xfId="53933"/>
    <cellStyle name="Separador de milhares 3 15 2 9 2 2 3" xfId="22952"/>
    <cellStyle name="Separador de milhares 3 15 2 9 2 2 3 2" xfId="48019"/>
    <cellStyle name="Separador de milhares 3 15 2 9 2 2 4" xfId="17038"/>
    <cellStyle name="Separador de milhares 3 15 2 9 2 2 4 2" xfId="42105"/>
    <cellStyle name="Separador de milhares 3 15 2 9 2 2 5" xfId="36197"/>
    <cellStyle name="Separador de milhares 3 15 2 9 2 3" xfId="25909"/>
    <cellStyle name="Separador de milhares 3 15 2 9 2 3 2" xfId="50976"/>
    <cellStyle name="Separador de milhares 3 15 2 9 2 4" xfId="19995"/>
    <cellStyle name="Separador de milhares 3 15 2 9 2 4 2" xfId="45062"/>
    <cellStyle name="Separador de milhares 3 15 2 9 2 5" xfId="13897"/>
    <cellStyle name="Separador de milhares 3 15 2 9 2 5 2" xfId="39151"/>
    <cellStyle name="Separador de milhares 3 15 2 9 2 6" xfId="33240"/>
    <cellStyle name="Separador de milhares 3 15 2 9 3" xfId="9184"/>
    <cellStyle name="Separador de milhares 3 15 2 9 3 2" xfId="27398"/>
    <cellStyle name="Separador de milhares 3 15 2 9 3 2 2" xfId="52465"/>
    <cellStyle name="Separador de milhares 3 15 2 9 3 3" xfId="21484"/>
    <cellStyle name="Separador de milhares 3 15 2 9 3 3 2" xfId="46551"/>
    <cellStyle name="Separador de milhares 3 15 2 9 3 4" xfId="15570"/>
    <cellStyle name="Separador de milhares 3 15 2 9 3 4 2" xfId="40637"/>
    <cellStyle name="Separador de milhares 3 15 2 9 3 5" xfId="34729"/>
    <cellStyle name="Separador de milhares 3 15 2 9 4" xfId="5809"/>
    <cellStyle name="Separador de milhares 3 15 2 9 4 2" xfId="24441"/>
    <cellStyle name="Separador de milhares 3 15 2 9 4 2 2" xfId="49508"/>
    <cellStyle name="Separador de milhares 3 15 2 9 4 3" xfId="31772"/>
    <cellStyle name="Separador de milhares 3 15 2 9 5" xfId="18527"/>
    <cellStyle name="Separador de milhares 3 15 2 9 5 2" xfId="43594"/>
    <cellStyle name="Separador de milhares 3 15 2 9 6" xfId="12196"/>
    <cellStyle name="Separador de milhares 3 15 2 9 6 2" xfId="37683"/>
    <cellStyle name="Separador de milhares 3 15 2 9 7" xfId="30302"/>
    <cellStyle name="Separador de milhares 3 15 3" xfId="303"/>
    <cellStyle name="Separador de milhares 3 15 3 10" xfId="6499"/>
    <cellStyle name="Separador de milhares 3 15 3 10 2" xfId="9650"/>
    <cellStyle name="Separador de milhares 3 15 3 10 2 2" xfId="27864"/>
    <cellStyle name="Separador de milhares 3 15 3 10 2 2 2" xfId="52931"/>
    <cellStyle name="Separador de milhares 3 15 3 10 2 3" xfId="21950"/>
    <cellStyle name="Separador de milhares 3 15 3 10 2 3 2" xfId="47017"/>
    <cellStyle name="Separador de milhares 3 15 3 10 2 4" xfId="16036"/>
    <cellStyle name="Separador de milhares 3 15 3 10 2 4 2" xfId="41103"/>
    <cellStyle name="Separador de milhares 3 15 3 10 2 5" xfId="35195"/>
    <cellStyle name="Separador de milhares 3 15 3 10 3" xfId="24907"/>
    <cellStyle name="Separador de milhares 3 15 3 10 3 2" xfId="49974"/>
    <cellStyle name="Separador de milhares 3 15 3 10 4" xfId="18993"/>
    <cellStyle name="Separador de milhares 3 15 3 10 4 2" xfId="44060"/>
    <cellStyle name="Separador de milhares 3 15 3 10 5" xfId="12888"/>
    <cellStyle name="Separador de milhares 3 15 3 10 5 2" xfId="38149"/>
    <cellStyle name="Separador de milhares 3 15 3 10 6" xfId="32238"/>
    <cellStyle name="Separador de milhares 3 15 3 11" xfId="8179"/>
    <cellStyle name="Separador de milhares 3 15 3 11 2" xfId="26393"/>
    <cellStyle name="Separador de milhares 3 15 3 11 2 2" xfId="51460"/>
    <cellStyle name="Separador de milhares 3 15 3 11 3" xfId="20479"/>
    <cellStyle name="Separador de milhares 3 15 3 11 3 2" xfId="45546"/>
    <cellStyle name="Separador de milhares 3 15 3 11 4" xfId="14568"/>
    <cellStyle name="Separador de milhares 3 15 3 11 4 2" xfId="39635"/>
    <cellStyle name="Separador de milhares 3 15 3 11 5" xfId="33724"/>
    <cellStyle name="Separador de milhares 3 15 3 12" xfId="4798"/>
    <cellStyle name="Separador de milhares 3 15 3 12 2" xfId="23436"/>
    <cellStyle name="Separador de milhares 3 15 3 12 2 2" xfId="48503"/>
    <cellStyle name="Separador de milhares 3 15 3 12 3" xfId="30768"/>
    <cellStyle name="Separador de milhares 3 15 3 13" xfId="17522"/>
    <cellStyle name="Separador de milhares 3 15 3 13 2" xfId="42589"/>
    <cellStyle name="Separador de milhares 3 15 3 14" xfId="11187"/>
    <cellStyle name="Separador de milhares 3 15 3 14 2" xfId="36681"/>
    <cellStyle name="Separador de milhares 3 15 3 15" xfId="29297"/>
    <cellStyle name="Separador de milhares 3 15 3 2" xfId="566"/>
    <cellStyle name="Separador de milhares 3 15 3 2 2" xfId="6570"/>
    <cellStyle name="Separador de milhares 3 15 3 2 2 2" xfId="9717"/>
    <cellStyle name="Separador de milhares 3 15 3 2 2 2 2" xfId="27931"/>
    <cellStyle name="Separador de milhares 3 15 3 2 2 2 2 2" xfId="52998"/>
    <cellStyle name="Separador de milhares 3 15 3 2 2 2 3" xfId="22017"/>
    <cellStyle name="Separador de milhares 3 15 3 2 2 2 3 2" xfId="47084"/>
    <cellStyle name="Separador de milhares 3 15 3 2 2 2 4" xfId="16103"/>
    <cellStyle name="Separador de milhares 3 15 3 2 2 2 4 2" xfId="41170"/>
    <cellStyle name="Separador de milhares 3 15 3 2 2 2 5" xfId="35262"/>
    <cellStyle name="Separador de milhares 3 15 3 2 2 3" xfId="24974"/>
    <cellStyle name="Separador de milhares 3 15 3 2 2 3 2" xfId="50041"/>
    <cellStyle name="Separador de milhares 3 15 3 2 2 4" xfId="19060"/>
    <cellStyle name="Separador de milhares 3 15 3 2 2 4 2" xfId="44127"/>
    <cellStyle name="Separador de milhares 3 15 3 2 2 5" xfId="12959"/>
    <cellStyle name="Separador de milhares 3 15 3 2 2 5 2" xfId="38216"/>
    <cellStyle name="Separador de milhares 3 15 3 2 2 6" xfId="32305"/>
    <cellStyle name="Separador de milhares 3 15 3 2 3" xfId="8246"/>
    <cellStyle name="Separador de milhares 3 15 3 2 3 2" xfId="26460"/>
    <cellStyle name="Separador de milhares 3 15 3 2 3 2 2" xfId="51527"/>
    <cellStyle name="Separador de milhares 3 15 3 2 3 3" xfId="20546"/>
    <cellStyle name="Separador de milhares 3 15 3 2 3 3 2" xfId="45613"/>
    <cellStyle name="Separador de milhares 3 15 3 2 3 4" xfId="14635"/>
    <cellStyle name="Separador de milhares 3 15 3 2 3 4 2" xfId="39702"/>
    <cellStyle name="Separador de milhares 3 15 3 2 3 5" xfId="33791"/>
    <cellStyle name="Separador de milhares 3 15 3 2 4" xfId="4869"/>
    <cellStyle name="Separador de milhares 3 15 3 2 4 2" xfId="23503"/>
    <cellStyle name="Separador de milhares 3 15 3 2 4 2 2" xfId="48570"/>
    <cellStyle name="Separador de milhares 3 15 3 2 4 3" xfId="30835"/>
    <cellStyle name="Separador de milhares 3 15 3 2 5" xfId="17589"/>
    <cellStyle name="Separador de milhares 3 15 3 2 5 2" xfId="42656"/>
    <cellStyle name="Separador de milhares 3 15 3 2 6" xfId="11258"/>
    <cellStyle name="Separador de milhares 3 15 3 2 6 2" xfId="36748"/>
    <cellStyle name="Separador de milhares 3 15 3 2 7" xfId="29364"/>
    <cellStyle name="Separador de milhares 3 15 3 3" xfId="863"/>
    <cellStyle name="Separador de milhares 3 15 3 3 2" xfId="6672"/>
    <cellStyle name="Separador de milhares 3 15 3 3 2 2" xfId="9819"/>
    <cellStyle name="Separador de milhares 3 15 3 3 2 2 2" xfId="28033"/>
    <cellStyle name="Separador de milhares 3 15 3 3 2 2 2 2" xfId="53100"/>
    <cellStyle name="Separador de milhares 3 15 3 3 2 2 3" xfId="22119"/>
    <cellStyle name="Separador de milhares 3 15 3 3 2 2 3 2" xfId="47186"/>
    <cellStyle name="Separador de milhares 3 15 3 3 2 2 4" xfId="16205"/>
    <cellStyle name="Separador de milhares 3 15 3 3 2 2 4 2" xfId="41272"/>
    <cellStyle name="Separador de milhares 3 15 3 3 2 2 5" xfId="35364"/>
    <cellStyle name="Separador de milhares 3 15 3 3 2 3" xfId="25076"/>
    <cellStyle name="Separador de milhares 3 15 3 3 2 3 2" xfId="50143"/>
    <cellStyle name="Separador de milhares 3 15 3 3 2 4" xfId="19162"/>
    <cellStyle name="Separador de milhares 3 15 3 3 2 4 2" xfId="44229"/>
    <cellStyle name="Separador de milhares 3 15 3 3 2 5" xfId="13061"/>
    <cellStyle name="Separador de milhares 3 15 3 3 2 5 2" xfId="38318"/>
    <cellStyle name="Separador de milhares 3 15 3 3 2 6" xfId="32407"/>
    <cellStyle name="Separador de milhares 3 15 3 3 3" xfId="8351"/>
    <cellStyle name="Separador de milhares 3 15 3 3 3 2" xfId="26565"/>
    <cellStyle name="Separador de milhares 3 15 3 3 3 2 2" xfId="51632"/>
    <cellStyle name="Separador de milhares 3 15 3 3 3 3" xfId="20651"/>
    <cellStyle name="Separador de milhares 3 15 3 3 3 3 2" xfId="45718"/>
    <cellStyle name="Separador de milhares 3 15 3 3 3 4" xfId="14737"/>
    <cellStyle name="Separador de milhares 3 15 3 3 3 4 2" xfId="39804"/>
    <cellStyle name="Separador de milhares 3 15 3 3 3 5" xfId="33896"/>
    <cellStyle name="Separador de milhares 3 15 3 3 4" xfId="4973"/>
    <cellStyle name="Separador de milhares 3 15 3 3 4 2" xfId="23608"/>
    <cellStyle name="Separador de milhares 3 15 3 3 4 2 2" xfId="48675"/>
    <cellStyle name="Separador de milhares 3 15 3 3 4 3" xfId="30939"/>
    <cellStyle name="Separador de milhares 3 15 3 3 5" xfId="17694"/>
    <cellStyle name="Separador de milhares 3 15 3 3 5 2" xfId="42761"/>
    <cellStyle name="Separador de milhares 3 15 3 3 6" xfId="11360"/>
    <cellStyle name="Separador de milhares 3 15 3 3 6 2" xfId="36850"/>
    <cellStyle name="Separador de milhares 3 15 3 3 7" xfId="29469"/>
    <cellStyle name="Separador de milhares 3 15 3 4" xfId="1214"/>
    <cellStyle name="Separador de milhares 3 15 3 4 2" xfId="6770"/>
    <cellStyle name="Separador de milhares 3 15 3 4 2 2" xfId="9917"/>
    <cellStyle name="Separador de milhares 3 15 3 4 2 2 2" xfId="28131"/>
    <cellStyle name="Separador de milhares 3 15 3 4 2 2 2 2" xfId="53198"/>
    <cellStyle name="Separador de milhares 3 15 3 4 2 2 3" xfId="22217"/>
    <cellStyle name="Separador de milhares 3 15 3 4 2 2 3 2" xfId="47284"/>
    <cellStyle name="Separador de milhares 3 15 3 4 2 2 4" xfId="16303"/>
    <cellStyle name="Separador de milhares 3 15 3 4 2 2 4 2" xfId="41370"/>
    <cellStyle name="Separador de milhares 3 15 3 4 2 2 5" xfId="35462"/>
    <cellStyle name="Separador de milhares 3 15 3 4 2 3" xfId="25174"/>
    <cellStyle name="Separador de milhares 3 15 3 4 2 3 2" xfId="50241"/>
    <cellStyle name="Separador de milhares 3 15 3 4 2 4" xfId="19260"/>
    <cellStyle name="Separador de milhares 3 15 3 4 2 4 2" xfId="44327"/>
    <cellStyle name="Separador de milhares 3 15 3 4 2 5" xfId="13159"/>
    <cellStyle name="Separador de milhares 3 15 3 4 2 5 2" xfId="38416"/>
    <cellStyle name="Separador de milhares 3 15 3 4 2 6" xfId="32505"/>
    <cellStyle name="Separador de milhares 3 15 3 4 3" xfId="8449"/>
    <cellStyle name="Separador de milhares 3 15 3 4 3 2" xfId="26663"/>
    <cellStyle name="Separador de milhares 3 15 3 4 3 2 2" xfId="51730"/>
    <cellStyle name="Separador de milhares 3 15 3 4 3 3" xfId="20749"/>
    <cellStyle name="Separador de milhares 3 15 3 4 3 3 2" xfId="45816"/>
    <cellStyle name="Separador de milhares 3 15 3 4 3 4" xfId="14835"/>
    <cellStyle name="Separador de milhares 3 15 3 4 3 4 2" xfId="39902"/>
    <cellStyle name="Separador de milhares 3 15 3 4 3 5" xfId="33994"/>
    <cellStyle name="Separador de milhares 3 15 3 4 4" xfId="5071"/>
    <cellStyle name="Separador de milhares 3 15 3 4 4 2" xfId="23706"/>
    <cellStyle name="Separador de milhares 3 15 3 4 4 2 2" xfId="48773"/>
    <cellStyle name="Separador de milhares 3 15 3 4 4 3" xfId="31037"/>
    <cellStyle name="Separador de milhares 3 15 3 4 5" xfId="17792"/>
    <cellStyle name="Separador de milhares 3 15 3 4 5 2" xfId="42859"/>
    <cellStyle name="Separador de milhares 3 15 3 4 6" xfId="11458"/>
    <cellStyle name="Separador de milhares 3 15 3 4 6 2" xfId="36948"/>
    <cellStyle name="Separador de milhares 3 15 3 4 7" xfId="29567"/>
    <cellStyle name="Separador de milhares 3 15 3 5" xfId="1649"/>
    <cellStyle name="Separador de milhares 3 15 3 5 2" xfId="6889"/>
    <cellStyle name="Separador de milhares 3 15 3 5 2 2" xfId="10036"/>
    <cellStyle name="Separador de milhares 3 15 3 5 2 2 2" xfId="28250"/>
    <cellStyle name="Separador de milhares 3 15 3 5 2 2 2 2" xfId="53317"/>
    <cellStyle name="Separador de milhares 3 15 3 5 2 2 3" xfId="22336"/>
    <cellStyle name="Separador de milhares 3 15 3 5 2 2 3 2" xfId="47403"/>
    <cellStyle name="Separador de milhares 3 15 3 5 2 2 4" xfId="16422"/>
    <cellStyle name="Separador de milhares 3 15 3 5 2 2 4 2" xfId="41489"/>
    <cellStyle name="Separador de milhares 3 15 3 5 2 2 5" xfId="35581"/>
    <cellStyle name="Separador de milhares 3 15 3 5 2 3" xfId="25293"/>
    <cellStyle name="Separador de milhares 3 15 3 5 2 3 2" xfId="50360"/>
    <cellStyle name="Separador de milhares 3 15 3 5 2 4" xfId="19379"/>
    <cellStyle name="Separador de milhares 3 15 3 5 2 4 2" xfId="44446"/>
    <cellStyle name="Separador de milhares 3 15 3 5 2 5" xfId="13278"/>
    <cellStyle name="Separador de milhares 3 15 3 5 2 5 2" xfId="38535"/>
    <cellStyle name="Separador de milhares 3 15 3 5 2 6" xfId="32624"/>
    <cellStyle name="Separador de milhares 3 15 3 5 3" xfId="8568"/>
    <cellStyle name="Separador de milhares 3 15 3 5 3 2" xfId="26782"/>
    <cellStyle name="Separador de milhares 3 15 3 5 3 2 2" xfId="51849"/>
    <cellStyle name="Separador de milhares 3 15 3 5 3 3" xfId="20868"/>
    <cellStyle name="Separador de milhares 3 15 3 5 3 3 2" xfId="45935"/>
    <cellStyle name="Separador de milhares 3 15 3 5 3 4" xfId="14954"/>
    <cellStyle name="Separador de milhares 3 15 3 5 3 4 2" xfId="40021"/>
    <cellStyle name="Separador de milhares 3 15 3 5 3 5" xfId="34113"/>
    <cellStyle name="Separador de milhares 3 15 3 5 4" xfId="5190"/>
    <cellStyle name="Separador de milhares 3 15 3 5 4 2" xfId="23825"/>
    <cellStyle name="Separador de milhares 3 15 3 5 4 2 2" xfId="48892"/>
    <cellStyle name="Separador de milhares 3 15 3 5 4 3" xfId="31156"/>
    <cellStyle name="Separador de milhares 3 15 3 5 5" xfId="17911"/>
    <cellStyle name="Separador de milhares 3 15 3 5 5 2" xfId="42978"/>
    <cellStyle name="Separador de milhares 3 15 3 5 6" xfId="11577"/>
    <cellStyle name="Separador de milhares 3 15 3 5 6 2" xfId="37067"/>
    <cellStyle name="Separador de milhares 3 15 3 5 7" xfId="29686"/>
    <cellStyle name="Separador de milhares 3 15 3 6" xfId="2179"/>
    <cellStyle name="Separador de milhares 3 15 3 6 2" xfId="7039"/>
    <cellStyle name="Separador de milhares 3 15 3 6 2 2" xfId="10183"/>
    <cellStyle name="Separador de milhares 3 15 3 6 2 2 2" xfId="28397"/>
    <cellStyle name="Separador de milhares 3 15 3 6 2 2 2 2" xfId="53464"/>
    <cellStyle name="Separador de milhares 3 15 3 6 2 2 3" xfId="22483"/>
    <cellStyle name="Separador de milhares 3 15 3 6 2 2 3 2" xfId="47550"/>
    <cellStyle name="Separador de milhares 3 15 3 6 2 2 4" xfId="16569"/>
    <cellStyle name="Separador de milhares 3 15 3 6 2 2 4 2" xfId="41636"/>
    <cellStyle name="Separador de milhares 3 15 3 6 2 2 5" xfId="35728"/>
    <cellStyle name="Separador de milhares 3 15 3 6 2 3" xfId="25440"/>
    <cellStyle name="Separador de milhares 3 15 3 6 2 3 2" xfId="50507"/>
    <cellStyle name="Separador de milhares 3 15 3 6 2 4" xfId="19526"/>
    <cellStyle name="Separador de milhares 3 15 3 6 2 4 2" xfId="44593"/>
    <cellStyle name="Separador de milhares 3 15 3 6 2 5" xfId="13428"/>
    <cellStyle name="Separador de milhares 3 15 3 6 2 5 2" xfId="38682"/>
    <cellStyle name="Separador de milhares 3 15 3 6 2 6" xfId="32771"/>
    <cellStyle name="Separador de milhares 3 15 3 6 3" xfId="8715"/>
    <cellStyle name="Separador de milhares 3 15 3 6 3 2" xfId="26929"/>
    <cellStyle name="Separador de milhares 3 15 3 6 3 2 2" xfId="51996"/>
    <cellStyle name="Separador de milhares 3 15 3 6 3 3" xfId="21015"/>
    <cellStyle name="Separador de milhares 3 15 3 6 3 3 2" xfId="46082"/>
    <cellStyle name="Separador de milhares 3 15 3 6 3 4" xfId="15101"/>
    <cellStyle name="Separador de milhares 3 15 3 6 3 4 2" xfId="40168"/>
    <cellStyle name="Separador de milhares 3 15 3 6 3 5" xfId="34260"/>
    <cellStyle name="Separador de milhares 3 15 3 6 4" xfId="5340"/>
    <cellStyle name="Separador de milhares 3 15 3 6 4 2" xfId="23972"/>
    <cellStyle name="Separador de milhares 3 15 3 6 4 2 2" xfId="49039"/>
    <cellStyle name="Separador de milhares 3 15 3 6 4 3" xfId="31303"/>
    <cellStyle name="Separador de milhares 3 15 3 6 5" xfId="18058"/>
    <cellStyle name="Separador de milhares 3 15 3 6 5 2" xfId="43125"/>
    <cellStyle name="Separador de milhares 3 15 3 6 6" xfId="11727"/>
    <cellStyle name="Separador de milhares 3 15 3 6 6 2" xfId="37214"/>
    <cellStyle name="Separador de milhares 3 15 3 6 7" xfId="29833"/>
    <cellStyle name="Separador de milhares 3 15 3 7" xfId="2706"/>
    <cellStyle name="Separador de milhares 3 15 3 7 2" xfId="7186"/>
    <cellStyle name="Separador de milhares 3 15 3 7 2 2" xfId="10330"/>
    <cellStyle name="Separador de milhares 3 15 3 7 2 2 2" xfId="28544"/>
    <cellStyle name="Separador de milhares 3 15 3 7 2 2 2 2" xfId="53611"/>
    <cellStyle name="Separador de milhares 3 15 3 7 2 2 3" xfId="22630"/>
    <cellStyle name="Separador de milhares 3 15 3 7 2 2 3 2" xfId="47697"/>
    <cellStyle name="Separador de milhares 3 15 3 7 2 2 4" xfId="16716"/>
    <cellStyle name="Separador de milhares 3 15 3 7 2 2 4 2" xfId="41783"/>
    <cellStyle name="Separador de milhares 3 15 3 7 2 2 5" xfId="35875"/>
    <cellStyle name="Separador de milhares 3 15 3 7 2 3" xfId="25587"/>
    <cellStyle name="Separador de milhares 3 15 3 7 2 3 2" xfId="50654"/>
    <cellStyle name="Separador de milhares 3 15 3 7 2 4" xfId="19673"/>
    <cellStyle name="Separador de milhares 3 15 3 7 2 4 2" xfId="44740"/>
    <cellStyle name="Separador de milhares 3 15 3 7 2 5" xfId="13575"/>
    <cellStyle name="Separador de milhares 3 15 3 7 2 5 2" xfId="38829"/>
    <cellStyle name="Separador de milhares 3 15 3 7 2 6" xfId="32918"/>
    <cellStyle name="Separador de milhares 3 15 3 7 3" xfId="8862"/>
    <cellStyle name="Separador de milhares 3 15 3 7 3 2" xfId="27076"/>
    <cellStyle name="Separador de milhares 3 15 3 7 3 2 2" xfId="52143"/>
    <cellStyle name="Separador de milhares 3 15 3 7 3 3" xfId="21162"/>
    <cellStyle name="Separador de milhares 3 15 3 7 3 3 2" xfId="46229"/>
    <cellStyle name="Separador de milhares 3 15 3 7 3 4" xfId="15248"/>
    <cellStyle name="Separador de milhares 3 15 3 7 3 4 2" xfId="40315"/>
    <cellStyle name="Separador de milhares 3 15 3 7 3 5" xfId="34407"/>
    <cellStyle name="Separador de milhares 3 15 3 7 4" xfId="5487"/>
    <cellStyle name="Separador de milhares 3 15 3 7 4 2" xfId="24119"/>
    <cellStyle name="Separador de milhares 3 15 3 7 4 2 2" xfId="49186"/>
    <cellStyle name="Separador de milhares 3 15 3 7 4 3" xfId="31450"/>
    <cellStyle name="Separador de milhares 3 15 3 7 5" xfId="18205"/>
    <cellStyle name="Separador de milhares 3 15 3 7 5 2" xfId="43272"/>
    <cellStyle name="Separador de milhares 3 15 3 7 6" xfId="11874"/>
    <cellStyle name="Separador de milhares 3 15 3 7 6 2" xfId="37361"/>
    <cellStyle name="Separador de milhares 3 15 3 7 7" xfId="29980"/>
    <cellStyle name="Separador de milhares 3 15 3 8" xfId="3233"/>
    <cellStyle name="Separador de milhares 3 15 3 8 2" xfId="7333"/>
    <cellStyle name="Separador de milhares 3 15 3 8 2 2" xfId="10477"/>
    <cellStyle name="Separador de milhares 3 15 3 8 2 2 2" xfId="28691"/>
    <cellStyle name="Separador de milhares 3 15 3 8 2 2 2 2" xfId="53758"/>
    <cellStyle name="Separador de milhares 3 15 3 8 2 2 3" xfId="22777"/>
    <cellStyle name="Separador de milhares 3 15 3 8 2 2 3 2" xfId="47844"/>
    <cellStyle name="Separador de milhares 3 15 3 8 2 2 4" xfId="16863"/>
    <cellStyle name="Separador de milhares 3 15 3 8 2 2 4 2" xfId="41930"/>
    <cellStyle name="Separador de milhares 3 15 3 8 2 2 5" xfId="36022"/>
    <cellStyle name="Separador de milhares 3 15 3 8 2 3" xfId="25734"/>
    <cellStyle name="Separador de milhares 3 15 3 8 2 3 2" xfId="50801"/>
    <cellStyle name="Separador de milhares 3 15 3 8 2 4" xfId="19820"/>
    <cellStyle name="Separador de milhares 3 15 3 8 2 4 2" xfId="44887"/>
    <cellStyle name="Separador de milhares 3 15 3 8 2 5" xfId="13722"/>
    <cellStyle name="Separador de milhares 3 15 3 8 2 5 2" xfId="38976"/>
    <cellStyle name="Separador de milhares 3 15 3 8 2 6" xfId="33065"/>
    <cellStyle name="Separador de milhares 3 15 3 8 3" xfId="9009"/>
    <cellStyle name="Separador de milhares 3 15 3 8 3 2" xfId="27223"/>
    <cellStyle name="Separador de milhares 3 15 3 8 3 2 2" xfId="52290"/>
    <cellStyle name="Separador de milhares 3 15 3 8 3 3" xfId="21309"/>
    <cellStyle name="Separador de milhares 3 15 3 8 3 3 2" xfId="46376"/>
    <cellStyle name="Separador de milhares 3 15 3 8 3 4" xfId="15395"/>
    <cellStyle name="Separador de milhares 3 15 3 8 3 4 2" xfId="40462"/>
    <cellStyle name="Separador de milhares 3 15 3 8 3 5" xfId="34554"/>
    <cellStyle name="Separador de milhares 3 15 3 8 4" xfId="5634"/>
    <cellStyle name="Separador de milhares 3 15 3 8 4 2" xfId="24266"/>
    <cellStyle name="Separador de milhares 3 15 3 8 4 2 2" xfId="49333"/>
    <cellStyle name="Separador de milhares 3 15 3 8 4 3" xfId="31597"/>
    <cellStyle name="Separador de milhares 3 15 3 8 5" xfId="18352"/>
    <cellStyle name="Separador de milhares 3 15 3 8 5 2" xfId="43419"/>
    <cellStyle name="Separador de milhares 3 15 3 8 6" xfId="12021"/>
    <cellStyle name="Separador de milhares 3 15 3 8 6 2" xfId="37508"/>
    <cellStyle name="Separador de milhares 3 15 3 8 7" xfId="30127"/>
    <cellStyle name="Separador de milhares 3 15 3 9" xfId="3760"/>
    <cellStyle name="Separador de milhares 3 15 3 9 2" xfId="7480"/>
    <cellStyle name="Separador de milhares 3 15 3 9 2 2" xfId="10624"/>
    <cellStyle name="Separador de milhares 3 15 3 9 2 2 2" xfId="28838"/>
    <cellStyle name="Separador de milhares 3 15 3 9 2 2 2 2" xfId="53905"/>
    <cellStyle name="Separador de milhares 3 15 3 9 2 2 3" xfId="22924"/>
    <cellStyle name="Separador de milhares 3 15 3 9 2 2 3 2" xfId="47991"/>
    <cellStyle name="Separador de milhares 3 15 3 9 2 2 4" xfId="17010"/>
    <cellStyle name="Separador de milhares 3 15 3 9 2 2 4 2" xfId="42077"/>
    <cellStyle name="Separador de milhares 3 15 3 9 2 2 5" xfId="36169"/>
    <cellStyle name="Separador de milhares 3 15 3 9 2 3" xfId="25881"/>
    <cellStyle name="Separador de milhares 3 15 3 9 2 3 2" xfId="50948"/>
    <cellStyle name="Separador de milhares 3 15 3 9 2 4" xfId="19967"/>
    <cellStyle name="Separador de milhares 3 15 3 9 2 4 2" xfId="45034"/>
    <cellStyle name="Separador de milhares 3 15 3 9 2 5" xfId="13869"/>
    <cellStyle name="Separador de milhares 3 15 3 9 2 5 2" xfId="39123"/>
    <cellStyle name="Separador de milhares 3 15 3 9 2 6" xfId="33212"/>
    <cellStyle name="Separador de milhares 3 15 3 9 3" xfId="9156"/>
    <cellStyle name="Separador de milhares 3 15 3 9 3 2" xfId="27370"/>
    <cellStyle name="Separador de milhares 3 15 3 9 3 2 2" xfId="52437"/>
    <cellStyle name="Separador de milhares 3 15 3 9 3 3" xfId="21456"/>
    <cellStyle name="Separador de milhares 3 15 3 9 3 3 2" xfId="46523"/>
    <cellStyle name="Separador de milhares 3 15 3 9 3 4" xfId="15542"/>
    <cellStyle name="Separador de milhares 3 15 3 9 3 4 2" xfId="40609"/>
    <cellStyle name="Separador de milhares 3 15 3 9 3 5" xfId="34701"/>
    <cellStyle name="Separador de milhares 3 15 3 9 4" xfId="5781"/>
    <cellStyle name="Separador de milhares 3 15 3 9 4 2" xfId="24413"/>
    <cellStyle name="Separador de milhares 3 15 3 9 4 2 2" xfId="49480"/>
    <cellStyle name="Separador de milhares 3 15 3 9 4 3" xfId="31744"/>
    <cellStyle name="Separador de milhares 3 15 3 9 5" xfId="18499"/>
    <cellStyle name="Separador de milhares 3 15 3 9 5 2" xfId="43566"/>
    <cellStyle name="Separador de milhares 3 15 3 9 6" xfId="12168"/>
    <cellStyle name="Separador de milhares 3 15 3 9 6 2" xfId="37655"/>
    <cellStyle name="Separador de milhares 3 15 3 9 7" xfId="30274"/>
    <cellStyle name="Separador de milhares 3 15 4" xfId="396"/>
    <cellStyle name="Separador de milhares 3 15 4 10" xfId="6527"/>
    <cellStyle name="Separador de milhares 3 15 4 10 2" xfId="9675"/>
    <cellStyle name="Separador de milhares 3 15 4 10 2 2" xfId="27889"/>
    <cellStyle name="Separador de milhares 3 15 4 10 2 2 2" xfId="52956"/>
    <cellStyle name="Separador de milhares 3 15 4 10 2 3" xfId="21975"/>
    <cellStyle name="Separador de milhares 3 15 4 10 2 3 2" xfId="47042"/>
    <cellStyle name="Separador de milhares 3 15 4 10 2 4" xfId="16061"/>
    <cellStyle name="Separador de milhares 3 15 4 10 2 4 2" xfId="41128"/>
    <cellStyle name="Separador de milhares 3 15 4 10 2 5" xfId="35220"/>
    <cellStyle name="Separador de milhares 3 15 4 10 3" xfId="24932"/>
    <cellStyle name="Separador de milhares 3 15 4 10 3 2" xfId="49999"/>
    <cellStyle name="Separador de milhares 3 15 4 10 4" xfId="19018"/>
    <cellStyle name="Separador de milhares 3 15 4 10 4 2" xfId="44085"/>
    <cellStyle name="Separador de milhares 3 15 4 10 5" xfId="12916"/>
    <cellStyle name="Separador de milhares 3 15 4 10 5 2" xfId="38174"/>
    <cellStyle name="Separador de milhares 3 15 4 10 6" xfId="32263"/>
    <cellStyle name="Separador de milhares 3 15 4 11" xfId="8204"/>
    <cellStyle name="Separador de milhares 3 15 4 11 2" xfId="26418"/>
    <cellStyle name="Separador de milhares 3 15 4 11 2 2" xfId="51485"/>
    <cellStyle name="Separador de milhares 3 15 4 11 3" xfId="20504"/>
    <cellStyle name="Separador de milhares 3 15 4 11 3 2" xfId="45571"/>
    <cellStyle name="Separador de milhares 3 15 4 11 4" xfId="14593"/>
    <cellStyle name="Separador de milhares 3 15 4 11 4 2" xfId="39660"/>
    <cellStyle name="Separador de milhares 3 15 4 11 5" xfId="33749"/>
    <cellStyle name="Separador de milhares 3 15 4 12" xfId="4826"/>
    <cellStyle name="Separador de milhares 3 15 4 12 2" xfId="23461"/>
    <cellStyle name="Separador de milhares 3 15 4 12 2 2" xfId="48528"/>
    <cellStyle name="Separador de milhares 3 15 4 12 3" xfId="30793"/>
    <cellStyle name="Separador de milhares 3 15 4 13" xfId="17547"/>
    <cellStyle name="Separador de milhares 3 15 4 13 2" xfId="42614"/>
    <cellStyle name="Separador de milhares 3 15 4 14" xfId="11215"/>
    <cellStyle name="Separador de milhares 3 15 4 14 2" xfId="36706"/>
    <cellStyle name="Separador de milhares 3 15 4 15" xfId="29322"/>
    <cellStyle name="Separador de milhares 3 15 4 2" xfId="1041"/>
    <cellStyle name="Separador de milhares 3 15 4 2 2" xfId="6724"/>
    <cellStyle name="Separador de milhares 3 15 4 2 2 2" xfId="9871"/>
    <cellStyle name="Separador de milhares 3 15 4 2 2 2 2" xfId="28085"/>
    <cellStyle name="Separador de milhares 3 15 4 2 2 2 2 2" xfId="53152"/>
    <cellStyle name="Separador de milhares 3 15 4 2 2 2 3" xfId="22171"/>
    <cellStyle name="Separador de milhares 3 15 4 2 2 2 3 2" xfId="47238"/>
    <cellStyle name="Separador de milhares 3 15 4 2 2 2 4" xfId="16257"/>
    <cellStyle name="Separador de milhares 3 15 4 2 2 2 4 2" xfId="41324"/>
    <cellStyle name="Separador de milhares 3 15 4 2 2 2 5" xfId="35416"/>
    <cellStyle name="Separador de milhares 3 15 4 2 2 3" xfId="25128"/>
    <cellStyle name="Separador de milhares 3 15 4 2 2 3 2" xfId="50195"/>
    <cellStyle name="Separador de milhares 3 15 4 2 2 4" xfId="19214"/>
    <cellStyle name="Separador de milhares 3 15 4 2 2 4 2" xfId="44281"/>
    <cellStyle name="Separador de milhares 3 15 4 2 2 5" xfId="13113"/>
    <cellStyle name="Separador de milhares 3 15 4 2 2 5 2" xfId="38370"/>
    <cellStyle name="Separador de milhares 3 15 4 2 2 6" xfId="32459"/>
    <cellStyle name="Separador de milhares 3 15 4 2 3" xfId="8403"/>
    <cellStyle name="Separador de milhares 3 15 4 2 3 2" xfId="26617"/>
    <cellStyle name="Separador de milhares 3 15 4 2 3 2 2" xfId="51684"/>
    <cellStyle name="Separador de milhares 3 15 4 2 3 3" xfId="20703"/>
    <cellStyle name="Separador de milhares 3 15 4 2 3 3 2" xfId="45770"/>
    <cellStyle name="Separador de milhares 3 15 4 2 3 4" xfId="14789"/>
    <cellStyle name="Separador de milhares 3 15 4 2 3 4 2" xfId="39856"/>
    <cellStyle name="Separador de milhares 3 15 4 2 3 5" xfId="33948"/>
    <cellStyle name="Separador de milhares 3 15 4 2 4" xfId="5025"/>
    <cellStyle name="Separador de milhares 3 15 4 2 4 2" xfId="23660"/>
    <cellStyle name="Separador de milhares 3 15 4 2 4 2 2" xfId="48727"/>
    <cellStyle name="Separador de milhares 3 15 4 2 4 3" xfId="30991"/>
    <cellStyle name="Separador de milhares 3 15 4 2 5" xfId="17746"/>
    <cellStyle name="Separador de milhares 3 15 4 2 5 2" xfId="42813"/>
    <cellStyle name="Separador de milhares 3 15 4 2 6" xfId="11412"/>
    <cellStyle name="Separador de milhares 3 15 4 2 6 2" xfId="36902"/>
    <cellStyle name="Separador de milhares 3 15 4 2 7" xfId="29521"/>
    <cellStyle name="Separador de milhares 3 15 4 3" xfId="1392"/>
    <cellStyle name="Separador de milhares 3 15 4 3 2" xfId="6822"/>
    <cellStyle name="Separador de milhares 3 15 4 3 2 2" xfId="9969"/>
    <cellStyle name="Separador de milhares 3 15 4 3 2 2 2" xfId="28183"/>
    <cellStyle name="Separador de milhares 3 15 4 3 2 2 2 2" xfId="53250"/>
    <cellStyle name="Separador de milhares 3 15 4 3 2 2 3" xfId="22269"/>
    <cellStyle name="Separador de milhares 3 15 4 3 2 2 3 2" xfId="47336"/>
    <cellStyle name="Separador de milhares 3 15 4 3 2 2 4" xfId="16355"/>
    <cellStyle name="Separador de milhares 3 15 4 3 2 2 4 2" xfId="41422"/>
    <cellStyle name="Separador de milhares 3 15 4 3 2 2 5" xfId="35514"/>
    <cellStyle name="Separador de milhares 3 15 4 3 2 3" xfId="25226"/>
    <cellStyle name="Separador de milhares 3 15 4 3 2 3 2" xfId="50293"/>
    <cellStyle name="Separador de milhares 3 15 4 3 2 4" xfId="19312"/>
    <cellStyle name="Separador de milhares 3 15 4 3 2 4 2" xfId="44379"/>
    <cellStyle name="Separador de milhares 3 15 4 3 2 5" xfId="13211"/>
    <cellStyle name="Separador de milhares 3 15 4 3 2 5 2" xfId="38468"/>
    <cellStyle name="Separador de milhares 3 15 4 3 2 6" xfId="32557"/>
    <cellStyle name="Separador de milhares 3 15 4 3 3" xfId="8501"/>
    <cellStyle name="Separador de milhares 3 15 4 3 3 2" xfId="26715"/>
    <cellStyle name="Separador de milhares 3 15 4 3 3 2 2" xfId="51782"/>
    <cellStyle name="Separador de milhares 3 15 4 3 3 3" xfId="20801"/>
    <cellStyle name="Separador de milhares 3 15 4 3 3 3 2" xfId="45868"/>
    <cellStyle name="Separador de milhares 3 15 4 3 3 4" xfId="14887"/>
    <cellStyle name="Separador de milhares 3 15 4 3 3 4 2" xfId="39954"/>
    <cellStyle name="Separador de milhares 3 15 4 3 3 5" xfId="34046"/>
    <cellStyle name="Separador de milhares 3 15 4 3 4" xfId="5123"/>
    <cellStyle name="Separador de milhares 3 15 4 3 4 2" xfId="23758"/>
    <cellStyle name="Separador de milhares 3 15 4 3 4 2 2" xfId="48825"/>
    <cellStyle name="Separador de milhares 3 15 4 3 4 3" xfId="31089"/>
    <cellStyle name="Separador de milhares 3 15 4 3 5" xfId="17844"/>
    <cellStyle name="Separador de milhares 3 15 4 3 5 2" xfId="42911"/>
    <cellStyle name="Separador de milhares 3 15 4 3 6" xfId="11510"/>
    <cellStyle name="Separador de milhares 3 15 4 3 6 2" xfId="37000"/>
    <cellStyle name="Separador de milhares 3 15 4 3 7" xfId="29619"/>
    <cellStyle name="Separador de milhares 3 15 4 4" xfId="1827"/>
    <cellStyle name="Separador de milhares 3 15 4 4 2" xfId="6941"/>
    <cellStyle name="Separador de milhares 3 15 4 4 2 2" xfId="10088"/>
    <cellStyle name="Separador de milhares 3 15 4 4 2 2 2" xfId="28302"/>
    <cellStyle name="Separador de milhares 3 15 4 4 2 2 2 2" xfId="53369"/>
    <cellStyle name="Separador de milhares 3 15 4 4 2 2 3" xfId="22388"/>
    <cellStyle name="Separador de milhares 3 15 4 4 2 2 3 2" xfId="47455"/>
    <cellStyle name="Separador de milhares 3 15 4 4 2 2 4" xfId="16474"/>
    <cellStyle name="Separador de milhares 3 15 4 4 2 2 4 2" xfId="41541"/>
    <cellStyle name="Separador de milhares 3 15 4 4 2 2 5" xfId="35633"/>
    <cellStyle name="Separador de milhares 3 15 4 4 2 3" xfId="25345"/>
    <cellStyle name="Separador de milhares 3 15 4 4 2 3 2" xfId="50412"/>
    <cellStyle name="Separador de milhares 3 15 4 4 2 4" xfId="19431"/>
    <cellStyle name="Separador de milhares 3 15 4 4 2 4 2" xfId="44498"/>
    <cellStyle name="Separador de milhares 3 15 4 4 2 5" xfId="13330"/>
    <cellStyle name="Separador de milhares 3 15 4 4 2 5 2" xfId="38587"/>
    <cellStyle name="Separador de milhares 3 15 4 4 2 6" xfId="32676"/>
    <cellStyle name="Separador de milhares 3 15 4 4 3" xfId="8620"/>
    <cellStyle name="Separador de milhares 3 15 4 4 3 2" xfId="26834"/>
    <cellStyle name="Separador de milhares 3 15 4 4 3 2 2" xfId="51901"/>
    <cellStyle name="Separador de milhares 3 15 4 4 3 3" xfId="20920"/>
    <cellStyle name="Separador de milhares 3 15 4 4 3 3 2" xfId="45987"/>
    <cellStyle name="Separador de milhares 3 15 4 4 3 4" xfId="15006"/>
    <cellStyle name="Separador de milhares 3 15 4 4 3 4 2" xfId="40073"/>
    <cellStyle name="Separador de milhares 3 15 4 4 3 5" xfId="34165"/>
    <cellStyle name="Separador de milhares 3 15 4 4 4" xfId="5242"/>
    <cellStyle name="Separador de milhares 3 15 4 4 4 2" xfId="23877"/>
    <cellStyle name="Separador de milhares 3 15 4 4 4 2 2" xfId="48944"/>
    <cellStyle name="Separador de milhares 3 15 4 4 4 3" xfId="31208"/>
    <cellStyle name="Separador de milhares 3 15 4 4 5" xfId="17963"/>
    <cellStyle name="Separador de milhares 3 15 4 4 5 2" xfId="43030"/>
    <cellStyle name="Separador de milhares 3 15 4 4 6" xfId="11629"/>
    <cellStyle name="Separador de milhares 3 15 4 4 6 2" xfId="37119"/>
    <cellStyle name="Separador de milhares 3 15 4 4 7" xfId="29738"/>
    <cellStyle name="Separador de milhares 3 15 4 5" xfId="2357"/>
    <cellStyle name="Separador de milhares 3 15 4 5 2" xfId="7091"/>
    <cellStyle name="Separador de milhares 3 15 4 5 2 2" xfId="10235"/>
    <cellStyle name="Separador de milhares 3 15 4 5 2 2 2" xfId="28449"/>
    <cellStyle name="Separador de milhares 3 15 4 5 2 2 2 2" xfId="53516"/>
    <cellStyle name="Separador de milhares 3 15 4 5 2 2 3" xfId="22535"/>
    <cellStyle name="Separador de milhares 3 15 4 5 2 2 3 2" xfId="47602"/>
    <cellStyle name="Separador de milhares 3 15 4 5 2 2 4" xfId="16621"/>
    <cellStyle name="Separador de milhares 3 15 4 5 2 2 4 2" xfId="41688"/>
    <cellStyle name="Separador de milhares 3 15 4 5 2 2 5" xfId="35780"/>
    <cellStyle name="Separador de milhares 3 15 4 5 2 3" xfId="25492"/>
    <cellStyle name="Separador de milhares 3 15 4 5 2 3 2" xfId="50559"/>
    <cellStyle name="Separador de milhares 3 15 4 5 2 4" xfId="19578"/>
    <cellStyle name="Separador de milhares 3 15 4 5 2 4 2" xfId="44645"/>
    <cellStyle name="Separador de milhares 3 15 4 5 2 5" xfId="13480"/>
    <cellStyle name="Separador de milhares 3 15 4 5 2 5 2" xfId="38734"/>
    <cellStyle name="Separador de milhares 3 15 4 5 2 6" xfId="32823"/>
    <cellStyle name="Separador de milhares 3 15 4 5 3" xfId="8767"/>
    <cellStyle name="Separador de milhares 3 15 4 5 3 2" xfId="26981"/>
    <cellStyle name="Separador de milhares 3 15 4 5 3 2 2" xfId="52048"/>
    <cellStyle name="Separador de milhares 3 15 4 5 3 3" xfId="21067"/>
    <cellStyle name="Separador de milhares 3 15 4 5 3 3 2" xfId="46134"/>
    <cellStyle name="Separador de milhares 3 15 4 5 3 4" xfId="15153"/>
    <cellStyle name="Separador de milhares 3 15 4 5 3 4 2" xfId="40220"/>
    <cellStyle name="Separador de milhares 3 15 4 5 3 5" xfId="34312"/>
    <cellStyle name="Separador de milhares 3 15 4 5 4" xfId="5392"/>
    <cellStyle name="Separador de milhares 3 15 4 5 4 2" xfId="24024"/>
    <cellStyle name="Separador de milhares 3 15 4 5 4 2 2" xfId="49091"/>
    <cellStyle name="Separador de milhares 3 15 4 5 4 3" xfId="31355"/>
    <cellStyle name="Separador de milhares 3 15 4 5 5" xfId="18110"/>
    <cellStyle name="Separador de milhares 3 15 4 5 5 2" xfId="43177"/>
    <cellStyle name="Separador de milhares 3 15 4 5 6" xfId="11779"/>
    <cellStyle name="Separador de milhares 3 15 4 5 6 2" xfId="37266"/>
    <cellStyle name="Separador de milhares 3 15 4 5 7" xfId="29885"/>
    <cellStyle name="Separador de milhares 3 15 4 6" xfId="2884"/>
    <cellStyle name="Separador de milhares 3 15 4 6 2" xfId="7238"/>
    <cellStyle name="Separador de milhares 3 15 4 6 2 2" xfId="10382"/>
    <cellStyle name="Separador de milhares 3 15 4 6 2 2 2" xfId="28596"/>
    <cellStyle name="Separador de milhares 3 15 4 6 2 2 2 2" xfId="53663"/>
    <cellStyle name="Separador de milhares 3 15 4 6 2 2 3" xfId="22682"/>
    <cellStyle name="Separador de milhares 3 15 4 6 2 2 3 2" xfId="47749"/>
    <cellStyle name="Separador de milhares 3 15 4 6 2 2 4" xfId="16768"/>
    <cellStyle name="Separador de milhares 3 15 4 6 2 2 4 2" xfId="41835"/>
    <cellStyle name="Separador de milhares 3 15 4 6 2 2 5" xfId="35927"/>
    <cellStyle name="Separador de milhares 3 15 4 6 2 3" xfId="25639"/>
    <cellStyle name="Separador de milhares 3 15 4 6 2 3 2" xfId="50706"/>
    <cellStyle name="Separador de milhares 3 15 4 6 2 4" xfId="19725"/>
    <cellStyle name="Separador de milhares 3 15 4 6 2 4 2" xfId="44792"/>
    <cellStyle name="Separador de milhares 3 15 4 6 2 5" xfId="13627"/>
    <cellStyle name="Separador de milhares 3 15 4 6 2 5 2" xfId="38881"/>
    <cellStyle name="Separador de milhares 3 15 4 6 2 6" xfId="32970"/>
    <cellStyle name="Separador de milhares 3 15 4 6 3" xfId="8914"/>
    <cellStyle name="Separador de milhares 3 15 4 6 3 2" xfId="27128"/>
    <cellStyle name="Separador de milhares 3 15 4 6 3 2 2" xfId="52195"/>
    <cellStyle name="Separador de milhares 3 15 4 6 3 3" xfId="21214"/>
    <cellStyle name="Separador de milhares 3 15 4 6 3 3 2" xfId="46281"/>
    <cellStyle name="Separador de milhares 3 15 4 6 3 4" xfId="15300"/>
    <cellStyle name="Separador de milhares 3 15 4 6 3 4 2" xfId="40367"/>
    <cellStyle name="Separador de milhares 3 15 4 6 3 5" xfId="34459"/>
    <cellStyle name="Separador de milhares 3 15 4 6 4" xfId="5539"/>
    <cellStyle name="Separador de milhares 3 15 4 6 4 2" xfId="24171"/>
    <cellStyle name="Separador de milhares 3 15 4 6 4 2 2" xfId="49238"/>
    <cellStyle name="Separador de milhares 3 15 4 6 4 3" xfId="31502"/>
    <cellStyle name="Separador de milhares 3 15 4 6 5" xfId="18257"/>
    <cellStyle name="Separador de milhares 3 15 4 6 5 2" xfId="43324"/>
    <cellStyle name="Separador de milhares 3 15 4 6 6" xfId="11926"/>
    <cellStyle name="Separador de milhares 3 15 4 6 6 2" xfId="37413"/>
    <cellStyle name="Separador de milhares 3 15 4 6 7" xfId="30032"/>
    <cellStyle name="Separador de milhares 3 15 4 7" xfId="3411"/>
    <cellStyle name="Separador de milhares 3 15 4 7 2" xfId="7385"/>
    <cellStyle name="Separador de milhares 3 15 4 7 2 2" xfId="10529"/>
    <cellStyle name="Separador de milhares 3 15 4 7 2 2 2" xfId="28743"/>
    <cellStyle name="Separador de milhares 3 15 4 7 2 2 2 2" xfId="53810"/>
    <cellStyle name="Separador de milhares 3 15 4 7 2 2 3" xfId="22829"/>
    <cellStyle name="Separador de milhares 3 15 4 7 2 2 3 2" xfId="47896"/>
    <cellStyle name="Separador de milhares 3 15 4 7 2 2 4" xfId="16915"/>
    <cellStyle name="Separador de milhares 3 15 4 7 2 2 4 2" xfId="41982"/>
    <cellStyle name="Separador de milhares 3 15 4 7 2 2 5" xfId="36074"/>
    <cellStyle name="Separador de milhares 3 15 4 7 2 3" xfId="25786"/>
    <cellStyle name="Separador de milhares 3 15 4 7 2 3 2" xfId="50853"/>
    <cellStyle name="Separador de milhares 3 15 4 7 2 4" xfId="19872"/>
    <cellStyle name="Separador de milhares 3 15 4 7 2 4 2" xfId="44939"/>
    <cellStyle name="Separador de milhares 3 15 4 7 2 5" xfId="13774"/>
    <cellStyle name="Separador de milhares 3 15 4 7 2 5 2" xfId="39028"/>
    <cellStyle name="Separador de milhares 3 15 4 7 2 6" xfId="33117"/>
    <cellStyle name="Separador de milhares 3 15 4 7 3" xfId="9061"/>
    <cellStyle name="Separador de milhares 3 15 4 7 3 2" xfId="27275"/>
    <cellStyle name="Separador de milhares 3 15 4 7 3 2 2" xfId="52342"/>
    <cellStyle name="Separador de milhares 3 15 4 7 3 3" xfId="21361"/>
    <cellStyle name="Separador de milhares 3 15 4 7 3 3 2" xfId="46428"/>
    <cellStyle name="Separador de milhares 3 15 4 7 3 4" xfId="15447"/>
    <cellStyle name="Separador de milhares 3 15 4 7 3 4 2" xfId="40514"/>
    <cellStyle name="Separador de milhares 3 15 4 7 3 5" xfId="34606"/>
    <cellStyle name="Separador de milhares 3 15 4 7 4" xfId="5686"/>
    <cellStyle name="Separador de milhares 3 15 4 7 4 2" xfId="24318"/>
    <cellStyle name="Separador de milhares 3 15 4 7 4 2 2" xfId="49385"/>
    <cellStyle name="Separador de milhares 3 15 4 7 4 3" xfId="31649"/>
    <cellStyle name="Separador de milhares 3 15 4 7 5" xfId="18404"/>
    <cellStyle name="Separador de milhares 3 15 4 7 5 2" xfId="43471"/>
    <cellStyle name="Separador de milhares 3 15 4 7 6" xfId="12073"/>
    <cellStyle name="Separador de milhares 3 15 4 7 6 2" xfId="37560"/>
    <cellStyle name="Separador de milhares 3 15 4 7 7" xfId="30179"/>
    <cellStyle name="Separador de milhares 3 15 4 8" xfId="3938"/>
    <cellStyle name="Separador de milhares 3 15 4 8 2" xfId="7532"/>
    <cellStyle name="Separador de milhares 3 15 4 8 2 2" xfId="10676"/>
    <cellStyle name="Separador de milhares 3 15 4 8 2 2 2" xfId="28890"/>
    <cellStyle name="Separador de milhares 3 15 4 8 2 2 2 2" xfId="53957"/>
    <cellStyle name="Separador de milhares 3 15 4 8 2 2 3" xfId="22976"/>
    <cellStyle name="Separador de milhares 3 15 4 8 2 2 3 2" xfId="48043"/>
    <cellStyle name="Separador de milhares 3 15 4 8 2 2 4" xfId="17062"/>
    <cellStyle name="Separador de milhares 3 15 4 8 2 2 4 2" xfId="42129"/>
    <cellStyle name="Separador de milhares 3 15 4 8 2 2 5" xfId="36221"/>
    <cellStyle name="Separador de milhares 3 15 4 8 2 3" xfId="25933"/>
    <cellStyle name="Separador de milhares 3 15 4 8 2 3 2" xfId="51000"/>
    <cellStyle name="Separador de milhares 3 15 4 8 2 4" xfId="20019"/>
    <cellStyle name="Separador de milhares 3 15 4 8 2 4 2" xfId="45086"/>
    <cellStyle name="Separador de milhares 3 15 4 8 2 5" xfId="13921"/>
    <cellStyle name="Separador de milhares 3 15 4 8 2 5 2" xfId="39175"/>
    <cellStyle name="Separador de milhares 3 15 4 8 2 6" xfId="33264"/>
    <cellStyle name="Separador de milhares 3 15 4 8 3" xfId="9208"/>
    <cellStyle name="Separador de milhares 3 15 4 8 3 2" xfId="27422"/>
    <cellStyle name="Separador de milhares 3 15 4 8 3 2 2" xfId="52489"/>
    <cellStyle name="Separador de milhares 3 15 4 8 3 3" xfId="21508"/>
    <cellStyle name="Separador de milhares 3 15 4 8 3 3 2" xfId="46575"/>
    <cellStyle name="Separador de milhares 3 15 4 8 3 4" xfId="15594"/>
    <cellStyle name="Separador de milhares 3 15 4 8 3 4 2" xfId="40661"/>
    <cellStyle name="Separador de milhares 3 15 4 8 3 5" xfId="34753"/>
    <cellStyle name="Separador de milhares 3 15 4 8 4" xfId="5833"/>
    <cellStyle name="Separador de milhares 3 15 4 8 4 2" xfId="24465"/>
    <cellStyle name="Separador de milhares 3 15 4 8 4 2 2" xfId="49532"/>
    <cellStyle name="Separador de milhares 3 15 4 8 4 3" xfId="31796"/>
    <cellStyle name="Separador de milhares 3 15 4 8 5" xfId="18551"/>
    <cellStyle name="Separador de milhares 3 15 4 8 5 2" xfId="43618"/>
    <cellStyle name="Separador de milhares 3 15 4 8 6" xfId="12220"/>
    <cellStyle name="Separador de milhares 3 15 4 8 6 2" xfId="37707"/>
    <cellStyle name="Separador de milhares 3 15 4 8 7" xfId="30326"/>
    <cellStyle name="Separador de milhares 3 15 4 9" xfId="691"/>
    <cellStyle name="Separador de milhares 3 15 4 9 2" xfId="6626"/>
    <cellStyle name="Separador de milhares 3 15 4 9 2 2" xfId="9773"/>
    <cellStyle name="Separador de milhares 3 15 4 9 2 2 2" xfId="27987"/>
    <cellStyle name="Separador de milhares 3 15 4 9 2 2 2 2" xfId="53054"/>
    <cellStyle name="Separador de milhares 3 15 4 9 2 2 3" xfId="22073"/>
    <cellStyle name="Separador de milhares 3 15 4 9 2 2 3 2" xfId="47140"/>
    <cellStyle name="Separador de milhares 3 15 4 9 2 2 4" xfId="16159"/>
    <cellStyle name="Separador de milhares 3 15 4 9 2 2 4 2" xfId="41226"/>
    <cellStyle name="Separador de milhares 3 15 4 9 2 2 5" xfId="35318"/>
    <cellStyle name="Separador de milhares 3 15 4 9 2 3" xfId="25030"/>
    <cellStyle name="Separador de milhares 3 15 4 9 2 3 2" xfId="50097"/>
    <cellStyle name="Separador de milhares 3 15 4 9 2 4" xfId="19116"/>
    <cellStyle name="Separador de milhares 3 15 4 9 2 4 2" xfId="44183"/>
    <cellStyle name="Separador de milhares 3 15 4 9 2 5" xfId="13015"/>
    <cellStyle name="Separador de milhares 3 15 4 9 2 5 2" xfId="38272"/>
    <cellStyle name="Separador de milhares 3 15 4 9 2 6" xfId="32361"/>
    <cellStyle name="Separador de milhares 3 15 4 9 3" xfId="8305"/>
    <cellStyle name="Separador de milhares 3 15 4 9 3 2" xfId="26519"/>
    <cellStyle name="Separador de milhares 3 15 4 9 3 2 2" xfId="51586"/>
    <cellStyle name="Separador de milhares 3 15 4 9 3 3" xfId="20605"/>
    <cellStyle name="Separador de milhares 3 15 4 9 3 3 2" xfId="45672"/>
    <cellStyle name="Separador de milhares 3 15 4 9 3 4" xfId="14691"/>
    <cellStyle name="Separador de milhares 3 15 4 9 3 4 2" xfId="39758"/>
    <cellStyle name="Separador de milhares 3 15 4 9 3 5" xfId="33850"/>
    <cellStyle name="Separador de milhares 3 15 4 9 4" xfId="4927"/>
    <cellStyle name="Separador de milhares 3 15 4 9 4 2" xfId="23562"/>
    <cellStyle name="Separador de milhares 3 15 4 9 4 2 2" xfId="48629"/>
    <cellStyle name="Separador de milhares 3 15 4 9 4 3" xfId="30893"/>
    <cellStyle name="Separador de milhares 3 15 4 9 5" xfId="17648"/>
    <cellStyle name="Separador de milhares 3 15 4 9 5 2" xfId="42715"/>
    <cellStyle name="Separador de milhares 3 15 4 9 6" xfId="11314"/>
    <cellStyle name="Separador de milhares 3 15 4 9 6 2" xfId="36804"/>
    <cellStyle name="Separador de milhares 3 15 4 9 7" xfId="29423"/>
    <cellStyle name="Separador de milhares 3 15 5" xfId="653"/>
    <cellStyle name="Separador de milhares 3 15 5 10" xfId="4891"/>
    <cellStyle name="Separador de milhares 3 15 5 10 2" xfId="23525"/>
    <cellStyle name="Separador de milhares 3 15 5 10 2 2" xfId="48592"/>
    <cellStyle name="Separador de milhares 3 15 5 10 3" xfId="30857"/>
    <cellStyle name="Separador de milhares 3 15 5 11" xfId="17611"/>
    <cellStyle name="Separador de milhares 3 15 5 11 2" xfId="42678"/>
    <cellStyle name="Separador de milhares 3 15 5 12" xfId="11280"/>
    <cellStyle name="Separador de milhares 3 15 5 12 2" xfId="36770"/>
    <cellStyle name="Separador de milhares 3 15 5 13" xfId="29386"/>
    <cellStyle name="Separador de milhares 3 15 5 2" xfId="1476"/>
    <cellStyle name="Separador de milhares 3 15 5 2 2" xfId="6843"/>
    <cellStyle name="Separador de milhares 3 15 5 2 2 2" xfId="9990"/>
    <cellStyle name="Separador de milhares 3 15 5 2 2 2 2" xfId="28204"/>
    <cellStyle name="Separador de milhares 3 15 5 2 2 2 2 2" xfId="53271"/>
    <cellStyle name="Separador de milhares 3 15 5 2 2 2 3" xfId="22290"/>
    <cellStyle name="Separador de milhares 3 15 5 2 2 2 3 2" xfId="47357"/>
    <cellStyle name="Separador de milhares 3 15 5 2 2 2 4" xfId="16376"/>
    <cellStyle name="Separador de milhares 3 15 5 2 2 2 4 2" xfId="41443"/>
    <cellStyle name="Separador de milhares 3 15 5 2 2 2 5" xfId="35535"/>
    <cellStyle name="Separador de milhares 3 15 5 2 2 3" xfId="25247"/>
    <cellStyle name="Separador de milhares 3 15 5 2 2 3 2" xfId="50314"/>
    <cellStyle name="Separador de milhares 3 15 5 2 2 4" xfId="19333"/>
    <cellStyle name="Separador de milhares 3 15 5 2 2 4 2" xfId="44400"/>
    <cellStyle name="Separador de milhares 3 15 5 2 2 5" xfId="13232"/>
    <cellStyle name="Separador de milhares 3 15 5 2 2 5 2" xfId="38489"/>
    <cellStyle name="Separador de milhares 3 15 5 2 2 6" xfId="32578"/>
    <cellStyle name="Separador de milhares 3 15 5 2 3" xfId="8522"/>
    <cellStyle name="Separador de milhares 3 15 5 2 3 2" xfId="26736"/>
    <cellStyle name="Separador de milhares 3 15 5 2 3 2 2" xfId="51803"/>
    <cellStyle name="Separador de milhares 3 15 5 2 3 3" xfId="20822"/>
    <cellStyle name="Separador de milhares 3 15 5 2 3 3 2" xfId="45889"/>
    <cellStyle name="Separador de milhares 3 15 5 2 3 4" xfId="14908"/>
    <cellStyle name="Separador de milhares 3 15 5 2 3 4 2" xfId="39975"/>
    <cellStyle name="Separador de milhares 3 15 5 2 3 5" xfId="34067"/>
    <cellStyle name="Separador de milhares 3 15 5 2 4" xfId="5144"/>
    <cellStyle name="Separador de milhares 3 15 5 2 4 2" xfId="23779"/>
    <cellStyle name="Separador de milhares 3 15 5 2 4 2 2" xfId="48846"/>
    <cellStyle name="Separador de milhares 3 15 5 2 4 3" xfId="31110"/>
    <cellStyle name="Separador de milhares 3 15 5 2 5" xfId="17865"/>
    <cellStyle name="Separador de milhares 3 15 5 2 5 2" xfId="42932"/>
    <cellStyle name="Separador de milhares 3 15 5 2 6" xfId="11531"/>
    <cellStyle name="Separador de milhares 3 15 5 2 6 2" xfId="37021"/>
    <cellStyle name="Separador de milhares 3 15 5 2 7" xfId="29640"/>
    <cellStyle name="Separador de milhares 3 15 5 3" xfId="1911"/>
    <cellStyle name="Separador de milhares 3 15 5 3 2" xfId="6962"/>
    <cellStyle name="Separador de milhares 3 15 5 3 2 2" xfId="10109"/>
    <cellStyle name="Separador de milhares 3 15 5 3 2 2 2" xfId="28323"/>
    <cellStyle name="Separador de milhares 3 15 5 3 2 2 2 2" xfId="53390"/>
    <cellStyle name="Separador de milhares 3 15 5 3 2 2 3" xfId="22409"/>
    <cellStyle name="Separador de milhares 3 15 5 3 2 2 3 2" xfId="47476"/>
    <cellStyle name="Separador de milhares 3 15 5 3 2 2 4" xfId="16495"/>
    <cellStyle name="Separador de milhares 3 15 5 3 2 2 4 2" xfId="41562"/>
    <cellStyle name="Separador de milhares 3 15 5 3 2 2 5" xfId="35654"/>
    <cellStyle name="Separador de milhares 3 15 5 3 2 3" xfId="25366"/>
    <cellStyle name="Separador de milhares 3 15 5 3 2 3 2" xfId="50433"/>
    <cellStyle name="Separador de milhares 3 15 5 3 2 4" xfId="19452"/>
    <cellStyle name="Separador de milhares 3 15 5 3 2 4 2" xfId="44519"/>
    <cellStyle name="Separador de milhares 3 15 5 3 2 5" xfId="13351"/>
    <cellStyle name="Separador de milhares 3 15 5 3 2 5 2" xfId="38608"/>
    <cellStyle name="Separador de milhares 3 15 5 3 2 6" xfId="32697"/>
    <cellStyle name="Separador de milhares 3 15 5 3 3" xfId="8641"/>
    <cellStyle name="Separador de milhares 3 15 5 3 3 2" xfId="26855"/>
    <cellStyle name="Separador de milhares 3 15 5 3 3 2 2" xfId="51922"/>
    <cellStyle name="Separador de milhares 3 15 5 3 3 3" xfId="20941"/>
    <cellStyle name="Separador de milhares 3 15 5 3 3 3 2" xfId="46008"/>
    <cellStyle name="Separador de milhares 3 15 5 3 3 4" xfId="15027"/>
    <cellStyle name="Separador de milhares 3 15 5 3 3 4 2" xfId="40094"/>
    <cellStyle name="Separador de milhares 3 15 5 3 3 5" xfId="34186"/>
    <cellStyle name="Separador de milhares 3 15 5 3 4" xfId="5263"/>
    <cellStyle name="Separador de milhares 3 15 5 3 4 2" xfId="23898"/>
    <cellStyle name="Separador de milhares 3 15 5 3 4 2 2" xfId="48965"/>
    <cellStyle name="Separador de milhares 3 15 5 3 4 3" xfId="31229"/>
    <cellStyle name="Separador de milhares 3 15 5 3 5" xfId="17984"/>
    <cellStyle name="Separador de milhares 3 15 5 3 5 2" xfId="43051"/>
    <cellStyle name="Separador de milhares 3 15 5 3 6" xfId="11650"/>
    <cellStyle name="Separador de milhares 3 15 5 3 6 2" xfId="37140"/>
    <cellStyle name="Separador de milhares 3 15 5 3 7" xfId="29759"/>
    <cellStyle name="Separador de milhares 3 15 5 4" xfId="2441"/>
    <cellStyle name="Separador de milhares 3 15 5 4 2" xfId="7112"/>
    <cellStyle name="Separador de milhares 3 15 5 4 2 2" xfId="10256"/>
    <cellStyle name="Separador de milhares 3 15 5 4 2 2 2" xfId="28470"/>
    <cellStyle name="Separador de milhares 3 15 5 4 2 2 2 2" xfId="53537"/>
    <cellStyle name="Separador de milhares 3 15 5 4 2 2 3" xfId="22556"/>
    <cellStyle name="Separador de milhares 3 15 5 4 2 2 3 2" xfId="47623"/>
    <cellStyle name="Separador de milhares 3 15 5 4 2 2 4" xfId="16642"/>
    <cellStyle name="Separador de milhares 3 15 5 4 2 2 4 2" xfId="41709"/>
    <cellStyle name="Separador de milhares 3 15 5 4 2 2 5" xfId="35801"/>
    <cellStyle name="Separador de milhares 3 15 5 4 2 3" xfId="25513"/>
    <cellStyle name="Separador de milhares 3 15 5 4 2 3 2" xfId="50580"/>
    <cellStyle name="Separador de milhares 3 15 5 4 2 4" xfId="19599"/>
    <cellStyle name="Separador de milhares 3 15 5 4 2 4 2" xfId="44666"/>
    <cellStyle name="Separador de milhares 3 15 5 4 2 5" xfId="13501"/>
    <cellStyle name="Separador de milhares 3 15 5 4 2 5 2" xfId="38755"/>
    <cellStyle name="Separador de milhares 3 15 5 4 2 6" xfId="32844"/>
    <cellStyle name="Separador de milhares 3 15 5 4 3" xfId="8788"/>
    <cellStyle name="Separador de milhares 3 15 5 4 3 2" xfId="27002"/>
    <cellStyle name="Separador de milhares 3 15 5 4 3 2 2" xfId="52069"/>
    <cellStyle name="Separador de milhares 3 15 5 4 3 3" xfId="21088"/>
    <cellStyle name="Separador de milhares 3 15 5 4 3 3 2" xfId="46155"/>
    <cellStyle name="Separador de milhares 3 15 5 4 3 4" xfId="15174"/>
    <cellStyle name="Separador de milhares 3 15 5 4 3 4 2" xfId="40241"/>
    <cellStyle name="Separador de milhares 3 15 5 4 3 5" xfId="34333"/>
    <cellStyle name="Separador de milhares 3 15 5 4 4" xfId="5413"/>
    <cellStyle name="Separador de milhares 3 15 5 4 4 2" xfId="24045"/>
    <cellStyle name="Separador de milhares 3 15 5 4 4 2 2" xfId="49112"/>
    <cellStyle name="Separador de milhares 3 15 5 4 4 3" xfId="31376"/>
    <cellStyle name="Separador de milhares 3 15 5 4 5" xfId="18131"/>
    <cellStyle name="Separador de milhares 3 15 5 4 5 2" xfId="43198"/>
    <cellStyle name="Separador de milhares 3 15 5 4 6" xfId="11800"/>
    <cellStyle name="Separador de milhares 3 15 5 4 6 2" xfId="37287"/>
    <cellStyle name="Separador de milhares 3 15 5 4 7" xfId="29906"/>
    <cellStyle name="Separador de milhares 3 15 5 5" xfId="2968"/>
    <cellStyle name="Separador de milhares 3 15 5 5 2" xfId="7259"/>
    <cellStyle name="Separador de milhares 3 15 5 5 2 2" xfId="10403"/>
    <cellStyle name="Separador de milhares 3 15 5 5 2 2 2" xfId="28617"/>
    <cellStyle name="Separador de milhares 3 15 5 5 2 2 2 2" xfId="53684"/>
    <cellStyle name="Separador de milhares 3 15 5 5 2 2 3" xfId="22703"/>
    <cellStyle name="Separador de milhares 3 15 5 5 2 2 3 2" xfId="47770"/>
    <cellStyle name="Separador de milhares 3 15 5 5 2 2 4" xfId="16789"/>
    <cellStyle name="Separador de milhares 3 15 5 5 2 2 4 2" xfId="41856"/>
    <cellStyle name="Separador de milhares 3 15 5 5 2 2 5" xfId="35948"/>
    <cellStyle name="Separador de milhares 3 15 5 5 2 3" xfId="25660"/>
    <cellStyle name="Separador de milhares 3 15 5 5 2 3 2" xfId="50727"/>
    <cellStyle name="Separador de milhares 3 15 5 5 2 4" xfId="19746"/>
    <cellStyle name="Separador de milhares 3 15 5 5 2 4 2" xfId="44813"/>
    <cellStyle name="Separador de milhares 3 15 5 5 2 5" xfId="13648"/>
    <cellStyle name="Separador de milhares 3 15 5 5 2 5 2" xfId="38902"/>
    <cellStyle name="Separador de milhares 3 15 5 5 2 6" xfId="32991"/>
    <cellStyle name="Separador de milhares 3 15 5 5 3" xfId="8935"/>
    <cellStyle name="Separador de milhares 3 15 5 5 3 2" xfId="27149"/>
    <cellStyle name="Separador de milhares 3 15 5 5 3 2 2" xfId="52216"/>
    <cellStyle name="Separador de milhares 3 15 5 5 3 3" xfId="21235"/>
    <cellStyle name="Separador de milhares 3 15 5 5 3 3 2" xfId="46302"/>
    <cellStyle name="Separador de milhares 3 15 5 5 3 4" xfId="15321"/>
    <cellStyle name="Separador de milhares 3 15 5 5 3 4 2" xfId="40388"/>
    <cellStyle name="Separador de milhares 3 15 5 5 3 5" xfId="34480"/>
    <cellStyle name="Separador de milhares 3 15 5 5 4" xfId="5560"/>
    <cellStyle name="Separador de milhares 3 15 5 5 4 2" xfId="24192"/>
    <cellStyle name="Separador de milhares 3 15 5 5 4 2 2" xfId="49259"/>
    <cellStyle name="Separador de milhares 3 15 5 5 4 3" xfId="31523"/>
    <cellStyle name="Separador de milhares 3 15 5 5 5" xfId="18278"/>
    <cellStyle name="Separador de milhares 3 15 5 5 5 2" xfId="43345"/>
    <cellStyle name="Separador de milhares 3 15 5 5 6" xfId="11947"/>
    <cellStyle name="Separador de milhares 3 15 5 5 6 2" xfId="37434"/>
    <cellStyle name="Separador de milhares 3 15 5 5 7" xfId="30053"/>
    <cellStyle name="Separador de milhares 3 15 5 6" xfId="3495"/>
    <cellStyle name="Separador de milhares 3 15 5 6 2" xfId="7406"/>
    <cellStyle name="Separador de milhares 3 15 5 6 2 2" xfId="10550"/>
    <cellStyle name="Separador de milhares 3 15 5 6 2 2 2" xfId="28764"/>
    <cellStyle name="Separador de milhares 3 15 5 6 2 2 2 2" xfId="53831"/>
    <cellStyle name="Separador de milhares 3 15 5 6 2 2 3" xfId="22850"/>
    <cellStyle name="Separador de milhares 3 15 5 6 2 2 3 2" xfId="47917"/>
    <cellStyle name="Separador de milhares 3 15 5 6 2 2 4" xfId="16936"/>
    <cellStyle name="Separador de milhares 3 15 5 6 2 2 4 2" xfId="42003"/>
    <cellStyle name="Separador de milhares 3 15 5 6 2 2 5" xfId="36095"/>
    <cellStyle name="Separador de milhares 3 15 5 6 2 3" xfId="25807"/>
    <cellStyle name="Separador de milhares 3 15 5 6 2 3 2" xfId="50874"/>
    <cellStyle name="Separador de milhares 3 15 5 6 2 4" xfId="19893"/>
    <cellStyle name="Separador de milhares 3 15 5 6 2 4 2" xfId="44960"/>
    <cellStyle name="Separador de milhares 3 15 5 6 2 5" xfId="13795"/>
    <cellStyle name="Separador de milhares 3 15 5 6 2 5 2" xfId="39049"/>
    <cellStyle name="Separador de milhares 3 15 5 6 2 6" xfId="33138"/>
    <cellStyle name="Separador de milhares 3 15 5 6 3" xfId="9082"/>
    <cellStyle name="Separador de milhares 3 15 5 6 3 2" xfId="27296"/>
    <cellStyle name="Separador de milhares 3 15 5 6 3 2 2" xfId="52363"/>
    <cellStyle name="Separador de milhares 3 15 5 6 3 3" xfId="21382"/>
    <cellStyle name="Separador de milhares 3 15 5 6 3 3 2" xfId="46449"/>
    <cellStyle name="Separador de milhares 3 15 5 6 3 4" xfId="15468"/>
    <cellStyle name="Separador de milhares 3 15 5 6 3 4 2" xfId="40535"/>
    <cellStyle name="Separador de milhares 3 15 5 6 3 5" xfId="34627"/>
    <cellStyle name="Separador de milhares 3 15 5 6 4" xfId="5707"/>
    <cellStyle name="Separador de milhares 3 15 5 6 4 2" xfId="24339"/>
    <cellStyle name="Separador de milhares 3 15 5 6 4 2 2" xfId="49406"/>
    <cellStyle name="Separador de milhares 3 15 5 6 4 3" xfId="31670"/>
    <cellStyle name="Separador de milhares 3 15 5 6 5" xfId="18425"/>
    <cellStyle name="Separador de milhares 3 15 5 6 5 2" xfId="43492"/>
    <cellStyle name="Separador de milhares 3 15 5 6 6" xfId="12094"/>
    <cellStyle name="Separador de milhares 3 15 5 6 6 2" xfId="37581"/>
    <cellStyle name="Separador de milhares 3 15 5 6 7" xfId="30200"/>
    <cellStyle name="Separador de milhares 3 15 5 7" xfId="4022"/>
    <cellStyle name="Separador de milhares 3 15 5 7 2" xfId="7553"/>
    <cellStyle name="Separador de milhares 3 15 5 7 2 2" xfId="10697"/>
    <cellStyle name="Separador de milhares 3 15 5 7 2 2 2" xfId="28911"/>
    <cellStyle name="Separador de milhares 3 15 5 7 2 2 2 2" xfId="53978"/>
    <cellStyle name="Separador de milhares 3 15 5 7 2 2 3" xfId="22997"/>
    <cellStyle name="Separador de milhares 3 15 5 7 2 2 3 2" xfId="48064"/>
    <cellStyle name="Separador de milhares 3 15 5 7 2 2 4" xfId="17083"/>
    <cellStyle name="Separador de milhares 3 15 5 7 2 2 4 2" xfId="42150"/>
    <cellStyle name="Separador de milhares 3 15 5 7 2 2 5" xfId="36242"/>
    <cellStyle name="Separador de milhares 3 15 5 7 2 3" xfId="25954"/>
    <cellStyle name="Separador de milhares 3 15 5 7 2 3 2" xfId="51021"/>
    <cellStyle name="Separador de milhares 3 15 5 7 2 4" xfId="20040"/>
    <cellStyle name="Separador de milhares 3 15 5 7 2 4 2" xfId="45107"/>
    <cellStyle name="Separador de milhares 3 15 5 7 2 5" xfId="13942"/>
    <cellStyle name="Separador de milhares 3 15 5 7 2 5 2" xfId="39196"/>
    <cellStyle name="Separador de milhares 3 15 5 7 2 6" xfId="33285"/>
    <cellStyle name="Separador de milhares 3 15 5 7 3" xfId="9229"/>
    <cellStyle name="Separador de milhares 3 15 5 7 3 2" xfId="27443"/>
    <cellStyle name="Separador de milhares 3 15 5 7 3 2 2" xfId="52510"/>
    <cellStyle name="Separador de milhares 3 15 5 7 3 3" xfId="21529"/>
    <cellStyle name="Separador de milhares 3 15 5 7 3 3 2" xfId="46596"/>
    <cellStyle name="Separador de milhares 3 15 5 7 3 4" xfId="15615"/>
    <cellStyle name="Separador de milhares 3 15 5 7 3 4 2" xfId="40682"/>
    <cellStyle name="Separador de milhares 3 15 5 7 3 5" xfId="34774"/>
    <cellStyle name="Separador de milhares 3 15 5 7 4" xfId="5854"/>
    <cellStyle name="Separador de milhares 3 15 5 7 4 2" xfId="24486"/>
    <cellStyle name="Separador de milhares 3 15 5 7 4 2 2" xfId="49553"/>
    <cellStyle name="Separador de milhares 3 15 5 7 4 3" xfId="31817"/>
    <cellStyle name="Separador de milhares 3 15 5 7 5" xfId="18572"/>
    <cellStyle name="Separador de milhares 3 15 5 7 5 2" xfId="43639"/>
    <cellStyle name="Separador de milhares 3 15 5 7 6" xfId="12241"/>
    <cellStyle name="Separador de milhares 3 15 5 7 6 2" xfId="37728"/>
    <cellStyle name="Separador de milhares 3 15 5 7 7" xfId="30347"/>
    <cellStyle name="Separador de milhares 3 15 5 8" xfId="6592"/>
    <cellStyle name="Separador de milhares 3 15 5 8 2" xfId="9739"/>
    <cellStyle name="Separador de milhares 3 15 5 8 2 2" xfId="27953"/>
    <cellStyle name="Separador de milhares 3 15 5 8 2 2 2" xfId="53020"/>
    <cellStyle name="Separador de milhares 3 15 5 8 2 3" xfId="22039"/>
    <cellStyle name="Separador de milhares 3 15 5 8 2 3 2" xfId="47106"/>
    <cellStyle name="Separador de milhares 3 15 5 8 2 4" xfId="16125"/>
    <cellStyle name="Separador de milhares 3 15 5 8 2 4 2" xfId="41192"/>
    <cellStyle name="Separador de milhares 3 15 5 8 2 5" xfId="35284"/>
    <cellStyle name="Separador de milhares 3 15 5 8 3" xfId="24996"/>
    <cellStyle name="Separador de milhares 3 15 5 8 3 2" xfId="50063"/>
    <cellStyle name="Separador de milhares 3 15 5 8 4" xfId="19082"/>
    <cellStyle name="Separador de milhares 3 15 5 8 4 2" xfId="44149"/>
    <cellStyle name="Separador de milhares 3 15 5 8 5" xfId="12981"/>
    <cellStyle name="Separador de milhares 3 15 5 8 5 2" xfId="38238"/>
    <cellStyle name="Separador de milhares 3 15 5 8 6" xfId="32327"/>
    <cellStyle name="Separador de milhares 3 15 5 9" xfId="8268"/>
    <cellStyle name="Separador de milhares 3 15 5 9 2" xfId="26482"/>
    <cellStyle name="Separador de milhares 3 15 5 9 2 2" xfId="51549"/>
    <cellStyle name="Separador de milhares 3 15 5 9 3" xfId="20568"/>
    <cellStyle name="Separador de milhares 3 15 5 9 3 2" xfId="45635"/>
    <cellStyle name="Separador de milhares 3 15 5 9 4" xfId="14657"/>
    <cellStyle name="Separador de milhares 3 15 5 9 4 2" xfId="39724"/>
    <cellStyle name="Separador de milhares 3 15 5 9 5" xfId="33813"/>
    <cellStyle name="Separador de milhares 3 15 6" xfId="774"/>
    <cellStyle name="Separador de milhares 3 15 6 2" xfId="4198"/>
    <cellStyle name="Separador de milhares 3 15 6 2 2" xfId="7602"/>
    <cellStyle name="Separador de milhares 3 15 6 2 2 2" xfId="10746"/>
    <cellStyle name="Separador de milhares 3 15 6 2 2 2 2" xfId="28960"/>
    <cellStyle name="Separador de milhares 3 15 6 2 2 2 2 2" xfId="54027"/>
    <cellStyle name="Separador de milhares 3 15 6 2 2 2 3" xfId="23046"/>
    <cellStyle name="Separador de milhares 3 15 6 2 2 2 3 2" xfId="48113"/>
    <cellStyle name="Separador de milhares 3 15 6 2 2 2 4" xfId="17132"/>
    <cellStyle name="Separador de milhares 3 15 6 2 2 2 4 2" xfId="42199"/>
    <cellStyle name="Separador de milhares 3 15 6 2 2 2 5" xfId="36291"/>
    <cellStyle name="Separador de milhares 3 15 6 2 2 3" xfId="26003"/>
    <cellStyle name="Separador de milhares 3 15 6 2 2 3 2" xfId="51070"/>
    <cellStyle name="Separador de milhares 3 15 6 2 2 4" xfId="20089"/>
    <cellStyle name="Separador de milhares 3 15 6 2 2 4 2" xfId="45156"/>
    <cellStyle name="Separador de milhares 3 15 6 2 2 5" xfId="13991"/>
    <cellStyle name="Separador de milhares 3 15 6 2 2 5 2" xfId="39245"/>
    <cellStyle name="Separador de milhares 3 15 6 2 2 6" xfId="33334"/>
    <cellStyle name="Separador de milhares 3 15 6 2 3" xfId="9278"/>
    <cellStyle name="Separador de milhares 3 15 6 2 3 2" xfId="27492"/>
    <cellStyle name="Separador de milhares 3 15 6 2 3 2 2" xfId="52559"/>
    <cellStyle name="Separador de milhares 3 15 6 2 3 3" xfId="21578"/>
    <cellStyle name="Separador de milhares 3 15 6 2 3 3 2" xfId="46645"/>
    <cellStyle name="Separador de milhares 3 15 6 2 3 4" xfId="15664"/>
    <cellStyle name="Separador de milhares 3 15 6 2 3 4 2" xfId="40731"/>
    <cellStyle name="Separador de milhares 3 15 6 2 3 5" xfId="34823"/>
    <cellStyle name="Separador de milhares 3 15 6 2 4" xfId="5903"/>
    <cellStyle name="Separador de milhares 3 15 6 2 4 2" xfId="24535"/>
    <cellStyle name="Separador de milhares 3 15 6 2 4 2 2" xfId="49602"/>
    <cellStyle name="Separador de milhares 3 15 6 2 4 3" xfId="31866"/>
    <cellStyle name="Separador de milhares 3 15 6 2 5" xfId="18621"/>
    <cellStyle name="Separador de milhares 3 15 6 2 5 2" xfId="43688"/>
    <cellStyle name="Separador de milhares 3 15 6 2 6" xfId="12290"/>
    <cellStyle name="Separador de milhares 3 15 6 2 6 2" xfId="37777"/>
    <cellStyle name="Separador de milhares 3 15 6 2 7" xfId="30396"/>
    <cellStyle name="Separador de milhares 3 15 6 3" xfId="6647"/>
    <cellStyle name="Separador de milhares 3 15 6 3 2" xfId="9794"/>
    <cellStyle name="Separador de milhares 3 15 6 3 2 2" xfId="28008"/>
    <cellStyle name="Separador de milhares 3 15 6 3 2 2 2" xfId="53075"/>
    <cellStyle name="Separador de milhares 3 15 6 3 2 3" xfId="22094"/>
    <cellStyle name="Separador de milhares 3 15 6 3 2 3 2" xfId="47161"/>
    <cellStyle name="Separador de milhares 3 15 6 3 2 4" xfId="16180"/>
    <cellStyle name="Separador de milhares 3 15 6 3 2 4 2" xfId="41247"/>
    <cellStyle name="Separador de milhares 3 15 6 3 2 5" xfId="35339"/>
    <cellStyle name="Separador de milhares 3 15 6 3 3" xfId="25051"/>
    <cellStyle name="Separador de milhares 3 15 6 3 3 2" xfId="50118"/>
    <cellStyle name="Separador de milhares 3 15 6 3 4" xfId="19137"/>
    <cellStyle name="Separador de milhares 3 15 6 3 4 2" xfId="44204"/>
    <cellStyle name="Separador de milhares 3 15 6 3 5" xfId="13036"/>
    <cellStyle name="Separador de milhares 3 15 6 3 5 2" xfId="38293"/>
    <cellStyle name="Separador de milhares 3 15 6 3 6" xfId="32382"/>
    <cellStyle name="Separador de milhares 3 15 6 4" xfId="8326"/>
    <cellStyle name="Separador de milhares 3 15 6 4 2" xfId="26540"/>
    <cellStyle name="Separador de milhares 3 15 6 4 2 2" xfId="51607"/>
    <cellStyle name="Separador de milhares 3 15 6 4 3" xfId="20626"/>
    <cellStyle name="Separador de milhares 3 15 6 4 3 2" xfId="45693"/>
    <cellStyle name="Separador de milhares 3 15 6 4 4" xfId="14712"/>
    <cellStyle name="Separador de milhares 3 15 6 4 4 2" xfId="39779"/>
    <cellStyle name="Separador de milhares 3 15 6 4 5" xfId="33871"/>
    <cellStyle name="Separador de milhares 3 15 6 5" xfId="4948"/>
    <cellStyle name="Separador de milhares 3 15 6 5 2" xfId="23583"/>
    <cellStyle name="Separador de milhares 3 15 6 5 2 2" xfId="48650"/>
    <cellStyle name="Separador de milhares 3 15 6 5 3" xfId="30914"/>
    <cellStyle name="Separador de milhares 3 15 6 6" xfId="17669"/>
    <cellStyle name="Separador de milhares 3 15 6 6 2" xfId="42736"/>
    <cellStyle name="Separador de milhares 3 15 6 7" xfId="11335"/>
    <cellStyle name="Separador de milhares 3 15 6 7 2" xfId="36825"/>
    <cellStyle name="Separador de milhares 3 15 6 8" xfId="29444"/>
    <cellStyle name="Separador de milhares 3 15 7" xfId="1125"/>
    <cellStyle name="Separador de milhares 3 15 7 2" xfId="6745"/>
    <cellStyle name="Separador de milhares 3 15 7 2 2" xfId="9892"/>
    <cellStyle name="Separador de milhares 3 15 7 2 2 2" xfId="28106"/>
    <cellStyle name="Separador de milhares 3 15 7 2 2 2 2" xfId="53173"/>
    <cellStyle name="Separador de milhares 3 15 7 2 2 3" xfId="22192"/>
    <cellStyle name="Separador de milhares 3 15 7 2 2 3 2" xfId="47259"/>
    <cellStyle name="Separador de milhares 3 15 7 2 2 4" xfId="16278"/>
    <cellStyle name="Separador de milhares 3 15 7 2 2 4 2" xfId="41345"/>
    <cellStyle name="Separador de milhares 3 15 7 2 2 5" xfId="35437"/>
    <cellStyle name="Separador de milhares 3 15 7 2 3" xfId="25149"/>
    <cellStyle name="Separador de milhares 3 15 7 2 3 2" xfId="50216"/>
    <cellStyle name="Separador de milhares 3 15 7 2 4" xfId="19235"/>
    <cellStyle name="Separador de milhares 3 15 7 2 4 2" xfId="44302"/>
    <cellStyle name="Separador de milhares 3 15 7 2 5" xfId="13134"/>
    <cellStyle name="Separador de milhares 3 15 7 2 5 2" xfId="38391"/>
    <cellStyle name="Separador de milhares 3 15 7 2 6" xfId="32480"/>
    <cellStyle name="Separador de milhares 3 15 7 3" xfId="8424"/>
    <cellStyle name="Separador de milhares 3 15 7 3 2" xfId="26638"/>
    <cellStyle name="Separador de milhares 3 15 7 3 2 2" xfId="51705"/>
    <cellStyle name="Separador de milhares 3 15 7 3 3" xfId="20724"/>
    <cellStyle name="Separador de milhares 3 15 7 3 3 2" xfId="45791"/>
    <cellStyle name="Separador de milhares 3 15 7 3 4" xfId="14810"/>
    <cellStyle name="Separador de milhares 3 15 7 3 4 2" xfId="39877"/>
    <cellStyle name="Separador de milhares 3 15 7 3 5" xfId="33969"/>
    <cellStyle name="Separador de milhares 3 15 7 4" xfId="5046"/>
    <cellStyle name="Separador de milhares 3 15 7 4 2" xfId="23681"/>
    <cellStyle name="Separador de milhares 3 15 7 4 2 2" xfId="48748"/>
    <cellStyle name="Separador de milhares 3 15 7 4 3" xfId="31012"/>
    <cellStyle name="Separador de milhares 3 15 7 5" xfId="17767"/>
    <cellStyle name="Separador de milhares 3 15 7 5 2" xfId="42834"/>
    <cellStyle name="Separador de milhares 3 15 7 6" xfId="11433"/>
    <cellStyle name="Separador de milhares 3 15 7 6 2" xfId="36923"/>
    <cellStyle name="Separador de milhares 3 15 7 7" xfId="29542"/>
    <cellStyle name="Separador de milhares 3 15 8" xfId="1560"/>
    <cellStyle name="Separador de milhares 3 15 8 2" xfId="6864"/>
    <cellStyle name="Separador de milhares 3 15 8 2 2" xfId="10011"/>
    <cellStyle name="Separador de milhares 3 15 8 2 2 2" xfId="28225"/>
    <cellStyle name="Separador de milhares 3 15 8 2 2 2 2" xfId="53292"/>
    <cellStyle name="Separador de milhares 3 15 8 2 2 3" xfId="22311"/>
    <cellStyle name="Separador de milhares 3 15 8 2 2 3 2" xfId="47378"/>
    <cellStyle name="Separador de milhares 3 15 8 2 2 4" xfId="16397"/>
    <cellStyle name="Separador de milhares 3 15 8 2 2 4 2" xfId="41464"/>
    <cellStyle name="Separador de milhares 3 15 8 2 2 5" xfId="35556"/>
    <cellStyle name="Separador de milhares 3 15 8 2 3" xfId="25268"/>
    <cellStyle name="Separador de milhares 3 15 8 2 3 2" xfId="50335"/>
    <cellStyle name="Separador de milhares 3 15 8 2 4" xfId="19354"/>
    <cellStyle name="Separador de milhares 3 15 8 2 4 2" xfId="44421"/>
    <cellStyle name="Separador de milhares 3 15 8 2 5" xfId="13253"/>
    <cellStyle name="Separador de milhares 3 15 8 2 5 2" xfId="38510"/>
    <cellStyle name="Separador de milhares 3 15 8 2 6" xfId="32599"/>
    <cellStyle name="Separador de milhares 3 15 8 3" xfId="8543"/>
    <cellStyle name="Separador de milhares 3 15 8 3 2" xfId="26757"/>
    <cellStyle name="Separador de milhares 3 15 8 3 2 2" xfId="51824"/>
    <cellStyle name="Separador de milhares 3 15 8 3 3" xfId="20843"/>
    <cellStyle name="Separador de milhares 3 15 8 3 3 2" xfId="45910"/>
    <cellStyle name="Separador de milhares 3 15 8 3 4" xfId="14929"/>
    <cellStyle name="Separador de milhares 3 15 8 3 4 2" xfId="39996"/>
    <cellStyle name="Separador de milhares 3 15 8 3 5" xfId="34088"/>
    <cellStyle name="Separador de milhares 3 15 8 4" xfId="5165"/>
    <cellStyle name="Separador de milhares 3 15 8 4 2" xfId="23800"/>
    <cellStyle name="Separador de milhares 3 15 8 4 2 2" xfId="48867"/>
    <cellStyle name="Separador de milhares 3 15 8 4 3" xfId="31131"/>
    <cellStyle name="Separador de milhares 3 15 8 5" xfId="17886"/>
    <cellStyle name="Separador de milhares 3 15 8 5 2" xfId="42953"/>
    <cellStyle name="Separador de milhares 3 15 8 6" xfId="11552"/>
    <cellStyle name="Separador de milhares 3 15 8 6 2" xfId="37042"/>
    <cellStyle name="Separador de milhares 3 15 8 7" xfId="29661"/>
    <cellStyle name="Separador de milhares 3 15 9" xfId="2090"/>
    <cellStyle name="Separador de milhares 3 15 9 2" xfId="7014"/>
    <cellStyle name="Separador de milhares 3 15 9 2 2" xfId="10158"/>
    <cellStyle name="Separador de milhares 3 15 9 2 2 2" xfId="28372"/>
    <cellStyle name="Separador de milhares 3 15 9 2 2 2 2" xfId="53439"/>
    <cellStyle name="Separador de milhares 3 15 9 2 2 3" xfId="22458"/>
    <cellStyle name="Separador de milhares 3 15 9 2 2 3 2" xfId="47525"/>
    <cellStyle name="Separador de milhares 3 15 9 2 2 4" xfId="16544"/>
    <cellStyle name="Separador de milhares 3 15 9 2 2 4 2" xfId="41611"/>
    <cellStyle name="Separador de milhares 3 15 9 2 2 5" xfId="35703"/>
    <cellStyle name="Separador de milhares 3 15 9 2 3" xfId="25415"/>
    <cellStyle name="Separador de milhares 3 15 9 2 3 2" xfId="50482"/>
    <cellStyle name="Separador de milhares 3 15 9 2 4" xfId="19501"/>
    <cellStyle name="Separador de milhares 3 15 9 2 4 2" xfId="44568"/>
    <cellStyle name="Separador de milhares 3 15 9 2 5" xfId="13403"/>
    <cellStyle name="Separador de milhares 3 15 9 2 5 2" xfId="38657"/>
    <cellStyle name="Separador de milhares 3 15 9 2 6" xfId="32746"/>
    <cellStyle name="Separador de milhares 3 15 9 3" xfId="8690"/>
    <cellStyle name="Separador de milhares 3 15 9 3 2" xfId="26904"/>
    <cellStyle name="Separador de milhares 3 15 9 3 2 2" xfId="51971"/>
    <cellStyle name="Separador de milhares 3 15 9 3 3" xfId="20990"/>
    <cellStyle name="Separador de milhares 3 15 9 3 3 2" xfId="46057"/>
    <cellStyle name="Separador de milhares 3 15 9 3 4" xfId="15076"/>
    <cellStyle name="Separador de milhares 3 15 9 3 4 2" xfId="40143"/>
    <cellStyle name="Separador de milhares 3 15 9 3 5" xfId="34235"/>
    <cellStyle name="Separador de milhares 3 15 9 4" xfId="5315"/>
    <cellStyle name="Separador de milhares 3 15 9 4 2" xfId="23947"/>
    <cellStyle name="Separador de milhares 3 15 9 4 2 2" xfId="49014"/>
    <cellStyle name="Separador de milhares 3 15 9 4 3" xfId="31278"/>
    <cellStyle name="Separador de milhares 3 15 9 5" xfId="18033"/>
    <cellStyle name="Separador de milhares 3 15 9 5 2" xfId="43100"/>
    <cellStyle name="Separador de milhares 3 15 9 6" xfId="11702"/>
    <cellStyle name="Separador de milhares 3 15 9 6 2" xfId="37189"/>
    <cellStyle name="Separador de milhares 3 15 9 7" xfId="29808"/>
    <cellStyle name="Separador de milhares 3 16" xfId="128"/>
    <cellStyle name="Separador de milhares 3 16 10" xfId="6448"/>
    <cellStyle name="Separador de milhares 3 16 10 2" xfId="9602"/>
    <cellStyle name="Separador de milhares 3 16 10 2 2" xfId="27816"/>
    <cellStyle name="Separador de milhares 3 16 10 2 2 2" xfId="52883"/>
    <cellStyle name="Separador de milhares 3 16 10 2 3" xfId="21902"/>
    <cellStyle name="Separador de milhares 3 16 10 2 3 2" xfId="46969"/>
    <cellStyle name="Separador de milhares 3 16 10 2 4" xfId="15988"/>
    <cellStyle name="Separador de milhares 3 16 10 2 4 2" xfId="41055"/>
    <cellStyle name="Separador de milhares 3 16 10 2 5" xfId="35147"/>
    <cellStyle name="Separador de milhares 3 16 10 3" xfId="24859"/>
    <cellStyle name="Separador de milhares 3 16 10 3 2" xfId="49926"/>
    <cellStyle name="Separador de milhares 3 16 10 4" xfId="18945"/>
    <cellStyle name="Separador de milhares 3 16 10 4 2" xfId="44012"/>
    <cellStyle name="Separador de milhares 3 16 10 5" xfId="12837"/>
    <cellStyle name="Separador de milhares 3 16 10 5 2" xfId="38101"/>
    <cellStyle name="Separador de milhares 3 16 10 6" xfId="32190"/>
    <cellStyle name="Separador de milhares 3 16 11" xfId="8131"/>
    <cellStyle name="Separador de milhares 3 16 11 2" xfId="26345"/>
    <cellStyle name="Separador de milhares 3 16 11 2 2" xfId="51412"/>
    <cellStyle name="Separador de milhares 3 16 11 3" xfId="20431"/>
    <cellStyle name="Separador de milhares 3 16 11 3 2" xfId="45498"/>
    <cellStyle name="Separador de milhares 3 16 11 4" xfId="14520"/>
    <cellStyle name="Separador de milhares 3 16 11 4 2" xfId="39587"/>
    <cellStyle name="Separador de milhares 3 16 11 5" xfId="33676"/>
    <cellStyle name="Separador de milhares 3 16 12" xfId="4747"/>
    <cellStyle name="Separador de milhares 3 16 12 2" xfId="23388"/>
    <cellStyle name="Separador de milhares 3 16 12 2 2" xfId="48455"/>
    <cellStyle name="Separador de milhares 3 16 12 3" xfId="30720"/>
    <cellStyle name="Separador de milhares 3 16 13" xfId="17474"/>
    <cellStyle name="Separador de milhares 3 16 13 2" xfId="42541"/>
    <cellStyle name="Separador de milhares 3 16 14" xfId="11136"/>
    <cellStyle name="Separador de milhares 3 16 14 2" xfId="36633"/>
    <cellStyle name="Separador de milhares 3 16 15" xfId="29249"/>
    <cellStyle name="Separador de milhares 3 16 2" xfId="401"/>
    <cellStyle name="Separador de milhares 3 16 2 10" xfId="17548"/>
    <cellStyle name="Separador de milhares 3 16 2 10 2" xfId="42615"/>
    <cellStyle name="Separador de milhares 3 16 2 11" xfId="11217"/>
    <cellStyle name="Separador de milhares 3 16 2 11 2" xfId="36707"/>
    <cellStyle name="Separador de milhares 3 16 2 12" xfId="29323"/>
    <cellStyle name="Separador de milhares 3 16 2 2" xfId="1920"/>
    <cellStyle name="Separador de milhares 3 16 2 2 2" xfId="6967"/>
    <cellStyle name="Separador de milhares 3 16 2 2 2 2" xfId="10114"/>
    <cellStyle name="Separador de milhares 3 16 2 2 2 2 2" xfId="28328"/>
    <cellStyle name="Separador de milhares 3 16 2 2 2 2 2 2" xfId="53395"/>
    <cellStyle name="Separador de milhares 3 16 2 2 2 2 3" xfId="22414"/>
    <cellStyle name="Separador de milhares 3 16 2 2 2 2 3 2" xfId="47481"/>
    <cellStyle name="Separador de milhares 3 16 2 2 2 2 4" xfId="16500"/>
    <cellStyle name="Separador de milhares 3 16 2 2 2 2 4 2" xfId="41567"/>
    <cellStyle name="Separador de milhares 3 16 2 2 2 2 5" xfId="35659"/>
    <cellStyle name="Separador de milhares 3 16 2 2 2 3" xfId="25371"/>
    <cellStyle name="Separador de milhares 3 16 2 2 2 3 2" xfId="50438"/>
    <cellStyle name="Separador de milhares 3 16 2 2 2 4" xfId="19457"/>
    <cellStyle name="Separador de milhares 3 16 2 2 2 4 2" xfId="44524"/>
    <cellStyle name="Separador de milhares 3 16 2 2 2 5" xfId="13356"/>
    <cellStyle name="Separador de milhares 3 16 2 2 2 5 2" xfId="38613"/>
    <cellStyle name="Separador de milhares 3 16 2 2 2 6" xfId="32702"/>
    <cellStyle name="Separador de milhares 3 16 2 2 3" xfId="8646"/>
    <cellStyle name="Separador de milhares 3 16 2 2 3 2" xfId="26860"/>
    <cellStyle name="Separador de milhares 3 16 2 2 3 2 2" xfId="51927"/>
    <cellStyle name="Separador de milhares 3 16 2 2 3 3" xfId="20946"/>
    <cellStyle name="Separador de milhares 3 16 2 2 3 3 2" xfId="46013"/>
    <cellStyle name="Separador de milhares 3 16 2 2 3 4" xfId="15032"/>
    <cellStyle name="Separador de milhares 3 16 2 2 3 4 2" xfId="40099"/>
    <cellStyle name="Separador de milhares 3 16 2 2 3 5" xfId="34191"/>
    <cellStyle name="Separador de milhares 3 16 2 2 4" xfId="5268"/>
    <cellStyle name="Separador de milhares 3 16 2 2 4 2" xfId="23903"/>
    <cellStyle name="Separador de milhares 3 16 2 2 4 2 2" xfId="48970"/>
    <cellStyle name="Separador de milhares 3 16 2 2 4 3" xfId="31234"/>
    <cellStyle name="Separador de milhares 3 16 2 2 5" xfId="17989"/>
    <cellStyle name="Separador de milhares 3 16 2 2 5 2" xfId="43056"/>
    <cellStyle name="Separador de milhares 3 16 2 2 6" xfId="11655"/>
    <cellStyle name="Separador de milhares 3 16 2 2 6 2" xfId="37145"/>
    <cellStyle name="Separador de milhares 3 16 2 2 7" xfId="29764"/>
    <cellStyle name="Separador de milhares 3 16 2 3" xfId="2450"/>
    <cellStyle name="Separador de milhares 3 16 2 3 2" xfId="7117"/>
    <cellStyle name="Separador de milhares 3 16 2 3 2 2" xfId="10261"/>
    <cellStyle name="Separador de milhares 3 16 2 3 2 2 2" xfId="28475"/>
    <cellStyle name="Separador de milhares 3 16 2 3 2 2 2 2" xfId="53542"/>
    <cellStyle name="Separador de milhares 3 16 2 3 2 2 3" xfId="22561"/>
    <cellStyle name="Separador de milhares 3 16 2 3 2 2 3 2" xfId="47628"/>
    <cellStyle name="Separador de milhares 3 16 2 3 2 2 4" xfId="16647"/>
    <cellStyle name="Separador de milhares 3 16 2 3 2 2 4 2" xfId="41714"/>
    <cellStyle name="Separador de milhares 3 16 2 3 2 2 5" xfId="35806"/>
    <cellStyle name="Separador de milhares 3 16 2 3 2 3" xfId="25518"/>
    <cellStyle name="Separador de milhares 3 16 2 3 2 3 2" xfId="50585"/>
    <cellStyle name="Separador de milhares 3 16 2 3 2 4" xfId="19604"/>
    <cellStyle name="Separador de milhares 3 16 2 3 2 4 2" xfId="44671"/>
    <cellStyle name="Separador de milhares 3 16 2 3 2 5" xfId="13506"/>
    <cellStyle name="Separador de milhares 3 16 2 3 2 5 2" xfId="38760"/>
    <cellStyle name="Separador de milhares 3 16 2 3 2 6" xfId="32849"/>
    <cellStyle name="Separador de milhares 3 16 2 3 3" xfId="8793"/>
    <cellStyle name="Separador de milhares 3 16 2 3 3 2" xfId="27007"/>
    <cellStyle name="Separador de milhares 3 16 2 3 3 2 2" xfId="52074"/>
    <cellStyle name="Separador de milhares 3 16 2 3 3 3" xfId="21093"/>
    <cellStyle name="Separador de milhares 3 16 2 3 3 3 2" xfId="46160"/>
    <cellStyle name="Separador de milhares 3 16 2 3 3 4" xfId="15179"/>
    <cellStyle name="Separador de milhares 3 16 2 3 3 4 2" xfId="40246"/>
    <cellStyle name="Separador de milhares 3 16 2 3 3 5" xfId="34338"/>
    <cellStyle name="Separador de milhares 3 16 2 3 4" xfId="5418"/>
    <cellStyle name="Separador de milhares 3 16 2 3 4 2" xfId="24050"/>
    <cellStyle name="Separador de milhares 3 16 2 3 4 2 2" xfId="49117"/>
    <cellStyle name="Separador de milhares 3 16 2 3 4 3" xfId="31381"/>
    <cellStyle name="Separador de milhares 3 16 2 3 5" xfId="18136"/>
    <cellStyle name="Separador de milhares 3 16 2 3 5 2" xfId="43203"/>
    <cellStyle name="Separador de milhares 3 16 2 3 6" xfId="11805"/>
    <cellStyle name="Separador de milhares 3 16 2 3 6 2" xfId="37292"/>
    <cellStyle name="Separador de milhares 3 16 2 3 7" xfId="29911"/>
    <cellStyle name="Separador de milhares 3 16 2 4" xfId="2977"/>
    <cellStyle name="Separador de milhares 3 16 2 4 2" xfId="7264"/>
    <cellStyle name="Separador de milhares 3 16 2 4 2 2" xfId="10408"/>
    <cellStyle name="Separador de milhares 3 16 2 4 2 2 2" xfId="28622"/>
    <cellStyle name="Separador de milhares 3 16 2 4 2 2 2 2" xfId="53689"/>
    <cellStyle name="Separador de milhares 3 16 2 4 2 2 3" xfId="22708"/>
    <cellStyle name="Separador de milhares 3 16 2 4 2 2 3 2" xfId="47775"/>
    <cellStyle name="Separador de milhares 3 16 2 4 2 2 4" xfId="16794"/>
    <cellStyle name="Separador de milhares 3 16 2 4 2 2 4 2" xfId="41861"/>
    <cellStyle name="Separador de milhares 3 16 2 4 2 2 5" xfId="35953"/>
    <cellStyle name="Separador de milhares 3 16 2 4 2 3" xfId="25665"/>
    <cellStyle name="Separador de milhares 3 16 2 4 2 3 2" xfId="50732"/>
    <cellStyle name="Separador de milhares 3 16 2 4 2 4" xfId="19751"/>
    <cellStyle name="Separador de milhares 3 16 2 4 2 4 2" xfId="44818"/>
    <cellStyle name="Separador de milhares 3 16 2 4 2 5" xfId="13653"/>
    <cellStyle name="Separador de milhares 3 16 2 4 2 5 2" xfId="38907"/>
    <cellStyle name="Separador de milhares 3 16 2 4 2 6" xfId="32996"/>
    <cellStyle name="Separador de milhares 3 16 2 4 3" xfId="8940"/>
    <cellStyle name="Separador de milhares 3 16 2 4 3 2" xfId="27154"/>
    <cellStyle name="Separador de milhares 3 16 2 4 3 2 2" xfId="52221"/>
    <cellStyle name="Separador de milhares 3 16 2 4 3 3" xfId="21240"/>
    <cellStyle name="Separador de milhares 3 16 2 4 3 3 2" xfId="46307"/>
    <cellStyle name="Separador de milhares 3 16 2 4 3 4" xfId="15326"/>
    <cellStyle name="Separador de milhares 3 16 2 4 3 4 2" xfId="40393"/>
    <cellStyle name="Separador de milhares 3 16 2 4 3 5" xfId="34485"/>
    <cellStyle name="Separador de milhares 3 16 2 4 4" xfId="5565"/>
    <cellStyle name="Separador de milhares 3 16 2 4 4 2" xfId="24197"/>
    <cellStyle name="Separador de milhares 3 16 2 4 4 2 2" xfId="49264"/>
    <cellStyle name="Separador de milhares 3 16 2 4 4 3" xfId="31528"/>
    <cellStyle name="Separador de milhares 3 16 2 4 5" xfId="18283"/>
    <cellStyle name="Separador de milhares 3 16 2 4 5 2" xfId="43350"/>
    <cellStyle name="Separador de milhares 3 16 2 4 6" xfId="11952"/>
    <cellStyle name="Separador de milhares 3 16 2 4 6 2" xfId="37439"/>
    <cellStyle name="Separador de milhares 3 16 2 4 7" xfId="30058"/>
    <cellStyle name="Separador de milhares 3 16 2 5" xfId="3504"/>
    <cellStyle name="Separador de milhares 3 16 2 5 2" xfId="7411"/>
    <cellStyle name="Separador de milhares 3 16 2 5 2 2" xfId="10555"/>
    <cellStyle name="Separador de milhares 3 16 2 5 2 2 2" xfId="28769"/>
    <cellStyle name="Separador de milhares 3 16 2 5 2 2 2 2" xfId="53836"/>
    <cellStyle name="Separador de milhares 3 16 2 5 2 2 3" xfId="22855"/>
    <cellStyle name="Separador de milhares 3 16 2 5 2 2 3 2" xfId="47922"/>
    <cellStyle name="Separador de milhares 3 16 2 5 2 2 4" xfId="16941"/>
    <cellStyle name="Separador de milhares 3 16 2 5 2 2 4 2" xfId="42008"/>
    <cellStyle name="Separador de milhares 3 16 2 5 2 2 5" xfId="36100"/>
    <cellStyle name="Separador de milhares 3 16 2 5 2 3" xfId="25812"/>
    <cellStyle name="Separador de milhares 3 16 2 5 2 3 2" xfId="50879"/>
    <cellStyle name="Separador de milhares 3 16 2 5 2 4" xfId="19898"/>
    <cellStyle name="Separador de milhares 3 16 2 5 2 4 2" xfId="44965"/>
    <cellStyle name="Separador de milhares 3 16 2 5 2 5" xfId="13800"/>
    <cellStyle name="Separador de milhares 3 16 2 5 2 5 2" xfId="39054"/>
    <cellStyle name="Separador de milhares 3 16 2 5 2 6" xfId="33143"/>
    <cellStyle name="Separador de milhares 3 16 2 5 3" xfId="9087"/>
    <cellStyle name="Separador de milhares 3 16 2 5 3 2" xfId="27301"/>
    <cellStyle name="Separador de milhares 3 16 2 5 3 2 2" xfId="52368"/>
    <cellStyle name="Separador de milhares 3 16 2 5 3 3" xfId="21387"/>
    <cellStyle name="Separador de milhares 3 16 2 5 3 3 2" xfId="46454"/>
    <cellStyle name="Separador de milhares 3 16 2 5 3 4" xfId="15473"/>
    <cellStyle name="Separador de milhares 3 16 2 5 3 4 2" xfId="40540"/>
    <cellStyle name="Separador de milhares 3 16 2 5 3 5" xfId="34632"/>
    <cellStyle name="Separador de milhares 3 16 2 5 4" xfId="5712"/>
    <cellStyle name="Separador de milhares 3 16 2 5 4 2" xfId="24344"/>
    <cellStyle name="Separador de milhares 3 16 2 5 4 2 2" xfId="49411"/>
    <cellStyle name="Separador de milhares 3 16 2 5 4 3" xfId="31675"/>
    <cellStyle name="Separador de milhares 3 16 2 5 5" xfId="18430"/>
    <cellStyle name="Separador de milhares 3 16 2 5 5 2" xfId="43497"/>
    <cellStyle name="Separador de milhares 3 16 2 5 6" xfId="12099"/>
    <cellStyle name="Separador de milhares 3 16 2 5 6 2" xfId="37586"/>
    <cellStyle name="Separador de milhares 3 16 2 5 7" xfId="30205"/>
    <cellStyle name="Separador de milhares 3 16 2 6" xfId="4031"/>
    <cellStyle name="Separador de milhares 3 16 2 6 2" xfId="7558"/>
    <cellStyle name="Separador de milhares 3 16 2 6 2 2" xfId="10702"/>
    <cellStyle name="Separador de milhares 3 16 2 6 2 2 2" xfId="28916"/>
    <cellStyle name="Separador de milhares 3 16 2 6 2 2 2 2" xfId="53983"/>
    <cellStyle name="Separador de milhares 3 16 2 6 2 2 3" xfId="23002"/>
    <cellStyle name="Separador de milhares 3 16 2 6 2 2 3 2" xfId="48069"/>
    <cellStyle name="Separador de milhares 3 16 2 6 2 2 4" xfId="17088"/>
    <cellStyle name="Separador de milhares 3 16 2 6 2 2 4 2" xfId="42155"/>
    <cellStyle name="Separador de milhares 3 16 2 6 2 2 5" xfId="36247"/>
    <cellStyle name="Separador de milhares 3 16 2 6 2 3" xfId="25959"/>
    <cellStyle name="Separador de milhares 3 16 2 6 2 3 2" xfId="51026"/>
    <cellStyle name="Separador de milhares 3 16 2 6 2 4" xfId="20045"/>
    <cellStyle name="Separador de milhares 3 16 2 6 2 4 2" xfId="45112"/>
    <cellStyle name="Separador de milhares 3 16 2 6 2 5" xfId="13947"/>
    <cellStyle name="Separador de milhares 3 16 2 6 2 5 2" xfId="39201"/>
    <cellStyle name="Separador de milhares 3 16 2 6 2 6" xfId="33290"/>
    <cellStyle name="Separador de milhares 3 16 2 6 3" xfId="9234"/>
    <cellStyle name="Separador de milhares 3 16 2 6 3 2" xfId="27448"/>
    <cellStyle name="Separador de milhares 3 16 2 6 3 2 2" xfId="52515"/>
    <cellStyle name="Separador de milhares 3 16 2 6 3 3" xfId="21534"/>
    <cellStyle name="Separador de milhares 3 16 2 6 3 3 2" xfId="46601"/>
    <cellStyle name="Separador de milhares 3 16 2 6 3 4" xfId="15620"/>
    <cellStyle name="Separador de milhares 3 16 2 6 3 4 2" xfId="40687"/>
    <cellStyle name="Separador de milhares 3 16 2 6 3 5" xfId="34779"/>
    <cellStyle name="Separador de milhares 3 16 2 6 4" xfId="5859"/>
    <cellStyle name="Separador de milhares 3 16 2 6 4 2" xfId="24491"/>
    <cellStyle name="Separador de milhares 3 16 2 6 4 2 2" xfId="49558"/>
    <cellStyle name="Separador de milhares 3 16 2 6 4 3" xfId="31822"/>
    <cellStyle name="Separador de milhares 3 16 2 6 5" xfId="18577"/>
    <cellStyle name="Separador de milhares 3 16 2 6 5 2" xfId="43644"/>
    <cellStyle name="Separador de milhares 3 16 2 6 6" xfId="12246"/>
    <cellStyle name="Separador de milhares 3 16 2 6 6 2" xfId="37733"/>
    <cellStyle name="Separador de milhares 3 16 2 6 7" xfId="30352"/>
    <cellStyle name="Separador de milhares 3 16 2 7" xfId="6529"/>
    <cellStyle name="Separador de milhares 3 16 2 7 2" xfId="9676"/>
    <cellStyle name="Separador de milhares 3 16 2 7 2 2" xfId="27890"/>
    <cellStyle name="Separador de milhares 3 16 2 7 2 2 2" xfId="52957"/>
    <cellStyle name="Separador de milhares 3 16 2 7 2 3" xfId="21976"/>
    <cellStyle name="Separador de milhares 3 16 2 7 2 3 2" xfId="47043"/>
    <cellStyle name="Separador de milhares 3 16 2 7 2 4" xfId="16062"/>
    <cellStyle name="Separador de milhares 3 16 2 7 2 4 2" xfId="41129"/>
    <cellStyle name="Separador de milhares 3 16 2 7 2 5" xfId="35221"/>
    <cellStyle name="Separador de milhares 3 16 2 7 3" xfId="24933"/>
    <cellStyle name="Separador de milhares 3 16 2 7 3 2" xfId="50000"/>
    <cellStyle name="Separador de milhares 3 16 2 7 4" xfId="19019"/>
    <cellStyle name="Separador de milhares 3 16 2 7 4 2" xfId="44086"/>
    <cellStyle name="Separador de milhares 3 16 2 7 5" xfId="12918"/>
    <cellStyle name="Separador de milhares 3 16 2 7 5 2" xfId="38175"/>
    <cellStyle name="Separador de milhares 3 16 2 7 6" xfId="32264"/>
    <cellStyle name="Separador de milhares 3 16 2 8" xfId="8205"/>
    <cellStyle name="Separador de milhares 3 16 2 8 2" xfId="26419"/>
    <cellStyle name="Separador de milhares 3 16 2 8 2 2" xfId="51486"/>
    <cellStyle name="Separador de milhares 3 16 2 8 3" xfId="20505"/>
    <cellStyle name="Separador de milhares 3 16 2 8 3 2" xfId="45572"/>
    <cellStyle name="Separador de milhares 3 16 2 8 4" xfId="14594"/>
    <cellStyle name="Separador de milhares 3 16 2 8 4 2" xfId="39661"/>
    <cellStyle name="Separador de milhares 3 16 2 8 5" xfId="33750"/>
    <cellStyle name="Separador de milhares 3 16 2 9" xfId="4828"/>
    <cellStyle name="Separador de milhares 3 16 2 9 2" xfId="23462"/>
    <cellStyle name="Separador de milhares 3 16 2 9 2 2" xfId="48529"/>
    <cellStyle name="Separador de milhares 3 16 2 9 3" xfId="30794"/>
    <cellStyle name="Separador de milhares 3 16 3" xfId="874"/>
    <cellStyle name="Separador de milhares 3 16 3 2" xfId="6680"/>
    <cellStyle name="Separador de milhares 3 16 3 2 2" xfId="9827"/>
    <cellStyle name="Separador de milhares 3 16 3 2 2 2" xfId="28041"/>
    <cellStyle name="Separador de milhares 3 16 3 2 2 2 2" xfId="53108"/>
    <cellStyle name="Separador de milhares 3 16 3 2 2 3" xfId="22127"/>
    <cellStyle name="Separador de milhares 3 16 3 2 2 3 2" xfId="47194"/>
    <cellStyle name="Separador de milhares 3 16 3 2 2 4" xfId="16213"/>
    <cellStyle name="Separador de milhares 3 16 3 2 2 4 2" xfId="41280"/>
    <cellStyle name="Separador de milhares 3 16 3 2 2 5" xfId="35372"/>
    <cellStyle name="Separador de milhares 3 16 3 2 3" xfId="25084"/>
    <cellStyle name="Separador de milhares 3 16 3 2 3 2" xfId="50151"/>
    <cellStyle name="Separador de milhares 3 16 3 2 4" xfId="19170"/>
    <cellStyle name="Separador de milhares 3 16 3 2 4 2" xfId="44237"/>
    <cellStyle name="Separador de milhares 3 16 3 2 5" xfId="13069"/>
    <cellStyle name="Separador de milhares 3 16 3 2 5 2" xfId="38326"/>
    <cellStyle name="Separador de milhares 3 16 3 2 6" xfId="32415"/>
    <cellStyle name="Separador de milhares 3 16 3 3" xfId="8359"/>
    <cellStyle name="Separador de milhares 3 16 3 3 2" xfId="26573"/>
    <cellStyle name="Separador de milhares 3 16 3 3 2 2" xfId="51640"/>
    <cellStyle name="Separador de milhares 3 16 3 3 3" xfId="20659"/>
    <cellStyle name="Separador de milhares 3 16 3 3 3 2" xfId="45726"/>
    <cellStyle name="Separador de milhares 3 16 3 3 4" xfId="14745"/>
    <cellStyle name="Separador de milhares 3 16 3 3 4 2" xfId="39812"/>
    <cellStyle name="Separador de milhares 3 16 3 3 5" xfId="33904"/>
    <cellStyle name="Separador de milhares 3 16 3 4" xfId="4981"/>
    <cellStyle name="Separador de milhares 3 16 3 4 2" xfId="23616"/>
    <cellStyle name="Separador de milhares 3 16 3 4 2 2" xfId="48683"/>
    <cellStyle name="Separador de milhares 3 16 3 4 3" xfId="30947"/>
    <cellStyle name="Separador de milhares 3 16 3 5" xfId="17702"/>
    <cellStyle name="Separador de milhares 3 16 3 5 2" xfId="42769"/>
    <cellStyle name="Separador de milhares 3 16 3 6" xfId="11368"/>
    <cellStyle name="Separador de milhares 3 16 3 6 2" xfId="36858"/>
    <cellStyle name="Separador de milhares 3 16 3 7" xfId="29477"/>
    <cellStyle name="Separador de milhares 3 16 4" xfId="1225"/>
    <cellStyle name="Separador de milhares 3 16 4 2" xfId="6778"/>
    <cellStyle name="Separador de milhares 3 16 4 2 2" xfId="9925"/>
    <cellStyle name="Separador de milhares 3 16 4 2 2 2" xfId="28139"/>
    <cellStyle name="Separador de milhares 3 16 4 2 2 2 2" xfId="53206"/>
    <cellStyle name="Separador de milhares 3 16 4 2 2 3" xfId="22225"/>
    <cellStyle name="Separador de milhares 3 16 4 2 2 3 2" xfId="47292"/>
    <cellStyle name="Separador de milhares 3 16 4 2 2 4" xfId="16311"/>
    <cellStyle name="Separador de milhares 3 16 4 2 2 4 2" xfId="41378"/>
    <cellStyle name="Separador de milhares 3 16 4 2 2 5" xfId="35470"/>
    <cellStyle name="Separador de milhares 3 16 4 2 3" xfId="25182"/>
    <cellStyle name="Separador de milhares 3 16 4 2 3 2" xfId="50249"/>
    <cellStyle name="Separador de milhares 3 16 4 2 4" xfId="19268"/>
    <cellStyle name="Separador de milhares 3 16 4 2 4 2" xfId="44335"/>
    <cellStyle name="Separador de milhares 3 16 4 2 5" xfId="13167"/>
    <cellStyle name="Separador de milhares 3 16 4 2 5 2" xfId="38424"/>
    <cellStyle name="Separador de milhares 3 16 4 2 6" xfId="32513"/>
    <cellStyle name="Separador de milhares 3 16 4 3" xfId="8457"/>
    <cellStyle name="Separador de milhares 3 16 4 3 2" xfId="26671"/>
    <cellStyle name="Separador de milhares 3 16 4 3 2 2" xfId="51738"/>
    <cellStyle name="Separador de milhares 3 16 4 3 3" xfId="20757"/>
    <cellStyle name="Separador de milhares 3 16 4 3 3 2" xfId="45824"/>
    <cellStyle name="Separador de milhares 3 16 4 3 4" xfId="14843"/>
    <cellStyle name="Separador de milhares 3 16 4 3 4 2" xfId="39910"/>
    <cellStyle name="Separador de milhares 3 16 4 3 5" xfId="34002"/>
    <cellStyle name="Separador de milhares 3 16 4 4" xfId="5079"/>
    <cellStyle name="Separador de milhares 3 16 4 4 2" xfId="23714"/>
    <cellStyle name="Separador de milhares 3 16 4 4 2 2" xfId="48781"/>
    <cellStyle name="Separador de milhares 3 16 4 4 3" xfId="31045"/>
    <cellStyle name="Separador de milhares 3 16 4 5" xfId="17800"/>
    <cellStyle name="Separador de milhares 3 16 4 5 2" xfId="42867"/>
    <cellStyle name="Separador de milhares 3 16 4 6" xfId="11466"/>
    <cellStyle name="Separador de milhares 3 16 4 6 2" xfId="36956"/>
    <cellStyle name="Separador de milhares 3 16 4 7" xfId="29575"/>
    <cellStyle name="Separador de milhares 3 16 5" xfId="1660"/>
    <cellStyle name="Separador de milhares 3 16 5 2" xfId="6897"/>
    <cellStyle name="Separador de milhares 3 16 5 2 2" xfId="10044"/>
    <cellStyle name="Separador de milhares 3 16 5 2 2 2" xfId="28258"/>
    <cellStyle name="Separador de milhares 3 16 5 2 2 2 2" xfId="53325"/>
    <cellStyle name="Separador de milhares 3 16 5 2 2 3" xfId="22344"/>
    <cellStyle name="Separador de milhares 3 16 5 2 2 3 2" xfId="47411"/>
    <cellStyle name="Separador de milhares 3 16 5 2 2 4" xfId="16430"/>
    <cellStyle name="Separador de milhares 3 16 5 2 2 4 2" xfId="41497"/>
    <cellStyle name="Separador de milhares 3 16 5 2 2 5" xfId="35589"/>
    <cellStyle name="Separador de milhares 3 16 5 2 3" xfId="25301"/>
    <cellStyle name="Separador de milhares 3 16 5 2 3 2" xfId="50368"/>
    <cellStyle name="Separador de milhares 3 16 5 2 4" xfId="19387"/>
    <cellStyle name="Separador de milhares 3 16 5 2 4 2" xfId="44454"/>
    <cellStyle name="Separador de milhares 3 16 5 2 5" xfId="13286"/>
    <cellStyle name="Separador de milhares 3 16 5 2 5 2" xfId="38543"/>
    <cellStyle name="Separador de milhares 3 16 5 2 6" xfId="32632"/>
    <cellStyle name="Separador de milhares 3 16 5 3" xfId="8576"/>
    <cellStyle name="Separador de milhares 3 16 5 3 2" xfId="26790"/>
    <cellStyle name="Separador de milhares 3 16 5 3 2 2" xfId="51857"/>
    <cellStyle name="Separador de milhares 3 16 5 3 3" xfId="20876"/>
    <cellStyle name="Separador de milhares 3 16 5 3 3 2" xfId="45943"/>
    <cellStyle name="Separador de milhares 3 16 5 3 4" xfId="14962"/>
    <cellStyle name="Separador de milhares 3 16 5 3 4 2" xfId="40029"/>
    <cellStyle name="Separador de milhares 3 16 5 3 5" xfId="34121"/>
    <cellStyle name="Separador de milhares 3 16 5 4" xfId="5198"/>
    <cellStyle name="Separador de milhares 3 16 5 4 2" xfId="23833"/>
    <cellStyle name="Separador de milhares 3 16 5 4 2 2" xfId="48900"/>
    <cellStyle name="Separador de milhares 3 16 5 4 3" xfId="31164"/>
    <cellStyle name="Separador de milhares 3 16 5 5" xfId="17919"/>
    <cellStyle name="Separador de milhares 3 16 5 5 2" xfId="42986"/>
    <cellStyle name="Separador de milhares 3 16 5 6" xfId="11585"/>
    <cellStyle name="Separador de milhares 3 16 5 6 2" xfId="37075"/>
    <cellStyle name="Separador de milhares 3 16 5 7" xfId="29694"/>
    <cellStyle name="Separador de milhares 3 16 6" xfId="2190"/>
    <cellStyle name="Separador de milhares 3 16 6 2" xfId="7047"/>
    <cellStyle name="Separador de milhares 3 16 6 2 2" xfId="10191"/>
    <cellStyle name="Separador de milhares 3 16 6 2 2 2" xfId="28405"/>
    <cellStyle name="Separador de milhares 3 16 6 2 2 2 2" xfId="53472"/>
    <cellStyle name="Separador de milhares 3 16 6 2 2 3" xfId="22491"/>
    <cellStyle name="Separador de milhares 3 16 6 2 2 3 2" xfId="47558"/>
    <cellStyle name="Separador de milhares 3 16 6 2 2 4" xfId="16577"/>
    <cellStyle name="Separador de milhares 3 16 6 2 2 4 2" xfId="41644"/>
    <cellStyle name="Separador de milhares 3 16 6 2 2 5" xfId="35736"/>
    <cellStyle name="Separador de milhares 3 16 6 2 3" xfId="25448"/>
    <cellStyle name="Separador de milhares 3 16 6 2 3 2" xfId="50515"/>
    <cellStyle name="Separador de milhares 3 16 6 2 4" xfId="19534"/>
    <cellStyle name="Separador de milhares 3 16 6 2 4 2" xfId="44601"/>
    <cellStyle name="Separador de milhares 3 16 6 2 5" xfId="13436"/>
    <cellStyle name="Separador de milhares 3 16 6 2 5 2" xfId="38690"/>
    <cellStyle name="Separador de milhares 3 16 6 2 6" xfId="32779"/>
    <cellStyle name="Separador de milhares 3 16 6 3" xfId="8723"/>
    <cellStyle name="Separador de milhares 3 16 6 3 2" xfId="26937"/>
    <cellStyle name="Separador de milhares 3 16 6 3 2 2" xfId="52004"/>
    <cellStyle name="Separador de milhares 3 16 6 3 3" xfId="21023"/>
    <cellStyle name="Separador de milhares 3 16 6 3 3 2" xfId="46090"/>
    <cellStyle name="Separador de milhares 3 16 6 3 4" xfId="15109"/>
    <cellStyle name="Separador de milhares 3 16 6 3 4 2" xfId="40176"/>
    <cellStyle name="Separador de milhares 3 16 6 3 5" xfId="34268"/>
    <cellStyle name="Separador de milhares 3 16 6 4" xfId="5348"/>
    <cellStyle name="Separador de milhares 3 16 6 4 2" xfId="23980"/>
    <cellStyle name="Separador de milhares 3 16 6 4 2 2" xfId="49047"/>
    <cellStyle name="Separador de milhares 3 16 6 4 3" xfId="31311"/>
    <cellStyle name="Separador de milhares 3 16 6 5" xfId="18066"/>
    <cellStyle name="Separador de milhares 3 16 6 5 2" xfId="43133"/>
    <cellStyle name="Separador de milhares 3 16 6 6" xfId="11735"/>
    <cellStyle name="Separador de milhares 3 16 6 6 2" xfId="37222"/>
    <cellStyle name="Separador de milhares 3 16 6 7" xfId="29841"/>
    <cellStyle name="Separador de milhares 3 16 7" xfId="2717"/>
    <cellStyle name="Separador de milhares 3 16 7 2" xfId="7194"/>
    <cellStyle name="Separador de milhares 3 16 7 2 2" xfId="10338"/>
    <cellStyle name="Separador de milhares 3 16 7 2 2 2" xfId="28552"/>
    <cellStyle name="Separador de milhares 3 16 7 2 2 2 2" xfId="53619"/>
    <cellStyle name="Separador de milhares 3 16 7 2 2 3" xfId="22638"/>
    <cellStyle name="Separador de milhares 3 16 7 2 2 3 2" xfId="47705"/>
    <cellStyle name="Separador de milhares 3 16 7 2 2 4" xfId="16724"/>
    <cellStyle name="Separador de milhares 3 16 7 2 2 4 2" xfId="41791"/>
    <cellStyle name="Separador de milhares 3 16 7 2 2 5" xfId="35883"/>
    <cellStyle name="Separador de milhares 3 16 7 2 3" xfId="25595"/>
    <cellStyle name="Separador de milhares 3 16 7 2 3 2" xfId="50662"/>
    <cellStyle name="Separador de milhares 3 16 7 2 4" xfId="19681"/>
    <cellStyle name="Separador de milhares 3 16 7 2 4 2" xfId="44748"/>
    <cellStyle name="Separador de milhares 3 16 7 2 5" xfId="13583"/>
    <cellStyle name="Separador de milhares 3 16 7 2 5 2" xfId="38837"/>
    <cellStyle name="Separador de milhares 3 16 7 2 6" xfId="32926"/>
    <cellStyle name="Separador de milhares 3 16 7 3" xfId="8870"/>
    <cellStyle name="Separador de milhares 3 16 7 3 2" xfId="27084"/>
    <cellStyle name="Separador de milhares 3 16 7 3 2 2" xfId="52151"/>
    <cellStyle name="Separador de milhares 3 16 7 3 3" xfId="21170"/>
    <cellStyle name="Separador de milhares 3 16 7 3 3 2" xfId="46237"/>
    <cellStyle name="Separador de milhares 3 16 7 3 4" xfId="15256"/>
    <cellStyle name="Separador de milhares 3 16 7 3 4 2" xfId="40323"/>
    <cellStyle name="Separador de milhares 3 16 7 3 5" xfId="34415"/>
    <cellStyle name="Separador de milhares 3 16 7 4" xfId="5495"/>
    <cellStyle name="Separador de milhares 3 16 7 4 2" xfId="24127"/>
    <cellStyle name="Separador de milhares 3 16 7 4 2 2" xfId="49194"/>
    <cellStyle name="Separador de milhares 3 16 7 4 3" xfId="31458"/>
    <cellStyle name="Separador de milhares 3 16 7 5" xfId="18213"/>
    <cellStyle name="Separador de milhares 3 16 7 5 2" xfId="43280"/>
    <cellStyle name="Separador de milhares 3 16 7 6" xfId="11882"/>
    <cellStyle name="Separador de milhares 3 16 7 6 2" xfId="37369"/>
    <cellStyle name="Separador de milhares 3 16 7 7" xfId="29988"/>
    <cellStyle name="Separador de milhares 3 16 8" xfId="3244"/>
    <cellStyle name="Separador de milhares 3 16 8 2" xfId="7341"/>
    <cellStyle name="Separador de milhares 3 16 8 2 2" xfId="10485"/>
    <cellStyle name="Separador de milhares 3 16 8 2 2 2" xfId="28699"/>
    <cellStyle name="Separador de milhares 3 16 8 2 2 2 2" xfId="53766"/>
    <cellStyle name="Separador de milhares 3 16 8 2 2 3" xfId="22785"/>
    <cellStyle name="Separador de milhares 3 16 8 2 2 3 2" xfId="47852"/>
    <cellStyle name="Separador de milhares 3 16 8 2 2 4" xfId="16871"/>
    <cellStyle name="Separador de milhares 3 16 8 2 2 4 2" xfId="41938"/>
    <cellStyle name="Separador de milhares 3 16 8 2 2 5" xfId="36030"/>
    <cellStyle name="Separador de milhares 3 16 8 2 3" xfId="25742"/>
    <cellStyle name="Separador de milhares 3 16 8 2 3 2" xfId="50809"/>
    <cellStyle name="Separador de milhares 3 16 8 2 4" xfId="19828"/>
    <cellStyle name="Separador de milhares 3 16 8 2 4 2" xfId="44895"/>
    <cellStyle name="Separador de milhares 3 16 8 2 5" xfId="13730"/>
    <cellStyle name="Separador de milhares 3 16 8 2 5 2" xfId="38984"/>
    <cellStyle name="Separador de milhares 3 16 8 2 6" xfId="33073"/>
    <cellStyle name="Separador de milhares 3 16 8 3" xfId="9017"/>
    <cellStyle name="Separador de milhares 3 16 8 3 2" xfId="27231"/>
    <cellStyle name="Separador de milhares 3 16 8 3 2 2" xfId="52298"/>
    <cellStyle name="Separador de milhares 3 16 8 3 3" xfId="21317"/>
    <cellStyle name="Separador de milhares 3 16 8 3 3 2" xfId="46384"/>
    <cellStyle name="Separador de milhares 3 16 8 3 4" xfId="15403"/>
    <cellStyle name="Separador de milhares 3 16 8 3 4 2" xfId="40470"/>
    <cellStyle name="Separador de milhares 3 16 8 3 5" xfId="34562"/>
    <cellStyle name="Separador de milhares 3 16 8 4" xfId="5642"/>
    <cellStyle name="Separador de milhares 3 16 8 4 2" xfId="24274"/>
    <cellStyle name="Separador de milhares 3 16 8 4 2 2" xfId="49341"/>
    <cellStyle name="Separador de milhares 3 16 8 4 3" xfId="31605"/>
    <cellStyle name="Separador de milhares 3 16 8 5" xfId="18360"/>
    <cellStyle name="Separador de milhares 3 16 8 5 2" xfId="43427"/>
    <cellStyle name="Separador de milhares 3 16 8 6" xfId="12029"/>
    <cellStyle name="Separador de milhares 3 16 8 6 2" xfId="37516"/>
    <cellStyle name="Separador de milhares 3 16 8 7" xfId="30135"/>
    <cellStyle name="Separador de milhares 3 16 9" xfId="3771"/>
    <cellStyle name="Separador de milhares 3 16 9 2" xfId="7488"/>
    <cellStyle name="Separador de milhares 3 16 9 2 2" xfId="10632"/>
    <cellStyle name="Separador de milhares 3 16 9 2 2 2" xfId="28846"/>
    <cellStyle name="Separador de milhares 3 16 9 2 2 2 2" xfId="53913"/>
    <cellStyle name="Separador de milhares 3 16 9 2 2 3" xfId="22932"/>
    <cellStyle name="Separador de milhares 3 16 9 2 2 3 2" xfId="47999"/>
    <cellStyle name="Separador de milhares 3 16 9 2 2 4" xfId="17018"/>
    <cellStyle name="Separador de milhares 3 16 9 2 2 4 2" xfId="42085"/>
    <cellStyle name="Separador de milhares 3 16 9 2 2 5" xfId="36177"/>
    <cellStyle name="Separador de milhares 3 16 9 2 3" xfId="25889"/>
    <cellStyle name="Separador de milhares 3 16 9 2 3 2" xfId="50956"/>
    <cellStyle name="Separador de milhares 3 16 9 2 4" xfId="19975"/>
    <cellStyle name="Separador de milhares 3 16 9 2 4 2" xfId="45042"/>
    <cellStyle name="Separador de milhares 3 16 9 2 5" xfId="13877"/>
    <cellStyle name="Separador de milhares 3 16 9 2 5 2" xfId="39131"/>
    <cellStyle name="Separador de milhares 3 16 9 2 6" xfId="33220"/>
    <cellStyle name="Separador de milhares 3 16 9 3" xfId="9164"/>
    <cellStyle name="Separador de milhares 3 16 9 3 2" xfId="27378"/>
    <cellStyle name="Separador de milhares 3 16 9 3 2 2" xfId="52445"/>
    <cellStyle name="Separador de milhares 3 16 9 3 3" xfId="21464"/>
    <cellStyle name="Separador de milhares 3 16 9 3 3 2" xfId="46531"/>
    <cellStyle name="Separador de milhares 3 16 9 3 4" xfId="15550"/>
    <cellStyle name="Separador de milhares 3 16 9 3 4 2" xfId="40617"/>
    <cellStyle name="Separador de milhares 3 16 9 3 5" xfId="34709"/>
    <cellStyle name="Separador de milhares 3 16 9 4" xfId="5789"/>
    <cellStyle name="Separador de milhares 3 16 9 4 2" xfId="24421"/>
    <cellStyle name="Separador de milhares 3 16 9 4 2 2" xfId="49488"/>
    <cellStyle name="Separador de milhares 3 16 9 4 3" xfId="31752"/>
    <cellStyle name="Separador de milhares 3 16 9 5" xfId="18507"/>
    <cellStyle name="Separador de milhares 3 16 9 5 2" xfId="43574"/>
    <cellStyle name="Separador de milhares 3 16 9 6" xfId="12176"/>
    <cellStyle name="Separador de milhares 3 16 9 6 2" xfId="37663"/>
    <cellStyle name="Separador de milhares 3 16 9 7" xfId="30282"/>
    <cellStyle name="Separador de milhares 3 17" xfId="223"/>
    <cellStyle name="Separador de milhares 3 17 10" xfId="6479"/>
    <cellStyle name="Separador de milhares 3 17 10 2" xfId="9630"/>
    <cellStyle name="Separador de milhares 3 17 10 2 2" xfId="27844"/>
    <cellStyle name="Separador de milhares 3 17 10 2 2 2" xfId="52911"/>
    <cellStyle name="Separador de milhares 3 17 10 2 3" xfId="21930"/>
    <cellStyle name="Separador de milhares 3 17 10 2 3 2" xfId="46997"/>
    <cellStyle name="Separador de milhares 3 17 10 2 4" xfId="16016"/>
    <cellStyle name="Separador de milhares 3 17 10 2 4 2" xfId="41083"/>
    <cellStyle name="Separador de milhares 3 17 10 2 5" xfId="35175"/>
    <cellStyle name="Separador de milhares 3 17 10 3" xfId="24887"/>
    <cellStyle name="Separador de milhares 3 17 10 3 2" xfId="49954"/>
    <cellStyle name="Separador de milhares 3 17 10 4" xfId="18973"/>
    <cellStyle name="Separador de milhares 3 17 10 4 2" xfId="44040"/>
    <cellStyle name="Separador de milhares 3 17 10 5" xfId="12868"/>
    <cellStyle name="Separador de milhares 3 17 10 5 2" xfId="38129"/>
    <cellStyle name="Separador de milhares 3 17 10 6" xfId="32218"/>
    <cellStyle name="Separador de milhares 3 17 11" xfId="8159"/>
    <cellStyle name="Separador de milhares 3 17 11 2" xfId="26373"/>
    <cellStyle name="Separador de milhares 3 17 11 2 2" xfId="51440"/>
    <cellStyle name="Separador de milhares 3 17 11 3" xfId="20459"/>
    <cellStyle name="Separador de milhares 3 17 11 3 2" xfId="45526"/>
    <cellStyle name="Separador de milhares 3 17 11 4" xfId="14548"/>
    <cellStyle name="Separador de milhares 3 17 11 4 2" xfId="39615"/>
    <cellStyle name="Separador de milhares 3 17 11 5" xfId="33704"/>
    <cellStyle name="Separador de milhares 3 17 12" xfId="4778"/>
    <cellStyle name="Separador de milhares 3 17 12 2" xfId="23416"/>
    <cellStyle name="Separador de milhares 3 17 12 2 2" xfId="48483"/>
    <cellStyle name="Separador de milhares 3 17 12 3" xfId="30748"/>
    <cellStyle name="Separador de milhares 3 17 13" xfId="17502"/>
    <cellStyle name="Separador de milhares 3 17 13 2" xfId="42569"/>
    <cellStyle name="Separador de milhares 3 17 14" xfId="11167"/>
    <cellStyle name="Separador de milhares 3 17 14 2" xfId="36661"/>
    <cellStyle name="Separador de milhares 3 17 15" xfId="29277"/>
    <cellStyle name="Separador de milhares 3 17 2" xfId="486"/>
    <cellStyle name="Separador de milhares 3 17 2 2" xfId="6550"/>
    <cellStyle name="Separador de milhares 3 17 2 2 2" xfId="9697"/>
    <cellStyle name="Separador de milhares 3 17 2 2 2 2" xfId="27911"/>
    <cellStyle name="Separador de milhares 3 17 2 2 2 2 2" xfId="52978"/>
    <cellStyle name="Separador de milhares 3 17 2 2 2 3" xfId="21997"/>
    <cellStyle name="Separador de milhares 3 17 2 2 2 3 2" xfId="47064"/>
    <cellStyle name="Separador de milhares 3 17 2 2 2 4" xfId="16083"/>
    <cellStyle name="Separador de milhares 3 17 2 2 2 4 2" xfId="41150"/>
    <cellStyle name="Separador de milhares 3 17 2 2 2 5" xfId="35242"/>
    <cellStyle name="Separador de milhares 3 17 2 2 3" xfId="24954"/>
    <cellStyle name="Separador de milhares 3 17 2 2 3 2" xfId="50021"/>
    <cellStyle name="Separador de milhares 3 17 2 2 4" xfId="19040"/>
    <cellStyle name="Separador de milhares 3 17 2 2 4 2" xfId="44107"/>
    <cellStyle name="Separador de milhares 3 17 2 2 5" xfId="12939"/>
    <cellStyle name="Separador de milhares 3 17 2 2 5 2" xfId="38196"/>
    <cellStyle name="Separador de milhares 3 17 2 2 6" xfId="32285"/>
    <cellStyle name="Separador de milhares 3 17 2 3" xfId="8226"/>
    <cellStyle name="Separador de milhares 3 17 2 3 2" xfId="26440"/>
    <cellStyle name="Separador de milhares 3 17 2 3 2 2" xfId="51507"/>
    <cellStyle name="Separador de milhares 3 17 2 3 3" xfId="20526"/>
    <cellStyle name="Separador de milhares 3 17 2 3 3 2" xfId="45593"/>
    <cellStyle name="Separador de milhares 3 17 2 3 4" xfId="14615"/>
    <cellStyle name="Separador de milhares 3 17 2 3 4 2" xfId="39682"/>
    <cellStyle name="Separador de milhares 3 17 2 3 5" xfId="33771"/>
    <cellStyle name="Separador de milhares 3 17 2 4" xfId="4849"/>
    <cellStyle name="Separador de milhares 3 17 2 4 2" xfId="23483"/>
    <cellStyle name="Separador de milhares 3 17 2 4 2 2" xfId="48550"/>
    <cellStyle name="Separador de milhares 3 17 2 4 3" xfId="30815"/>
    <cellStyle name="Separador de milhares 3 17 2 5" xfId="17569"/>
    <cellStyle name="Separador de milhares 3 17 2 5 2" xfId="42636"/>
    <cellStyle name="Separador de milhares 3 17 2 6" xfId="11238"/>
    <cellStyle name="Separador de milhares 3 17 2 6 2" xfId="36728"/>
    <cellStyle name="Separador de milhares 3 17 2 7" xfId="29344"/>
    <cellStyle name="Separador de milhares 3 17 3" xfId="783"/>
    <cellStyle name="Separador de milhares 3 17 3 2" xfId="6652"/>
    <cellStyle name="Separador de milhares 3 17 3 2 2" xfId="9799"/>
    <cellStyle name="Separador de milhares 3 17 3 2 2 2" xfId="28013"/>
    <cellStyle name="Separador de milhares 3 17 3 2 2 2 2" xfId="53080"/>
    <cellStyle name="Separador de milhares 3 17 3 2 2 3" xfId="22099"/>
    <cellStyle name="Separador de milhares 3 17 3 2 2 3 2" xfId="47166"/>
    <cellStyle name="Separador de milhares 3 17 3 2 2 4" xfId="16185"/>
    <cellStyle name="Separador de milhares 3 17 3 2 2 4 2" xfId="41252"/>
    <cellStyle name="Separador de milhares 3 17 3 2 2 5" xfId="35344"/>
    <cellStyle name="Separador de milhares 3 17 3 2 3" xfId="25056"/>
    <cellStyle name="Separador de milhares 3 17 3 2 3 2" xfId="50123"/>
    <cellStyle name="Separador de milhares 3 17 3 2 4" xfId="19142"/>
    <cellStyle name="Separador de milhares 3 17 3 2 4 2" xfId="44209"/>
    <cellStyle name="Separador de milhares 3 17 3 2 5" xfId="13041"/>
    <cellStyle name="Separador de milhares 3 17 3 2 5 2" xfId="38298"/>
    <cellStyle name="Separador de milhares 3 17 3 2 6" xfId="32387"/>
    <cellStyle name="Separador de milhares 3 17 3 3" xfId="8331"/>
    <cellStyle name="Separador de milhares 3 17 3 3 2" xfId="26545"/>
    <cellStyle name="Separador de milhares 3 17 3 3 2 2" xfId="51612"/>
    <cellStyle name="Separador de milhares 3 17 3 3 3" xfId="20631"/>
    <cellStyle name="Separador de milhares 3 17 3 3 3 2" xfId="45698"/>
    <cellStyle name="Separador de milhares 3 17 3 3 4" xfId="14717"/>
    <cellStyle name="Separador de milhares 3 17 3 3 4 2" xfId="39784"/>
    <cellStyle name="Separador de milhares 3 17 3 3 5" xfId="33876"/>
    <cellStyle name="Separador de milhares 3 17 3 4" xfId="4953"/>
    <cellStyle name="Separador de milhares 3 17 3 4 2" xfId="23588"/>
    <cellStyle name="Separador de milhares 3 17 3 4 2 2" xfId="48655"/>
    <cellStyle name="Separador de milhares 3 17 3 4 3" xfId="30919"/>
    <cellStyle name="Separador de milhares 3 17 3 5" xfId="17674"/>
    <cellStyle name="Separador de milhares 3 17 3 5 2" xfId="42741"/>
    <cellStyle name="Separador de milhares 3 17 3 6" xfId="11340"/>
    <cellStyle name="Separador de milhares 3 17 3 6 2" xfId="36830"/>
    <cellStyle name="Separador de milhares 3 17 3 7" xfId="29449"/>
    <cellStyle name="Separador de milhares 3 17 4" xfId="1134"/>
    <cellStyle name="Separador de milhares 3 17 4 2" xfId="6750"/>
    <cellStyle name="Separador de milhares 3 17 4 2 2" xfId="9897"/>
    <cellStyle name="Separador de milhares 3 17 4 2 2 2" xfId="28111"/>
    <cellStyle name="Separador de milhares 3 17 4 2 2 2 2" xfId="53178"/>
    <cellStyle name="Separador de milhares 3 17 4 2 2 3" xfId="22197"/>
    <cellStyle name="Separador de milhares 3 17 4 2 2 3 2" xfId="47264"/>
    <cellStyle name="Separador de milhares 3 17 4 2 2 4" xfId="16283"/>
    <cellStyle name="Separador de milhares 3 17 4 2 2 4 2" xfId="41350"/>
    <cellStyle name="Separador de milhares 3 17 4 2 2 5" xfId="35442"/>
    <cellStyle name="Separador de milhares 3 17 4 2 3" xfId="25154"/>
    <cellStyle name="Separador de milhares 3 17 4 2 3 2" xfId="50221"/>
    <cellStyle name="Separador de milhares 3 17 4 2 4" xfId="19240"/>
    <cellStyle name="Separador de milhares 3 17 4 2 4 2" xfId="44307"/>
    <cellStyle name="Separador de milhares 3 17 4 2 5" xfId="13139"/>
    <cellStyle name="Separador de milhares 3 17 4 2 5 2" xfId="38396"/>
    <cellStyle name="Separador de milhares 3 17 4 2 6" xfId="32485"/>
    <cellStyle name="Separador de milhares 3 17 4 3" xfId="8429"/>
    <cellStyle name="Separador de milhares 3 17 4 3 2" xfId="26643"/>
    <cellStyle name="Separador de milhares 3 17 4 3 2 2" xfId="51710"/>
    <cellStyle name="Separador de milhares 3 17 4 3 3" xfId="20729"/>
    <cellStyle name="Separador de milhares 3 17 4 3 3 2" xfId="45796"/>
    <cellStyle name="Separador de milhares 3 17 4 3 4" xfId="14815"/>
    <cellStyle name="Separador de milhares 3 17 4 3 4 2" xfId="39882"/>
    <cellStyle name="Separador de milhares 3 17 4 3 5" xfId="33974"/>
    <cellStyle name="Separador de milhares 3 17 4 4" xfId="5051"/>
    <cellStyle name="Separador de milhares 3 17 4 4 2" xfId="23686"/>
    <cellStyle name="Separador de milhares 3 17 4 4 2 2" xfId="48753"/>
    <cellStyle name="Separador de milhares 3 17 4 4 3" xfId="31017"/>
    <cellStyle name="Separador de milhares 3 17 4 5" xfId="17772"/>
    <cellStyle name="Separador de milhares 3 17 4 5 2" xfId="42839"/>
    <cellStyle name="Separador de milhares 3 17 4 6" xfId="11438"/>
    <cellStyle name="Separador de milhares 3 17 4 6 2" xfId="36928"/>
    <cellStyle name="Separador de milhares 3 17 4 7" xfId="29547"/>
    <cellStyle name="Separador de milhares 3 17 5" xfId="1569"/>
    <cellStyle name="Separador de milhares 3 17 5 2" xfId="6869"/>
    <cellStyle name="Separador de milhares 3 17 5 2 2" xfId="10016"/>
    <cellStyle name="Separador de milhares 3 17 5 2 2 2" xfId="28230"/>
    <cellStyle name="Separador de milhares 3 17 5 2 2 2 2" xfId="53297"/>
    <cellStyle name="Separador de milhares 3 17 5 2 2 3" xfId="22316"/>
    <cellStyle name="Separador de milhares 3 17 5 2 2 3 2" xfId="47383"/>
    <cellStyle name="Separador de milhares 3 17 5 2 2 4" xfId="16402"/>
    <cellStyle name="Separador de milhares 3 17 5 2 2 4 2" xfId="41469"/>
    <cellStyle name="Separador de milhares 3 17 5 2 2 5" xfId="35561"/>
    <cellStyle name="Separador de milhares 3 17 5 2 3" xfId="25273"/>
    <cellStyle name="Separador de milhares 3 17 5 2 3 2" xfId="50340"/>
    <cellStyle name="Separador de milhares 3 17 5 2 4" xfId="19359"/>
    <cellStyle name="Separador de milhares 3 17 5 2 4 2" xfId="44426"/>
    <cellStyle name="Separador de milhares 3 17 5 2 5" xfId="13258"/>
    <cellStyle name="Separador de milhares 3 17 5 2 5 2" xfId="38515"/>
    <cellStyle name="Separador de milhares 3 17 5 2 6" xfId="32604"/>
    <cellStyle name="Separador de milhares 3 17 5 3" xfId="8548"/>
    <cellStyle name="Separador de milhares 3 17 5 3 2" xfId="26762"/>
    <cellStyle name="Separador de milhares 3 17 5 3 2 2" xfId="51829"/>
    <cellStyle name="Separador de milhares 3 17 5 3 3" xfId="20848"/>
    <cellStyle name="Separador de milhares 3 17 5 3 3 2" xfId="45915"/>
    <cellStyle name="Separador de milhares 3 17 5 3 4" xfId="14934"/>
    <cellStyle name="Separador de milhares 3 17 5 3 4 2" xfId="40001"/>
    <cellStyle name="Separador de milhares 3 17 5 3 5" xfId="34093"/>
    <cellStyle name="Separador de milhares 3 17 5 4" xfId="5170"/>
    <cellStyle name="Separador de milhares 3 17 5 4 2" xfId="23805"/>
    <cellStyle name="Separador de milhares 3 17 5 4 2 2" xfId="48872"/>
    <cellStyle name="Separador de milhares 3 17 5 4 3" xfId="31136"/>
    <cellStyle name="Separador de milhares 3 17 5 5" xfId="17891"/>
    <cellStyle name="Separador de milhares 3 17 5 5 2" xfId="42958"/>
    <cellStyle name="Separador de milhares 3 17 5 6" xfId="11557"/>
    <cellStyle name="Separador de milhares 3 17 5 6 2" xfId="37047"/>
    <cellStyle name="Separador de milhares 3 17 5 7" xfId="29666"/>
    <cellStyle name="Separador de milhares 3 17 6" xfId="2099"/>
    <cellStyle name="Separador de milhares 3 17 6 2" xfId="7019"/>
    <cellStyle name="Separador de milhares 3 17 6 2 2" xfId="10163"/>
    <cellStyle name="Separador de milhares 3 17 6 2 2 2" xfId="28377"/>
    <cellStyle name="Separador de milhares 3 17 6 2 2 2 2" xfId="53444"/>
    <cellStyle name="Separador de milhares 3 17 6 2 2 3" xfId="22463"/>
    <cellStyle name="Separador de milhares 3 17 6 2 2 3 2" xfId="47530"/>
    <cellStyle name="Separador de milhares 3 17 6 2 2 4" xfId="16549"/>
    <cellStyle name="Separador de milhares 3 17 6 2 2 4 2" xfId="41616"/>
    <cellStyle name="Separador de milhares 3 17 6 2 2 5" xfId="35708"/>
    <cellStyle name="Separador de milhares 3 17 6 2 3" xfId="25420"/>
    <cellStyle name="Separador de milhares 3 17 6 2 3 2" xfId="50487"/>
    <cellStyle name="Separador de milhares 3 17 6 2 4" xfId="19506"/>
    <cellStyle name="Separador de milhares 3 17 6 2 4 2" xfId="44573"/>
    <cellStyle name="Separador de milhares 3 17 6 2 5" xfId="13408"/>
    <cellStyle name="Separador de milhares 3 17 6 2 5 2" xfId="38662"/>
    <cellStyle name="Separador de milhares 3 17 6 2 6" xfId="32751"/>
    <cellStyle name="Separador de milhares 3 17 6 3" xfId="8695"/>
    <cellStyle name="Separador de milhares 3 17 6 3 2" xfId="26909"/>
    <cellStyle name="Separador de milhares 3 17 6 3 2 2" xfId="51976"/>
    <cellStyle name="Separador de milhares 3 17 6 3 3" xfId="20995"/>
    <cellStyle name="Separador de milhares 3 17 6 3 3 2" xfId="46062"/>
    <cellStyle name="Separador de milhares 3 17 6 3 4" xfId="15081"/>
    <cellStyle name="Separador de milhares 3 17 6 3 4 2" xfId="40148"/>
    <cellStyle name="Separador de milhares 3 17 6 3 5" xfId="34240"/>
    <cellStyle name="Separador de milhares 3 17 6 4" xfId="5320"/>
    <cellStyle name="Separador de milhares 3 17 6 4 2" xfId="23952"/>
    <cellStyle name="Separador de milhares 3 17 6 4 2 2" xfId="49019"/>
    <cellStyle name="Separador de milhares 3 17 6 4 3" xfId="31283"/>
    <cellStyle name="Separador de milhares 3 17 6 5" xfId="18038"/>
    <cellStyle name="Separador de milhares 3 17 6 5 2" xfId="43105"/>
    <cellStyle name="Separador de milhares 3 17 6 6" xfId="11707"/>
    <cellStyle name="Separador de milhares 3 17 6 6 2" xfId="37194"/>
    <cellStyle name="Separador de milhares 3 17 6 7" xfId="29813"/>
    <cellStyle name="Separador de milhares 3 17 7" xfId="2626"/>
    <cellStyle name="Separador de milhares 3 17 7 2" xfId="7166"/>
    <cellStyle name="Separador de milhares 3 17 7 2 2" xfId="10310"/>
    <cellStyle name="Separador de milhares 3 17 7 2 2 2" xfId="28524"/>
    <cellStyle name="Separador de milhares 3 17 7 2 2 2 2" xfId="53591"/>
    <cellStyle name="Separador de milhares 3 17 7 2 2 3" xfId="22610"/>
    <cellStyle name="Separador de milhares 3 17 7 2 2 3 2" xfId="47677"/>
    <cellStyle name="Separador de milhares 3 17 7 2 2 4" xfId="16696"/>
    <cellStyle name="Separador de milhares 3 17 7 2 2 4 2" xfId="41763"/>
    <cellStyle name="Separador de milhares 3 17 7 2 2 5" xfId="35855"/>
    <cellStyle name="Separador de milhares 3 17 7 2 3" xfId="25567"/>
    <cellStyle name="Separador de milhares 3 17 7 2 3 2" xfId="50634"/>
    <cellStyle name="Separador de milhares 3 17 7 2 4" xfId="19653"/>
    <cellStyle name="Separador de milhares 3 17 7 2 4 2" xfId="44720"/>
    <cellStyle name="Separador de milhares 3 17 7 2 5" xfId="13555"/>
    <cellStyle name="Separador de milhares 3 17 7 2 5 2" xfId="38809"/>
    <cellStyle name="Separador de milhares 3 17 7 2 6" xfId="32898"/>
    <cellStyle name="Separador de milhares 3 17 7 3" xfId="8842"/>
    <cellStyle name="Separador de milhares 3 17 7 3 2" xfId="27056"/>
    <cellStyle name="Separador de milhares 3 17 7 3 2 2" xfId="52123"/>
    <cellStyle name="Separador de milhares 3 17 7 3 3" xfId="21142"/>
    <cellStyle name="Separador de milhares 3 17 7 3 3 2" xfId="46209"/>
    <cellStyle name="Separador de milhares 3 17 7 3 4" xfId="15228"/>
    <cellStyle name="Separador de milhares 3 17 7 3 4 2" xfId="40295"/>
    <cellStyle name="Separador de milhares 3 17 7 3 5" xfId="34387"/>
    <cellStyle name="Separador de milhares 3 17 7 4" xfId="5467"/>
    <cellStyle name="Separador de milhares 3 17 7 4 2" xfId="24099"/>
    <cellStyle name="Separador de milhares 3 17 7 4 2 2" xfId="49166"/>
    <cellStyle name="Separador de milhares 3 17 7 4 3" xfId="31430"/>
    <cellStyle name="Separador de milhares 3 17 7 5" xfId="18185"/>
    <cellStyle name="Separador de milhares 3 17 7 5 2" xfId="43252"/>
    <cellStyle name="Separador de milhares 3 17 7 6" xfId="11854"/>
    <cellStyle name="Separador de milhares 3 17 7 6 2" xfId="37341"/>
    <cellStyle name="Separador de milhares 3 17 7 7" xfId="29960"/>
    <cellStyle name="Separador de milhares 3 17 8" xfId="3153"/>
    <cellStyle name="Separador de milhares 3 17 8 2" xfId="7313"/>
    <cellStyle name="Separador de milhares 3 17 8 2 2" xfId="10457"/>
    <cellStyle name="Separador de milhares 3 17 8 2 2 2" xfId="28671"/>
    <cellStyle name="Separador de milhares 3 17 8 2 2 2 2" xfId="53738"/>
    <cellStyle name="Separador de milhares 3 17 8 2 2 3" xfId="22757"/>
    <cellStyle name="Separador de milhares 3 17 8 2 2 3 2" xfId="47824"/>
    <cellStyle name="Separador de milhares 3 17 8 2 2 4" xfId="16843"/>
    <cellStyle name="Separador de milhares 3 17 8 2 2 4 2" xfId="41910"/>
    <cellStyle name="Separador de milhares 3 17 8 2 2 5" xfId="36002"/>
    <cellStyle name="Separador de milhares 3 17 8 2 3" xfId="25714"/>
    <cellStyle name="Separador de milhares 3 17 8 2 3 2" xfId="50781"/>
    <cellStyle name="Separador de milhares 3 17 8 2 4" xfId="19800"/>
    <cellStyle name="Separador de milhares 3 17 8 2 4 2" xfId="44867"/>
    <cellStyle name="Separador de milhares 3 17 8 2 5" xfId="13702"/>
    <cellStyle name="Separador de milhares 3 17 8 2 5 2" xfId="38956"/>
    <cellStyle name="Separador de milhares 3 17 8 2 6" xfId="33045"/>
    <cellStyle name="Separador de milhares 3 17 8 3" xfId="8989"/>
    <cellStyle name="Separador de milhares 3 17 8 3 2" xfId="27203"/>
    <cellStyle name="Separador de milhares 3 17 8 3 2 2" xfId="52270"/>
    <cellStyle name="Separador de milhares 3 17 8 3 3" xfId="21289"/>
    <cellStyle name="Separador de milhares 3 17 8 3 3 2" xfId="46356"/>
    <cellStyle name="Separador de milhares 3 17 8 3 4" xfId="15375"/>
    <cellStyle name="Separador de milhares 3 17 8 3 4 2" xfId="40442"/>
    <cellStyle name="Separador de milhares 3 17 8 3 5" xfId="34534"/>
    <cellStyle name="Separador de milhares 3 17 8 4" xfId="5614"/>
    <cellStyle name="Separador de milhares 3 17 8 4 2" xfId="24246"/>
    <cellStyle name="Separador de milhares 3 17 8 4 2 2" xfId="49313"/>
    <cellStyle name="Separador de milhares 3 17 8 4 3" xfId="31577"/>
    <cellStyle name="Separador de milhares 3 17 8 5" xfId="18332"/>
    <cellStyle name="Separador de milhares 3 17 8 5 2" xfId="43399"/>
    <cellStyle name="Separador de milhares 3 17 8 6" xfId="12001"/>
    <cellStyle name="Separador de milhares 3 17 8 6 2" xfId="37488"/>
    <cellStyle name="Separador de milhares 3 17 8 7" xfId="30107"/>
    <cellStyle name="Separador de milhares 3 17 9" xfId="3680"/>
    <cellStyle name="Separador de milhares 3 17 9 2" xfId="7460"/>
    <cellStyle name="Separador de milhares 3 17 9 2 2" xfId="10604"/>
    <cellStyle name="Separador de milhares 3 17 9 2 2 2" xfId="28818"/>
    <cellStyle name="Separador de milhares 3 17 9 2 2 2 2" xfId="53885"/>
    <cellStyle name="Separador de milhares 3 17 9 2 2 3" xfId="22904"/>
    <cellStyle name="Separador de milhares 3 17 9 2 2 3 2" xfId="47971"/>
    <cellStyle name="Separador de milhares 3 17 9 2 2 4" xfId="16990"/>
    <cellStyle name="Separador de milhares 3 17 9 2 2 4 2" xfId="42057"/>
    <cellStyle name="Separador de milhares 3 17 9 2 2 5" xfId="36149"/>
    <cellStyle name="Separador de milhares 3 17 9 2 3" xfId="25861"/>
    <cellStyle name="Separador de milhares 3 17 9 2 3 2" xfId="50928"/>
    <cellStyle name="Separador de milhares 3 17 9 2 4" xfId="19947"/>
    <cellStyle name="Separador de milhares 3 17 9 2 4 2" xfId="45014"/>
    <cellStyle name="Separador de milhares 3 17 9 2 5" xfId="13849"/>
    <cellStyle name="Separador de milhares 3 17 9 2 5 2" xfId="39103"/>
    <cellStyle name="Separador de milhares 3 17 9 2 6" xfId="33192"/>
    <cellStyle name="Separador de milhares 3 17 9 3" xfId="9136"/>
    <cellStyle name="Separador de milhares 3 17 9 3 2" xfId="27350"/>
    <cellStyle name="Separador de milhares 3 17 9 3 2 2" xfId="52417"/>
    <cellStyle name="Separador de milhares 3 17 9 3 3" xfId="21436"/>
    <cellStyle name="Separador de milhares 3 17 9 3 3 2" xfId="46503"/>
    <cellStyle name="Separador de milhares 3 17 9 3 4" xfId="15522"/>
    <cellStyle name="Separador de milhares 3 17 9 3 4 2" xfId="40589"/>
    <cellStyle name="Separador de milhares 3 17 9 3 5" xfId="34681"/>
    <cellStyle name="Separador de milhares 3 17 9 4" xfId="5761"/>
    <cellStyle name="Separador de milhares 3 17 9 4 2" xfId="24393"/>
    <cellStyle name="Separador de milhares 3 17 9 4 2 2" xfId="49460"/>
    <cellStyle name="Separador de milhares 3 17 9 4 3" xfId="31724"/>
    <cellStyle name="Separador de milhares 3 17 9 5" xfId="18479"/>
    <cellStyle name="Separador de milhares 3 17 9 5 2" xfId="43546"/>
    <cellStyle name="Separador de milhares 3 17 9 6" xfId="12148"/>
    <cellStyle name="Separador de milhares 3 17 9 6 2" xfId="37635"/>
    <cellStyle name="Separador de milhares 3 17 9 7" xfId="30254"/>
    <cellStyle name="Separador de milhares 3 18" xfId="316"/>
    <cellStyle name="Separador de milhares 3 18 10" xfId="6507"/>
    <cellStyle name="Separador de milhares 3 18 10 2" xfId="9655"/>
    <cellStyle name="Separador de milhares 3 18 10 2 2" xfId="27869"/>
    <cellStyle name="Separador de milhares 3 18 10 2 2 2" xfId="52936"/>
    <cellStyle name="Separador de milhares 3 18 10 2 3" xfId="21955"/>
    <cellStyle name="Separador de milhares 3 18 10 2 3 2" xfId="47022"/>
    <cellStyle name="Separador de milhares 3 18 10 2 4" xfId="16041"/>
    <cellStyle name="Separador de milhares 3 18 10 2 4 2" xfId="41108"/>
    <cellStyle name="Separador de milhares 3 18 10 2 5" xfId="35200"/>
    <cellStyle name="Separador de milhares 3 18 10 3" xfId="24912"/>
    <cellStyle name="Separador de milhares 3 18 10 3 2" xfId="49979"/>
    <cellStyle name="Separador de milhares 3 18 10 4" xfId="18998"/>
    <cellStyle name="Separador de milhares 3 18 10 4 2" xfId="44065"/>
    <cellStyle name="Separador de milhares 3 18 10 5" xfId="12896"/>
    <cellStyle name="Separador de milhares 3 18 10 5 2" xfId="38154"/>
    <cellStyle name="Separador de milhares 3 18 10 6" xfId="32243"/>
    <cellStyle name="Separador de milhares 3 18 11" xfId="8184"/>
    <cellStyle name="Separador de milhares 3 18 11 2" xfId="26398"/>
    <cellStyle name="Separador de milhares 3 18 11 2 2" xfId="51465"/>
    <cellStyle name="Separador de milhares 3 18 11 3" xfId="20484"/>
    <cellStyle name="Separador de milhares 3 18 11 3 2" xfId="45551"/>
    <cellStyle name="Separador de milhares 3 18 11 4" xfId="14573"/>
    <cellStyle name="Separador de milhares 3 18 11 4 2" xfId="39640"/>
    <cellStyle name="Separador de milhares 3 18 11 5" xfId="33729"/>
    <cellStyle name="Separador de milhares 3 18 12" xfId="4806"/>
    <cellStyle name="Separador de milhares 3 18 12 2" xfId="23441"/>
    <cellStyle name="Separador de milhares 3 18 12 2 2" xfId="48508"/>
    <cellStyle name="Separador de milhares 3 18 12 3" xfId="30773"/>
    <cellStyle name="Separador de milhares 3 18 13" xfId="17527"/>
    <cellStyle name="Separador de milhares 3 18 13 2" xfId="42594"/>
    <cellStyle name="Separador de milhares 3 18 14" xfId="11195"/>
    <cellStyle name="Separador de milhares 3 18 14 2" xfId="36686"/>
    <cellStyle name="Separador de milhares 3 18 15" xfId="29302"/>
    <cellStyle name="Separador de milhares 3 18 2" xfId="961"/>
    <cellStyle name="Separador de milhares 3 18 2 2" xfId="6704"/>
    <cellStyle name="Separador de milhares 3 18 2 2 2" xfId="9851"/>
    <cellStyle name="Separador de milhares 3 18 2 2 2 2" xfId="28065"/>
    <cellStyle name="Separador de milhares 3 18 2 2 2 2 2" xfId="53132"/>
    <cellStyle name="Separador de milhares 3 18 2 2 2 3" xfId="22151"/>
    <cellStyle name="Separador de milhares 3 18 2 2 2 3 2" xfId="47218"/>
    <cellStyle name="Separador de milhares 3 18 2 2 2 4" xfId="16237"/>
    <cellStyle name="Separador de milhares 3 18 2 2 2 4 2" xfId="41304"/>
    <cellStyle name="Separador de milhares 3 18 2 2 2 5" xfId="35396"/>
    <cellStyle name="Separador de milhares 3 18 2 2 3" xfId="25108"/>
    <cellStyle name="Separador de milhares 3 18 2 2 3 2" xfId="50175"/>
    <cellStyle name="Separador de milhares 3 18 2 2 4" xfId="19194"/>
    <cellStyle name="Separador de milhares 3 18 2 2 4 2" xfId="44261"/>
    <cellStyle name="Separador de milhares 3 18 2 2 5" xfId="13093"/>
    <cellStyle name="Separador de milhares 3 18 2 2 5 2" xfId="38350"/>
    <cellStyle name="Separador de milhares 3 18 2 2 6" xfId="32439"/>
    <cellStyle name="Separador de milhares 3 18 2 3" xfId="8383"/>
    <cellStyle name="Separador de milhares 3 18 2 3 2" xfId="26597"/>
    <cellStyle name="Separador de milhares 3 18 2 3 2 2" xfId="51664"/>
    <cellStyle name="Separador de milhares 3 18 2 3 3" xfId="20683"/>
    <cellStyle name="Separador de milhares 3 18 2 3 3 2" xfId="45750"/>
    <cellStyle name="Separador de milhares 3 18 2 3 4" xfId="14769"/>
    <cellStyle name="Separador de milhares 3 18 2 3 4 2" xfId="39836"/>
    <cellStyle name="Separador de milhares 3 18 2 3 5" xfId="33928"/>
    <cellStyle name="Separador de milhares 3 18 2 4" xfId="5005"/>
    <cellStyle name="Separador de milhares 3 18 2 4 2" xfId="23640"/>
    <cellStyle name="Separador de milhares 3 18 2 4 2 2" xfId="48707"/>
    <cellStyle name="Separador de milhares 3 18 2 4 3" xfId="30971"/>
    <cellStyle name="Separador de milhares 3 18 2 5" xfId="17726"/>
    <cellStyle name="Separador de milhares 3 18 2 5 2" xfId="42793"/>
    <cellStyle name="Separador de milhares 3 18 2 6" xfId="11392"/>
    <cellStyle name="Separador de milhares 3 18 2 6 2" xfId="36882"/>
    <cellStyle name="Separador de milhares 3 18 2 7" xfId="29501"/>
    <cellStyle name="Separador de milhares 3 18 3" xfId="1312"/>
    <cellStyle name="Separador de milhares 3 18 3 2" xfId="6802"/>
    <cellStyle name="Separador de milhares 3 18 3 2 2" xfId="9949"/>
    <cellStyle name="Separador de milhares 3 18 3 2 2 2" xfId="28163"/>
    <cellStyle name="Separador de milhares 3 18 3 2 2 2 2" xfId="53230"/>
    <cellStyle name="Separador de milhares 3 18 3 2 2 3" xfId="22249"/>
    <cellStyle name="Separador de milhares 3 18 3 2 2 3 2" xfId="47316"/>
    <cellStyle name="Separador de milhares 3 18 3 2 2 4" xfId="16335"/>
    <cellStyle name="Separador de milhares 3 18 3 2 2 4 2" xfId="41402"/>
    <cellStyle name="Separador de milhares 3 18 3 2 2 5" xfId="35494"/>
    <cellStyle name="Separador de milhares 3 18 3 2 3" xfId="25206"/>
    <cellStyle name="Separador de milhares 3 18 3 2 3 2" xfId="50273"/>
    <cellStyle name="Separador de milhares 3 18 3 2 4" xfId="19292"/>
    <cellStyle name="Separador de milhares 3 18 3 2 4 2" xfId="44359"/>
    <cellStyle name="Separador de milhares 3 18 3 2 5" xfId="13191"/>
    <cellStyle name="Separador de milhares 3 18 3 2 5 2" xfId="38448"/>
    <cellStyle name="Separador de milhares 3 18 3 2 6" xfId="32537"/>
    <cellStyle name="Separador de milhares 3 18 3 3" xfId="8481"/>
    <cellStyle name="Separador de milhares 3 18 3 3 2" xfId="26695"/>
    <cellStyle name="Separador de milhares 3 18 3 3 2 2" xfId="51762"/>
    <cellStyle name="Separador de milhares 3 18 3 3 3" xfId="20781"/>
    <cellStyle name="Separador de milhares 3 18 3 3 3 2" xfId="45848"/>
    <cellStyle name="Separador de milhares 3 18 3 3 4" xfId="14867"/>
    <cellStyle name="Separador de milhares 3 18 3 3 4 2" xfId="39934"/>
    <cellStyle name="Separador de milhares 3 18 3 3 5" xfId="34026"/>
    <cellStyle name="Separador de milhares 3 18 3 4" xfId="5103"/>
    <cellStyle name="Separador de milhares 3 18 3 4 2" xfId="23738"/>
    <cellStyle name="Separador de milhares 3 18 3 4 2 2" xfId="48805"/>
    <cellStyle name="Separador de milhares 3 18 3 4 3" xfId="31069"/>
    <cellStyle name="Separador de milhares 3 18 3 5" xfId="17824"/>
    <cellStyle name="Separador de milhares 3 18 3 5 2" xfId="42891"/>
    <cellStyle name="Separador de milhares 3 18 3 6" xfId="11490"/>
    <cellStyle name="Separador de milhares 3 18 3 6 2" xfId="36980"/>
    <cellStyle name="Separador de milhares 3 18 3 7" xfId="29599"/>
    <cellStyle name="Separador de milhares 3 18 4" xfId="1747"/>
    <cellStyle name="Separador de milhares 3 18 4 2" xfId="6921"/>
    <cellStyle name="Separador de milhares 3 18 4 2 2" xfId="10068"/>
    <cellStyle name="Separador de milhares 3 18 4 2 2 2" xfId="28282"/>
    <cellStyle name="Separador de milhares 3 18 4 2 2 2 2" xfId="53349"/>
    <cellStyle name="Separador de milhares 3 18 4 2 2 3" xfId="22368"/>
    <cellStyle name="Separador de milhares 3 18 4 2 2 3 2" xfId="47435"/>
    <cellStyle name="Separador de milhares 3 18 4 2 2 4" xfId="16454"/>
    <cellStyle name="Separador de milhares 3 18 4 2 2 4 2" xfId="41521"/>
    <cellStyle name="Separador de milhares 3 18 4 2 2 5" xfId="35613"/>
    <cellStyle name="Separador de milhares 3 18 4 2 3" xfId="25325"/>
    <cellStyle name="Separador de milhares 3 18 4 2 3 2" xfId="50392"/>
    <cellStyle name="Separador de milhares 3 18 4 2 4" xfId="19411"/>
    <cellStyle name="Separador de milhares 3 18 4 2 4 2" xfId="44478"/>
    <cellStyle name="Separador de milhares 3 18 4 2 5" xfId="13310"/>
    <cellStyle name="Separador de milhares 3 18 4 2 5 2" xfId="38567"/>
    <cellStyle name="Separador de milhares 3 18 4 2 6" xfId="32656"/>
    <cellStyle name="Separador de milhares 3 18 4 3" xfId="8600"/>
    <cellStyle name="Separador de milhares 3 18 4 3 2" xfId="26814"/>
    <cellStyle name="Separador de milhares 3 18 4 3 2 2" xfId="51881"/>
    <cellStyle name="Separador de milhares 3 18 4 3 3" xfId="20900"/>
    <cellStyle name="Separador de milhares 3 18 4 3 3 2" xfId="45967"/>
    <cellStyle name="Separador de milhares 3 18 4 3 4" xfId="14986"/>
    <cellStyle name="Separador de milhares 3 18 4 3 4 2" xfId="40053"/>
    <cellStyle name="Separador de milhares 3 18 4 3 5" xfId="34145"/>
    <cellStyle name="Separador de milhares 3 18 4 4" xfId="5222"/>
    <cellStyle name="Separador de milhares 3 18 4 4 2" xfId="23857"/>
    <cellStyle name="Separador de milhares 3 18 4 4 2 2" xfId="48924"/>
    <cellStyle name="Separador de milhares 3 18 4 4 3" xfId="31188"/>
    <cellStyle name="Separador de milhares 3 18 4 5" xfId="17943"/>
    <cellStyle name="Separador de milhares 3 18 4 5 2" xfId="43010"/>
    <cellStyle name="Separador de milhares 3 18 4 6" xfId="11609"/>
    <cellStyle name="Separador de milhares 3 18 4 6 2" xfId="37099"/>
    <cellStyle name="Separador de milhares 3 18 4 7" xfId="29718"/>
    <cellStyle name="Separador de milhares 3 18 5" xfId="2277"/>
    <cellStyle name="Separador de milhares 3 18 5 2" xfId="7071"/>
    <cellStyle name="Separador de milhares 3 18 5 2 2" xfId="10215"/>
    <cellStyle name="Separador de milhares 3 18 5 2 2 2" xfId="28429"/>
    <cellStyle name="Separador de milhares 3 18 5 2 2 2 2" xfId="53496"/>
    <cellStyle name="Separador de milhares 3 18 5 2 2 3" xfId="22515"/>
    <cellStyle name="Separador de milhares 3 18 5 2 2 3 2" xfId="47582"/>
    <cellStyle name="Separador de milhares 3 18 5 2 2 4" xfId="16601"/>
    <cellStyle name="Separador de milhares 3 18 5 2 2 4 2" xfId="41668"/>
    <cellStyle name="Separador de milhares 3 18 5 2 2 5" xfId="35760"/>
    <cellStyle name="Separador de milhares 3 18 5 2 3" xfId="25472"/>
    <cellStyle name="Separador de milhares 3 18 5 2 3 2" xfId="50539"/>
    <cellStyle name="Separador de milhares 3 18 5 2 4" xfId="19558"/>
    <cellStyle name="Separador de milhares 3 18 5 2 4 2" xfId="44625"/>
    <cellStyle name="Separador de milhares 3 18 5 2 5" xfId="13460"/>
    <cellStyle name="Separador de milhares 3 18 5 2 5 2" xfId="38714"/>
    <cellStyle name="Separador de milhares 3 18 5 2 6" xfId="32803"/>
    <cellStyle name="Separador de milhares 3 18 5 3" xfId="8747"/>
    <cellStyle name="Separador de milhares 3 18 5 3 2" xfId="26961"/>
    <cellStyle name="Separador de milhares 3 18 5 3 2 2" xfId="52028"/>
    <cellStyle name="Separador de milhares 3 18 5 3 3" xfId="21047"/>
    <cellStyle name="Separador de milhares 3 18 5 3 3 2" xfId="46114"/>
    <cellStyle name="Separador de milhares 3 18 5 3 4" xfId="15133"/>
    <cellStyle name="Separador de milhares 3 18 5 3 4 2" xfId="40200"/>
    <cellStyle name="Separador de milhares 3 18 5 3 5" xfId="34292"/>
    <cellStyle name="Separador de milhares 3 18 5 4" xfId="5372"/>
    <cellStyle name="Separador de milhares 3 18 5 4 2" xfId="24004"/>
    <cellStyle name="Separador de milhares 3 18 5 4 2 2" xfId="49071"/>
    <cellStyle name="Separador de milhares 3 18 5 4 3" xfId="31335"/>
    <cellStyle name="Separador de milhares 3 18 5 5" xfId="18090"/>
    <cellStyle name="Separador de milhares 3 18 5 5 2" xfId="43157"/>
    <cellStyle name="Separador de milhares 3 18 5 6" xfId="11759"/>
    <cellStyle name="Separador de milhares 3 18 5 6 2" xfId="37246"/>
    <cellStyle name="Separador de milhares 3 18 5 7" xfId="29865"/>
    <cellStyle name="Separador de milhares 3 18 6" xfId="2804"/>
    <cellStyle name="Separador de milhares 3 18 6 2" xfId="7218"/>
    <cellStyle name="Separador de milhares 3 18 6 2 2" xfId="10362"/>
    <cellStyle name="Separador de milhares 3 18 6 2 2 2" xfId="28576"/>
    <cellStyle name="Separador de milhares 3 18 6 2 2 2 2" xfId="53643"/>
    <cellStyle name="Separador de milhares 3 18 6 2 2 3" xfId="22662"/>
    <cellStyle name="Separador de milhares 3 18 6 2 2 3 2" xfId="47729"/>
    <cellStyle name="Separador de milhares 3 18 6 2 2 4" xfId="16748"/>
    <cellStyle name="Separador de milhares 3 18 6 2 2 4 2" xfId="41815"/>
    <cellStyle name="Separador de milhares 3 18 6 2 2 5" xfId="35907"/>
    <cellStyle name="Separador de milhares 3 18 6 2 3" xfId="25619"/>
    <cellStyle name="Separador de milhares 3 18 6 2 3 2" xfId="50686"/>
    <cellStyle name="Separador de milhares 3 18 6 2 4" xfId="19705"/>
    <cellStyle name="Separador de milhares 3 18 6 2 4 2" xfId="44772"/>
    <cellStyle name="Separador de milhares 3 18 6 2 5" xfId="13607"/>
    <cellStyle name="Separador de milhares 3 18 6 2 5 2" xfId="38861"/>
    <cellStyle name="Separador de milhares 3 18 6 2 6" xfId="32950"/>
    <cellStyle name="Separador de milhares 3 18 6 3" xfId="8894"/>
    <cellStyle name="Separador de milhares 3 18 6 3 2" xfId="27108"/>
    <cellStyle name="Separador de milhares 3 18 6 3 2 2" xfId="52175"/>
    <cellStyle name="Separador de milhares 3 18 6 3 3" xfId="21194"/>
    <cellStyle name="Separador de milhares 3 18 6 3 3 2" xfId="46261"/>
    <cellStyle name="Separador de milhares 3 18 6 3 4" xfId="15280"/>
    <cellStyle name="Separador de milhares 3 18 6 3 4 2" xfId="40347"/>
    <cellStyle name="Separador de milhares 3 18 6 3 5" xfId="34439"/>
    <cellStyle name="Separador de milhares 3 18 6 4" xfId="5519"/>
    <cellStyle name="Separador de milhares 3 18 6 4 2" xfId="24151"/>
    <cellStyle name="Separador de milhares 3 18 6 4 2 2" xfId="49218"/>
    <cellStyle name="Separador de milhares 3 18 6 4 3" xfId="31482"/>
    <cellStyle name="Separador de milhares 3 18 6 5" xfId="18237"/>
    <cellStyle name="Separador de milhares 3 18 6 5 2" xfId="43304"/>
    <cellStyle name="Separador de milhares 3 18 6 6" xfId="11906"/>
    <cellStyle name="Separador de milhares 3 18 6 6 2" xfId="37393"/>
    <cellStyle name="Separador de milhares 3 18 6 7" xfId="30012"/>
    <cellStyle name="Separador de milhares 3 18 7" xfId="3331"/>
    <cellStyle name="Separador de milhares 3 18 7 2" xfId="7365"/>
    <cellStyle name="Separador de milhares 3 18 7 2 2" xfId="10509"/>
    <cellStyle name="Separador de milhares 3 18 7 2 2 2" xfId="28723"/>
    <cellStyle name="Separador de milhares 3 18 7 2 2 2 2" xfId="53790"/>
    <cellStyle name="Separador de milhares 3 18 7 2 2 3" xfId="22809"/>
    <cellStyle name="Separador de milhares 3 18 7 2 2 3 2" xfId="47876"/>
    <cellStyle name="Separador de milhares 3 18 7 2 2 4" xfId="16895"/>
    <cellStyle name="Separador de milhares 3 18 7 2 2 4 2" xfId="41962"/>
    <cellStyle name="Separador de milhares 3 18 7 2 2 5" xfId="36054"/>
    <cellStyle name="Separador de milhares 3 18 7 2 3" xfId="25766"/>
    <cellStyle name="Separador de milhares 3 18 7 2 3 2" xfId="50833"/>
    <cellStyle name="Separador de milhares 3 18 7 2 4" xfId="19852"/>
    <cellStyle name="Separador de milhares 3 18 7 2 4 2" xfId="44919"/>
    <cellStyle name="Separador de milhares 3 18 7 2 5" xfId="13754"/>
    <cellStyle name="Separador de milhares 3 18 7 2 5 2" xfId="39008"/>
    <cellStyle name="Separador de milhares 3 18 7 2 6" xfId="33097"/>
    <cellStyle name="Separador de milhares 3 18 7 3" xfId="9041"/>
    <cellStyle name="Separador de milhares 3 18 7 3 2" xfId="27255"/>
    <cellStyle name="Separador de milhares 3 18 7 3 2 2" xfId="52322"/>
    <cellStyle name="Separador de milhares 3 18 7 3 3" xfId="21341"/>
    <cellStyle name="Separador de milhares 3 18 7 3 3 2" xfId="46408"/>
    <cellStyle name="Separador de milhares 3 18 7 3 4" xfId="15427"/>
    <cellStyle name="Separador de milhares 3 18 7 3 4 2" xfId="40494"/>
    <cellStyle name="Separador de milhares 3 18 7 3 5" xfId="34586"/>
    <cellStyle name="Separador de milhares 3 18 7 4" xfId="5666"/>
    <cellStyle name="Separador de milhares 3 18 7 4 2" xfId="24298"/>
    <cellStyle name="Separador de milhares 3 18 7 4 2 2" xfId="49365"/>
    <cellStyle name="Separador de milhares 3 18 7 4 3" xfId="31629"/>
    <cellStyle name="Separador de milhares 3 18 7 5" xfId="18384"/>
    <cellStyle name="Separador de milhares 3 18 7 5 2" xfId="43451"/>
    <cellStyle name="Separador de milhares 3 18 7 6" xfId="12053"/>
    <cellStyle name="Separador de milhares 3 18 7 6 2" xfId="37540"/>
    <cellStyle name="Separador de milhares 3 18 7 7" xfId="30159"/>
    <cellStyle name="Separador de milhares 3 18 8" xfId="3858"/>
    <cellStyle name="Separador de milhares 3 18 8 2" xfId="7512"/>
    <cellStyle name="Separador de milhares 3 18 8 2 2" xfId="10656"/>
    <cellStyle name="Separador de milhares 3 18 8 2 2 2" xfId="28870"/>
    <cellStyle name="Separador de milhares 3 18 8 2 2 2 2" xfId="53937"/>
    <cellStyle name="Separador de milhares 3 18 8 2 2 3" xfId="22956"/>
    <cellStyle name="Separador de milhares 3 18 8 2 2 3 2" xfId="48023"/>
    <cellStyle name="Separador de milhares 3 18 8 2 2 4" xfId="17042"/>
    <cellStyle name="Separador de milhares 3 18 8 2 2 4 2" xfId="42109"/>
    <cellStyle name="Separador de milhares 3 18 8 2 2 5" xfId="36201"/>
    <cellStyle name="Separador de milhares 3 18 8 2 3" xfId="25913"/>
    <cellStyle name="Separador de milhares 3 18 8 2 3 2" xfId="50980"/>
    <cellStyle name="Separador de milhares 3 18 8 2 4" xfId="19999"/>
    <cellStyle name="Separador de milhares 3 18 8 2 4 2" xfId="45066"/>
    <cellStyle name="Separador de milhares 3 18 8 2 5" xfId="13901"/>
    <cellStyle name="Separador de milhares 3 18 8 2 5 2" xfId="39155"/>
    <cellStyle name="Separador de milhares 3 18 8 2 6" xfId="33244"/>
    <cellStyle name="Separador de milhares 3 18 8 3" xfId="9188"/>
    <cellStyle name="Separador de milhares 3 18 8 3 2" xfId="27402"/>
    <cellStyle name="Separador de milhares 3 18 8 3 2 2" xfId="52469"/>
    <cellStyle name="Separador de milhares 3 18 8 3 3" xfId="21488"/>
    <cellStyle name="Separador de milhares 3 18 8 3 3 2" xfId="46555"/>
    <cellStyle name="Separador de milhares 3 18 8 3 4" xfId="15574"/>
    <cellStyle name="Separador de milhares 3 18 8 3 4 2" xfId="40641"/>
    <cellStyle name="Separador de milhares 3 18 8 3 5" xfId="34733"/>
    <cellStyle name="Separador de milhares 3 18 8 4" xfId="5813"/>
    <cellStyle name="Separador de milhares 3 18 8 4 2" xfId="24445"/>
    <cellStyle name="Separador de milhares 3 18 8 4 2 2" xfId="49512"/>
    <cellStyle name="Separador de milhares 3 18 8 4 3" xfId="31776"/>
    <cellStyle name="Separador de milhares 3 18 8 5" xfId="18531"/>
    <cellStyle name="Separador de milhares 3 18 8 5 2" xfId="43598"/>
    <cellStyle name="Separador de milhares 3 18 8 6" xfId="12200"/>
    <cellStyle name="Separador de milhares 3 18 8 6 2" xfId="37687"/>
    <cellStyle name="Separador de milhares 3 18 8 7" xfId="30306"/>
    <cellStyle name="Separador de milhares 3 18 9" xfId="671"/>
    <cellStyle name="Separador de milhares 3 18 9 2" xfId="6606"/>
    <cellStyle name="Separador de milhares 3 18 9 2 2" xfId="9753"/>
    <cellStyle name="Separador de milhares 3 18 9 2 2 2" xfId="27967"/>
    <cellStyle name="Separador de milhares 3 18 9 2 2 2 2" xfId="53034"/>
    <cellStyle name="Separador de milhares 3 18 9 2 2 3" xfId="22053"/>
    <cellStyle name="Separador de milhares 3 18 9 2 2 3 2" xfId="47120"/>
    <cellStyle name="Separador de milhares 3 18 9 2 2 4" xfId="16139"/>
    <cellStyle name="Separador de milhares 3 18 9 2 2 4 2" xfId="41206"/>
    <cellStyle name="Separador de milhares 3 18 9 2 2 5" xfId="35298"/>
    <cellStyle name="Separador de milhares 3 18 9 2 3" xfId="25010"/>
    <cellStyle name="Separador de milhares 3 18 9 2 3 2" xfId="50077"/>
    <cellStyle name="Separador de milhares 3 18 9 2 4" xfId="19096"/>
    <cellStyle name="Separador de milhares 3 18 9 2 4 2" xfId="44163"/>
    <cellStyle name="Separador de milhares 3 18 9 2 5" xfId="12995"/>
    <cellStyle name="Separador de milhares 3 18 9 2 5 2" xfId="38252"/>
    <cellStyle name="Separador de milhares 3 18 9 2 6" xfId="32341"/>
    <cellStyle name="Separador de milhares 3 18 9 3" xfId="8285"/>
    <cellStyle name="Separador de milhares 3 18 9 3 2" xfId="26499"/>
    <cellStyle name="Separador de milhares 3 18 9 3 2 2" xfId="51566"/>
    <cellStyle name="Separador de milhares 3 18 9 3 3" xfId="20585"/>
    <cellStyle name="Separador de milhares 3 18 9 3 3 2" xfId="45652"/>
    <cellStyle name="Separador de milhares 3 18 9 3 4" xfId="14671"/>
    <cellStyle name="Separador de milhares 3 18 9 3 4 2" xfId="39738"/>
    <cellStyle name="Separador de milhares 3 18 9 3 5" xfId="33830"/>
    <cellStyle name="Separador de milhares 3 18 9 4" xfId="4907"/>
    <cellStyle name="Separador de milhares 3 18 9 4 2" xfId="23542"/>
    <cellStyle name="Separador de milhares 3 18 9 4 2 2" xfId="48609"/>
    <cellStyle name="Separador de milhares 3 18 9 4 3" xfId="30873"/>
    <cellStyle name="Separador de milhares 3 18 9 5" xfId="17628"/>
    <cellStyle name="Separador de milhares 3 18 9 5 2" xfId="42695"/>
    <cellStyle name="Separador de milhares 3 18 9 6" xfId="11294"/>
    <cellStyle name="Separador de milhares 3 18 9 6 2" xfId="36784"/>
    <cellStyle name="Separador de milhares 3 18 9 7" xfId="29403"/>
    <cellStyle name="Separador de milhares 3 19" xfId="573"/>
    <cellStyle name="Separador de milhares 3 19 10" xfId="4871"/>
    <cellStyle name="Separador de milhares 3 19 10 2" xfId="23505"/>
    <cellStyle name="Separador de milhares 3 19 10 2 2" xfId="48572"/>
    <cellStyle name="Separador de milhares 3 19 10 3" xfId="30837"/>
    <cellStyle name="Separador de milhares 3 19 11" xfId="17591"/>
    <cellStyle name="Separador de milhares 3 19 11 2" xfId="42658"/>
    <cellStyle name="Separador de milhares 3 19 12" xfId="11260"/>
    <cellStyle name="Separador de milhares 3 19 12 2" xfId="36750"/>
    <cellStyle name="Separador de milhares 3 19 13" xfId="29366"/>
    <cellStyle name="Separador de milhares 3 19 2" xfId="1396"/>
    <cellStyle name="Separador de milhares 3 19 2 2" xfId="6823"/>
    <cellStyle name="Separador de milhares 3 19 2 2 2" xfId="9970"/>
    <cellStyle name="Separador de milhares 3 19 2 2 2 2" xfId="28184"/>
    <cellStyle name="Separador de milhares 3 19 2 2 2 2 2" xfId="53251"/>
    <cellStyle name="Separador de milhares 3 19 2 2 2 3" xfId="22270"/>
    <cellStyle name="Separador de milhares 3 19 2 2 2 3 2" xfId="47337"/>
    <cellStyle name="Separador de milhares 3 19 2 2 2 4" xfId="16356"/>
    <cellStyle name="Separador de milhares 3 19 2 2 2 4 2" xfId="41423"/>
    <cellStyle name="Separador de milhares 3 19 2 2 2 5" xfId="35515"/>
    <cellStyle name="Separador de milhares 3 19 2 2 3" xfId="25227"/>
    <cellStyle name="Separador de milhares 3 19 2 2 3 2" xfId="50294"/>
    <cellStyle name="Separador de milhares 3 19 2 2 4" xfId="19313"/>
    <cellStyle name="Separador de milhares 3 19 2 2 4 2" xfId="44380"/>
    <cellStyle name="Separador de milhares 3 19 2 2 5" xfId="13212"/>
    <cellStyle name="Separador de milhares 3 19 2 2 5 2" xfId="38469"/>
    <cellStyle name="Separador de milhares 3 19 2 2 6" xfId="32558"/>
    <cellStyle name="Separador de milhares 3 19 2 3" xfId="8502"/>
    <cellStyle name="Separador de milhares 3 19 2 3 2" xfId="26716"/>
    <cellStyle name="Separador de milhares 3 19 2 3 2 2" xfId="51783"/>
    <cellStyle name="Separador de milhares 3 19 2 3 3" xfId="20802"/>
    <cellStyle name="Separador de milhares 3 19 2 3 3 2" xfId="45869"/>
    <cellStyle name="Separador de milhares 3 19 2 3 4" xfId="14888"/>
    <cellStyle name="Separador de milhares 3 19 2 3 4 2" xfId="39955"/>
    <cellStyle name="Separador de milhares 3 19 2 3 5" xfId="34047"/>
    <cellStyle name="Separador de milhares 3 19 2 4" xfId="5124"/>
    <cellStyle name="Separador de milhares 3 19 2 4 2" xfId="23759"/>
    <cellStyle name="Separador de milhares 3 19 2 4 2 2" xfId="48826"/>
    <cellStyle name="Separador de milhares 3 19 2 4 3" xfId="31090"/>
    <cellStyle name="Separador de milhares 3 19 2 5" xfId="17845"/>
    <cellStyle name="Separador de milhares 3 19 2 5 2" xfId="42912"/>
    <cellStyle name="Separador de milhares 3 19 2 6" xfId="11511"/>
    <cellStyle name="Separador de milhares 3 19 2 6 2" xfId="37001"/>
    <cellStyle name="Separador de milhares 3 19 2 7" xfId="29620"/>
    <cellStyle name="Separador de milhares 3 19 3" xfId="1831"/>
    <cellStyle name="Separador de milhares 3 19 3 2" xfId="6942"/>
    <cellStyle name="Separador de milhares 3 19 3 2 2" xfId="10089"/>
    <cellStyle name="Separador de milhares 3 19 3 2 2 2" xfId="28303"/>
    <cellStyle name="Separador de milhares 3 19 3 2 2 2 2" xfId="53370"/>
    <cellStyle name="Separador de milhares 3 19 3 2 2 3" xfId="22389"/>
    <cellStyle name="Separador de milhares 3 19 3 2 2 3 2" xfId="47456"/>
    <cellStyle name="Separador de milhares 3 19 3 2 2 4" xfId="16475"/>
    <cellStyle name="Separador de milhares 3 19 3 2 2 4 2" xfId="41542"/>
    <cellStyle name="Separador de milhares 3 19 3 2 2 5" xfId="35634"/>
    <cellStyle name="Separador de milhares 3 19 3 2 3" xfId="25346"/>
    <cellStyle name="Separador de milhares 3 19 3 2 3 2" xfId="50413"/>
    <cellStyle name="Separador de milhares 3 19 3 2 4" xfId="19432"/>
    <cellStyle name="Separador de milhares 3 19 3 2 4 2" xfId="44499"/>
    <cellStyle name="Separador de milhares 3 19 3 2 5" xfId="13331"/>
    <cellStyle name="Separador de milhares 3 19 3 2 5 2" xfId="38588"/>
    <cellStyle name="Separador de milhares 3 19 3 2 6" xfId="32677"/>
    <cellStyle name="Separador de milhares 3 19 3 3" xfId="8621"/>
    <cellStyle name="Separador de milhares 3 19 3 3 2" xfId="26835"/>
    <cellStyle name="Separador de milhares 3 19 3 3 2 2" xfId="51902"/>
    <cellStyle name="Separador de milhares 3 19 3 3 3" xfId="20921"/>
    <cellStyle name="Separador de milhares 3 19 3 3 3 2" xfId="45988"/>
    <cellStyle name="Separador de milhares 3 19 3 3 4" xfId="15007"/>
    <cellStyle name="Separador de milhares 3 19 3 3 4 2" xfId="40074"/>
    <cellStyle name="Separador de milhares 3 19 3 3 5" xfId="34166"/>
    <cellStyle name="Separador de milhares 3 19 3 4" xfId="5243"/>
    <cellStyle name="Separador de milhares 3 19 3 4 2" xfId="23878"/>
    <cellStyle name="Separador de milhares 3 19 3 4 2 2" xfId="48945"/>
    <cellStyle name="Separador de milhares 3 19 3 4 3" xfId="31209"/>
    <cellStyle name="Separador de milhares 3 19 3 5" xfId="17964"/>
    <cellStyle name="Separador de milhares 3 19 3 5 2" xfId="43031"/>
    <cellStyle name="Separador de milhares 3 19 3 6" xfId="11630"/>
    <cellStyle name="Separador de milhares 3 19 3 6 2" xfId="37120"/>
    <cellStyle name="Separador de milhares 3 19 3 7" xfId="29739"/>
    <cellStyle name="Separador de milhares 3 19 4" xfId="2361"/>
    <cellStyle name="Separador de milhares 3 19 4 2" xfId="7092"/>
    <cellStyle name="Separador de milhares 3 19 4 2 2" xfId="10236"/>
    <cellStyle name="Separador de milhares 3 19 4 2 2 2" xfId="28450"/>
    <cellStyle name="Separador de milhares 3 19 4 2 2 2 2" xfId="53517"/>
    <cellStyle name="Separador de milhares 3 19 4 2 2 3" xfId="22536"/>
    <cellStyle name="Separador de milhares 3 19 4 2 2 3 2" xfId="47603"/>
    <cellStyle name="Separador de milhares 3 19 4 2 2 4" xfId="16622"/>
    <cellStyle name="Separador de milhares 3 19 4 2 2 4 2" xfId="41689"/>
    <cellStyle name="Separador de milhares 3 19 4 2 2 5" xfId="35781"/>
    <cellStyle name="Separador de milhares 3 19 4 2 3" xfId="25493"/>
    <cellStyle name="Separador de milhares 3 19 4 2 3 2" xfId="50560"/>
    <cellStyle name="Separador de milhares 3 19 4 2 4" xfId="19579"/>
    <cellStyle name="Separador de milhares 3 19 4 2 4 2" xfId="44646"/>
    <cellStyle name="Separador de milhares 3 19 4 2 5" xfId="13481"/>
    <cellStyle name="Separador de milhares 3 19 4 2 5 2" xfId="38735"/>
    <cellStyle name="Separador de milhares 3 19 4 2 6" xfId="32824"/>
    <cellStyle name="Separador de milhares 3 19 4 3" xfId="8768"/>
    <cellStyle name="Separador de milhares 3 19 4 3 2" xfId="26982"/>
    <cellStyle name="Separador de milhares 3 19 4 3 2 2" xfId="52049"/>
    <cellStyle name="Separador de milhares 3 19 4 3 3" xfId="21068"/>
    <cellStyle name="Separador de milhares 3 19 4 3 3 2" xfId="46135"/>
    <cellStyle name="Separador de milhares 3 19 4 3 4" xfId="15154"/>
    <cellStyle name="Separador de milhares 3 19 4 3 4 2" xfId="40221"/>
    <cellStyle name="Separador de milhares 3 19 4 3 5" xfId="34313"/>
    <cellStyle name="Separador de milhares 3 19 4 4" xfId="5393"/>
    <cellStyle name="Separador de milhares 3 19 4 4 2" xfId="24025"/>
    <cellStyle name="Separador de milhares 3 19 4 4 2 2" xfId="49092"/>
    <cellStyle name="Separador de milhares 3 19 4 4 3" xfId="31356"/>
    <cellStyle name="Separador de milhares 3 19 4 5" xfId="18111"/>
    <cellStyle name="Separador de milhares 3 19 4 5 2" xfId="43178"/>
    <cellStyle name="Separador de milhares 3 19 4 6" xfId="11780"/>
    <cellStyle name="Separador de milhares 3 19 4 6 2" xfId="37267"/>
    <cellStyle name="Separador de milhares 3 19 4 7" xfId="29886"/>
    <cellStyle name="Separador de milhares 3 19 5" xfId="2888"/>
    <cellStyle name="Separador de milhares 3 19 5 2" xfId="7239"/>
    <cellStyle name="Separador de milhares 3 19 5 2 2" xfId="10383"/>
    <cellStyle name="Separador de milhares 3 19 5 2 2 2" xfId="28597"/>
    <cellStyle name="Separador de milhares 3 19 5 2 2 2 2" xfId="53664"/>
    <cellStyle name="Separador de milhares 3 19 5 2 2 3" xfId="22683"/>
    <cellStyle name="Separador de milhares 3 19 5 2 2 3 2" xfId="47750"/>
    <cellStyle name="Separador de milhares 3 19 5 2 2 4" xfId="16769"/>
    <cellStyle name="Separador de milhares 3 19 5 2 2 4 2" xfId="41836"/>
    <cellStyle name="Separador de milhares 3 19 5 2 2 5" xfId="35928"/>
    <cellStyle name="Separador de milhares 3 19 5 2 3" xfId="25640"/>
    <cellStyle name="Separador de milhares 3 19 5 2 3 2" xfId="50707"/>
    <cellStyle name="Separador de milhares 3 19 5 2 4" xfId="19726"/>
    <cellStyle name="Separador de milhares 3 19 5 2 4 2" xfId="44793"/>
    <cellStyle name="Separador de milhares 3 19 5 2 5" xfId="13628"/>
    <cellStyle name="Separador de milhares 3 19 5 2 5 2" xfId="38882"/>
    <cellStyle name="Separador de milhares 3 19 5 2 6" xfId="32971"/>
    <cellStyle name="Separador de milhares 3 19 5 3" xfId="8915"/>
    <cellStyle name="Separador de milhares 3 19 5 3 2" xfId="27129"/>
    <cellStyle name="Separador de milhares 3 19 5 3 2 2" xfId="52196"/>
    <cellStyle name="Separador de milhares 3 19 5 3 3" xfId="21215"/>
    <cellStyle name="Separador de milhares 3 19 5 3 3 2" xfId="46282"/>
    <cellStyle name="Separador de milhares 3 19 5 3 4" xfId="15301"/>
    <cellStyle name="Separador de milhares 3 19 5 3 4 2" xfId="40368"/>
    <cellStyle name="Separador de milhares 3 19 5 3 5" xfId="34460"/>
    <cellStyle name="Separador de milhares 3 19 5 4" xfId="5540"/>
    <cellStyle name="Separador de milhares 3 19 5 4 2" xfId="24172"/>
    <cellStyle name="Separador de milhares 3 19 5 4 2 2" xfId="49239"/>
    <cellStyle name="Separador de milhares 3 19 5 4 3" xfId="31503"/>
    <cellStyle name="Separador de milhares 3 19 5 5" xfId="18258"/>
    <cellStyle name="Separador de milhares 3 19 5 5 2" xfId="43325"/>
    <cellStyle name="Separador de milhares 3 19 5 6" xfId="11927"/>
    <cellStyle name="Separador de milhares 3 19 5 6 2" xfId="37414"/>
    <cellStyle name="Separador de milhares 3 19 5 7" xfId="30033"/>
    <cellStyle name="Separador de milhares 3 19 6" xfId="3415"/>
    <cellStyle name="Separador de milhares 3 19 6 2" xfId="7386"/>
    <cellStyle name="Separador de milhares 3 19 6 2 2" xfId="10530"/>
    <cellStyle name="Separador de milhares 3 19 6 2 2 2" xfId="28744"/>
    <cellStyle name="Separador de milhares 3 19 6 2 2 2 2" xfId="53811"/>
    <cellStyle name="Separador de milhares 3 19 6 2 2 3" xfId="22830"/>
    <cellStyle name="Separador de milhares 3 19 6 2 2 3 2" xfId="47897"/>
    <cellStyle name="Separador de milhares 3 19 6 2 2 4" xfId="16916"/>
    <cellStyle name="Separador de milhares 3 19 6 2 2 4 2" xfId="41983"/>
    <cellStyle name="Separador de milhares 3 19 6 2 2 5" xfId="36075"/>
    <cellStyle name="Separador de milhares 3 19 6 2 3" xfId="25787"/>
    <cellStyle name="Separador de milhares 3 19 6 2 3 2" xfId="50854"/>
    <cellStyle name="Separador de milhares 3 19 6 2 4" xfId="19873"/>
    <cellStyle name="Separador de milhares 3 19 6 2 4 2" xfId="44940"/>
    <cellStyle name="Separador de milhares 3 19 6 2 5" xfId="13775"/>
    <cellStyle name="Separador de milhares 3 19 6 2 5 2" xfId="39029"/>
    <cellStyle name="Separador de milhares 3 19 6 2 6" xfId="33118"/>
    <cellStyle name="Separador de milhares 3 19 6 3" xfId="9062"/>
    <cellStyle name="Separador de milhares 3 19 6 3 2" xfId="27276"/>
    <cellStyle name="Separador de milhares 3 19 6 3 2 2" xfId="52343"/>
    <cellStyle name="Separador de milhares 3 19 6 3 3" xfId="21362"/>
    <cellStyle name="Separador de milhares 3 19 6 3 3 2" xfId="46429"/>
    <cellStyle name="Separador de milhares 3 19 6 3 4" xfId="15448"/>
    <cellStyle name="Separador de milhares 3 19 6 3 4 2" xfId="40515"/>
    <cellStyle name="Separador de milhares 3 19 6 3 5" xfId="34607"/>
    <cellStyle name="Separador de milhares 3 19 6 4" xfId="5687"/>
    <cellStyle name="Separador de milhares 3 19 6 4 2" xfId="24319"/>
    <cellStyle name="Separador de milhares 3 19 6 4 2 2" xfId="49386"/>
    <cellStyle name="Separador de milhares 3 19 6 4 3" xfId="31650"/>
    <cellStyle name="Separador de milhares 3 19 6 5" xfId="18405"/>
    <cellStyle name="Separador de milhares 3 19 6 5 2" xfId="43472"/>
    <cellStyle name="Separador de milhares 3 19 6 6" xfId="12074"/>
    <cellStyle name="Separador de milhares 3 19 6 6 2" xfId="37561"/>
    <cellStyle name="Separador de milhares 3 19 6 7" xfId="30180"/>
    <cellStyle name="Separador de milhares 3 19 7" xfId="3942"/>
    <cellStyle name="Separador de milhares 3 19 7 2" xfId="7533"/>
    <cellStyle name="Separador de milhares 3 19 7 2 2" xfId="10677"/>
    <cellStyle name="Separador de milhares 3 19 7 2 2 2" xfId="28891"/>
    <cellStyle name="Separador de milhares 3 19 7 2 2 2 2" xfId="53958"/>
    <cellStyle name="Separador de milhares 3 19 7 2 2 3" xfId="22977"/>
    <cellStyle name="Separador de milhares 3 19 7 2 2 3 2" xfId="48044"/>
    <cellStyle name="Separador de milhares 3 19 7 2 2 4" xfId="17063"/>
    <cellStyle name="Separador de milhares 3 19 7 2 2 4 2" xfId="42130"/>
    <cellStyle name="Separador de milhares 3 19 7 2 2 5" xfId="36222"/>
    <cellStyle name="Separador de milhares 3 19 7 2 3" xfId="25934"/>
    <cellStyle name="Separador de milhares 3 19 7 2 3 2" xfId="51001"/>
    <cellStyle name="Separador de milhares 3 19 7 2 4" xfId="20020"/>
    <cellStyle name="Separador de milhares 3 19 7 2 4 2" xfId="45087"/>
    <cellStyle name="Separador de milhares 3 19 7 2 5" xfId="13922"/>
    <cellStyle name="Separador de milhares 3 19 7 2 5 2" xfId="39176"/>
    <cellStyle name="Separador de milhares 3 19 7 2 6" xfId="33265"/>
    <cellStyle name="Separador de milhares 3 19 7 3" xfId="9209"/>
    <cellStyle name="Separador de milhares 3 19 7 3 2" xfId="27423"/>
    <cellStyle name="Separador de milhares 3 19 7 3 2 2" xfId="52490"/>
    <cellStyle name="Separador de milhares 3 19 7 3 3" xfId="21509"/>
    <cellStyle name="Separador de milhares 3 19 7 3 3 2" xfId="46576"/>
    <cellStyle name="Separador de milhares 3 19 7 3 4" xfId="15595"/>
    <cellStyle name="Separador de milhares 3 19 7 3 4 2" xfId="40662"/>
    <cellStyle name="Separador de milhares 3 19 7 3 5" xfId="34754"/>
    <cellStyle name="Separador de milhares 3 19 7 4" xfId="5834"/>
    <cellStyle name="Separador de milhares 3 19 7 4 2" xfId="24466"/>
    <cellStyle name="Separador de milhares 3 19 7 4 2 2" xfId="49533"/>
    <cellStyle name="Separador de milhares 3 19 7 4 3" xfId="31797"/>
    <cellStyle name="Separador de milhares 3 19 7 5" xfId="18552"/>
    <cellStyle name="Separador de milhares 3 19 7 5 2" xfId="43619"/>
    <cellStyle name="Separador de milhares 3 19 7 6" xfId="12221"/>
    <cellStyle name="Separador de milhares 3 19 7 6 2" xfId="37708"/>
    <cellStyle name="Separador de milhares 3 19 7 7" xfId="30327"/>
    <cellStyle name="Separador de milhares 3 19 8" xfId="6572"/>
    <cellStyle name="Separador de milhares 3 19 8 2" xfId="9719"/>
    <cellStyle name="Separador de milhares 3 19 8 2 2" xfId="27933"/>
    <cellStyle name="Separador de milhares 3 19 8 2 2 2" xfId="53000"/>
    <cellStyle name="Separador de milhares 3 19 8 2 3" xfId="22019"/>
    <cellStyle name="Separador de milhares 3 19 8 2 3 2" xfId="47086"/>
    <cellStyle name="Separador de milhares 3 19 8 2 4" xfId="16105"/>
    <cellStyle name="Separador de milhares 3 19 8 2 4 2" xfId="41172"/>
    <cellStyle name="Separador de milhares 3 19 8 2 5" xfId="35264"/>
    <cellStyle name="Separador de milhares 3 19 8 3" xfId="24976"/>
    <cellStyle name="Separador de milhares 3 19 8 3 2" xfId="50043"/>
    <cellStyle name="Separador de milhares 3 19 8 4" xfId="19062"/>
    <cellStyle name="Separador de milhares 3 19 8 4 2" xfId="44129"/>
    <cellStyle name="Separador de milhares 3 19 8 5" xfId="12961"/>
    <cellStyle name="Separador de milhares 3 19 8 5 2" xfId="38218"/>
    <cellStyle name="Separador de milhares 3 19 8 6" xfId="32307"/>
    <cellStyle name="Separador de milhares 3 19 9" xfId="8248"/>
    <cellStyle name="Separador de milhares 3 19 9 2" xfId="26462"/>
    <cellStyle name="Separador de milhares 3 19 9 2 2" xfId="51529"/>
    <cellStyle name="Separador de milhares 3 19 9 3" xfId="20548"/>
    <cellStyle name="Separador de milhares 3 19 9 3 2" xfId="45615"/>
    <cellStyle name="Separador de milhares 3 19 9 4" xfId="14637"/>
    <cellStyle name="Separador de milhares 3 19 9 4 2" xfId="39704"/>
    <cellStyle name="Separador de milhares 3 19 9 5" xfId="33793"/>
    <cellStyle name="Separador de milhares 3 2" xfId="38"/>
    <cellStyle name="Separador de milhares 3 2 10" xfId="320"/>
    <cellStyle name="Separador de milhares 3 2 10 10" xfId="6508"/>
    <cellStyle name="Separador de milhares 3 2 10 10 2" xfId="9656"/>
    <cellStyle name="Separador de milhares 3 2 10 10 2 2" xfId="27870"/>
    <cellStyle name="Separador de milhares 3 2 10 10 2 2 2" xfId="52937"/>
    <cellStyle name="Separador de milhares 3 2 10 10 2 3" xfId="21956"/>
    <cellStyle name="Separador de milhares 3 2 10 10 2 3 2" xfId="47023"/>
    <cellStyle name="Separador de milhares 3 2 10 10 2 4" xfId="16042"/>
    <cellStyle name="Separador de milhares 3 2 10 10 2 4 2" xfId="41109"/>
    <cellStyle name="Separador de milhares 3 2 10 10 2 5" xfId="35201"/>
    <cellStyle name="Separador de milhares 3 2 10 10 3" xfId="24913"/>
    <cellStyle name="Separador de milhares 3 2 10 10 3 2" xfId="49980"/>
    <cellStyle name="Separador de milhares 3 2 10 10 4" xfId="18999"/>
    <cellStyle name="Separador de milhares 3 2 10 10 4 2" xfId="44066"/>
    <cellStyle name="Separador de milhares 3 2 10 10 5" xfId="12897"/>
    <cellStyle name="Separador de milhares 3 2 10 10 5 2" xfId="38155"/>
    <cellStyle name="Separador de milhares 3 2 10 10 6" xfId="32244"/>
    <cellStyle name="Separador de milhares 3 2 10 11" xfId="8185"/>
    <cellStyle name="Separador de milhares 3 2 10 11 2" xfId="26399"/>
    <cellStyle name="Separador de milhares 3 2 10 11 2 2" xfId="51466"/>
    <cellStyle name="Separador de milhares 3 2 10 11 3" xfId="20485"/>
    <cellStyle name="Separador de milhares 3 2 10 11 3 2" xfId="45552"/>
    <cellStyle name="Separador de milhares 3 2 10 11 4" xfId="14574"/>
    <cellStyle name="Separador de milhares 3 2 10 11 4 2" xfId="39641"/>
    <cellStyle name="Separador de milhares 3 2 10 11 5" xfId="33730"/>
    <cellStyle name="Separador de milhares 3 2 10 12" xfId="4807"/>
    <cellStyle name="Separador de milhares 3 2 10 12 2" xfId="23442"/>
    <cellStyle name="Separador de milhares 3 2 10 12 2 2" xfId="48509"/>
    <cellStyle name="Separador de milhares 3 2 10 12 3" xfId="30774"/>
    <cellStyle name="Separador de milhares 3 2 10 13" xfId="17528"/>
    <cellStyle name="Separador de milhares 3 2 10 13 2" xfId="42595"/>
    <cellStyle name="Separador de milhares 3 2 10 14" xfId="11196"/>
    <cellStyle name="Separador de milhares 3 2 10 14 2" xfId="36687"/>
    <cellStyle name="Separador de milhares 3 2 10 15" xfId="29303"/>
    <cellStyle name="Separador de milhares 3 2 10 2" xfId="965"/>
    <cellStyle name="Separador de milhares 3 2 10 2 2" xfId="6705"/>
    <cellStyle name="Separador de milhares 3 2 10 2 2 2" xfId="9852"/>
    <cellStyle name="Separador de milhares 3 2 10 2 2 2 2" xfId="28066"/>
    <cellStyle name="Separador de milhares 3 2 10 2 2 2 2 2" xfId="53133"/>
    <cellStyle name="Separador de milhares 3 2 10 2 2 2 3" xfId="22152"/>
    <cellStyle name="Separador de milhares 3 2 10 2 2 2 3 2" xfId="47219"/>
    <cellStyle name="Separador de milhares 3 2 10 2 2 2 4" xfId="16238"/>
    <cellStyle name="Separador de milhares 3 2 10 2 2 2 4 2" xfId="41305"/>
    <cellStyle name="Separador de milhares 3 2 10 2 2 2 5" xfId="35397"/>
    <cellStyle name="Separador de milhares 3 2 10 2 2 3" xfId="25109"/>
    <cellStyle name="Separador de milhares 3 2 10 2 2 3 2" xfId="50176"/>
    <cellStyle name="Separador de milhares 3 2 10 2 2 4" xfId="19195"/>
    <cellStyle name="Separador de milhares 3 2 10 2 2 4 2" xfId="44262"/>
    <cellStyle name="Separador de milhares 3 2 10 2 2 5" xfId="13094"/>
    <cellStyle name="Separador de milhares 3 2 10 2 2 5 2" xfId="38351"/>
    <cellStyle name="Separador de milhares 3 2 10 2 2 6" xfId="32440"/>
    <cellStyle name="Separador de milhares 3 2 10 2 3" xfId="8384"/>
    <cellStyle name="Separador de milhares 3 2 10 2 3 2" xfId="26598"/>
    <cellStyle name="Separador de milhares 3 2 10 2 3 2 2" xfId="51665"/>
    <cellStyle name="Separador de milhares 3 2 10 2 3 3" xfId="20684"/>
    <cellStyle name="Separador de milhares 3 2 10 2 3 3 2" xfId="45751"/>
    <cellStyle name="Separador de milhares 3 2 10 2 3 4" xfId="14770"/>
    <cellStyle name="Separador de milhares 3 2 10 2 3 4 2" xfId="39837"/>
    <cellStyle name="Separador de milhares 3 2 10 2 3 5" xfId="33929"/>
    <cellStyle name="Separador de milhares 3 2 10 2 4" xfId="5006"/>
    <cellStyle name="Separador de milhares 3 2 10 2 4 2" xfId="23641"/>
    <cellStyle name="Separador de milhares 3 2 10 2 4 2 2" xfId="48708"/>
    <cellStyle name="Separador de milhares 3 2 10 2 4 3" xfId="30972"/>
    <cellStyle name="Separador de milhares 3 2 10 2 5" xfId="17727"/>
    <cellStyle name="Separador de milhares 3 2 10 2 5 2" xfId="42794"/>
    <cellStyle name="Separador de milhares 3 2 10 2 6" xfId="11393"/>
    <cellStyle name="Separador de milhares 3 2 10 2 6 2" xfId="36883"/>
    <cellStyle name="Separador de milhares 3 2 10 2 7" xfId="29502"/>
    <cellStyle name="Separador de milhares 3 2 10 3" xfId="1316"/>
    <cellStyle name="Separador de milhares 3 2 10 3 2" xfId="6803"/>
    <cellStyle name="Separador de milhares 3 2 10 3 2 2" xfId="9950"/>
    <cellStyle name="Separador de milhares 3 2 10 3 2 2 2" xfId="28164"/>
    <cellStyle name="Separador de milhares 3 2 10 3 2 2 2 2" xfId="53231"/>
    <cellStyle name="Separador de milhares 3 2 10 3 2 2 3" xfId="22250"/>
    <cellStyle name="Separador de milhares 3 2 10 3 2 2 3 2" xfId="47317"/>
    <cellStyle name="Separador de milhares 3 2 10 3 2 2 4" xfId="16336"/>
    <cellStyle name="Separador de milhares 3 2 10 3 2 2 4 2" xfId="41403"/>
    <cellStyle name="Separador de milhares 3 2 10 3 2 2 5" xfId="35495"/>
    <cellStyle name="Separador de milhares 3 2 10 3 2 3" xfId="25207"/>
    <cellStyle name="Separador de milhares 3 2 10 3 2 3 2" xfId="50274"/>
    <cellStyle name="Separador de milhares 3 2 10 3 2 4" xfId="19293"/>
    <cellStyle name="Separador de milhares 3 2 10 3 2 4 2" xfId="44360"/>
    <cellStyle name="Separador de milhares 3 2 10 3 2 5" xfId="13192"/>
    <cellStyle name="Separador de milhares 3 2 10 3 2 5 2" xfId="38449"/>
    <cellStyle name="Separador de milhares 3 2 10 3 2 6" xfId="32538"/>
    <cellStyle name="Separador de milhares 3 2 10 3 3" xfId="8482"/>
    <cellStyle name="Separador de milhares 3 2 10 3 3 2" xfId="26696"/>
    <cellStyle name="Separador de milhares 3 2 10 3 3 2 2" xfId="51763"/>
    <cellStyle name="Separador de milhares 3 2 10 3 3 3" xfId="20782"/>
    <cellStyle name="Separador de milhares 3 2 10 3 3 3 2" xfId="45849"/>
    <cellStyle name="Separador de milhares 3 2 10 3 3 4" xfId="14868"/>
    <cellStyle name="Separador de milhares 3 2 10 3 3 4 2" xfId="39935"/>
    <cellStyle name="Separador de milhares 3 2 10 3 3 5" xfId="34027"/>
    <cellStyle name="Separador de milhares 3 2 10 3 4" xfId="5104"/>
    <cellStyle name="Separador de milhares 3 2 10 3 4 2" xfId="23739"/>
    <cellStyle name="Separador de milhares 3 2 10 3 4 2 2" xfId="48806"/>
    <cellStyle name="Separador de milhares 3 2 10 3 4 3" xfId="31070"/>
    <cellStyle name="Separador de milhares 3 2 10 3 5" xfId="17825"/>
    <cellStyle name="Separador de milhares 3 2 10 3 5 2" xfId="42892"/>
    <cellStyle name="Separador de milhares 3 2 10 3 6" xfId="11491"/>
    <cellStyle name="Separador de milhares 3 2 10 3 6 2" xfId="36981"/>
    <cellStyle name="Separador de milhares 3 2 10 3 7" xfId="29600"/>
    <cellStyle name="Separador de milhares 3 2 10 4" xfId="1751"/>
    <cellStyle name="Separador de milhares 3 2 10 4 2" xfId="6922"/>
    <cellStyle name="Separador de milhares 3 2 10 4 2 2" xfId="10069"/>
    <cellStyle name="Separador de milhares 3 2 10 4 2 2 2" xfId="28283"/>
    <cellStyle name="Separador de milhares 3 2 10 4 2 2 2 2" xfId="53350"/>
    <cellStyle name="Separador de milhares 3 2 10 4 2 2 3" xfId="22369"/>
    <cellStyle name="Separador de milhares 3 2 10 4 2 2 3 2" xfId="47436"/>
    <cellStyle name="Separador de milhares 3 2 10 4 2 2 4" xfId="16455"/>
    <cellStyle name="Separador de milhares 3 2 10 4 2 2 4 2" xfId="41522"/>
    <cellStyle name="Separador de milhares 3 2 10 4 2 2 5" xfId="35614"/>
    <cellStyle name="Separador de milhares 3 2 10 4 2 3" xfId="25326"/>
    <cellStyle name="Separador de milhares 3 2 10 4 2 3 2" xfId="50393"/>
    <cellStyle name="Separador de milhares 3 2 10 4 2 4" xfId="19412"/>
    <cellStyle name="Separador de milhares 3 2 10 4 2 4 2" xfId="44479"/>
    <cellStyle name="Separador de milhares 3 2 10 4 2 5" xfId="13311"/>
    <cellStyle name="Separador de milhares 3 2 10 4 2 5 2" xfId="38568"/>
    <cellStyle name="Separador de milhares 3 2 10 4 2 6" xfId="32657"/>
    <cellStyle name="Separador de milhares 3 2 10 4 3" xfId="8601"/>
    <cellStyle name="Separador de milhares 3 2 10 4 3 2" xfId="26815"/>
    <cellStyle name="Separador de milhares 3 2 10 4 3 2 2" xfId="51882"/>
    <cellStyle name="Separador de milhares 3 2 10 4 3 3" xfId="20901"/>
    <cellStyle name="Separador de milhares 3 2 10 4 3 3 2" xfId="45968"/>
    <cellStyle name="Separador de milhares 3 2 10 4 3 4" xfId="14987"/>
    <cellStyle name="Separador de milhares 3 2 10 4 3 4 2" xfId="40054"/>
    <cellStyle name="Separador de milhares 3 2 10 4 3 5" xfId="34146"/>
    <cellStyle name="Separador de milhares 3 2 10 4 4" xfId="5223"/>
    <cellStyle name="Separador de milhares 3 2 10 4 4 2" xfId="23858"/>
    <cellStyle name="Separador de milhares 3 2 10 4 4 2 2" xfId="48925"/>
    <cellStyle name="Separador de milhares 3 2 10 4 4 3" xfId="31189"/>
    <cellStyle name="Separador de milhares 3 2 10 4 5" xfId="17944"/>
    <cellStyle name="Separador de milhares 3 2 10 4 5 2" xfId="43011"/>
    <cellStyle name="Separador de milhares 3 2 10 4 6" xfId="11610"/>
    <cellStyle name="Separador de milhares 3 2 10 4 6 2" xfId="37100"/>
    <cellStyle name="Separador de milhares 3 2 10 4 7" xfId="29719"/>
    <cellStyle name="Separador de milhares 3 2 10 5" xfId="2281"/>
    <cellStyle name="Separador de milhares 3 2 10 5 2" xfId="7072"/>
    <cellStyle name="Separador de milhares 3 2 10 5 2 2" xfId="10216"/>
    <cellStyle name="Separador de milhares 3 2 10 5 2 2 2" xfId="28430"/>
    <cellStyle name="Separador de milhares 3 2 10 5 2 2 2 2" xfId="53497"/>
    <cellStyle name="Separador de milhares 3 2 10 5 2 2 3" xfId="22516"/>
    <cellStyle name="Separador de milhares 3 2 10 5 2 2 3 2" xfId="47583"/>
    <cellStyle name="Separador de milhares 3 2 10 5 2 2 4" xfId="16602"/>
    <cellStyle name="Separador de milhares 3 2 10 5 2 2 4 2" xfId="41669"/>
    <cellStyle name="Separador de milhares 3 2 10 5 2 2 5" xfId="35761"/>
    <cellStyle name="Separador de milhares 3 2 10 5 2 3" xfId="25473"/>
    <cellStyle name="Separador de milhares 3 2 10 5 2 3 2" xfId="50540"/>
    <cellStyle name="Separador de milhares 3 2 10 5 2 4" xfId="19559"/>
    <cellStyle name="Separador de milhares 3 2 10 5 2 4 2" xfId="44626"/>
    <cellStyle name="Separador de milhares 3 2 10 5 2 5" xfId="13461"/>
    <cellStyle name="Separador de milhares 3 2 10 5 2 5 2" xfId="38715"/>
    <cellStyle name="Separador de milhares 3 2 10 5 2 6" xfId="32804"/>
    <cellStyle name="Separador de milhares 3 2 10 5 3" xfId="8748"/>
    <cellStyle name="Separador de milhares 3 2 10 5 3 2" xfId="26962"/>
    <cellStyle name="Separador de milhares 3 2 10 5 3 2 2" xfId="52029"/>
    <cellStyle name="Separador de milhares 3 2 10 5 3 3" xfId="21048"/>
    <cellStyle name="Separador de milhares 3 2 10 5 3 3 2" xfId="46115"/>
    <cellStyle name="Separador de milhares 3 2 10 5 3 4" xfId="15134"/>
    <cellStyle name="Separador de milhares 3 2 10 5 3 4 2" xfId="40201"/>
    <cellStyle name="Separador de milhares 3 2 10 5 3 5" xfId="34293"/>
    <cellStyle name="Separador de milhares 3 2 10 5 4" xfId="5373"/>
    <cellStyle name="Separador de milhares 3 2 10 5 4 2" xfId="24005"/>
    <cellStyle name="Separador de milhares 3 2 10 5 4 2 2" xfId="49072"/>
    <cellStyle name="Separador de milhares 3 2 10 5 4 3" xfId="31336"/>
    <cellStyle name="Separador de milhares 3 2 10 5 5" xfId="18091"/>
    <cellStyle name="Separador de milhares 3 2 10 5 5 2" xfId="43158"/>
    <cellStyle name="Separador de milhares 3 2 10 5 6" xfId="11760"/>
    <cellStyle name="Separador de milhares 3 2 10 5 6 2" xfId="37247"/>
    <cellStyle name="Separador de milhares 3 2 10 5 7" xfId="29866"/>
    <cellStyle name="Separador de milhares 3 2 10 6" xfId="2808"/>
    <cellStyle name="Separador de milhares 3 2 10 6 2" xfId="7219"/>
    <cellStyle name="Separador de milhares 3 2 10 6 2 2" xfId="10363"/>
    <cellStyle name="Separador de milhares 3 2 10 6 2 2 2" xfId="28577"/>
    <cellStyle name="Separador de milhares 3 2 10 6 2 2 2 2" xfId="53644"/>
    <cellStyle name="Separador de milhares 3 2 10 6 2 2 3" xfId="22663"/>
    <cellStyle name="Separador de milhares 3 2 10 6 2 2 3 2" xfId="47730"/>
    <cellStyle name="Separador de milhares 3 2 10 6 2 2 4" xfId="16749"/>
    <cellStyle name="Separador de milhares 3 2 10 6 2 2 4 2" xfId="41816"/>
    <cellStyle name="Separador de milhares 3 2 10 6 2 2 5" xfId="35908"/>
    <cellStyle name="Separador de milhares 3 2 10 6 2 3" xfId="25620"/>
    <cellStyle name="Separador de milhares 3 2 10 6 2 3 2" xfId="50687"/>
    <cellStyle name="Separador de milhares 3 2 10 6 2 4" xfId="19706"/>
    <cellStyle name="Separador de milhares 3 2 10 6 2 4 2" xfId="44773"/>
    <cellStyle name="Separador de milhares 3 2 10 6 2 5" xfId="13608"/>
    <cellStyle name="Separador de milhares 3 2 10 6 2 5 2" xfId="38862"/>
    <cellStyle name="Separador de milhares 3 2 10 6 2 6" xfId="32951"/>
    <cellStyle name="Separador de milhares 3 2 10 6 3" xfId="8895"/>
    <cellStyle name="Separador de milhares 3 2 10 6 3 2" xfId="27109"/>
    <cellStyle name="Separador de milhares 3 2 10 6 3 2 2" xfId="52176"/>
    <cellStyle name="Separador de milhares 3 2 10 6 3 3" xfId="21195"/>
    <cellStyle name="Separador de milhares 3 2 10 6 3 3 2" xfId="46262"/>
    <cellStyle name="Separador de milhares 3 2 10 6 3 4" xfId="15281"/>
    <cellStyle name="Separador de milhares 3 2 10 6 3 4 2" xfId="40348"/>
    <cellStyle name="Separador de milhares 3 2 10 6 3 5" xfId="34440"/>
    <cellStyle name="Separador de milhares 3 2 10 6 4" xfId="5520"/>
    <cellStyle name="Separador de milhares 3 2 10 6 4 2" xfId="24152"/>
    <cellStyle name="Separador de milhares 3 2 10 6 4 2 2" xfId="49219"/>
    <cellStyle name="Separador de milhares 3 2 10 6 4 3" xfId="31483"/>
    <cellStyle name="Separador de milhares 3 2 10 6 5" xfId="18238"/>
    <cellStyle name="Separador de milhares 3 2 10 6 5 2" xfId="43305"/>
    <cellStyle name="Separador de milhares 3 2 10 6 6" xfId="11907"/>
    <cellStyle name="Separador de milhares 3 2 10 6 6 2" xfId="37394"/>
    <cellStyle name="Separador de milhares 3 2 10 6 7" xfId="30013"/>
    <cellStyle name="Separador de milhares 3 2 10 7" xfId="3335"/>
    <cellStyle name="Separador de milhares 3 2 10 7 2" xfId="7366"/>
    <cellStyle name="Separador de milhares 3 2 10 7 2 2" xfId="10510"/>
    <cellStyle name="Separador de milhares 3 2 10 7 2 2 2" xfId="28724"/>
    <cellStyle name="Separador de milhares 3 2 10 7 2 2 2 2" xfId="53791"/>
    <cellStyle name="Separador de milhares 3 2 10 7 2 2 3" xfId="22810"/>
    <cellStyle name="Separador de milhares 3 2 10 7 2 2 3 2" xfId="47877"/>
    <cellStyle name="Separador de milhares 3 2 10 7 2 2 4" xfId="16896"/>
    <cellStyle name="Separador de milhares 3 2 10 7 2 2 4 2" xfId="41963"/>
    <cellStyle name="Separador de milhares 3 2 10 7 2 2 5" xfId="36055"/>
    <cellStyle name="Separador de milhares 3 2 10 7 2 3" xfId="25767"/>
    <cellStyle name="Separador de milhares 3 2 10 7 2 3 2" xfId="50834"/>
    <cellStyle name="Separador de milhares 3 2 10 7 2 4" xfId="19853"/>
    <cellStyle name="Separador de milhares 3 2 10 7 2 4 2" xfId="44920"/>
    <cellStyle name="Separador de milhares 3 2 10 7 2 5" xfId="13755"/>
    <cellStyle name="Separador de milhares 3 2 10 7 2 5 2" xfId="39009"/>
    <cellStyle name="Separador de milhares 3 2 10 7 2 6" xfId="33098"/>
    <cellStyle name="Separador de milhares 3 2 10 7 3" xfId="9042"/>
    <cellStyle name="Separador de milhares 3 2 10 7 3 2" xfId="27256"/>
    <cellStyle name="Separador de milhares 3 2 10 7 3 2 2" xfId="52323"/>
    <cellStyle name="Separador de milhares 3 2 10 7 3 3" xfId="21342"/>
    <cellStyle name="Separador de milhares 3 2 10 7 3 3 2" xfId="46409"/>
    <cellStyle name="Separador de milhares 3 2 10 7 3 4" xfId="15428"/>
    <cellStyle name="Separador de milhares 3 2 10 7 3 4 2" xfId="40495"/>
    <cellStyle name="Separador de milhares 3 2 10 7 3 5" xfId="34587"/>
    <cellStyle name="Separador de milhares 3 2 10 7 4" xfId="5667"/>
    <cellStyle name="Separador de milhares 3 2 10 7 4 2" xfId="24299"/>
    <cellStyle name="Separador de milhares 3 2 10 7 4 2 2" xfId="49366"/>
    <cellStyle name="Separador de milhares 3 2 10 7 4 3" xfId="31630"/>
    <cellStyle name="Separador de milhares 3 2 10 7 5" xfId="18385"/>
    <cellStyle name="Separador de milhares 3 2 10 7 5 2" xfId="43452"/>
    <cellStyle name="Separador de milhares 3 2 10 7 6" xfId="12054"/>
    <cellStyle name="Separador de milhares 3 2 10 7 6 2" xfId="37541"/>
    <cellStyle name="Separador de milhares 3 2 10 7 7" xfId="30160"/>
    <cellStyle name="Separador de milhares 3 2 10 8" xfId="3862"/>
    <cellStyle name="Separador de milhares 3 2 10 8 2" xfId="7513"/>
    <cellStyle name="Separador de milhares 3 2 10 8 2 2" xfId="10657"/>
    <cellStyle name="Separador de milhares 3 2 10 8 2 2 2" xfId="28871"/>
    <cellStyle name="Separador de milhares 3 2 10 8 2 2 2 2" xfId="53938"/>
    <cellStyle name="Separador de milhares 3 2 10 8 2 2 3" xfId="22957"/>
    <cellStyle name="Separador de milhares 3 2 10 8 2 2 3 2" xfId="48024"/>
    <cellStyle name="Separador de milhares 3 2 10 8 2 2 4" xfId="17043"/>
    <cellStyle name="Separador de milhares 3 2 10 8 2 2 4 2" xfId="42110"/>
    <cellStyle name="Separador de milhares 3 2 10 8 2 2 5" xfId="36202"/>
    <cellStyle name="Separador de milhares 3 2 10 8 2 3" xfId="25914"/>
    <cellStyle name="Separador de milhares 3 2 10 8 2 3 2" xfId="50981"/>
    <cellStyle name="Separador de milhares 3 2 10 8 2 4" xfId="20000"/>
    <cellStyle name="Separador de milhares 3 2 10 8 2 4 2" xfId="45067"/>
    <cellStyle name="Separador de milhares 3 2 10 8 2 5" xfId="13902"/>
    <cellStyle name="Separador de milhares 3 2 10 8 2 5 2" xfId="39156"/>
    <cellStyle name="Separador de milhares 3 2 10 8 2 6" xfId="33245"/>
    <cellStyle name="Separador de milhares 3 2 10 8 3" xfId="9189"/>
    <cellStyle name="Separador de milhares 3 2 10 8 3 2" xfId="27403"/>
    <cellStyle name="Separador de milhares 3 2 10 8 3 2 2" xfId="52470"/>
    <cellStyle name="Separador de milhares 3 2 10 8 3 3" xfId="21489"/>
    <cellStyle name="Separador de milhares 3 2 10 8 3 3 2" xfId="46556"/>
    <cellStyle name="Separador de milhares 3 2 10 8 3 4" xfId="15575"/>
    <cellStyle name="Separador de milhares 3 2 10 8 3 4 2" xfId="40642"/>
    <cellStyle name="Separador de milhares 3 2 10 8 3 5" xfId="34734"/>
    <cellStyle name="Separador de milhares 3 2 10 8 4" xfId="5814"/>
    <cellStyle name="Separador de milhares 3 2 10 8 4 2" xfId="24446"/>
    <cellStyle name="Separador de milhares 3 2 10 8 4 2 2" xfId="49513"/>
    <cellStyle name="Separador de milhares 3 2 10 8 4 3" xfId="31777"/>
    <cellStyle name="Separador de milhares 3 2 10 8 5" xfId="18532"/>
    <cellStyle name="Separador de milhares 3 2 10 8 5 2" xfId="43599"/>
    <cellStyle name="Separador de milhares 3 2 10 8 6" xfId="12201"/>
    <cellStyle name="Separador de milhares 3 2 10 8 6 2" xfId="37688"/>
    <cellStyle name="Separador de milhares 3 2 10 8 7" xfId="30307"/>
    <cellStyle name="Separador de milhares 3 2 10 9" xfId="672"/>
    <cellStyle name="Separador de milhares 3 2 10 9 2" xfId="6607"/>
    <cellStyle name="Separador de milhares 3 2 10 9 2 2" xfId="9754"/>
    <cellStyle name="Separador de milhares 3 2 10 9 2 2 2" xfId="27968"/>
    <cellStyle name="Separador de milhares 3 2 10 9 2 2 2 2" xfId="53035"/>
    <cellStyle name="Separador de milhares 3 2 10 9 2 2 3" xfId="22054"/>
    <cellStyle name="Separador de milhares 3 2 10 9 2 2 3 2" xfId="47121"/>
    <cellStyle name="Separador de milhares 3 2 10 9 2 2 4" xfId="16140"/>
    <cellStyle name="Separador de milhares 3 2 10 9 2 2 4 2" xfId="41207"/>
    <cellStyle name="Separador de milhares 3 2 10 9 2 2 5" xfId="35299"/>
    <cellStyle name="Separador de milhares 3 2 10 9 2 3" xfId="25011"/>
    <cellStyle name="Separador de milhares 3 2 10 9 2 3 2" xfId="50078"/>
    <cellStyle name="Separador de milhares 3 2 10 9 2 4" xfId="19097"/>
    <cellStyle name="Separador de milhares 3 2 10 9 2 4 2" xfId="44164"/>
    <cellStyle name="Separador de milhares 3 2 10 9 2 5" xfId="12996"/>
    <cellStyle name="Separador de milhares 3 2 10 9 2 5 2" xfId="38253"/>
    <cellStyle name="Separador de milhares 3 2 10 9 2 6" xfId="32342"/>
    <cellStyle name="Separador de milhares 3 2 10 9 3" xfId="8286"/>
    <cellStyle name="Separador de milhares 3 2 10 9 3 2" xfId="26500"/>
    <cellStyle name="Separador de milhares 3 2 10 9 3 2 2" xfId="51567"/>
    <cellStyle name="Separador de milhares 3 2 10 9 3 3" xfId="20586"/>
    <cellStyle name="Separador de milhares 3 2 10 9 3 3 2" xfId="45653"/>
    <cellStyle name="Separador de milhares 3 2 10 9 3 4" xfId="14672"/>
    <cellStyle name="Separador de milhares 3 2 10 9 3 4 2" xfId="39739"/>
    <cellStyle name="Separador de milhares 3 2 10 9 3 5" xfId="33831"/>
    <cellStyle name="Separador de milhares 3 2 10 9 4" xfId="4908"/>
    <cellStyle name="Separador de milhares 3 2 10 9 4 2" xfId="23543"/>
    <cellStyle name="Separador de milhares 3 2 10 9 4 2 2" xfId="48610"/>
    <cellStyle name="Separador de milhares 3 2 10 9 4 3" xfId="30874"/>
    <cellStyle name="Separador de milhares 3 2 10 9 5" xfId="17629"/>
    <cellStyle name="Separador de milhares 3 2 10 9 5 2" xfId="42696"/>
    <cellStyle name="Separador de milhares 3 2 10 9 6" xfId="11295"/>
    <cellStyle name="Separador de milhares 3 2 10 9 6 2" xfId="36785"/>
    <cellStyle name="Separador de milhares 3 2 10 9 7" xfId="29404"/>
    <cellStyle name="Separador de milhares 3 2 11" xfId="577"/>
    <cellStyle name="Separador de milhares 3 2 11 10" xfId="4872"/>
    <cellStyle name="Separador de milhares 3 2 11 10 2" xfId="23506"/>
    <cellStyle name="Separador de milhares 3 2 11 10 2 2" xfId="48573"/>
    <cellStyle name="Separador de milhares 3 2 11 10 3" xfId="30838"/>
    <cellStyle name="Separador de milhares 3 2 11 11" xfId="17592"/>
    <cellStyle name="Separador de milhares 3 2 11 11 2" xfId="42659"/>
    <cellStyle name="Separador de milhares 3 2 11 12" xfId="11261"/>
    <cellStyle name="Separador de milhares 3 2 11 12 2" xfId="36751"/>
    <cellStyle name="Separador de milhares 3 2 11 13" xfId="29367"/>
    <cellStyle name="Separador de milhares 3 2 11 2" xfId="1400"/>
    <cellStyle name="Separador de milhares 3 2 11 2 2" xfId="6824"/>
    <cellStyle name="Separador de milhares 3 2 11 2 2 2" xfId="9971"/>
    <cellStyle name="Separador de milhares 3 2 11 2 2 2 2" xfId="28185"/>
    <cellStyle name="Separador de milhares 3 2 11 2 2 2 2 2" xfId="53252"/>
    <cellStyle name="Separador de milhares 3 2 11 2 2 2 3" xfId="22271"/>
    <cellStyle name="Separador de milhares 3 2 11 2 2 2 3 2" xfId="47338"/>
    <cellStyle name="Separador de milhares 3 2 11 2 2 2 4" xfId="16357"/>
    <cellStyle name="Separador de milhares 3 2 11 2 2 2 4 2" xfId="41424"/>
    <cellStyle name="Separador de milhares 3 2 11 2 2 2 5" xfId="35516"/>
    <cellStyle name="Separador de milhares 3 2 11 2 2 3" xfId="25228"/>
    <cellStyle name="Separador de milhares 3 2 11 2 2 3 2" xfId="50295"/>
    <cellStyle name="Separador de milhares 3 2 11 2 2 4" xfId="19314"/>
    <cellStyle name="Separador de milhares 3 2 11 2 2 4 2" xfId="44381"/>
    <cellStyle name="Separador de milhares 3 2 11 2 2 5" xfId="13213"/>
    <cellStyle name="Separador de milhares 3 2 11 2 2 5 2" xfId="38470"/>
    <cellStyle name="Separador de milhares 3 2 11 2 2 6" xfId="32559"/>
    <cellStyle name="Separador de milhares 3 2 11 2 3" xfId="8503"/>
    <cellStyle name="Separador de milhares 3 2 11 2 3 2" xfId="26717"/>
    <cellStyle name="Separador de milhares 3 2 11 2 3 2 2" xfId="51784"/>
    <cellStyle name="Separador de milhares 3 2 11 2 3 3" xfId="20803"/>
    <cellStyle name="Separador de milhares 3 2 11 2 3 3 2" xfId="45870"/>
    <cellStyle name="Separador de milhares 3 2 11 2 3 4" xfId="14889"/>
    <cellStyle name="Separador de milhares 3 2 11 2 3 4 2" xfId="39956"/>
    <cellStyle name="Separador de milhares 3 2 11 2 3 5" xfId="34048"/>
    <cellStyle name="Separador de milhares 3 2 11 2 4" xfId="5125"/>
    <cellStyle name="Separador de milhares 3 2 11 2 4 2" xfId="23760"/>
    <cellStyle name="Separador de milhares 3 2 11 2 4 2 2" xfId="48827"/>
    <cellStyle name="Separador de milhares 3 2 11 2 4 3" xfId="31091"/>
    <cellStyle name="Separador de milhares 3 2 11 2 5" xfId="17846"/>
    <cellStyle name="Separador de milhares 3 2 11 2 5 2" xfId="42913"/>
    <cellStyle name="Separador de milhares 3 2 11 2 6" xfId="11512"/>
    <cellStyle name="Separador de milhares 3 2 11 2 6 2" xfId="37002"/>
    <cellStyle name="Separador de milhares 3 2 11 2 7" xfId="29621"/>
    <cellStyle name="Separador de milhares 3 2 11 3" xfId="1835"/>
    <cellStyle name="Separador de milhares 3 2 11 3 2" xfId="6943"/>
    <cellStyle name="Separador de milhares 3 2 11 3 2 2" xfId="10090"/>
    <cellStyle name="Separador de milhares 3 2 11 3 2 2 2" xfId="28304"/>
    <cellStyle name="Separador de milhares 3 2 11 3 2 2 2 2" xfId="53371"/>
    <cellStyle name="Separador de milhares 3 2 11 3 2 2 3" xfId="22390"/>
    <cellStyle name="Separador de milhares 3 2 11 3 2 2 3 2" xfId="47457"/>
    <cellStyle name="Separador de milhares 3 2 11 3 2 2 4" xfId="16476"/>
    <cellStyle name="Separador de milhares 3 2 11 3 2 2 4 2" xfId="41543"/>
    <cellStyle name="Separador de milhares 3 2 11 3 2 2 5" xfId="35635"/>
    <cellStyle name="Separador de milhares 3 2 11 3 2 3" xfId="25347"/>
    <cellStyle name="Separador de milhares 3 2 11 3 2 3 2" xfId="50414"/>
    <cellStyle name="Separador de milhares 3 2 11 3 2 4" xfId="19433"/>
    <cellStyle name="Separador de milhares 3 2 11 3 2 4 2" xfId="44500"/>
    <cellStyle name="Separador de milhares 3 2 11 3 2 5" xfId="13332"/>
    <cellStyle name="Separador de milhares 3 2 11 3 2 5 2" xfId="38589"/>
    <cellStyle name="Separador de milhares 3 2 11 3 2 6" xfId="32678"/>
    <cellStyle name="Separador de milhares 3 2 11 3 3" xfId="8622"/>
    <cellStyle name="Separador de milhares 3 2 11 3 3 2" xfId="26836"/>
    <cellStyle name="Separador de milhares 3 2 11 3 3 2 2" xfId="51903"/>
    <cellStyle name="Separador de milhares 3 2 11 3 3 3" xfId="20922"/>
    <cellStyle name="Separador de milhares 3 2 11 3 3 3 2" xfId="45989"/>
    <cellStyle name="Separador de milhares 3 2 11 3 3 4" xfId="15008"/>
    <cellStyle name="Separador de milhares 3 2 11 3 3 4 2" xfId="40075"/>
    <cellStyle name="Separador de milhares 3 2 11 3 3 5" xfId="34167"/>
    <cellStyle name="Separador de milhares 3 2 11 3 4" xfId="5244"/>
    <cellStyle name="Separador de milhares 3 2 11 3 4 2" xfId="23879"/>
    <cellStyle name="Separador de milhares 3 2 11 3 4 2 2" xfId="48946"/>
    <cellStyle name="Separador de milhares 3 2 11 3 4 3" xfId="31210"/>
    <cellStyle name="Separador de milhares 3 2 11 3 5" xfId="17965"/>
    <cellStyle name="Separador de milhares 3 2 11 3 5 2" xfId="43032"/>
    <cellStyle name="Separador de milhares 3 2 11 3 6" xfId="11631"/>
    <cellStyle name="Separador de milhares 3 2 11 3 6 2" xfId="37121"/>
    <cellStyle name="Separador de milhares 3 2 11 3 7" xfId="29740"/>
    <cellStyle name="Separador de milhares 3 2 11 4" xfId="2365"/>
    <cellStyle name="Separador de milhares 3 2 11 4 2" xfId="7093"/>
    <cellStyle name="Separador de milhares 3 2 11 4 2 2" xfId="10237"/>
    <cellStyle name="Separador de milhares 3 2 11 4 2 2 2" xfId="28451"/>
    <cellStyle name="Separador de milhares 3 2 11 4 2 2 2 2" xfId="53518"/>
    <cellStyle name="Separador de milhares 3 2 11 4 2 2 3" xfId="22537"/>
    <cellStyle name="Separador de milhares 3 2 11 4 2 2 3 2" xfId="47604"/>
    <cellStyle name="Separador de milhares 3 2 11 4 2 2 4" xfId="16623"/>
    <cellStyle name="Separador de milhares 3 2 11 4 2 2 4 2" xfId="41690"/>
    <cellStyle name="Separador de milhares 3 2 11 4 2 2 5" xfId="35782"/>
    <cellStyle name="Separador de milhares 3 2 11 4 2 3" xfId="25494"/>
    <cellStyle name="Separador de milhares 3 2 11 4 2 3 2" xfId="50561"/>
    <cellStyle name="Separador de milhares 3 2 11 4 2 4" xfId="19580"/>
    <cellStyle name="Separador de milhares 3 2 11 4 2 4 2" xfId="44647"/>
    <cellStyle name="Separador de milhares 3 2 11 4 2 5" xfId="13482"/>
    <cellStyle name="Separador de milhares 3 2 11 4 2 5 2" xfId="38736"/>
    <cellStyle name="Separador de milhares 3 2 11 4 2 6" xfId="32825"/>
    <cellStyle name="Separador de milhares 3 2 11 4 3" xfId="8769"/>
    <cellStyle name="Separador de milhares 3 2 11 4 3 2" xfId="26983"/>
    <cellStyle name="Separador de milhares 3 2 11 4 3 2 2" xfId="52050"/>
    <cellStyle name="Separador de milhares 3 2 11 4 3 3" xfId="21069"/>
    <cellStyle name="Separador de milhares 3 2 11 4 3 3 2" xfId="46136"/>
    <cellStyle name="Separador de milhares 3 2 11 4 3 4" xfId="15155"/>
    <cellStyle name="Separador de milhares 3 2 11 4 3 4 2" xfId="40222"/>
    <cellStyle name="Separador de milhares 3 2 11 4 3 5" xfId="34314"/>
    <cellStyle name="Separador de milhares 3 2 11 4 4" xfId="5394"/>
    <cellStyle name="Separador de milhares 3 2 11 4 4 2" xfId="24026"/>
    <cellStyle name="Separador de milhares 3 2 11 4 4 2 2" xfId="49093"/>
    <cellStyle name="Separador de milhares 3 2 11 4 4 3" xfId="31357"/>
    <cellStyle name="Separador de milhares 3 2 11 4 5" xfId="18112"/>
    <cellStyle name="Separador de milhares 3 2 11 4 5 2" xfId="43179"/>
    <cellStyle name="Separador de milhares 3 2 11 4 6" xfId="11781"/>
    <cellStyle name="Separador de milhares 3 2 11 4 6 2" xfId="37268"/>
    <cellStyle name="Separador de milhares 3 2 11 4 7" xfId="29887"/>
    <cellStyle name="Separador de milhares 3 2 11 5" xfId="2892"/>
    <cellStyle name="Separador de milhares 3 2 11 5 2" xfId="7240"/>
    <cellStyle name="Separador de milhares 3 2 11 5 2 2" xfId="10384"/>
    <cellStyle name="Separador de milhares 3 2 11 5 2 2 2" xfId="28598"/>
    <cellStyle name="Separador de milhares 3 2 11 5 2 2 2 2" xfId="53665"/>
    <cellStyle name="Separador de milhares 3 2 11 5 2 2 3" xfId="22684"/>
    <cellStyle name="Separador de milhares 3 2 11 5 2 2 3 2" xfId="47751"/>
    <cellStyle name="Separador de milhares 3 2 11 5 2 2 4" xfId="16770"/>
    <cellStyle name="Separador de milhares 3 2 11 5 2 2 4 2" xfId="41837"/>
    <cellStyle name="Separador de milhares 3 2 11 5 2 2 5" xfId="35929"/>
    <cellStyle name="Separador de milhares 3 2 11 5 2 3" xfId="25641"/>
    <cellStyle name="Separador de milhares 3 2 11 5 2 3 2" xfId="50708"/>
    <cellStyle name="Separador de milhares 3 2 11 5 2 4" xfId="19727"/>
    <cellStyle name="Separador de milhares 3 2 11 5 2 4 2" xfId="44794"/>
    <cellStyle name="Separador de milhares 3 2 11 5 2 5" xfId="13629"/>
    <cellStyle name="Separador de milhares 3 2 11 5 2 5 2" xfId="38883"/>
    <cellStyle name="Separador de milhares 3 2 11 5 2 6" xfId="32972"/>
    <cellStyle name="Separador de milhares 3 2 11 5 3" xfId="8916"/>
    <cellStyle name="Separador de milhares 3 2 11 5 3 2" xfId="27130"/>
    <cellStyle name="Separador de milhares 3 2 11 5 3 2 2" xfId="52197"/>
    <cellStyle name="Separador de milhares 3 2 11 5 3 3" xfId="21216"/>
    <cellStyle name="Separador de milhares 3 2 11 5 3 3 2" xfId="46283"/>
    <cellStyle name="Separador de milhares 3 2 11 5 3 4" xfId="15302"/>
    <cellStyle name="Separador de milhares 3 2 11 5 3 4 2" xfId="40369"/>
    <cellStyle name="Separador de milhares 3 2 11 5 3 5" xfId="34461"/>
    <cellStyle name="Separador de milhares 3 2 11 5 4" xfId="5541"/>
    <cellStyle name="Separador de milhares 3 2 11 5 4 2" xfId="24173"/>
    <cellStyle name="Separador de milhares 3 2 11 5 4 2 2" xfId="49240"/>
    <cellStyle name="Separador de milhares 3 2 11 5 4 3" xfId="31504"/>
    <cellStyle name="Separador de milhares 3 2 11 5 5" xfId="18259"/>
    <cellStyle name="Separador de milhares 3 2 11 5 5 2" xfId="43326"/>
    <cellStyle name="Separador de milhares 3 2 11 5 6" xfId="11928"/>
    <cellStyle name="Separador de milhares 3 2 11 5 6 2" xfId="37415"/>
    <cellStyle name="Separador de milhares 3 2 11 5 7" xfId="30034"/>
    <cellStyle name="Separador de milhares 3 2 11 6" xfId="3419"/>
    <cellStyle name="Separador de milhares 3 2 11 6 2" xfId="7387"/>
    <cellStyle name="Separador de milhares 3 2 11 6 2 2" xfId="10531"/>
    <cellStyle name="Separador de milhares 3 2 11 6 2 2 2" xfId="28745"/>
    <cellStyle name="Separador de milhares 3 2 11 6 2 2 2 2" xfId="53812"/>
    <cellStyle name="Separador de milhares 3 2 11 6 2 2 3" xfId="22831"/>
    <cellStyle name="Separador de milhares 3 2 11 6 2 2 3 2" xfId="47898"/>
    <cellStyle name="Separador de milhares 3 2 11 6 2 2 4" xfId="16917"/>
    <cellStyle name="Separador de milhares 3 2 11 6 2 2 4 2" xfId="41984"/>
    <cellStyle name="Separador de milhares 3 2 11 6 2 2 5" xfId="36076"/>
    <cellStyle name="Separador de milhares 3 2 11 6 2 3" xfId="25788"/>
    <cellStyle name="Separador de milhares 3 2 11 6 2 3 2" xfId="50855"/>
    <cellStyle name="Separador de milhares 3 2 11 6 2 4" xfId="19874"/>
    <cellStyle name="Separador de milhares 3 2 11 6 2 4 2" xfId="44941"/>
    <cellStyle name="Separador de milhares 3 2 11 6 2 5" xfId="13776"/>
    <cellStyle name="Separador de milhares 3 2 11 6 2 5 2" xfId="39030"/>
    <cellStyle name="Separador de milhares 3 2 11 6 2 6" xfId="33119"/>
    <cellStyle name="Separador de milhares 3 2 11 6 3" xfId="9063"/>
    <cellStyle name="Separador de milhares 3 2 11 6 3 2" xfId="27277"/>
    <cellStyle name="Separador de milhares 3 2 11 6 3 2 2" xfId="52344"/>
    <cellStyle name="Separador de milhares 3 2 11 6 3 3" xfId="21363"/>
    <cellStyle name="Separador de milhares 3 2 11 6 3 3 2" xfId="46430"/>
    <cellStyle name="Separador de milhares 3 2 11 6 3 4" xfId="15449"/>
    <cellStyle name="Separador de milhares 3 2 11 6 3 4 2" xfId="40516"/>
    <cellStyle name="Separador de milhares 3 2 11 6 3 5" xfId="34608"/>
    <cellStyle name="Separador de milhares 3 2 11 6 4" xfId="5688"/>
    <cellStyle name="Separador de milhares 3 2 11 6 4 2" xfId="24320"/>
    <cellStyle name="Separador de milhares 3 2 11 6 4 2 2" xfId="49387"/>
    <cellStyle name="Separador de milhares 3 2 11 6 4 3" xfId="31651"/>
    <cellStyle name="Separador de milhares 3 2 11 6 5" xfId="18406"/>
    <cellStyle name="Separador de milhares 3 2 11 6 5 2" xfId="43473"/>
    <cellStyle name="Separador de milhares 3 2 11 6 6" xfId="12075"/>
    <cellStyle name="Separador de milhares 3 2 11 6 6 2" xfId="37562"/>
    <cellStyle name="Separador de milhares 3 2 11 6 7" xfId="30181"/>
    <cellStyle name="Separador de milhares 3 2 11 7" xfId="3946"/>
    <cellStyle name="Separador de milhares 3 2 11 7 2" xfId="7534"/>
    <cellStyle name="Separador de milhares 3 2 11 7 2 2" xfId="10678"/>
    <cellStyle name="Separador de milhares 3 2 11 7 2 2 2" xfId="28892"/>
    <cellStyle name="Separador de milhares 3 2 11 7 2 2 2 2" xfId="53959"/>
    <cellStyle name="Separador de milhares 3 2 11 7 2 2 3" xfId="22978"/>
    <cellStyle name="Separador de milhares 3 2 11 7 2 2 3 2" xfId="48045"/>
    <cellStyle name="Separador de milhares 3 2 11 7 2 2 4" xfId="17064"/>
    <cellStyle name="Separador de milhares 3 2 11 7 2 2 4 2" xfId="42131"/>
    <cellStyle name="Separador de milhares 3 2 11 7 2 2 5" xfId="36223"/>
    <cellStyle name="Separador de milhares 3 2 11 7 2 3" xfId="25935"/>
    <cellStyle name="Separador de milhares 3 2 11 7 2 3 2" xfId="51002"/>
    <cellStyle name="Separador de milhares 3 2 11 7 2 4" xfId="20021"/>
    <cellStyle name="Separador de milhares 3 2 11 7 2 4 2" xfId="45088"/>
    <cellStyle name="Separador de milhares 3 2 11 7 2 5" xfId="13923"/>
    <cellStyle name="Separador de milhares 3 2 11 7 2 5 2" xfId="39177"/>
    <cellStyle name="Separador de milhares 3 2 11 7 2 6" xfId="33266"/>
    <cellStyle name="Separador de milhares 3 2 11 7 3" xfId="9210"/>
    <cellStyle name="Separador de milhares 3 2 11 7 3 2" xfId="27424"/>
    <cellStyle name="Separador de milhares 3 2 11 7 3 2 2" xfId="52491"/>
    <cellStyle name="Separador de milhares 3 2 11 7 3 3" xfId="21510"/>
    <cellStyle name="Separador de milhares 3 2 11 7 3 3 2" xfId="46577"/>
    <cellStyle name="Separador de milhares 3 2 11 7 3 4" xfId="15596"/>
    <cellStyle name="Separador de milhares 3 2 11 7 3 4 2" xfId="40663"/>
    <cellStyle name="Separador de milhares 3 2 11 7 3 5" xfId="34755"/>
    <cellStyle name="Separador de milhares 3 2 11 7 4" xfId="5835"/>
    <cellStyle name="Separador de milhares 3 2 11 7 4 2" xfId="24467"/>
    <cellStyle name="Separador de milhares 3 2 11 7 4 2 2" xfId="49534"/>
    <cellStyle name="Separador de milhares 3 2 11 7 4 3" xfId="31798"/>
    <cellStyle name="Separador de milhares 3 2 11 7 5" xfId="18553"/>
    <cellStyle name="Separador de milhares 3 2 11 7 5 2" xfId="43620"/>
    <cellStyle name="Separador de milhares 3 2 11 7 6" xfId="12222"/>
    <cellStyle name="Separador de milhares 3 2 11 7 6 2" xfId="37709"/>
    <cellStyle name="Separador de milhares 3 2 11 7 7" xfId="30328"/>
    <cellStyle name="Separador de milhares 3 2 11 8" xfId="6573"/>
    <cellStyle name="Separador de milhares 3 2 11 8 2" xfId="9720"/>
    <cellStyle name="Separador de milhares 3 2 11 8 2 2" xfId="27934"/>
    <cellStyle name="Separador de milhares 3 2 11 8 2 2 2" xfId="53001"/>
    <cellStyle name="Separador de milhares 3 2 11 8 2 3" xfId="22020"/>
    <cellStyle name="Separador de milhares 3 2 11 8 2 3 2" xfId="47087"/>
    <cellStyle name="Separador de milhares 3 2 11 8 2 4" xfId="16106"/>
    <cellStyle name="Separador de milhares 3 2 11 8 2 4 2" xfId="41173"/>
    <cellStyle name="Separador de milhares 3 2 11 8 2 5" xfId="35265"/>
    <cellStyle name="Separador de milhares 3 2 11 8 3" xfId="24977"/>
    <cellStyle name="Separador de milhares 3 2 11 8 3 2" xfId="50044"/>
    <cellStyle name="Separador de milhares 3 2 11 8 4" xfId="19063"/>
    <cellStyle name="Separador de milhares 3 2 11 8 4 2" xfId="44130"/>
    <cellStyle name="Separador de milhares 3 2 11 8 5" xfId="12962"/>
    <cellStyle name="Separador de milhares 3 2 11 8 5 2" xfId="38219"/>
    <cellStyle name="Separador de milhares 3 2 11 8 6" xfId="32308"/>
    <cellStyle name="Separador de milhares 3 2 11 9" xfId="8249"/>
    <cellStyle name="Separador de milhares 3 2 11 9 2" xfId="26463"/>
    <cellStyle name="Separador de milhares 3 2 11 9 2 2" xfId="51530"/>
    <cellStyle name="Separador de milhares 3 2 11 9 3" xfId="20549"/>
    <cellStyle name="Separador de milhares 3 2 11 9 3 2" xfId="45616"/>
    <cellStyle name="Separador de milhares 3 2 11 9 4" xfId="14638"/>
    <cellStyle name="Separador de milhares 3 2 11 9 4 2" xfId="39705"/>
    <cellStyle name="Separador de milhares 3 2 11 9 5" xfId="33794"/>
    <cellStyle name="Separador de milhares 3 2 12" xfId="698"/>
    <cellStyle name="Separador de milhares 3 2 12 2" xfId="4122"/>
    <cellStyle name="Separador de milhares 3 2 12 2 2" xfId="7583"/>
    <cellStyle name="Separador de milhares 3 2 12 2 2 2" xfId="10727"/>
    <cellStyle name="Separador de milhares 3 2 12 2 2 2 2" xfId="28941"/>
    <cellStyle name="Separador de milhares 3 2 12 2 2 2 2 2" xfId="54008"/>
    <cellStyle name="Separador de milhares 3 2 12 2 2 2 3" xfId="23027"/>
    <cellStyle name="Separador de milhares 3 2 12 2 2 2 3 2" xfId="48094"/>
    <cellStyle name="Separador de milhares 3 2 12 2 2 2 4" xfId="17113"/>
    <cellStyle name="Separador de milhares 3 2 12 2 2 2 4 2" xfId="42180"/>
    <cellStyle name="Separador de milhares 3 2 12 2 2 2 5" xfId="36272"/>
    <cellStyle name="Separador de milhares 3 2 12 2 2 3" xfId="25984"/>
    <cellStyle name="Separador de milhares 3 2 12 2 2 3 2" xfId="51051"/>
    <cellStyle name="Separador de milhares 3 2 12 2 2 4" xfId="20070"/>
    <cellStyle name="Separador de milhares 3 2 12 2 2 4 2" xfId="45137"/>
    <cellStyle name="Separador de milhares 3 2 12 2 2 5" xfId="13972"/>
    <cellStyle name="Separador de milhares 3 2 12 2 2 5 2" xfId="39226"/>
    <cellStyle name="Separador de milhares 3 2 12 2 2 6" xfId="33315"/>
    <cellStyle name="Separador de milhares 3 2 12 2 3" xfId="9259"/>
    <cellStyle name="Separador de milhares 3 2 12 2 3 2" xfId="27473"/>
    <cellStyle name="Separador de milhares 3 2 12 2 3 2 2" xfId="52540"/>
    <cellStyle name="Separador de milhares 3 2 12 2 3 3" xfId="21559"/>
    <cellStyle name="Separador de milhares 3 2 12 2 3 3 2" xfId="46626"/>
    <cellStyle name="Separador de milhares 3 2 12 2 3 4" xfId="15645"/>
    <cellStyle name="Separador de milhares 3 2 12 2 3 4 2" xfId="40712"/>
    <cellStyle name="Separador de milhares 3 2 12 2 3 5" xfId="34804"/>
    <cellStyle name="Separador de milhares 3 2 12 2 4" xfId="5884"/>
    <cellStyle name="Separador de milhares 3 2 12 2 4 2" xfId="24516"/>
    <cellStyle name="Separador de milhares 3 2 12 2 4 2 2" xfId="49583"/>
    <cellStyle name="Separador de milhares 3 2 12 2 4 3" xfId="31847"/>
    <cellStyle name="Separador de milhares 3 2 12 2 5" xfId="18602"/>
    <cellStyle name="Separador de milhares 3 2 12 2 5 2" xfId="43669"/>
    <cellStyle name="Separador de milhares 3 2 12 2 6" xfId="12271"/>
    <cellStyle name="Separador de milhares 3 2 12 2 6 2" xfId="37758"/>
    <cellStyle name="Separador de milhares 3 2 12 2 7" xfId="30377"/>
    <cellStyle name="Separador de milhares 3 2 12 3" xfId="6628"/>
    <cellStyle name="Separador de milhares 3 2 12 3 2" xfId="9775"/>
    <cellStyle name="Separador de milhares 3 2 12 3 2 2" xfId="27989"/>
    <cellStyle name="Separador de milhares 3 2 12 3 2 2 2" xfId="53056"/>
    <cellStyle name="Separador de milhares 3 2 12 3 2 3" xfId="22075"/>
    <cellStyle name="Separador de milhares 3 2 12 3 2 3 2" xfId="47142"/>
    <cellStyle name="Separador de milhares 3 2 12 3 2 4" xfId="16161"/>
    <cellStyle name="Separador de milhares 3 2 12 3 2 4 2" xfId="41228"/>
    <cellStyle name="Separador de milhares 3 2 12 3 2 5" xfId="35320"/>
    <cellStyle name="Separador de milhares 3 2 12 3 3" xfId="25032"/>
    <cellStyle name="Separador de milhares 3 2 12 3 3 2" xfId="50099"/>
    <cellStyle name="Separador de milhares 3 2 12 3 4" xfId="19118"/>
    <cellStyle name="Separador de milhares 3 2 12 3 4 2" xfId="44185"/>
    <cellStyle name="Separador de milhares 3 2 12 3 5" xfId="13017"/>
    <cellStyle name="Separador de milhares 3 2 12 3 5 2" xfId="38274"/>
    <cellStyle name="Separador de milhares 3 2 12 3 6" xfId="32363"/>
    <cellStyle name="Separador de milhares 3 2 12 4" xfId="8307"/>
    <cellStyle name="Separador de milhares 3 2 12 4 2" xfId="26521"/>
    <cellStyle name="Separador de milhares 3 2 12 4 2 2" xfId="51588"/>
    <cellStyle name="Separador de milhares 3 2 12 4 3" xfId="20607"/>
    <cellStyle name="Separador de milhares 3 2 12 4 3 2" xfId="45674"/>
    <cellStyle name="Separador de milhares 3 2 12 4 4" xfId="14693"/>
    <cellStyle name="Separador de milhares 3 2 12 4 4 2" xfId="39760"/>
    <cellStyle name="Separador de milhares 3 2 12 4 5" xfId="33852"/>
    <cellStyle name="Separador de milhares 3 2 12 5" xfId="4929"/>
    <cellStyle name="Separador de milhares 3 2 12 5 2" xfId="23564"/>
    <cellStyle name="Separador de milhares 3 2 12 5 2 2" xfId="48631"/>
    <cellStyle name="Separador de milhares 3 2 12 5 3" xfId="30895"/>
    <cellStyle name="Separador de milhares 3 2 12 6" xfId="17650"/>
    <cellStyle name="Separador de milhares 3 2 12 6 2" xfId="42717"/>
    <cellStyle name="Separador de milhares 3 2 12 7" xfId="11316"/>
    <cellStyle name="Separador de milhares 3 2 12 7 2" xfId="36806"/>
    <cellStyle name="Separador de milhares 3 2 12 8" xfId="29425"/>
    <cellStyle name="Separador de milhares 3 2 13" xfId="1049"/>
    <cellStyle name="Separador de milhares 3 2 13 2" xfId="6726"/>
    <cellStyle name="Separador de milhares 3 2 13 2 2" xfId="9873"/>
    <cellStyle name="Separador de milhares 3 2 13 2 2 2" xfId="28087"/>
    <cellStyle name="Separador de milhares 3 2 13 2 2 2 2" xfId="53154"/>
    <cellStyle name="Separador de milhares 3 2 13 2 2 3" xfId="22173"/>
    <cellStyle name="Separador de milhares 3 2 13 2 2 3 2" xfId="47240"/>
    <cellStyle name="Separador de milhares 3 2 13 2 2 4" xfId="16259"/>
    <cellStyle name="Separador de milhares 3 2 13 2 2 4 2" xfId="41326"/>
    <cellStyle name="Separador de milhares 3 2 13 2 2 5" xfId="35418"/>
    <cellStyle name="Separador de milhares 3 2 13 2 3" xfId="25130"/>
    <cellStyle name="Separador de milhares 3 2 13 2 3 2" xfId="50197"/>
    <cellStyle name="Separador de milhares 3 2 13 2 4" xfId="19216"/>
    <cellStyle name="Separador de milhares 3 2 13 2 4 2" xfId="44283"/>
    <cellStyle name="Separador de milhares 3 2 13 2 5" xfId="13115"/>
    <cellStyle name="Separador de milhares 3 2 13 2 5 2" xfId="38372"/>
    <cellStyle name="Separador de milhares 3 2 13 2 6" xfId="32461"/>
    <cellStyle name="Separador de milhares 3 2 13 3" xfId="8405"/>
    <cellStyle name="Separador de milhares 3 2 13 3 2" xfId="26619"/>
    <cellStyle name="Separador de milhares 3 2 13 3 2 2" xfId="51686"/>
    <cellStyle name="Separador de milhares 3 2 13 3 3" xfId="20705"/>
    <cellStyle name="Separador de milhares 3 2 13 3 3 2" xfId="45772"/>
    <cellStyle name="Separador de milhares 3 2 13 3 4" xfId="14791"/>
    <cellStyle name="Separador de milhares 3 2 13 3 4 2" xfId="39858"/>
    <cellStyle name="Separador de milhares 3 2 13 3 5" xfId="33950"/>
    <cellStyle name="Separador de milhares 3 2 13 4" xfId="5027"/>
    <cellStyle name="Separador de milhares 3 2 13 4 2" xfId="23662"/>
    <cellStyle name="Separador de milhares 3 2 13 4 2 2" xfId="48729"/>
    <cellStyle name="Separador de milhares 3 2 13 4 3" xfId="30993"/>
    <cellStyle name="Separador de milhares 3 2 13 5" xfId="17748"/>
    <cellStyle name="Separador de milhares 3 2 13 5 2" xfId="42815"/>
    <cellStyle name="Separador de milhares 3 2 13 6" xfId="11414"/>
    <cellStyle name="Separador de milhares 3 2 13 6 2" xfId="36904"/>
    <cellStyle name="Separador de milhares 3 2 13 7" xfId="29523"/>
    <cellStyle name="Separador de milhares 3 2 14" xfId="1484"/>
    <cellStyle name="Separador de milhares 3 2 14 2" xfId="6845"/>
    <cellStyle name="Separador de milhares 3 2 14 2 2" xfId="9992"/>
    <cellStyle name="Separador de milhares 3 2 14 2 2 2" xfId="28206"/>
    <cellStyle name="Separador de milhares 3 2 14 2 2 2 2" xfId="53273"/>
    <cellStyle name="Separador de milhares 3 2 14 2 2 3" xfId="22292"/>
    <cellStyle name="Separador de milhares 3 2 14 2 2 3 2" xfId="47359"/>
    <cellStyle name="Separador de milhares 3 2 14 2 2 4" xfId="16378"/>
    <cellStyle name="Separador de milhares 3 2 14 2 2 4 2" xfId="41445"/>
    <cellStyle name="Separador de milhares 3 2 14 2 2 5" xfId="35537"/>
    <cellStyle name="Separador de milhares 3 2 14 2 3" xfId="25249"/>
    <cellStyle name="Separador de milhares 3 2 14 2 3 2" xfId="50316"/>
    <cellStyle name="Separador de milhares 3 2 14 2 4" xfId="19335"/>
    <cellStyle name="Separador de milhares 3 2 14 2 4 2" xfId="44402"/>
    <cellStyle name="Separador de milhares 3 2 14 2 5" xfId="13234"/>
    <cellStyle name="Separador de milhares 3 2 14 2 5 2" xfId="38491"/>
    <cellStyle name="Separador de milhares 3 2 14 2 6" xfId="32580"/>
    <cellStyle name="Separador de milhares 3 2 14 3" xfId="8524"/>
    <cellStyle name="Separador de milhares 3 2 14 3 2" xfId="26738"/>
    <cellStyle name="Separador de milhares 3 2 14 3 2 2" xfId="51805"/>
    <cellStyle name="Separador de milhares 3 2 14 3 3" xfId="20824"/>
    <cellStyle name="Separador de milhares 3 2 14 3 3 2" xfId="45891"/>
    <cellStyle name="Separador de milhares 3 2 14 3 4" xfId="14910"/>
    <cellStyle name="Separador de milhares 3 2 14 3 4 2" xfId="39977"/>
    <cellStyle name="Separador de milhares 3 2 14 3 5" xfId="34069"/>
    <cellStyle name="Separador de milhares 3 2 14 4" xfId="5146"/>
    <cellStyle name="Separador de milhares 3 2 14 4 2" xfId="23781"/>
    <cellStyle name="Separador de milhares 3 2 14 4 2 2" xfId="48848"/>
    <cellStyle name="Separador de milhares 3 2 14 4 3" xfId="31112"/>
    <cellStyle name="Separador de milhares 3 2 14 5" xfId="17867"/>
    <cellStyle name="Separador de milhares 3 2 14 5 2" xfId="42934"/>
    <cellStyle name="Separador de milhares 3 2 14 6" xfId="11533"/>
    <cellStyle name="Separador de milhares 3 2 14 6 2" xfId="37023"/>
    <cellStyle name="Separador de milhares 3 2 14 7" xfId="29642"/>
    <cellStyle name="Separador de milhares 3 2 15" xfId="2014"/>
    <cellStyle name="Separador de milhares 3 2 15 2" xfId="6995"/>
    <cellStyle name="Separador de milhares 3 2 15 2 2" xfId="10139"/>
    <cellStyle name="Separador de milhares 3 2 15 2 2 2" xfId="28353"/>
    <cellStyle name="Separador de milhares 3 2 15 2 2 2 2" xfId="53420"/>
    <cellStyle name="Separador de milhares 3 2 15 2 2 3" xfId="22439"/>
    <cellStyle name="Separador de milhares 3 2 15 2 2 3 2" xfId="47506"/>
    <cellStyle name="Separador de milhares 3 2 15 2 2 4" xfId="16525"/>
    <cellStyle name="Separador de milhares 3 2 15 2 2 4 2" xfId="41592"/>
    <cellStyle name="Separador de milhares 3 2 15 2 2 5" xfId="35684"/>
    <cellStyle name="Separador de milhares 3 2 15 2 3" xfId="25396"/>
    <cellStyle name="Separador de milhares 3 2 15 2 3 2" xfId="50463"/>
    <cellStyle name="Separador de milhares 3 2 15 2 4" xfId="19482"/>
    <cellStyle name="Separador de milhares 3 2 15 2 4 2" xfId="44549"/>
    <cellStyle name="Separador de milhares 3 2 15 2 5" xfId="13384"/>
    <cellStyle name="Separador de milhares 3 2 15 2 5 2" xfId="38638"/>
    <cellStyle name="Separador de milhares 3 2 15 2 6" xfId="32727"/>
    <cellStyle name="Separador de milhares 3 2 15 3" xfId="8671"/>
    <cellStyle name="Separador de milhares 3 2 15 3 2" xfId="26885"/>
    <cellStyle name="Separador de milhares 3 2 15 3 2 2" xfId="51952"/>
    <cellStyle name="Separador de milhares 3 2 15 3 3" xfId="20971"/>
    <cellStyle name="Separador de milhares 3 2 15 3 3 2" xfId="46038"/>
    <cellStyle name="Separador de milhares 3 2 15 3 4" xfId="15057"/>
    <cellStyle name="Separador de milhares 3 2 15 3 4 2" xfId="40124"/>
    <cellStyle name="Separador de milhares 3 2 15 3 5" xfId="34216"/>
    <cellStyle name="Separador de milhares 3 2 15 4" xfId="5296"/>
    <cellStyle name="Separador de milhares 3 2 15 4 2" xfId="23928"/>
    <cellStyle name="Separador de milhares 3 2 15 4 2 2" xfId="48995"/>
    <cellStyle name="Separador de milhares 3 2 15 4 3" xfId="31259"/>
    <cellStyle name="Separador de milhares 3 2 15 5" xfId="18014"/>
    <cellStyle name="Separador de milhares 3 2 15 5 2" xfId="43081"/>
    <cellStyle name="Separador de milhares 3 2 15 6" xfId="11683"/>
    <cellStyle name="Separador de milhares 3 2 15 6 2" xfId="37170"/>
    <cellStyle name="Separador de milhares 3 2 15 7" xfId="29789"/>
    <cellStyle name="Separador de milhares 3 2 16" xfId="2541"/>
    <cellStyle name="Separador de milhares 3 2 16 2" xfId="7142"/>
    <cellStyle name="Separador de milhares 3 2 16 2 2" xfId="10286"/>
    <cellStyle name="Separador de milhares 3 2 16 2 2 2" xfId="28500"/>
    <cellStyle name="Separador de milhares 3 2 16 2 2 2 2" xfId="53567"/>
    <cellStyle name="Separador de milhares 3 2 16 2 2 3" xfId="22586"/>
    <cellStyle name="Separador de milhares 3 2 16 2 2 3 2" xfId="47653"/>
    <cellStyle name="Separador de milhares 3 2 16 2 2 4" xfId="16672"/>
    <cellStyle name="Separador de milhares 3 2 16 2 2 4 2" xfId="41739"/>
    <cellStyle name="Separador de milhares 3 2 16 2 2 5" xfId="35831"/>
    <cellStyle name="Separador de milhares 3 2 16 2 3" xfId="25543"/>
    <cellStyle name="Separador de milhares 3 2 16 2 3 2" xfId="50610"/>
    <cellStyle name="Separador de milhares 3 2 16 2 4" xfId="19629"/>
    <cellStyle name="Separador de milhares 3 2 16 2 4 2" xfId="44696"/>
    <cellStyle name="Separador de milhares 3 2 16 2 5" xfId="13531"/>
    <cellStyle name="Separador de milhares 3 2 16 2 5 2" xfId="38785"/>
    <cellStyle name="Separador de milhares 3 2 16 2 6" xfId="32874"/>
    <cellStyle name="Separador de milhares 3 2 16 3" xfId="8818"/>
    <cellStyle name="Separador de milhares 3 2 16 3 2" xfId="27032"/>
    <cellStyle name="Separador de milhares 3 2 16 3 2 2" xfId="52099"/>
    <cellStyle name="Separador de milhares 3 2 16 3 3" xfId="21118"/>
    <cellStyle name="Separador de milhares 3 2 16 3 3 2" xfId="46185"/>
    <cellStyle name="Separador de milhares 3 2 16 3 4" xfId="15204"/>
    <cellStyle name="Separador de milhares 3 2 16 3 4 2" xfId="40271"/>
    <cellStyle name="Separador de milhares 3 2 16 3 5" xfId="34363"/>
    <cellStyle name="Separador de milhares 3 2 16 4" xfId="5443"/>
    <cellStyle name="Separador de milhares 3 2 16 4 2" xfId="24075"/>
    <cellStyle name="Separador de milhares 3 2 16 4 2 2" xfId="49142"/>
    <cellStyle name="Separador de milhares 3 2 16 4 3" xfId="31406"/>
    <cellStyle name="Separador de milhares 3 2 16 5" xfId="18161"/>
    <cellStyle name="Separador de milhares 3 2 16 5 2" xfId="43228"/>
    <cellStyle name="Separador de milhares 3 2 16 6" xfId="11830"/>
    <cellStyle name="Separador de milhares 3 2 16 6 2" xfId="37317"/>
    <cellStyle name="Separador de milhares 3 2 16 7" xfId="29936"/>
    <cellStyle name="Separador de milhares 3 2 17" xfId="3068"/>
    <cellStyle name="Separador de milhares 3 2 17 2" xfId="7289"/>
    <cellStyle name="Separador de milhares 3 2 17 2 2" xfId="10433"/>
    <cellStyle name="Separador de milhares 3 2 17 2 2 2" xfId="28647"/>
    <cellStyle name="Separador de milhares 3 2 17 2 2 2 2" xfId="53714"/>
    <cellStyle name="Separador de milhares 3 2 17 2 2 3" xfId="22733"/>
    <cellStyle name="Separador de milhares 3 2 17 2 2 3 2" xfId="47800"/>
    <cellStyle name="Separador de milhares 3 2 17 2 2 4" xfId="16819"/>
    <cellStyle name="Separador de milhares 3 2 17 2 2 4 2" xfId="41886"/>
    <cellStyle name="Separador de milhares 3 2 17 2 2 5" xfId="35978"/>
    <cellStyle name="Separador de milhares 3 2 17 2 3" xfId="25690"/>
    <cellStyle name="Separador de milhares 3 2 17 2 3 2" xfId="50757"/>
    <cellStyle name="Separador de milhares 3 2 17 2 4" xfId="19776"/>
    <cellStyle name="Separador de milhares 3 2 17 2 4 2" xfId="44843"/>
    <cellStyle name="Separador de milhares 3 2 17 2 5" xfId="13678"/>
    <cellStyle name="Separador de milhares 3 2 17 2 5 2" xfId="38932"/>
    <cellStyle name="Separador de milhares 3 2 17 2 6" xfId="33021"/>
    <cellStyle name="Separador de milhares 3 2 17 3" xfId="8965"/>
    <cellStyle name="Separador de milhares 3 2 17 3 2" xfId="27179"/>
    <cellStyle name="Separador de milhares 3 2 17 3 2 2" xfId="52246"/>
    <cellStyle name="Separador de milhares 3 2 17 3 3" xfId="21265"/>
    <cellStyle name="Separador de milhares 3 2 17 3 3 2" xfId="46332"/>
    <cellStyle name="Separador de milhares 3 2 17 3 4" xfId="15351"/>
    <cellStyle name="Separador de milhares 3 2 17 3 4 2" xfId="40418"/>
    <cellStyle name="Separador de milhares 3 2 17 3 5" xfId="34510"/>
    <cellStyle name="Separador de milhares 3 2 17 4" xfId="5590"/>
    <cellStyle name="Separador de milhares 3 2 17 4 2" xfId="24222"/>
    <cellStyle name="Separador de milhares 3 2 17 4 2 2" xfId="49289"/>
    <cellStyle name="Separador de milhares 3 2 17 4 3" xfId="31553"/>
    <cellStyle name="Separador de milhares 3 2 17 5" xfId="18308"/>
    <cellStyle name="Separador de milhares 3 2 17 5 2" xfId="43375"/>
    <cellStyle name="Separador de milhares 3 2 17 6" xfId="11977"/>
    <cellStyle name="Separador de milhares 3 2 17 6 2" xfId="37464"/>
    <cellStyle name="Separador de milhares 3 2 17 7" xfId="30083"/>
    <cellStyle name="Separador de milhares 3 2 18" xfId="3595"/>
    <cellStyle name="Separador de milhares 3 2 18 2" xfId="7436"/>
    <cellStyle name="Separador de milhares 3 2 18 2 2" xfId="10580"/>
    <cellStyle name="Separador de milhares 3 2 18 2 2 2" xfId="28794"/>
    <cellStyle name="Separador de milhares 3 2 18 2 2 2 2" xfId="53861"/>
    <cellStyle name="Separador de milhares 3 2 18 2 2 3" xfId="22880"/>
    <cellStyle name="Separador de milhares 3 2 18 2 2 3 2" xfId="47947"/>
    <cellStyle name="Separador de milhares 3 2 18 2 2 4" xfId="16966"/>
    <cellStyle name="Separador de milhares 3 2 18 2 2 4 2" xfId="42033"/>
    <cellStyle name="Separador de milhares 3 2 18 2 2 5" xfId="36125"/>
    <cellStyle name="Separador de milhares 3 2 18 2 3" xfId="25837"/>
    <cellStyle name="Separador de milhares 3 2 18 2 3 2" xfId="50904"/>
    <cellStyle name="Separador de milhares 3 2 18 2 4" xfId="19923"/>
    <cellStyle name="Separador de milhares 3 2 18 2 4 2" xfId="44990"/>
    <cellStyle name="Separador de milhares 3 2 18 2 5" xfId="13825"/>
    <cellStyle name="Separador de milhares 3 2 18 2 5 2" xfId="39079"/>
    <cellStyle name="Separador de milhares 3 2 18 2 6" xfId="33168"/>
    <cellStyle name="Separador de milhares 3 2 18 3" xfId="9112"/>
    <cellStyle name="Separador de milhares 3 2 18 3 2" xfId="27326"/>
    <cellStyle name="Separador de milhares 3 2 18 3 2 2" xfId="52393"/>
    <cellStyle name="Separador de milhares 3 2 18 3 3" xfId="21412"/>
    <cellStyle name="Separador de milhares 3 2 18 3 3 2" xfId="46479"/>
    <cellStyle name="Separador de milhares 3 2 18 3 4" xfId="15498"/>
    <cellStyle name="Separador de milhares 3 2 18 3 4 2" xfId="40565"/>
    <cellStyle name="Separador de milhares 3 2 18 3 5" xfId="34657"/>
    <cellStyle name="Separador de milhares 3 2 18 4" xfId="5737"/>
    <cellStyle name="Separador de milhares 3 2 18 4 2" xfId="24369"/>
    <cellStyle name="Separador de milhares 3 2 18 4 2 2" xfId="49436"/>
    <cellStyle name="Separador de milhares 3 2 18 4 3" xfId="31700"/>
    <cellStyle name="Separador de milhares 3 2 18 5" xfId="18455"/>
    <cellStyle name="Separador de milhares 3 2 18 5 2" xfId="43522"/>
    <cellStyle name="Separador de milhares 3 2 18 6" xfId="12124"/>
    <cellStyle name="Separador de milhares 3 2 18 6 2" xfId="37611"/>
    <cellStyle name="Separador de milhares 3 2 18 7" xfId="30230"/>
    <cellStyle name="Separador de milhares 3 2 19" xfId="6420"/>
    <cellStyle name="Separador de milhares 3 2 19 2" xfId="9576"/>
    <cellStyle name="Separador de milhares 3 2 19 2 2" xfId="27790"/>
    <cellStyle name="Separador de milhares 3 2 19 2 2 2" xfId="52857"/>
    <cellStyle name="Separador de milhares 3 2 19 2 3" xfId="21876"/>
    <cellStyle name="Separador de milhares 3 2 19 2 3 2" xfId="46943"/>
    <cellStyle name="Separador de milhares 3 2 19 2 4" xfId="15962"/>
    <cellStyle name="Separador de milhares 3 2 19 2 4 2" xfId="41029"/>
    <cellStyle name="Separador de milhares 3 2 19 2 5" xfId="35121"/>
    <cellStyle name="Separador de milhares 3 2 19 3" xfId="24833"/>
    <cellStyle name="Separador de milhares 3 2 19 3 2" xfId="49900"/>
    <cellStyle name="Separador de milhares 3 2 19 4" xfId="18919"/>
    <cellStyle name="Separador de milhares 3 2 19 4 2" xfId="43986"/>
    <cellStyle name="Separador de milhares 3 2 19 5" xfId="12809"/>
    <cellStyle name="Separador de milhares 3 2 19 5 2" xfId="38075"/>
    <cellStyle name="Separador de milhares 3 2 19 6" xfId="32164"/>
    <cellStyle name="Separador de milhares 3 2 2" xfId="74"/>
    <cellStyle name="Separador de milhares 3 2 2 10" xfId="2577"/>
    <cellStyle name="Separador de milhares 3 2 2 10 2" xfId="7151"/>
    <cellStyle name="Separador de milhares 3 2 2 10 2 2" xfId="10295"/>
    <cellStyle name="Separador de milhares 3 2 2 10 2 2 2" xfId="28509"/>
    <cellStyle name="Separador de milhares 3 2 2 10 2 2 2 2" xfId="53576"/>
    <cellStyle name="Separador de milhares 3 2 2 10 2 2 3" xfId="22595"/>
    <cellStyle name="Separador de milhares 3 2 2 10 2 2 3 2" xfId="47662"/>
    <cellStyle name="Separador de milhares 3 2 2 10 2 2 4" xfId="16681"/>
    <cellStyle name="Separador de milhares 3 2 2 10 2 2 4 2" xfId="41748"/>
    <cellStyle name="Separador de milhares 3 2 2 10 2 2 5" xfId="35840"/>
    <cellStyle name="Separador de milhares 3 2 2 10 2 3" xfId="25552"/>
    <cellStyle name="Separador de milhares 3 2 2 10 2 3 2" xfId="50619"/>
    <cellStyle name="Separador de milhares 3 2 2 10 2 4" xfId="19638"/>
    <cellStyle name="Separador de milhares 3 2 2 10 2 4 2" xfId="44705"/>
    <cellStyle name="Separador de milhares 3 2 2 10 2 5" xfId="13540"/>
    <cellStyle name="Separador de milhares 3 2 2 10 2 5 2" xfId="38794"/>
    <cellStyle name="Separador de milhares 3 2 2 10 2 6" xfId="32883"/>
    <cellStyle name="Separador de milhares 3 2 2 10 3" xfId="8827"/>
    <cellStyle name="Separador de milhares 3 2 2 10 3 2" xfId="27041"/>
    <cellStyle name="Separador de milhares 3 2 2 10 3 2 2" xfId="52108"/>
    <cellStyle name="Separador de milhares 3 2 2 10 3 3" xfId="21127"/>
    <cellStyle name="Separador de milhares 3 2 2 10 3 3 2" xfId="46194"/>
    <cellStyle name="Separador de milhares 3 2 2 10 3 4" xfId="15213"/>
    <cellStyle name="Separador de milhares 3 2 2 10 3 4 2" xfId="40280"/>
    <cellStyle name="Separador de milhares 3 2 2 10 3 5" xfId="34372"/>
    <cellStyle name="Separador de milhares 3 2 2 10 4" xfId="5452"/>
    <cellStyle name="Separador de milhares 3 2 2 10 4 2" xfId="24084"/>
    <cellStyle name="Separador de milhares 3 2 2 10 4 2 2" xfId="49151"/>
    <cellStyle name="Separador de milhares 3 2 2 10 4 3" xfId="31415"/>
    <cellStyle name="Separador de milhares 3 2 2 10 5" xfId="18170"/>
    <cellStyle name="Separador de milhares 3 2 2 10 5 2" xfId="43237"/>
    <cellStyle name="Separador de milhares 3 2 2 10 6" xfId="11839"/>
    <cellStyle name="Separador de milhares 3 2 2 10 6 2" xfId="37326"/>
    <cellStyle name="Separador de milhares 3 2 2 10 7" xfId="29945"/>
    <cellStyle name="Separador de milhares 3 2 2 11" xfId="3104"/>
    <cellStyle name="Separador de milhares 3 2 2 11 2" xfId="7298"/>
    <cellStyle name="Separador de milhares 3 2 2 11 2 2" xfId="10442"/>
    <cellStyle name="Separador de milhares 3 2 2 11 2 2 2" xfId="28656"/>
    <cellStyle name="Separador de milhares 3 2 2 11 2 2 2 2" xfId="53723"/>
    <cellStyle name="Separador de milhares 3 2 2 11 2 2 3" xfId="22742"/>
    <cellStyle name="Separador de milhares 3 2 2 11 2 2 3 2" xfId="47809"/>
    <cellStyle name="Separador de milhares 3 2 2 11 2 2 4" xfId="16828"/>
    <cellStyle name="Separador de milhares 3 2 2 11 2 2 4 2" xfId="41895"/>
    <cellStyle name="Separador de milhares 3 2 2 11 2 2 5" xfId="35987"/>
    <cellStyle name="Separador de milhares 3 2 2 11 2 3" xfId="25699"/>
    <cellStyle name="Separador de milhares 3 2 2 11 2 3 2" xfId="50766"/>
    <cellStyle name="Separador de milhares 3 2 2 11 2 4" xfId="19785"/>
    <cellStyle name="Separador de milhares 3 2 2 11 2 4 2" xfId="44852"/>
    <cellStyle name="Separador de milhares 3 2 2 11 2 5" xfId="13687"/>
    <cellStyle name="Separador de milhares 3 2 2 11 2 5 2" xfId="38941"/>
    <cellStyle name="Separador de milhares 3 2 2 11 2 6" xfId="33030"/>
    <cellStyle name="Separador de milhares 3 2 2 11 3" xfId="8974"/>
    <cellStyle name="Separador de milhares 3 2 2 11 3 2" xfId="27188"/>
    <cellStyle name="Separador de milhares 3 2 2 11 3 2 2" xfId="52255"/>
    <cellStyle name="Separador de milhares 3 2 2 11 3 3" xfId="21274"/>
    <cellStyle name="Separador de milhares 3 2 2 11 3 3 2" xfId="46341"/>
    <cellStyle name="Separador de milhares 3 2 2 11 3 4" xfId="15360"/>
    <cellStyle name="Separador de milhares 3 2 2 11 3 4 2" xfId="40427"/>
    <cellStyle name="Separador de milhares 3 2 2 11 3 5" xfId="34519"/>
    <cellStyle name="Separador de milhares 3 2 2 11 4" xfId="5599"/>
    <cellStyle name="Separador de milhares 3 2 2 11 4 2" xfId="24231"/>
    <cellStyle name="Separador de milhares 3 2 2 11 4 2 2" xfId="49298"/>
    <cellStyle name="Separador de milhares 3 2 2 11 4 3" xfId="31562"/>
    <cellStyle name="Separador de milhares 3 2 2 11 5" xfId="18317"/>
    <cellStyle name="Separador de milhares 3 2 2 11 5 2" xfId="43384"/>
    <cellStyle name="Separador de milhares 3 2 2 11 6" xfId="11986"/>
    <cellStyle name="Separador de milhares 3 2 2 11 6 2" xfId="37473"/>
    <cellStyle name="Separador de milhares 3 2 2 11 7" xfId="30092"/>
    <cellStyle name="Separador de milhares 3 2 2 12" xfId="3631"/>
    <cellStyle name="Separador de milhares 3 2 2 12 2" xfId="7445"/>
    <cellStyle name="Separador de milhares 3 2 2 12 2 2" xfId="10589"/>
    <cellStyle name="Separador de milhares 3 2 2 12 2 2 2" xfId="28803"/>
    <cellStyle name="Separador de milhares 3 2 2 12 2 2 2 2" xfId="53870"/>
    <cellStyle name="Separador de milhares 3 2 2 12 2 2 3" xfId="22889"/>
    <cellStyle name="Separador de milhares 3 2 2 12 2 2 3 2" xfId="47956"/>
    <cellStyle name="Separador de milhares 3 2 2 12 2 2 4" xfId="16975"/>
    <cellStyle name="Separador de milhares 3 2 2 12 2 2 4 2" xfId="42042"/>
    <cellStyle name="Separador de milhares 3 2 2 12 2 2 5" xfId="36134"/>
    <cellStyle name="Separador de milhares 3 2 2 12 2 3" xfId="25846"/>
    <cellStyle name="Separador de milhares 3 2 2 12 2 3 2" xfId="50913"/>
    <cellStyle name="Separador de milhares 3 2 2 12 2 4" xfId="19932"/>
    <cellStyle name="Separador de milhares 3 2 2 12 2 4 2" xfId="44999"/>
    <cellStyle name="Separador de milhares 3 2 2 12 2 5" xfId="13834"/>
    <cellStyle name="Separador de milhares 3 2 2 12 2 5 2" xfId="39088"/>
    <cellStyle name="Separador de milhares 3 2 2 12 2 6" xfId="33177"/>
    <cellStyle name="Separador de milhares 3 2 2 12 3" xfId="9121"/>
    <cellStyle name="Separador de milhares 3 2 2 12 3 2" xfId="27335"/>
    <cellStyle name="Separador de milhares 3 2 2 12 3 2 2" xfId="52402"/>
    <cellStyle name="Separador de milhares 3 2 2 12 3 3" xfId="21421"/>
    <cellStyle name="Separador de milhares 3 2 2 12 3 3 2" xfId="46488"/>
    <cellStyle name="Separador de milhares 3 2 2 12 3 4" xfId="15507"/>
    <cellStyle name="Separador de milhares 3 2 2 12 3 4 2" xfId="40574"/>
    <cellStyle name="Separador de milhares 3 2 2 12 3 5" xfId="34666"/>
    <cellStyle name="Separador de milhares 3 2 2 12 4" xfId="5746"/>
    <cellStyle name="Separador de milhares 3 2 2 12 4 2" xfId="24378"/>
    <cellStyle name="Separador de milhares 3 2 2 12 4 2 2" xfId="49445"/>
    <cellStyle name="Separador de milhares 3 2 2 12 4 3" xfId="31709"/>
    <cellStyle name="Separador de milhares 3 2 2 12 5" xfId="18464"/>
    <cellStyle name="Separador de milhares 3 2 2 12 5 2" xfId="43531"/>
    <cellStyle name="Separador de milhares 3 2 2 12 6" xfId="12133"/>
    <cellStyle name="Separador de milhares 3 2 2 12 6 2" xfId="37620"/>
    <cellStyle name="Separador de milhares 3 2 2 12 7" xfId="30239"/>
    <cellStyle name="Separador de milhares 3 2 2 13" xfId="6429"/>
    <cellStyle name="Separador de milhares 3 2 2 13 2" xfId="9585"/>
    <cellStyle name="Separador de milhares 3 2 2 13 2 2" xfId="27799"/>
    <cellStyle name="Separador de milhares 3 2 2 13 2 2 2" xfId="52866"/>
    <cellStyle name="Separador de milhares 3 2 2 13 2 3" xfId="21885"/>
    <cellStyle name="Separador de milhares 3 2 2 13 2 3 2" xfId="46952"/>
    <cellStyle name="Separador de milhares 3 2 2 13 2 4" xfId="15971"/>
    <cellStyle name="Separador de milhares 3 2 2 13 2 4 2" xfId="41038"/>
    <cellStyle name="Separador de milhares 3 2 2 13 2 5" xfId="35130"/>
    <cellStyle name="Separador de milhares 3 2 2 13 3" xfId="24842"/>
    <cellStyle name="Separador de milhares 3 2 2 13 3 2" xfId="49909"/>
    <cellStyle name="Separador de milhares 3 2 2 13 4" xfId="18928"/>
    <cellStyle name="Separador de milhares 3 2 2 13 4 2" xfId="43995"/>
    <cellStyle name="Separador de milhares 3 2 2 13 5" xfId="12818"/>
    <cellStyle name="Separador de milhares 3 2 2 13 5 2" xfId="38084"/>
    <cellStyle name="Separador de milhares 3 2 2 13 6" xfId="32173"/>
    <cellStyle name="Separador de milhares 3 2 2 14" xfId="8114"/>
    <cellStyle name="Separador de milhares 3 2 2 14 2" xfId="26328"/>
    <cellStyle name="Separador de milhares 3 2 2 14 2 2" xfId="51395"/>
    <cellStyle name="Separador de milhares 3 2 2 14 3" xfId="20414"/>
    <cellStyle name="Separador de milhares 3 2 2 14 3 2" xfId="45481"/>
    <cellStyle name="Separador de milhares 3 2 2 14 4" xfId="14503"/>
    <cellStyle name="Separador de milhares 3 2 2 14 4 2" xfId="39570"/>
    <cellStyle name="Separador de milhares 3 2 2 14 5" xfId="33659"/>
    <cellStyle name="Separador de milhares 3 2 2 15" xfId="4727"/>
    <cellStyle name="Separador de milhares 3 2 2 15 2" xfId="23371"/>
    <cellStyle name="Separador de milhares 3 2 2 15 2 2" xfId="48438"/>
    <cellStyle name="Separador de milhares 3 2 2 15 3" xfId="30703"/>
    <cellStyle name="Separador de milhares 3 2 2 16" xfId="17457"/>
    <cellStyle name="Separador de milhares 3 2 2 16 2" xfId="42524"/>
    <cellStyle name="Separador de milhares 3 2 2 17" xfId="11117"/>
    <cellStyle name="Separador de milhares 3 2 2 17 2" xfId="36616"/>
    <cellStyle name="Separador de milhares 3 2 2 18" xfId="29231"/>
    <cellStyle name="Separador de milhares 3 2 2 2" xfId="168"/>
    <cellStyle name="Separador de milhares 3 2 2 2 10" xfId="6458"/>
    <cellStyle name="Separador de milhares 3 2 2 2 10 2" xfId="9612"/>
    <cellStyle name="Separador de milhares 3 2 2 2 10 2 2" xfId="27826"/>
    <cellStyle name="Separador de milhares 3 2 2 2 10 2 2 2" xfId="52893"/>
    <cellStyle name="Separador de milhares 3 2 2 2 10 2 3" xfId="21912"/>
    <cellStyle name="Separador de milhares 3 2 2 2 10 2 3 2" xfId="46979"/>
    <cellStyle name="Separador de milhares 3 2 2 2 10 2 4" xfId="15998"/>
    <cellStyle name="Separador de milhares 3 2 2 2 10 2 4 2" xfId="41065"/>
    <cellStyle name="Separador de milhares 3 2 2 2 10 2 5" xfId="35157"/>
    <cellStyle name="Separador de milhares 3 2 2 2 10 3" xfId="24869"/>
    <cellStyle name="Separador de milhares 3 2 2 2 10 3 2" xfId="49936"/>
    <cellStyle name="Separador de milhares 3 2 2 2 10 4" xfId="18955"/>
    <cellStyle name="Separador de milhares 3 2 2 2 10 4 2" xfId="44022"/>
    <cellStyle name="Separador de milhares 3 2 2 2 10 5" xfId="12847"/>
    <cellStyle name="Separador de milhares 3 2 2 2 10 5 2" xfId="38111"/>
    <cellStyle name="Separador de milhares 3 2 2 2 10 6" xfId="32200"/>
    <cellStyle name="Separador de milhares 3 2 2 2 11" xfId="8141"/>
    <cellStyle name="Separador de milhares 3 2 2 2 11 2" xfId="26355"/>
    <cellStyle name="Separador de milhares 3 2 2 2 11 2 2" xfId="51422"/>
    <cellStyle name="Separador de milhares 3 2 2 2 11 3" xfId="20441"/>
    <cellStyle name="Separador de milhares 3 2 2 2 11 3 2" xfId="45508"/>
    <cellStyle name="Separador de milhares 3 2 2 2 11 4" xfId="14530"/>
    <cellStyle name="Separador de milhares 3 2 2 2 11 4 2" xfId="39597"/>
    <cellStyle name="Separador de milhares 3 2 2 2 11 5" xfId="33686"/>
    <cellStyle name="Separador de milhares 3 2 2 2 12" xfId="4757"/>
    <cellStyle name="Separador de milhares 3 2 2 2 12 2" xfId="23398"/>
    <cellStyle name="Separador de milhares 3 2 2 2 12 2 2" xfId="48465"/>
    <cellStyle name="Separador de milhares 3 2 2 2 12 3" xfId="30730"/>
    <cellStyle name="Separador de milhares 3 2 2 2 13" xfId="17484"/>
    <cellStyle name="Separador de milhares 3 2 2 2 13 2" xfId="42551"/>
    <cellStyle name="Separador de milhares 3 2 2 2 14" xfId="11146"/>
    <cellStyle name="Separador de milhares 3 2 2 2 14 2" xfId="36643"/>
    <cellStyle name="Separador de milhares 3 2 2 2 15" xfId="29259"/>
    <cellStyle name="Separador de milhares 3 2 2 2 2" xfId="441"/>
    <cellStyle name="Separador de milhares 3 2 2 2 2 10" xfId="17558"/>
    <cellStyle name="Separador de milhares 3 2 2 2 2 10 2" xfId="42625"/>
    <cellStyle name="Separador de milhares 3 2 2 2 2 11" xfId="11227"/>
    <cellStyle name="Separador de milhares 3 2 2 2 2 11 2" xfId="36717"/>
    <cellStyle name="Separador de milhares 3 2 2 2 2 12" xfId="29333"/>
    <cellStyle name="Separador de milhares 3 2 2 2 2 2" xfId="1960"/>
    <cellStyle name="Separador de milhares 3 2 2 2 2 2 2" xfId="6977"/>
    <cellStyle name="Separador de milhares 3 2 2 2 2 2 2 2" xfId="10124"/>
    <cellStyle name="Separador de milhares 3 2 2 2 2 2 2 2 2" xfId="28338"/>
    <cellStyle name="Separador de milhares 3 2 2 2 2 2 2 2 2 2" xfId="53405"/>
    <cellStyle name="Separador de milhares 3 2 2 2 2 2 2 2 3" xfId="22424"/>
    <cellStyle name="Separador de milhares 3 2 2 2 2 2 2 2 3 2" xfId="47491"/>
    <cellStyle name="Separador de milhares 3 2 2 2 2 2 2 2 4" xfId="16510"/>
    <cellStyle name="Separador de milhares 3 2 2 2 2 2 2 2 4 2" xfId="41577"/>
    <cellStyle name="Separador de milhares 3 2 2 2 2 2 2 2 5" xfId="35669"/>
    <cellStyle name="Separador de milhares 3 2 2 2 2 2 2 3" xfId="25381"/>
    <cellStyle name="Separador de milhares 3 2 2 2 2 2 2 3 2" xfId="50448"/>
    <cellStyle name="Separador de milhares 3 2 2 2 2 2 2 4" xfId="19467"/>
    <cellStyle name="Separador de milhares 3 2 2 2 2 2 2 4 2" xfId="44534"/>
    <cellStyle name="Separador de milhares 3 2 2 2 2 2 2 5" xfId="13366"/>
    <cellStyle name="Separador de milhares 3 2 2 2 2 2 2 5 2" xfId="38623"/>
    <cellStyle name="Separador de milhares 3 2 2 2 2 2 2 6" xfId="32712"/>
    <cellStyle name="Separador de milhares 3 2 2 2 2 2 3" xfId="8656"/>
    <cellStyle name="Separador de milhares 3 2 2 2 2 2 3 2" xfId="26870"/>
    <cellStyle name="Separador de milhares 3 2 2 2 2 2 3 2 2" xfId="51937"/>
    <cellStyle name="Separador de milhares 3 2 2 2 2 2 3 3" xfId="20956"/>
    <cellStyle name="Separador de milhares 3 2 2 2 2 2 3 3 2" xfId="46023"/>
    <cellStyle name="Separador de milhares 3 2 2 2 2 2 3 4" xfId="15042"/>
    <cellStyle name="Separador de milhares 3 2 2 2 2 2 3 4 2" xfId="40109"/>
    <cellStyle name="Separador de milhares 3 2 2 2 2 2 3 5" xfId="34201"/>
    <cellStyle name="Separador de milhares 3 2 2 2 2 2 4" xfId="5278"/>
    <cellStyle name="Separador de milhares 3 2 2 2 2 2 4 2" xfId="23913"/>
    <cellStyle name="Separador de milhares 3 2 2 2 2 2 4 2 2" xfId="48980"/>
    <cellStyle name="Separador de milhares 3 2 2 2 2 2 4 3" xfId="31244"/>
    <cellStyle name="Separador de milhares 3 2 2 2 2 2 5" xfId="17999"/>
    <cellStyle name="Separador de milhares 3 2 2 2 2 2 5 2" xfId="43066"/>
    <cellStyle name="Separador de milhares 3 2 2 2 2 2 6" xfId="11665"/>
    <cellStyle name="Separador de milhares 3 2 2 2 2 2 6 2" xfId="37155"/>
    <cellStyle name="Separador de milhares 3 2 2 2 2 2 7" xfId="29774"/>
    <cellStyle name="Separador de milhares 3 2 2 2 2 3" xfId="2490"/>
    <cellStyle name="Separador de milhares 3 2 2 2 2 3 2" xfId="7127"/>
    <cellStyle name="Separador de milhares 3 2 2 2 2 3 2 2" xfId="10271"/>
    <cellStyle name="Separador de milhares 3 2 2 2 2 3 2 2 2" xfId="28485"/>
    <cellStyle name="Separador de milhares 3 2 2 2 2 3 2 2 2 2" xfId="53552"/>
    <cellStyle name="Separador de milhares 3 2 2 2 2 3 2 2 3" xfId="22571"/>
    <cellStyle name="Separador de milhares 3 2 2 2 2 3 2 2 3 2" xfId="47638"/>
    <cellStyle name="Separador de milhares 3 2 2 2 2 3 2 2 4" xfId="16657"/>
    <cellStyle name="Separador de milhares 3 2 2 2 2 3 2 2 4 2" xfId="41724"/>
    <cellStyle name="Separador de milhares 3 2 2 2 2 3 2 2 5" xfId="35816"/>
    <cellStyle name="Separador de milhares 3 2 2 2 2 3 2 3" xfId="25528"/>
    <cellStyle name="Separador de milhares 3 2 2 2 2 3 2 3 2" xfId="50595"/>
    <cellStyle name="Separador de milhares 3 2 2 2 2 3 2 4" xfId="19614"/>
    <cellStyle name="Separador de milhares 3 2 2 2 2 3 2 4 2" xfId="44681"/>
    <cellStyle name="Separador de milhares 3 2 2 2 2 3 2 5" xfId="13516"/>
    <cellStyle name="Separador de milhares 3 2 2 2 2 3 2 5 2" xfId="38770"/>
    <cellStyle name="Separador de milhares 3 2 2 2 2 3 2 6" xfId="32859"/>
    <cellStyle name="Separador de milhares 3 2 2 2 2 3 3" xfId="8803"/>
    <cellStyle name="Separador de milhares 3 2 2 2 2 3 3 2" xfId="27017"/>
    <cellStyle name="Separador de milhares 3 2 2 2 2 3 3 2 2" xfId="52084"/>
    <cellStyle name="Separador de milhares 3 2 2 2 2 3 3 3" xfId="21103"/>
    <cellStyle name="Separador de milhares 3 2 2 2 2 3 3 3 2" xfId="46170"/>
    <cellStyle name="Separador de milhares 3 2 2 2 2 3 3 4" xfId="15189"/>
    <cellStyle name="Separador de milhares 3 2 2 2 2 3 3 4 2" xfId="40256"/>
    <cellStyle name="Separador de milhares 3 2 2 2 2 3 3 5" xfId="34348"/>
    <cellStyle name="Separador de milhares 3 2 2 2 2 3 4" xfId="5428"/>
    <cellStyle name="Separador de milhares 3 2 2 2 2 3 4 2" xfId="24060"/>
    <cellStyle name="Separador de milhares 3 2 2 2 2 3 4 2 2" xfId="49127"/>
    <cellStyle name="Separador de milhares 3 2 2 2 2 3 4 3" xfId="31391"/>
    <cellStyle name="Separador de milhares 3 2 2 2 2 3 5" xfId="18146"/>
    <cellStyle name="Separador de milhares 3 2 2 2 2 3 5 2" xfId="43213"/>
    <cellStyle name="Separador de milhares 3 2 2 2 2 3 6" xfId="11815"/>
    <cellStyle name="Separador de milhares 3 2 2 2 2 3 6 2" xfId="37302"/>
    <cellStyle name="Separador de milhares 3 2 2 2 2 3 7" xfId="29921"/>
    <cellStyle name="Separador de milhares 3 2 2 2 2 4" xfId="3017"/>
    <cellStyle name="Separador de milhares 3 2 2 2 2 4 2" xfId="7274"/>
    <cellStyle name="Separador de milhares 3 2 2 2 2 4 2 2" xfId="10418"/>
    <cellStyle name="Separador de milhares 3 2 2 2 2 4 2 2 2" xfId="28632"/>
    <cellStyle name="Separador de milhares 3 2 2 2 2 4 2 2 2 2" xfId="53699"/>
    <cellStyle name="Separador de milhares 3 2 2 2 2 4 2 2 3" xfId="22718"/>
    <cellStyle name="Separador de milhares 3 2 2 2 2 4 2 2 3 2" xfId="47785"/>
    <cellStyle name="Separador de milhares 3 2 2 2 2 4 2 2 4" xfId="16804"/>
    <cellStyle name="Separador de milhares 3 2 2 2 2 4 2 2 4 2" xfId="41871"/>
    <cellStyle name="Separador de milhares 3 2 2 2 2 4 2 2 5" xfId="35963"/>
    <cellStyle name="Separador de milhares 3 2 2 2 2 4 2 3" xfId="25675"/>
    <cellStyle name="Separador de milhares 3 2 2 2 2 4 2 3 2" xfId="50742"/>
    <cellStyle name="Separador de milhares 3 2 2 2 2 4 2 4" xfId="19761"/>
    <cellStyle name="Separador de milhares 3 2 2 2 2 4 2 4 2" xfId="44828"/>
    <cellStyle name="Separador de milhares 3 2 2 2 2 4 2 5" xfId="13663"/>
    <cellStyle name="Separador de milhares 3 2 2 2 2 4 2 5 2" xfId="38917"/>
    <cellStyle name="Separador de milhares 3 2 2 2 2 4 2 6" xfId="33006"/>
    <cellStyle name="Separador de milhares 3 2 2 2 2 4 3" xfId="8950"/>
    <cellStyle name="Separador de milhares 3 2 2 2 2 4 3 2" xfId="27164"/>
    <cellStyle name="Separador de milhares 3 2 2 2 2 4 3 2 2" xfId="52231"/>
    <cellStyle name="Separador de milhares 3 2 2 2 2 4 3 3" xfId="21250"/>
    <cellStyle name="Separador de milhares 3 2 2 2 2 4 3 3 2" xfId="46317"/>
    <cellStyle name="Separador de milhares 3 2 2 2 2 4 3 4" xfId="15336"/>
    <cellStyle name="Separador de milhares 3 2 2 2 2 4 3 4 2" xfId="40403"/>
    <cellStyle name="Separador de milhares 3 2 2 2 2 4 3 5" xfId="34495"/>
    <cellStyle name="Separador de milhares 3 2 2 2 2 4 4" xfId="5575"/>
    <cellStyle name="Separador de milhares 3 2 2 2 2 4 4 2" xfId="24207"/>
    <cellStyle name="Separador de milhares 3 2 2 2 2 4 4 2 2" xfId="49274"/>
    <cellStyle name="Separador de milhares 3 2 2 2 2 4 4 3" xfId="31538"/>
    <cellStyle name="Separador de milhares 3 2 2 2 2 4 5" xfId="18293"/>
    <cellStyle name="Separador de milhares 3 2 2 2 2 4 5 2" xfId="43360"/>
    <cellStyle name="Separador de milhares 3 2 2 2 2 4 6" xfId="11962"/>
    <cellStyle name="Separador de milhares 3 2 2 2 2 4 6 2" xfId="37449"/>
    <cellStyle name="Separador de milhares 3 2 2 2 2 4 7" xfId="30068"/>
    <cellStyle name="Separador de milhares 3 2 2 2 2 5" xfId="3544"/>
    <cellStyle name="Separador de milhares 3 2 2 2 2 5 2" xfId="7421"/>
    <cellStyle name="Separador de milhares 3 2 2 2 2 5 2 2" xfId="10565"/>
    <cellStyle name="Separador de milhares 3 2 2 2 2 5 2 2 2" xfId="28779"/>
    <cellStyle name="Separador de milhares 3 2 2 2 2 5 2 2 2 2" xfId="53846"/>
    <cellStyle name="Separador de milhares 3 2 2 2 2 5 2 2 3" xfId="22865"/>
    <cellStyle name="Separador de milhares 3 2 2 2 2 5 2 2 3 2" xfId="47932"/>
    <cellStyle name="Separador de milhares 3 2 2 2 2 5 2 2 4" xfId="16951"/>
    <cellStyle name="Separador de milhares 3 2 2 2 2 5 2 2 4 2" xfId="42018"/>
    <cellStyle name="Separador de milhares 3 2 2 2 2 5 2 2 5" xfId="36110"/>
    <cellStyle name="Separador de milhares 3 2 2 2 2 5 2 3" xfId="25822"/>
    <cellStyle name="Separador de milhares 3 2 2 2 2 5 2 3 2" xfId="50889"/>
    <cellStyle name="Separador de milhares 3 2 2 2 2 5 2 4" xfId="19908"/>
    <cellStyle name="Separador de milhares 3 2 2 2 2 5 2 4 2" xfId="44975"/>
    <cellStyle name="Separador de milhares 3 2 2 2 2 5 2 5" xfId="13810"/>
    <cellStyle name="Separador de milhares 3 2 2 2 2 5 2 5 2" xfId="39064"/>
    <cellStyle name="Separador de milhares 3 2 2 2 2 5 2 6" xfId="33153"/>
    <cellStyle name="Separador de milhares 3 2 2 2 2 5 3" xfId="9097"/>
    <cellStyle name="Separador de milhares 3 2 2 2 2 5 3 2" xfId="27311"/>
    <cellStyle name="Separador de milhares 3 2 2 2 2 5 3 2 2" xfId="52378"/>
    <cellStyle name="Separador de milhares 3 2 2 2 2 5 3 3" xfId="21397"/>
    <cellStyle name="Separador de milhares 3 2 2 2 2 5 3 3 2" xfId="46464"/>
    <cellStyle name="Separador de milhares 3 2 2 2 2 5 3 4" xfId="15483"/>
    <cellStyle name="Separador de milhares 3 2 2 2 2 5 3 4 2" xfId="40550"/>
    <cellStyle name="Separador de milhares 3 2 2 2 2 5 3 5" xfId="34642"/>
    <cellStyle name="Separador de milhares 3 2 2 2 2 5 4" xfId="5722"/>
    <cellStyle name="Separador de milhares 3 2 2 2 2 5 4 2" xfId="24354"/>
    <cellStyle name="Separador de milhares 3 2 2 2 2 5 4 2 2" xfId="49421"/>
    <cellStyle name="Separador de milhares 3 2 2 2 2 5 4 3" xfId="31685"/>
    <cellStyle name="Separador de milhares 3 2 2 2 2 5 5" xfId="18440"/>
    <cellStyle name="Separador de milhares 3 2 2 2 2 5 5 2" xfId="43507"/>
    <cellStyle name="Separador de milhares 3 2 2 2 2 5 6" xfId="12109"/>
    <cellStyle name="Separador de milhares 3 2 2 2 2 5 6 2" xfId="37596"/>
    <cellStyle name="Separador de milhares 3 2 2 2 2 5 7" xfId="30215"/>
    <cellStyle name="Separador de milhares 3 2 2 2 2 6" xfId="4071"/>
    <cellStyle name="Separador de milhares 3 2 2 2 2 6 2" xfId="7568"/>
    <cellStyle name="Separador de milhares 3 2 2 2 2 6 2 2" xfId="10712"/>
    <cellStyle name="Separador de milhares 3 2 2 2 2 6 2 2 2" xfId="28926"/>
    <cellStyle name="Separador de milhares 3 2 2 2 2 6 2 2 2 2" xfId="53993"/>
    <cellStyle name="Separador de milhares 3 2 2 2 2 6 2 2 3" xfId="23012"/>
    <cellStyle name="Separador de milhares 3 2 2 2 2 6 2 2 3 2" xfId="48079"/>
    <cellStyle name="Separador de milhares 3 2 2 2 2 6 2 2 4" xfId="17098"/>
    <cellStyle name="Separador de milhares 3 2 2 2 2 6 2 2 4 2" xfId="42165"/>
    <cellStyle name="Separador de milhares 3 2 2 2 2 6 2 2 5" xfId="36257"/>
    <cellStyle name="Separador de milhares 3 2 2 2 2 6 2 3" xfId="25969"/>
    <cellStyle name="Separador de milhares 3 2 2 2 2 6 2 3 2" xfId="51036"/>
    <cellStyle name="Separador de milhares 3 2 2 2 2 6 2 4" xfId="20055"/>
    <cellStyle name="Separador de milhares 3 2 2 2 2 6 2 4 2" xfId="45122"/>
    <cellStyle name="Separador de milhares 3 2 2 2 2 6 2 5" xfId="13957"/>
    <cellStyle name="Separador de milhares 3 2 2 2 2 6 2 5 2" xfId="39211"/>
    <cellStyle name="Separador de milhares 3 2 2 2 2 6 2 6" xfId="33300"/>
    <cellStyle name="Separador de milhares 3 2 2 2 2 6 3" xfId="9244"/>
    <cellStyle name="Separador de milhares 3 2 2 2 2 6 3 2" xfId="27458"/>
    <cellStyle name="Separador de milhares 3 2 2 2 2 6 3 2 2" xfId="52525"/>
    <cellStyle name="Separador de milhares 3 2 2 2 2 6 3 3" xfId="21544"/>
    <cellStyle name="Separador de milhares 3 2 2 2 2 6 3 3 2" xfId="46611"/>
    <cellStyle name="Separador de milhares 3 2 2 2 2 6 3 4" xfId="15630"/>
    <cellStyle name="Separador de milhares 3 2 2 2 2 6 3 4 2" xfId="40697"/>
    <cellStyle name="Separador de milhares 3 2 2 2 2 6 3 5" xfId="34789"/>
    <cellStyle name="Separador de milhares 3 2 2 2 2 6 4" xfId="5869"/>
    <cellStyle name="Separador de milhares 3 2 2 2 2 6 4 2" xfId="24501"/>
    <cellStyle name="Separador de milhares 3 2 2 2 2 6 4 2 2" xfId="49568"/>
    <cellStyle name="Separador de milhares 3 2 2 2 2 6 4 3" xfId="31832"/>
    <cellStyle name="Separador de milhares 3 2 2 2 2 6 5" xfId="18587"/>
    <cellStyle name="Separador de milhares 3 2 2 2 2 6 5 2" xfId="43654"/>
    <cellStyle name="Separador de milhares 3 2 2 2 2 6 6" xfId="12256"/>
    <cellStyle name="Separador de milhares 3 2 2 2 2 6 6 2" xfId="37743"/>
    <cellStyle name="Separador de milhares 3 2 2 2 2 6 7" xfId="30362"/>
    <cellStyle name="Separador de milhares 3 2 2 2 2 7" xfId="6539"/>
    <cellStyle name="Separador de milhares 3 2 2 2 2 7 2" xfId="9686"/>
    <cellStyle name="Separador de milhares 3 2 2 2 2 7 2 2" xfId="27900"/>
    <cellStyle name="Separador de milhares 3 2 2 2 2 7 2 2 2" xfId="52967"/>
    <cellStyle name="Separador de milhares 3 2 2 2 2 7 2 3" xfId="21986"/>
    <cellStyle name="Separador de milhares 3 2 2 2 2 7 2 3 2" xfId="47053"/>
    <cellStyle name="Separador de milhares 3 2 2 2 2 7 2 4" xfId="16072"/>
    <cellStyle name="Separador de milhares 3 2 2 2 2 7 2 4 2" xfId="41139"/>
    <cellStyle name="Separador de milhares 3 2 2 2 2 7 2 5" xfId="35231"/>
    <cellStyle name="Separador de milhares 3 2 2 2 2 7 3" xfId="24943"/>
    <cellStyle name="Separador de milhares 3 2 2 2 2 7 3 2" xfId="50010"/>
    <cellStyle name="Separador de milhares 3 2 2 2 2 7 4" xfId="19029"/>
    <cellStyle name="Separador de milhares 3 2 2 2 2 7 4 2" xfId="44096"/>
    <cellStyle name="Separador de milhares 3 2 2 2 2 7 5" xfId="12928"/>
    <cellStyle name="Separador de milhares 3 2 2 2 2 7 5 2" xfId="38185"/>
    <cellStyle name="Separador de milhares 3 2 2 2 2 7 6" xfId="32274"/>
    <cellStyle name="Separador de milhares 3 2 2 2 2 8" xfId="8215"/>
    <cellStyle name="Separador de milhares 3 2 2 2 2 8 2" xfId="26429"/>
    <cellStyle name="Separador de milhares 3 2 2 2 2 8 2 2" xfId="51496"/>
    <cellStyle name="Separador de milhares 3 2 2 2 2 8 3" xfId="20515"/>
    <cellStyle name="Separador de milhares 3 2 2 2 2 8 3 2" xfId="45582"/>
    <cellStyle name="Separador de milhares 3 2 2 2 2 8 4" xfId="14604"/>
    <cellStyle name="Separador de milhares 3 2 2 2 2 8 4 2" xfId="39671"/>
    <cellStyle name="Separador de milhares 3 2 2 2 2 8 5" xfId="33760"/>
    <cellStyle name="Separador de milhares 3 2 2 2 2 9" xfId="4838"/>
    <cellStyle name="Separador de milhares 3 2 2 2 2 9 2" xfId="23472"/>
    <cellStyle name="Separador de milhares 3 2 2 2 2 9 2 2" xfId="48539"/>
    <cellStyle name="Separador de milhares 3 2 2 2 2 9 3" xfId="30804"/>
    <cellStyle name="Separador de milhares 3 2 2 2 3" xfId="914"/>
    <cellStyle name="Separador de milhares 3 2 2 2 3 2" xfId="6690"/>
    <cellStyle name="Separador de milhares 3 2 2 2 3 2 2" xfId="9837"/>
    <cellStyle name="Separador de milhares 3 2 2 2 3 2 2 2" xfId="28051"/>
    <cellStyle name="Separador de milhares 3 2 2 2 3 2 2 2 2" xfId="53118"/>
    <cellStyle name="Separador de milhares 3 2 2 2 3 2 2 3" xfId="22137"/>
    <cellStyle name="Separador de milhares 3 2 2 2 3 2 2 3 2" xfId="47204"/>
    <cellStyle name="Separador de milhares 3 2 2 2 3 2 2 4" xfId="16223"/>
    <cellStyle name="Separador de milhares 3 2 2 2 3 2 2 4 2" xfId="41290"/>
    <cellStyle name="Separador de milhares 3 2 2 2 3 2 2 5" xfId="35382"/>
    <cellStyle name="Separador de milhares 3 2 2 2 3 2 3" xfId="25094"/>
    <cellStyle name="Separador de milhares 3 2 2 2 3 2 3 2" xfId="50161"/>
    <cellStyle name="Separador de milhares 3 2 2 2 3 2 4" xfId="19180"/>
    <cellStyle name="Separador de milhares 3 2 2 2 3 2 4 2" xfId="44247"/>
    <cellStyle name="Separador de milhares 3 2 2 2 3 2 5" xfId="13079"/>
    <cellStyle name="Separador de milhares 3 2 2 2 3 2 5 2" xfId="38336"/>
    <cellStyle name="Separador de milhares 3 2 2 2 3 2 6" xfId="32425"/>
    <cellStyle name="Separador de milhares 3 2 2 2 3 3" xfId="8369"/>
    <cellStyle name="Separador de milhares 3 2 2 2 3 3 2" xfId="26583"/>
    <cellStyle name="Separador de milhares 3 2 2 2 3 3 2 2" xfId="51650"/>
    <cellStyle name="Separador de milhares 3 2 2 2 3 3 3" xfId="20669"/>
    <cellStyle name="Separador de milhares 3 2 2 2 3 3 3 2" xfId="45736"/>
    <cellStyle name="Separador de milhares 3 2 2 2 3 3 4" xfId="14755"/>
    <cellStyle name="Separador de milhares 3 2 2 2 3 3 4 2" xfId="39822"/>
    <cellStyle name="Separador de milhares 3 2 2 2 3 3 5" xfId="33914"/>
    <cellStyle name="Separador de milhares 3 2 2 2 3 4" xfId="4991"/>
    <cellStyle name="Separador de milhares 3 2 2 2 3 4 2" xfId="23626"/>
    <cellStyle name="Separador de milhares 3 2 2 2 3 4 2 2" xfId="48693"/>
    <cellStyle name="Separador de milhares 3 2 2 2 3 4 3" xfId="30957"/>
    <cellStyle name="Separador de milhares 3 2 2 2 3 5" xfId="17712"/>
    <cellStyle name="Separador de milhares 3 2 2 2 3 5 2" xfId="42779"/>
    <cellStyle name="Separador de milhares 3 2 2 2 3 6" xfId="11378"/>
    <cellStyle name="Separador de milhares 3 2 2 2 3 6 2" xfId="36868"/>
    <cellStyle name="Separador de milhares 3 2 2 2 3 7" xfId="29487"/>
    <cellStyle name="Separador de milhares 3 2 2 2 4" xfId="1265"/>
    <cellStyle name="Separador de milhares 3 2 2 2 4 2" xfId="6788"/>
    <cellStyle name="Separador de milhares 3 2 2 2 4 2 2" xfId="9935"/>
    <cellStyle name="Separador de milhares 3 2 2 2 4 2 2 2" xfId="28149"/>
    <cellStyle name="Separador de milhares 3 2 2 2 4 2 2 2 2" xfId="53216"/>
    <cellStyle name="Separador de milhares 3 2 2 2 4 2 2 3" xfId="22235"/>
    <cellStyle name="Separador de milhares 3 2 2 2 4 2 2 3 2" xfId="47302"/>
    <cellStyle name="Separador de milhares 3 2 2 2 4 2 2 4" xfId="16321"/>
    <cellStyle name="Separador de milhares 3 2 2 2 4 2 2 4 2" xfId="41388"/>
    <cellStyle name="Separador de milhares 3 2 2 2 4 2 2 5" xfId="35480"/>
    <cellStyle name="Separador de milhares 3 2 2 2 4 2 3" xfId="25192"/>
    <cellStyle name="Separador de milhares 3 2 2 2 4 2 3 2" xfId="50259"/>
    <cellStyle name="Separador de milhares 3 2 2 2 4 2 4" xfId="19278"/>
    <cellStyle name="Separador de milhares 3 2 2 2 4 2 4 2" xfId="44345"/>
    <cellStyle name="Separador de milhares 3 2 2 2 4 2 5" xfId="13177"/>
    <cellStyle name="Separador de milhares 3 2 2 2 4 2 5 2" xfId="38434"/>
    <cellStyle name="Separador de milhares 3 2 2 2 4 2 6" xfId="32523"/>
    <cellStyle name="Separador de milhares 3 2 2 2 4 3" xfId="8467"/>
    <cellStyle name="Separador de milhares 3 2 2 2 4 3 2" xfId="26681"/>
    <cellStyle name="Separador de milhares 3 2 2 2 4 3 2 2" xfId="51748"/>
    <cellStyle name="Separador de milhares 3 2 2 2 4 3 3" xfId="20767"/>
    <cellStyle name="Separador de milhares 3 2 2 2 4 3 3 2" xfId="45834"/>
    <cellStyle name="Separador de milhares 3 2 2 2 4 3 4" xfId="14853"/>
    <cellStyle name="Separador de milhares 3 2 2 2 4 3 4 2" xfId="39920"/>
    <cellStyle name="Separador de milhares 3 2 2 2 4 3 5" xfId="34012"/>
    <cellStyle name="Separador de milhares 3 2 2 2 4 4" xfId="5089"/>
    <cellStyle name="Separador de milhares 3 2 2 2 4 4 2" xfId="23724"/>
    <cellStyle name="Separador de milhares 3 2 2 2 4 4 2 2" xfId="48791"/>
    <cellStyle name="Separador de milhares 3 2 2 2 4 4 3" xfId="31055"/>
    <cellStyle name="Separador de milhares 3 2 2 2 4 5" xfId="17810"/>
    <cellStyle name="Separador de milhares 3 2 2 2 4 5 2" xfId="42877"/>
    <cellStyle name="Separador de milhares 3 2 2 2 4 6" xfId="11476"/>
    <cellStyle name="Separador de milhares 3 2 2 2 4 6 2" xfId="36966"/>
    <cellStyle name="Separador de milhares 3 2 2 2 4 7" xfId="29585"/>
    <cellStyle name="Separador de milhares 3 2 2 2 5" xfId="1700"/>
    <cellStyle name="Separador de milhares 3 2 2 2 5 2" xfId="6907"/>
    <cellStyle name="Separador de milhares 3 2 2 2 5 2 2" xfId="10054"/>
    <cellStyle name="Separador de milhares 3 2 2 2 5 2 2 2" xfId="28268"/>
    <cellStyle name="Separador de milhares 3 2 2 2 5 2 2 2 2" xfId="53335"/>
    <cellStyle name="Separador de milhares 3 2 2 2 5 2 2 3" xfId="22354"/>
    <cellStyle name="Separador de milhares 3 2 2 2 5 2 2 3 2" xfId="47421"/>
    <cellStyle name="Separador de milhares 3 2 2 2 5 2 2 4" xfId="16440"/>
    <cellStyle name="Separador de milhares 3 2 2 2 5 2 2 4 2" xfId="41507"/>
    <cellStyle name="Separador de milhares 3 2 2 2 5 2 2 5" xfId="35599"/>
    <cellStyle name="Separador de milhares 3 2 2 2 5 2 3" xfId="25311"/>
    <cellStyle name="Separador de milhares 3 2 2 2 5 2 3 2" xfId="50378"/>
    <cellStyle name="Separador de milhares 3 2 2 2 5 2 4" xfId="19397"/>
    <cellStyle name="Separador de milhares 3 2 2 2 5 2 4 2" xfId="44464"/>
    <cellStyle name="Separador de milhares 3 2 2 2 5 2 5" xfId="13296"/>
    <cellStyle name="Separador de milhares 3 2 2 2 5 2 5 2" xfId="38553"/>
    <cellStyle name="Separador de milhares 3 2 2 2 5 2 6" xfId="32642"/>
    <cellStyle name="Separador de milhares 3 2 2 2 5 3" xfId="8586"/>
    <cellStyle name="Separador de milhares 3 2 2 2 5 3 2" xfId="26800"/>
    <cellStyle name="Separador de milhares 3 2 2 2 5 3 2 2" xfId="51867"/>
    <cellStyle name="Separador de milhares 3 2 2 2 5 3 3" xfId="20886"/>
    <cellStyle name="Separador de milhares 3 2 2 2 5 3 3 2" xfId="45953"/>
    <cellStyle name="Separador de milhares 3 2 2 2 5 3 4" xfId="14972"/>
    <cellStyle name="Separador de milhares 3 2 2 2 5 3 4 2" xfId="40039"/>
    <cellStyle name="Separador de milhares 3 2 2 2 5 3 5" xfId="34131"/>
    <cellStyle name="Separador de milhares 3 2 2 2 5 4" xfId="5208"/>
    <cellStyle name="Separador de milhares 3 2 2 2 5 4 2" xfId="23843"/>
    <cellStyle name="Separador de milhares 3 2 2 2 5 4 2 2" xfId="48910"/>
    <cellStyle name="Separador de milhares 3 2 2 2 5 4 3" xfId="31174"/>
    <cellStyle name="Separador de milhares 3 2 2 2 5 5" xfId="17929"/>
    <cellStyle name="Separador de milhares 3 2 2 2 5 5 2" xfId="42996"/>
    <cellStyle name="Separador de milhares 3 2 2 2 5 6" xfId="11595"/>
    <cellStyle name="Separador de milhares 3 2 2 2 5 6 2" xfId="37085"/>
    <cellStyle name="Separador de milhares 3 2 2 2 5 7" xfId="29704"/>
    <cellStyle name="Separador de milhares 3 2 2 2 6" xfId="2230"/>
    <cellStyle name="Separador de milhares 3 2 2 2 6 2" xfId="7057"/>
    <cellStyle name="Separador de milhares 3 2 2 2 6 2 2" xfId="10201"/>
    <cellStyle name="Separador de milhares 3 2 2 2 6 2 2 2" xfId="28415"/>
    <cellStyle name="Separador de milhares 3 2 2 2 6 2 2 2 2" xfId="53482"/>
    <cellStyle name="Separador de milhares 3 2 2 2 6 2 2 3" xfId="22501"/>
    <cellStyle name="Separador de milhares 3 2 2 2 6 2 2 3 2" xfId="47568"/>
    <cellStyle name="Separador de milhares 3 2 2 2 6 2 2 4" xfId="16587"/>
    <cellStyle name="Separador de milhares 3 2 2 2 6 2 2 4 2" xfId="41654"/>
    <cellStyle name="Separador de milhares 3 2 2 2 6 2 2 5" xfId="35746"/>
    <cellStyle name="Separador de milhares 3 2 2 2 6 2 3" xfId="25458"/>
    <cellStyle name="Separador de milhares 3 2 2 2 6 2 3 2" xfId="50525"/>
    <cellStyle name="Separador de milhares 3 2 2 2 6 2 4" xfId="19544"/>
    <cellStyle name="Separador de milhares 3 2 2 2 6 2 4 2" xfId="44611"/>
    <cellStyle name="Separador de milhares 3 2 2 2 6 2 5" xfId="13446"/>
    <cellStyle name="Separador de milhares 3 2 2 2 6 2 5 2" xfId="38700"/>
    <cellStyle name="Separador de milhares 3 2 2 2 6 2 6" xfId="32789"/>
    <cellStyle name="Separador de milhares 3 2 2 2 6 3" xfId="8733"/>
    <cellStyle name="Separador de milhares 3 2 2 2 6 3 2" xfId="26947"/>
    <cellStyle name="Separador de milhares 3 2 2 2 6 3 2 2" xfId="52014"/>
    <cellStyle name="Separador de milhares 3 2 2 2 6 3 3" xfId="21033"/>
    <cellStyle name="Separador de milhares 3 2 2 2 6 3 3 2" xfId="46100"/>
    <cellStyle name="Separador de milhares 3 2 2 2 6 3 4" xfId="15119"/>
    <cellStyle name="Separador de milhares 3 2 2 2 6 3 4 2" xfId="40186"/>
    <cellStyle name="Separador de milhares 3 2 2 2 6 3 5" xfId="34278"/>
    <cellStyle name="Separador de milhares 3 2 2 2 6 4" xfId="5358"/>
    <cellStyle name="Separador de milhares 3 2 2 2 6 4 2" xfId="23990"/>
    <cellStyle name="Separador de milhares 3 2 2 2 6 4 2 2" xfId="49057"/>
    <cellStyle name="Separador de milhares 3 2 2 2 6 4 3" xfId="31321"/>
    <cellStyle name="Separador de milhares 3 2 2 2 6 5" xfId="18076"/>
    <cellStyle name="Separador de milhares 3 2 2 2 6 5 2" xfId="43143"/>
    <cellStyle name="Separador de milhares 3 2 2 2 6 6" xfId="11745"/>
    <cellStyle name="Separador de milhares 3 2 2 2 6 6 2" xfId="37232"/>
    <cellStyle name="Separador de milhares 3 2 2 2 6 7" xfId="29851"/>
    <cellStyle name="Separador de milhares 3 2 2 2 7" xfId="2757"/>
    <cellStyle name="Separador de milhares 3 2 2 2 7 2" xfId="7204"/>
    <cellStyle name="Separador de milhares 3 2 2 2 7 2 2" xfId="10348"/>
    <cellStyle name="Separador de milhares 3 2 2 2 7 2 2 2" xfId="28562"/>
    <cellStyle name="Separador de milhares 3 2 2 2 7 2 2 2 2" xfId="53629"/>
    <cellStyle name="Separador de milhares 3 2 2 2 7 2 2 3" xfId="22648"/>
    <cellStyle name="Separador de milhares 3 2 2 2 7 2 2 3 2" xfId="47715"/>
    <cellStyle name="Separador de milhares 3 2 2 2 7 2 2 4" xfId="16734"/>
    <cellStyle name="Separador de milhares 3 2 2 2 7 2 2 4 2" xfId="41801"/>
    <cellStyle name="Separador de milhares 3 2 2 2 7 2 2 5" xfId="35893"/>
    <cellStyle name="Separador de milhares 3 2 2 2 7 2 3" xfId="25605"/>
    <cellStyle name="Separador de milhares 3 2 2 2 7 2 3 2" xfId="50672"/>
    <cellStyle name="Separador de milhares 3 2 2 2 7 2 4" xfId="19691"/>
    <cellStyle name="Separador de milhares 3 2 2 2 7 2 4 2" xfId="44758"/>
    <cellStyle name="Separador de milhares 3 2 2 2 7 2 5" xfId="13593"/>
    <cellStyle name="Separador de milhares 3 2 2 2 7 2 5 2" xfId="38847"/>
    <cellStyle name="Separador de milhares 3 2 2 2 7 2 6" xfId="32936"/>
    <cellStyle name="Separador de milhares 3 2 2 2 7 3" xfId="8880"/>
    <cellStyle name="Separador de milhares 3 2 2 2 7 3 2" xfId="27094"/>
    <cellStyle name="Separador de milhares 3 2 2 2 7 3 2 2" xfId="52161"/>
    <cellStyle name="Separador de milhares 3 2 2 2 7 3 3" xfId="21180"/>
    <cellStyle name="Separador de milhares 3 2 2 2 7 3 3 2" xfId="46247"/>
    <cellStyle name="Separador de milhares 3 2 2 2 7 3 4" xfId="15266"/>
    <cellStyle name="Separador de milhares 3 2 2 2 7 3 4 2" xfId="40333"/>
    <cellStyle name="Separador de milhares 3 2 2 2 7 3 5" xfId="34425"/>
    <cellStyle name="Separador de milhares 3 2 2 2 7 4" xfId="5505"/>
    <cellStyle name="Separador de milhares 3 2 2 2 7 4 2" xfId="24137"/>
    <cellStyle name="Separador de milhares 3 2 2 2 7 4 2 2" xfId="49204"/>
    <cellStyle name="Separador de milhares 3 2 2 2 7 4 3" xfId="31468"/>
    <cellStyle name="Separador de milhares 3 2 2 2 7 5" xfId="18223"/>
    <cellStyle name="Separador de milhares 3 2 2 2 7 5 2" xfId="43290"/>
    <cellStyle name="Separador de milhares 3 2 2 2 7 6" xfId="11892"/>
    <cellStyle name="Separador de milhares 3 2 2 2 7 6 2" xfId="37379"/>
    <cellStyle name="Separador de milhares 3 2 2 2 7 7" xfId="29998"/>
    <cellStyle name="Separador de milhares 3 2 2 2 8" xfId="3284"/>
    <cellStyle name="Separador de milhares 3 2 2 2 8 2" xfId="7351"/>
    <cellStyle name="Separador de milhares 3 2 2 2 8 2 2" xfId="10495"/>
    <cellStyle name="Separador de milhares 3 2 2 2 8 2 2 2" xfId="28709"/>
    <cellStyle name="Separador de milhares 3 2 2 2 8 2 2 2 2" xfId="53776"/>
    <cellStyle name="Separador de milhares 3 2 2 2 8 2 2 3" xfId="22795"/>
    <cellStyle name="Separador de milhares 3 2 2 2 8 2 2 3 2" xfId="47862"/>
    <cellStyle name="Separador de milhares 3 2 2 2 8 2 2 4" xfId="16881"/>
    <cellStyle name="Separador de milhares 3 2 2 2 8 2 2 4 2" xfId="41948"/>
    <cellStyle name="Separador de milhares 3 2 2 2 8 2 2 5" xfId="36040"/>
    <cellStyle name="Separador de milhares 3 2 2 2 8 2 3" xfId="25752"/>
    <cellStyle name="Separador de milhares 3 2 2 2 8 2 3 2" xfId="50819"/>
    <cellStyle name="Separador de milhares 3 2 2 2 8 2 4" xfId="19838"/>
    <cellStyle name="Separador de milhares 3 2 2 2 8 2 4 2" xfId="44905"/>
    <cellStyle name="Separador de milhares 3 2 2 2 8 2 5" xfId="13740"/>
    <cellStyle name="Separador de milhares 3 2 2 2 8 2 5 2" xfId="38994"/>
    <cellStyle name="Separador de milhares 3 2 2 2 8 2 6" xfId="33083"/>
    <cellStyle name="Separador de milhares 3 2 2 2 8 3" xfId="9027"/>
    <cellStyle name="Separador de milhares 3 2 2 2 8 3 2" xfId="27241"/>
    <cellStyle name="Separador de milhares 3 2 2 2 8 3 2 2" xfId="52308"/>
    <cellStyle name="Separador de milhares 3 2 2 2 8 3 3" xfId="21327"/>
    <cellStyle name="Separador de milhares 3 2 2 2 8 3 3 2" xfId="46394"/>
    <cellStyle name="Separador de milhares 3 2 2 2 8 3 4" xfId="15413"/>
    <cellStyle name="Separador de milhares 3 2 2 2 8 3 4 2" xfId="40480"/>
    <cellStyle name="Separador de milhares 3 2 2 2 8 3 5" xfId="34572"/>
    <cellStyle name="Separador de milhares 3 2 2 2 8 4" xfId="5652"/>
    <cellStyle name="Separador de milhares 3 2 2 2 8 4 2" xfId="24284"/>
    <cellStyle name="Separador de milhares 3 2 2 2 8 4 2 2" xfId="49351"/>
    <cellStyle name="Separador de milhares 3 2 2 2 8 4 3" xfId="31615"/>
    <cellStyle name="Separador de milhares 3 2 2 2 8 5" xfId="18370"/>
    <cellStyle name="Separador de milhares 3 2 2 2 8 5 2" xfId="43437"/>
    <cellStyle name="Separador de milhares 3 2 2 2 8 6" xfId="12039"/>
    <cellStyle name="Separador de milhares 3 2 2 2 8 6 2" xfId="37526"/>
    <cellStyle name="Separador de milhares 3 2 2 2 8 7" xfId="30145"/>
    <cellStyle name="Separador de milhares 3 2 2 2 9" xfId="3811"/>
    <cellStyle name="Separador de milhares 3 2 2 2 9 2" xfId="7498"/>
    <cellStyle name="Separador de milhares 3 2 2 2 9 2 2" xfId="10642"/>
    <cellStyle name="Separador de milhares 3 2 2 2 9 2 2 2" xfId="28856"/>
    <cellStyle name="Separador de milhares 3 2 2 2 9 2 2 2 2" xfId="53923"/>
    <cellStyle name="Separador de milhares 3 2 2 2 9 2 2 3" xfId="22942"/>
    <cellStyle name="Separador de milhares 3 2 2 2 9 2 2 3 2" xfId="48009"/>
    <cellStyle name="Separador de milhares 3 2 2 2 9 2 2 4" xfId="17028"/>
    <cellStyle name="Separador de milhares 3 2 2 2 9 2 2 4 2" xfId="42095"/>
    <cellStyle name="Separador de milhares 3 2 2 2 9 2 2 5" xfId="36187"/>
    <cellStyle name="Separador de milhares 3 2 2 2 9 2 3" xfId="25899"/>
    <cellStyle name="Separador de milhares 3 2 2 2 9 2 3 2" xfId="50966"/>
    <cellStyle name="Separador de milhares 3 2 2 2 9 2 4" xfId="19985"/>
    <cellStyle name="Separador de milhares 3 2 2 2 9 2 4 2" xfId="45052"/>
    <cellStyle name="Separador de milhares 3 2 2 2 9 2 5" xfId="13887"/>
    <cellStyle name="Separador de milhares 3 2 2 2 9 2 5 2" xfId="39141"/>
    <cellStyle name="Separador de milhares 3 2 2 2 9 2 6" xfId="33230"/>
    <cellStyle name="Separador de milhares 3 2 2 2 9 3" xfId="9174"/>
    <cellStyle name="Separador de milhares 3 2 2 2 9 3 2" xfId="27388"/>
    <cellStyle name="Separador de milhares 3 2 2 2 9 3 2 2" xfId="52455"/>
    <cellStyle name="Separador de milhares 3 2 2 2 9 3 3" xfId="21474"/>
    <cellStyle name="Separador de milhares 3 2 2 2 9 3 3 2" xfId="46541"/>
    <cellStyle name="Separador de milhares 3 2 2 2 9 3 4" xfId="15560"/>
    <cellStyle name="Separador de milhares 3 2 2 2 9 3 4 2" xfId="40627"/>
    <cellStyle name="Separador de milhares 3 2 2 2 9 3 5" xfId="34719"/>
    <cellStyle name="Separador de milhares 3 2 2 2 9 4" xfId="5799"/>
    <cellStyle name="Separador de milhares 3 2 2 2 9 4 2" xfId="24431"/>
    <cellStyle name="Separador de milhares 3 2 2 2 9 4 2 2" xfId="49498"/>
    <cellStyle name="Separador de milhares 3 2 2 2 9 4 3" xfId="31762"/>
    <cellStyle name="Separador de milhares 3 2 2 2 9 5" xfId="18517"/>
    <cellStyle name="Separador de milhares 3 2 2 2 9 5 2" xfId="43584"/>
    <cellStyle name="Separador de milhares 3 2 2 2 9 6" xfId="12186"/>
    <cellStyle name="Separador de milhares 3 2 2 2 9 6 2" xfId="37673"/>
    <cellStyle name="Separador de milhares 3 2 2 2 9 7" xfId="30292"/>
    <cellStyle name="Separador de milhares 3 2 2 3" xfId="263"/>
    <cellStyle name="Separador de milhares 3 2 2 3 10" xfId="6489"/>
    <cellStyle name="Separador de milhares 3 2 2 3 10 2" xfId="9640"/>
    <cellStyle name="Separador de milhares 3 2 2 3 10 2 2" xfId="27854"/>
    <cellStyle name="Separador de milhares 3 2 2 3 10 2 2 2" xfId="52921"/>
    <cellStyle name="Separador de milhares 3 2 2 3 10 2 3" xfId="21940"/>
    <cellStyle name="Separador de milhares 3 2 2 3 10 2 3 2" xfId="47007"/>
    <cellStyle name="Separador de milhares 3 2 2 3 10 2 4" xfId="16026"/>
    <cellStyle name="Separador de milhares 3 2 2 3 10 2 4 2" xfId="41093"/>
    <cellStyle name="Separador de milhares 3 2 2 3 10 2 5" xfId="35185"/>
    <cellStyle name="Separador de milhares 3 2 2 3 10 3" xfId="24897"/>
    <cellStyle name="Separador de milhares 3 2 2 3 10 3 2" xfId="49964"/>
    <cellStyle name="Separador de milhares 3 2 2 3 10 4" xfId="18983"/>
    <cellStyle name="Separador de milhares 3 2 2 3 10 4 2" xfId="44050"/>
    <cellStyle name="Separador de milhares 3 2 2 3 10 5" xfId="12878"/>
    <cellStyle name="Separador de milhares 3 2 2 3 10 5 2" xfId="38139"/>
    <cellStyle name="Separador de milhares 3 2 2 3 10 6" xfId="32228"/>
    <cellStyle name="Separador de milhares 3 2 2 3 11" xfId="8169"/>
    <cellStyle name="Separador de milhares 3 2 2 3 11 2" xfId="26383"/>
    <cellStyle name="Separador de milhares 3 2 2 3 11 2 2" xfId="51450"/>
    <cellStyle name="Separador de milhares 3 2 2 3 11 3" xfId="20469"/>
    <cellStyle name="Separador de milhares 3 2 2 3 11 3 2" xfId="45536"/>
    <cellStyle name="Separador de milhares 3 2 2 3 11 4" xfId="14558"/>
    <cellStyle name="Separador de milhares 3 2 2 3 11 4 2" xfId="39625"/>
    <cellStyle name="Separador de milhares 3 2 2 3 11 5" xfId="33714"/>
    <cellStyle name="Separador de milhares 3 2 2 3 12" xfId="4788"/>
    <cellStyle name="Separador de milhares 3 2 2 3 12 2" xfId="23426"/>
    <cellStyle name="Separador de milhares 3 2 2 3 12 2 2" xfId="48493"/>
    <cellStyle name="Separador de milhares 3 2 2 3 12 3" xfId="30758"/>
    <cellStyle name="Separador de milhares 3 2 2 3 13" xfId="17512"/>
    <cellStyle name="Separador de milhares 3 2 2 3 13 2" xfId="42579"/>
    <cellStyle name="Separador de milhares 3 2 2 3 14" xfId="11177"/>
    <cellStyle name="Separador de milhares 3 2 2 3 14 2" xfId="36671"/>
    <cellStyle name="Separador de milhares 3 2 2 3 15" xfId="29287"/>
    <cellStyle name="Separador de milhares 3 2 2 3 2" xfId="526"/>
    <cellStyle name="Separador de milhares 3 2 2 3 2 2" xfId="6560"/>
    <cellStyle name="Separador de milhares 3 2 2 3 2 2 2" xfId="9707"/>
    <cellStyle name="Separador de milhares 3 2 2 3 2 2 2 2" xfId="27921"/>
    <cellStyle name="Separador de milhares 3 2 2 3 2 2 2 2 2" xfId="52988"/>
    <cellStyle name="Separador de milhares 3 2 2 3 2 2 2 3" xfId="22007"/>
    <cellStyle name="Separador de milhares 3 2 2 3 2 2 2 3 2" xfId="47074"/>
    <cellStyle name="Separador de milhares 3 2 2 3 2 2 2 4" xfId="16093"/>
    <cellStyle name="Separador de milhares 3 2 2 3 2 2 2 4 2" xfId="41160"/>
    <cellStyle name="Separador de milhares 3 2 2 3 2 2 2 5" xfId="35252"/>
    <cellStyle name="Separador de milhares 3 2 2 3 2 2 3" xfId="24964"/>
    <cellStyle name="Separador de milhares 3 2 2 3 2 2 3 2" xfId="50031"/>
    <cellStyle name="Separador de milhares 3 2 2 3 2 2 4" xfId="19050"/>
    <cellStyle name="Separador de milhares 3 2 2 3 2 2 4 2" xfId="44117"/>
    <cellStyle name="Separador de milhares 3 2 2 3 2 2 5" xfId="12949"/>
    <cellStyle name="Separador de milhares 3 2 2 3 2 2 5 2" xfId="38206"/>
    <cellStyle name="Separador de milhares 3 2 2 3 2 2 6" xfId="32295"/>
    <cellStyle name="Separador de milhares 3 2 2 3 2 3" xfId="8236"/>
    <cellStyle name="Separador de milhares 3 2 2 3 2 3 2" xfId="26450"/>
    <cellStyle name="Separador de milhares 3 2 2 3 2 3 2 2" xfId="51517"/>
    <cellStyle name="Separador de milhares 3 2 2 3 2 3 3" xfId="20536"/>
    <cellStyle name="Separador de milhares 3 2 2 3 2 3 3 2" xfId="45603"/>
    <cellStyle name="Separador de milhares 3 2 2 3 2 3 4" xfId="14625"/>
    <cellStyle name="Separador de milhares 3 2 2 3 2 3 4 2" xfId="39692"/>
    <cellStyle name="Separador de milhares 3 2 2 3 2 3 5" xfId="33781"/>
    <cellStyle name="Separador de milhares 3 2 2 3 2 4" xfId="4859"/>
    <cellStyle name="Separador de milhares 3 2 2 3 2 4 2" xfId="23493"/>
    <cellStyle name="Separador de milhares 3 2 2 3 2 4 2 2" xfId="48560"/>
    <cellStyle name="Separador de milhares 3 2 2 3 2 4 3" xfId="30825"/>
    <cellStyle name="Separador de milhares 3 2 2 3 2 5" xfId="17579"/>
    <cellStyle name="Separador de milhares 3 2 2 3 2 5 2" xfId="42646"/>
    <cellStyle name="Separador de milhares 3 2 2 3 2 6" xfId="11248"/>
    <cellStyle name="Separador de milhares 3 2 2 3 2 6 2" xfId="36738"/>
    <cellStyle name="Separador de milhares 3 2 2 3 2 7" xfId="29354"/>
    <cellStyle name="Separador de milhares 3 2 2 3 3" xfId="823"/>
    <cellStyle name="Separador de milhares 3 2 2 3 3 2" xfId="6662"/>
    <cellStyle name="Separador de milhares 3 2 2 3 3 2 2" xfId="9809"/>
    <cellStyle name="Separador de milhares 3 2 2 3 3 2 2 2" xfId="28023"/>
    <cellStyle name="Separador de milhares 3 2 2 3 3 2 2 2 2" xfId="53090"/>
    <cellStyle name="Separador de milhares 3 2 2 3 3 2 2 3" xfId="22109"/>
    <cellStyle name="Separador de milhares 3 2 2 3 3 2 2 3 2" xfId="47176"/>
    <cellStyle name="Separador de milhares 3 2 2 3 3 2 2 4" xfId="16195"/>
    <cellStyle name="Separador de milhares 3 2 2 3 3 2 2 4 2" xfId="41262"/>
    <cellStyle name="Separador de milhares 3 2 2 3 3 2 2 5" xfId="35354"/>
    <cellStyle name="Separador de milhares 3 2 2 3 3 2 3" xfId="25066"/>
    <cellStyle name="Separador de milhares 3 2 2 3 3 2 3 2" xfId="50133"/>
    <cellStyle name="Separador de milhares 3 2 2 3 3 2 4" xfId="19152"/>
    <cellStyle name="Separador de milhares 3 2 2 3 3 2 4 2" xfId="44219"/>
    <cellStyle name="Separador de milhares 3 2 2 3 3 2 5" xfId="13051"/>
    <cellStyle name="Separador de milhares 3 2 2 3 3 2 5 2" xfId="38308"/>
    <cellStyle name="Separador de milhares 3 2 2 3 3 2 6" xfId="32397"/>
    <cellStyle name="Separador de milhares 3 2 2 3 3 3" xfId="8341"/>
    <cellStyle name="Separador de milhares 3 2 2 3 3 3 2" xfId="26555"/>
    <cellStyle name="Separador de milhares 3 2 2 3 3 3 2 2" xfId="51622"/>
    <cellStyle name="Separador de milhares 3 2 2 3 3 3 3" xfId="20641"/>
    <cellStyle name="Separador de milhares 3 2 2 3 3 3 3 2" xfId="45708"/>
    <cellStyle name="Separador de milhares 3 2 2 3 3 3 4" xfId="14727"/>
    <cellStyle name="Separador de milhares 3 2 2 3 3 3 4 2" xfId="39794"/>
    <cellStyle name="Separador de milhares 3 2 2 3 3 3 5" xfId="33886"/>
    <cellStyle name="Separador de milhares 3 2 2 3 3 4" xfId="4963"/>
    <cellStyle name="Separador de milhares 3 2 2 3 3 4 2" xfId="23598"/>
    <cellStyle name="Separador de milhares 3 2 2 3 3 4 2 2" xfId="48665"/>
    <cellStyle name="Separador de milhares 3 2 2 3 3 4 3" xfId="30929"/>
    <cellStyle name="Separador de milhares 3 2 2 3 3 5" xfId="17684"/>
    <cellStyle name="Separador de milhares 3 2 2 3 3 5 2" xfId="42751"/>
    <cellStyle name="Separador de milhares 3 2 2 3 3 6" xfId="11350"/>
    <cellStyle name="Separador de milhares 3 2 2 3 3 6 2" xfId="36840"/>
    <cellStyle name="Separador de milhares 3 2 2 3 3 7" xfId="29459"/>
    <cellStyle name="Separador de milhares 3 2 2 3 4" xfId="1174"/>
    <cellStyle name="Separador de milhares 3 2 2 3 4 2" xfId="6760"/>
    <cellStyle name="Separador de milhares 3 2 2 3 4 2 2" xfId="9907"/>
    <cellStyle name="Separador de milhares 3 2 2 3 4 2 2 2" xfId="28121"/>
    <cellStyle name="Separador de milhares 3 2 2 3 4 2 2 2 2" xfId="53188"/>
    <cellStyle name="Separador de milhares 3 2 2 3 4 2 2 3" xfId="22207"/>
    <cellStyle name="Separador de milhares 3 2 2 3 4 2 2 3 2" xfId="47274"/>
    <cellStyle name="Separador de milhares 3 2 2 3 4 2 2 4" xfId="16293"/>
    <cellStyle name="Separador de milhares 3 2 2 3 4 2 2 4 2" xfId="41360"/>
    <cellStyle name="Separador de milhares 3 2 2 3 4 2 2 5" xfId="35452"/>
    <cellStyle name="Separador de milhares 3 2 2 3 4 2 3" xfId="25164"/>
    <cellStyle name="Separador de milhares 3 2 2 3 4 2 3 2" xfId="50231"/>
    <cellStyle name="Separador de milhares 3 2 2 3 4 2 4" xfId="19250"/>
    <cellStyle name="Separador de milhares 3 2 2 3 4 2 4 2" xfId="44317"/>
    <cellStyle name="Separador de milhares 3 2 2 3 4 2 5" xfId="13149"/>
    <cellStyle name="Separador de milhares 3 2 2 3 4 2 5 2" xfId="38406"/>
    <cellStyle name="Separador de milhares 3 2 2 3 4 2 6" xfId="32495"/>
    <cellStyle name="Separador de milhares 3 2 2 3 4 3" xfId="8439"/>
    <cellStyle name="Separador de milhares 3 2 2 3 4 3 2" xfId="26653"/>
    <cellStyle name="Separador de milhares 3 2 2 3 4 3 2 2" xfId="51720"/>
    <cellStyle name="Separador de milhares 3 2 2 3 4 3 3" xfId="20739"/>
    <cellStyle name="Separador de milhares 3 2 2 3 4 3 3 2" xfId="45806"/>
    <cellStyle name="Separador de milhares 3 2 2 3 4 3 4" xfId="14825"/>
    <cellStyle name="Separador de milhares 3 2 2 3 4 3 4 2" xfId="39892"/>
    <cellStyle name="Separador de milhares 3 2 2 3 4 3 5" xfId="33984"/>
    <cellStyle name="Separador de milhares 3 2 2 3 4 4" xfId="5061"/>
    <cellStyle name="Separador de milhares 3 2 2 3 4 4 2" xfId="23696"/>
    <cellStyle name="Separador de milhares 3 2 2 3 4 4 2 2" xfId="48763"/>
    <cellStyle name="Separador de milhares 3 2 2 3 4 4 3" xfId="31027"/>
    <cellStyle name="Separador de milhares 3 2 2 3 4 5" xfId="17782"/>
    <cellStyle name="Separador de milhares 3 2 2 3 4 5 2" xfId="42849"/>
    <cellStyle name="Separador de milhares 3 2 2 3 4 6" xfId="11448"/>
    <cellStyle name="Separador de milhares 3 2 2 3 4 6 2" xfId="36938"/>
    <cellStyle name="Separador de milhares 3 2 2 3 4 7" xfId="29557"/>
    <cellStyle name="Separador de milhares 3 2 2 3 5" xfId="1609"/>
    <cellStyle name="Separador de milhares 3 2 2 3 5 2" xfId="6879"/>
    <cellStyle name="Separador de milhares 3 2 2 3 5 2 2" xfId="10026"/>
    <cellStyle name="Separador de milhares 3 2 2 3 5 2 2 2" xfId="28240"/>
    <cellStyle name="Separador de milhares 3 2 2 3 5 2 2 2 2" xfId="53307"/>
    <cellStyle name="Separador de milhares 3 2 2 3 5 2 2 3" xfId="22326"/>
    <cellStyle name="Separador de milhares 3 2 2 3 5 2 2 3 2" xfId="47393"/>
    <cellStyle name="Separador de milhares 3 2 2 3 5 2 2 4" xfId="16412"/>
    <cellStyle name="Separador de milhares 3 2 2 3 5 2 2 4 2" xfId="41479"/>
    <cellStyle name="Separador de milhares 3 2 2 3 5 2 2 5" xfId="35571"/>
    <cellStyle name="Separador de milhares 3 2 2 3 5 2 3" xfId="25283"/>
    <cellStyle name="Separador de milhares 3 2 2 3 5 2 3 2" xfId="50350"/>
    <cellStyle name="Separador de milhares 3 2 2 3 5 2 4" xfId="19369"/>
    <cellStyle name="Separador de milhares 3 2 2 3 5 2 4 2" xfId="44436"/>
    <cellStyle name="Separador de milhares 3 2 2 3 5 2 5" xfId="13268"/>
    <cellStyle name="Separador de milhares 3 2 2 3 5 2 5 2" xfId="38525"/>
    <cellStyle name="Separador de milhares 3 2 2 3 5 2 6" xfId="32614"/>
    <cellStyle name="Separador de milhares 3 2 2 3 5 3" xfId="8558"/>
    <cellStyle name="Separador de milhares 3 2 2 3 5 3 2" xfId="26772"/>
    <cellStyle name="Separador de milhares 3 2 2 3 5 3 2 2" xfId="51839"/>
    <cellStyle name="Separador de milhares 3 2 2 3 5 3 3" xfId="20858"/>
    <cellStyle name="Separador de milhares 3 2 2 3 5 3 3 2" xfId="45925"/>
    <cellStyle name="Separador de milhares 3 2 2 3 5 3 4" xfId="14944"/>
    <cellStyle name="Separador de milhares 3 2 2 3 5 3 4 2" xfId="40011"/>
    <cellStyle name="Separador de milhares 3 2 2 3 5 3 5" xfId="34103"/>
    <cellStyle name="Separador de milhares 3 2 2 3 5 4" xfId="5180"/>
    <cellStyle name="Separador de milhares 3 2 2 3 5 4 2" xfId="23815"/>
    <cellStyle name="Separador de milhares 3 2 2 3 5 4 2 2" xfId="48882"/>
    <cellStyle name="Separador de milhares 3 2 2 3 5 4 3" xfId="31146"/>
    <cellStyle name="Separador de milhares 3 2 2 3 5 5" xfId="17901"/>
    <cellStyle name="Separador de milhares 3 2 2 3 5 5 2" xfId="42968"/>
    <cellStyle name="Separador de milhares 3 2 2 3 5 6" xfId="11567"/>
    <cellStyle name="Separador de milhares 3 2 2 3 5 6 2" xfId="37057"/>
    <cellStyle name="Separador de milhares 3 2 2 3 5 7" xfId="29676"/>
    <cellStyle name="Separador de milhares 3 2 2 3 6" xfId="2139"/>
    <cellStyle name="Separador de milhares 3 2 2 3 6 2" xfId="7029"/>
    <cellStyle name="Separador de milhares 3 2 2 3 6 2 2" xfId="10173"/>
    <cellStyle name="Separador de milhares 3 2 2 3 6 2 2 2" xfId="28387"/>
    <cellStyle name="Separador de milhares 3 2 2 3 6 2 2 2 2" xfId="53454"/>
    <cellStyle name="Separador de milhares 3 2 2 3 6 2 2 3" xfId="22473"/>
    <cellStyle name="Separador de milhares 3 2 2 3 6 2 2 3 2" xfId="47540"/>
    <cellStyle name="Separador de milhares 3 2 2 3 6 2 2 4" xfId="16559"/>
    <cellStyle name="Separador de milhares 3 2 2 3 6 2 2 4 2" xfId="41626"/>
    <cellStyle name="Separador de milhares 3 2 2 3 6 2 2 5" xfId="35718"/>
    <cellStyle name="Separador de milhares 3 2 2 3 6 2 3" xfId="25430"/>
    <cellStyle name="Separador de milhares 3 2 2 3 6 2 3 2" xfId="50497"/>
    <cellStyle name="Separador de milhares 3 2 2 3 6 2 4" xfId="19516"/>
    <cellStyle name="Separador de milhares 3 2 2 3 6 2 4 2" xfId="44583"/>
    <cellStyle name="Separador de milhares 3 2 2 3 6 2 5" xfId="13418"/>
    <cellStyle name="Separador de milhares 3 2 2 3 6 2 5 2" xfId="38672"/>
    <cellStyle name="Separador de milhares 3 2 2 3 6 2 6" xfId="32761"/>
    <cellStyle name="Separador de milhares 3 2 2 3 6 3" xfId="8705"/>
    <cellStyle name="Separador de milhares 3 2 2 3 6 3 2" xfId="26919"/>
    <cellStyle name="Separador de milhares 3 2 2 3 6 3 2 2" xfId="51986"/>
    <cellStyle name="Separador de milhares 3 2 2 3 6 3 3" xfId="21005"/>
    <cellStyle name="Separador de milhares 3 2 2 3 6 3 3 2" xfId="46072"/>
    <cellStyle name="Separador de milhares 3 2 2 3 6 3 4" xfId="15091"/>
    <cellStyle name="Separador de milhares 3 2 2 3 6 3 4 2" xfId="40158"/>
    <cellStyle name="Separador de milhares 3 2 2 3 6 3 5" xfId="34250"/>
    <cellStyle name="Separador de milhares 3 2 2 3 6 4" xfId="5330"/>
    <cellStyle name="Separador de milhares 3 2 2 3 6 4 2" xfId="23962"/>
    <cellStyle name="Separador de milhares 3 2 2 3 6 4 2 2" xfId="49029"/>
    <cellStyle name="Separador de milhares 3 2 2 3 6 4 3" xfId="31293"/>
    <cellStyle name="Separador de milhares 3 2 2 3 6 5" xfId="18048"/>
    <cellStyle name="Separador de milhares 3 2 2 3 6 5 2" xfId="43115"/>
    <cellStyle name="Separador de milhares 3 2 2 3 6 6" xfId="11717"/>
    <cellStyle name="Separador de milhares 3 2 2 3 6 6 2" xfId="37204"/>
    <cellStyle name="Separador de milhares 3 2 2 3 6 7" xfId="29823"/>
    <cellStyle name="Separador de milhares 3 2 2 3 7" xfId="2666"/>
    <cellStyle name="Separador de milhares 3 2 2 3 7 2" xfId="7176"/>
    <cellStyle name="Separador de milhares 3 2 2 3 7 2 2" xfId="10320"/>
    <cellStyle name="Separador de milhares 3 2 2 3 7 2 2 2" xfId="28534"/>
    <cellStyle name="Separador de milhares 3 2 2 3 7 2 2 2 2" xfId="53601"/>
    <cellStyle name="Separador de milhares 3 2 2 3 7 2 2 3" xfId="22620"/>
    <cellStyle name="Separador de milhares 3 2 2 3 7 2 2 3 2" xfId="47687"/>
    <cellStyle name="Separador de milhares 3 2 2 3 7 2 2 4" xfId="16706"/>
    <cellStyle name="Separador de milhares 3 2 2 3 7 2 2 4 2" xfId="41773"/>
    <cellStyle name="Separador de milhares 3 2 2 3 7 2 2 5" xfId="35865"/>
    <cellStyle name="Separador de milhares 3 2 2 3 7 2 3" xfId="25577"/>
    <cellStyle name="Separador de milhares 3 2 2 3 7 2 3 2" xfId="50644"/>
    <cellStyle name="Separador de milhares 3 2 2 3 7 2 4" xfId="19663"/>
    <cellStyle name="Separador de milhares 3 2 2 3 7 2 4 2" xfId="44730"/>
    <cellStyle name="Separador de milhares 3 2 2 3 7 2 5" xfId="13565"/>
    <cellStyle name="Separador de milhares 3 2 2 3 7 2 5 2" xfId="38819"/>
    <cellStyle name="Separador de milhares 3 2 2 3 7 2 6" xfId="32908"/>
    <cellStyle name="Separador de milhares 3 2 2 3 7 3" xfId="8852"/>
    <cellStyle name="Separador de milhares 3 2 2 3 7 3 2" xfId="27066"/>
    <cellStyle name="Separador de milhares 3 2 2 3 7 3 2 2" xfId="52133"/>
    <cellStyle name="Separador de milhares 3 2 2 3 7 3 3" xfId="21152"/>
    <cellStyle name="Separador de milhares 3 2 2 3 7 3 3 2" xfId="46219"/>
    <cellStyle name="Separador de milhares 3 2 2 3 7 3 4" xfId="15238"/>
    <cellStyle name="Separador de milhares 3 2 2 3 7 3 4 2" xfId="40305"/>
    <cellStyle name="Separador de milhares 3 2 2 3 7 3 5" xfId="34397"/>
    <cellStyle name="Separador de milhares 3 2 2 3 7 4" xfId="5477"/>
    <cellStyle name="Separador de milhares 3 2 2 3 7 4 2" xfId="24109"/>
    <cellStyle name="Separador de milhares 3 2 2 3 7 4 2 2" xfId="49176"/>
    <cellStyle name="Separador de milhares 3 2 2 3 7 4 3" xfId="31440"/>
    <cellStyle name="Separador de milhares 3 2 2 3 7 5" xfId="18195"/>
    <cellStyle name="Separador de milhares 3 2 2 3 7 5 2" xfId="43262"/>
    <cellStyle name="Separador de milhares 3 2 2 3 7 6" xfId="11864"/>
    <cellStyle name="Separador de milhares 3 2 2 3 7 6 2" xfId="37351"/>
    <cellStyle name="Separador de milhares 3 2 2 3 7 7" xfId="29970"/>
    <cellStyle name="Separador de milhares 3 2 2 3 8" xfId="3193"/>
    <cellStyle name="Separador de milhares 3 2 2 3 8 2" xfId="7323"/>
    <cellStyle name="Separador de milhares 3 2 2 3 8 2 2" xfId="10467"/>
    <cellStyle name="Separador de milhares 3 2 2 3 8 2 2 2" xfId="28681"/>
    <cellStyle name="Separador de milhares 3 2 2 3 8 2 2 2 2" xfId="53748"/>
    <cellStyle name="Separador de milhares 3 2 2 3 8 2 2 3" xfId="22767"/>
    <cellStyle name="Separador de milhares 3 2 2 3 8 2 2 3 2" xfId="47834"/>
    <cellStyle name="Separador de milhares 3 2 2 3 8 2 2 4" xfId="16853"/>
    <cellStyle name="Separador de milhares 3 2 2 3 8 2 2 4 2" xfId="41920"/>
    <cellStyle name="Separador de milhares 3 2 2 3 8 2 2 5" xfId="36012"/>
    <cellStyle name="Separador de milhares 3 2 2 3 8 2 3" xfId="25724"/>
    <cellStyle name="Separador de milhares 3 2 2 3 8 2 3 2" xfId="50791"/>
    <cellStyle name="Separador de milhares 3 2 2 3 8 2 4" xfId="19810"/>
    <cellStyle name="Separador de milhares 3 2 2 3 8 2 4 2" xfId="44877"/>
    <cellStyle name="Separador de milhares 3 2 2 3 8 2 5" xfId="13712"/>
    <cellStyle name="Separador de milhares 3 2 2 3 8 2 5 2" xfId="38966"/>
    <cellStyle name="Separador de milhares 3 2 2 3 8 2 6" xfId="33055"/>
    <cellStyle name="Separador de milhares 3 2 2 3 8 3" xfId="8999"/>
    <cellStyle name="Separador de milhares 3 2 2 3 8 3 2" xfId="27213"/>
    <cellStyle name="Separador de milhares 3 2 2 3 8 3 2 2" xfId="52280"/>
    <cellStyle name="Separador de milhares 3 2 2 3 8 3 3" xfId="21299"/>
    <cellStyle name="Separador de milhares 3 2 2 3 8 3 3 2" xfId="46366"/>
    <cellStyle name="Separador de milhares 3 2 2 3 8 3 4" xfId="15385"/>
    <cellStyle name="Separador de milhares 3 2 2 3 8 3 4 2" xfId="40452"/>
    <cellStyle name="Separador de milhares 3 2 2 3 8 3 5" xfId="34544"/>
    <cellStyle name="Separador de milhares 3 2 2 3 8 4" xfId="5624"/>
    <cellStyle name="Separador de milhares 3 2 2 3 8 4 2" xfId="24256"/>
    <cellStyle name="Separador de milhares 3 2 2 3 8 4 2 2" xfId="49323"/>
    <cellStyle name="Separador de milhares 3 2 2 3 8 4 3" xfId="31587"/>
    <cellStyle name="Separador de milhares 3 2 2 3 8 5" xfId="18342"/>
    <cellStyle name="Separador de milhares 3 2 2 3 8 5 2" xfId="43409"/>
    <cellStyle name="Separador de milhares 3 2 2 3 8 6" xfId="12011"/>
    <cellStyle name="Separador de milhares 3 2 2 3 8 6 2" xfId="37498"/>
    <cellStyle name="Separador de milhares 3 2 2 3 8 7" xfId="30117"/>
    <cellStyle name="Separador de milhares 3 2 2 3 9" xfId="3720"/>
    <cellStyle name="Separador de milhares 3 2 2 3 9 2" xfId="7470"/>
    <cellStyle name="Separador de milhares 3 2 2 3 9 2 2" xfId="10614"/>
    <cellStyle name="Separador de milhares 3 2 2 3 9 2 2 2" xfId="28828"/>
    <cellStyle name="Separador de milhares 3 2 2 3 9 2 2 2 2" xfId="53895"/>
    <cellStyle name="Separador de milhares 3 2 2 3 9 2 2 3" xfId="22914"/>
    <cellStyle name="Separador de milhares 3 2 2 3 9 2 2 3 2" xfId="47981"/>
    <cellStyle name="Separador de milhares 3 2 2 3 9 2 2 4" xfId="17000"/>
    <cellStyle name="Separador de milhares 3 2 2 3 9 2 2 4 2" xfId="42067"/>
    <cellStyle name="Separador de milhares 3 2 2 3 9 2 2 5" xfId="36159"/>
    <cellStyle name="Separador de milhares 3 2 2 3 9 2 3" xfId="25871"/>
    <cellStyle name="Separador de milhares 3 2 2 3 9 2 3 2" xfId="50938"/>
    <cellStyle name="Separador de milhares 3 2 2 3 9 2 4" xfId="19957"/>
    <cellStyle name="Separador de milhares 3 2 2 3 9 2 4 2" xfId="45024"/>
    <cellStyle name="Separador de milhares 3 2 2 3 9 2 5" xfId="13859"/>
    <cellStyle name="Separador de milhares 3 2 2 3 9 2 5 2" xfId="39113"/>
    <cellStyle name="Separador de milhares 3 2 2 3 9 2 6" xfId="33202"/>
    <cellStyle name="Separador de milhares 3 2 2 3 9 3" xfId="9146"/>
    <cellStyle name="Separador de milhares 3 2 2 3 9 3 2" xfId="27360"/>
    <cellStyle name="Separador de milhares 3 2 2 3 9 3 2 2" xfId="52427"/>
    <cellStyle name="Separador de milhares 3 2 2 3 9 3 3" xfId="21446"/>
    <cellStyle name="Separador de milhares 3 2 2 3 9 3 3 2" xfId="46513"/>
    <cellStyle name="Separador de milhares 3 2 2 3 9 3 4" xfId="15532"/>
    <cellStyle name="Separador de milhares 3 2 2 3 9 3 4 2" xfId="40599"/>
    <cellStyle name="Separador de milhares 3 2 2 3 9 3 5" xfId="34691"/>
    <cellStyle name="Separador de milhares 3 2 2 3 9 4" xfId="5771"/>
    <cellStyle name="Separador de milhares 3 2 2 3 9 4 2" xfId="24403"/>
    <cellStyle name="Separador de milhares 3 2 2 3 9 4 2 2" xfId="49470"/>
    <cellStyle name="Separador de milhares 3 2 2 3 9 4 3" xfId="31734"/>
    <cellStyle name="Separador de milhares 3 2 2 3 9 5" xfId="18489"/>
    <cellStyle name="Separador de milhares 3 2 2 3 9 5 2" xfId="43556"/>
    <cellStyle name="Separador de milhares 3 2 2 3 9 6" xfId="12158"/>
    <cellStyle name="Separador de milhares 3 2 2 3 9 6 2" xfId="37645"/>
    <cellStyle name="Separador de milhares 3 2 2 3 9 7" xfId="30264"/>
    <cellStyle name="Separador de milhares 3 2 2 4" xfId="356"/>
    <cellStyle name="Separador de milhares 3 2 2 4 10" xfId="6517"/>
    <cellStyle name="Separador de milhares 3 2 2 4 10 2" xfId="9665"/>
    <cellStyle name="Separador de milhares 3 2 2 4 10 2 2" xfId="27879"/>
    <cellStyle name="Separador de milhares 3 2 2 4 10 2 2 2" xfId="52946"/>
    <cellStyle name="Separador de milhares 3 2 2 4 10 2 3" xfId="21965"/>
    <cellStyle name="Separador de milhares 3 2 2 4 10 2 3 2" xfId="47032"/>
    <cellStyle name="Separador de milhares 3 2 2 4 10 2 4" xfId="16051"/>
    <cellStyle name="Separador de milhares 3 2 2 4 10 2 4 2" xfId="41118"/>
    <cellStyle name="Separador de milhares 3 2 2 4 10 2 5" xfId="35210"/>
    <cellStyle name="Separador de milhares 3 2 2 4 10 3" xfId="24922"/>
    <cellStyle name="Separador de milhares 3 2 2 4 10 3 2" xfId="49989"/>
    <cellStyle name="Separador de milhares 3 2 2 4 10 4" xfId="19008"/>
    <cellStyle name="Separador de milhares 3 2 2 4 10 4 2" xfId="44075"/>
    <cellStyle name="Separador de milhares 3 2 2 4 10 5" xfId="12906"/>
    <cellStyle name="Separador de milhares 3 2 2 4 10 5 2" xfId="38164"/>
    <cellStyle name="Separador de milhares 3 2 2 4 10 6" xfId="32253"/>
    <cellStyle name="Separador de milhares 3 2 2 4 11" xfId="8194"/>
    <cellStyle name="Separador de milhares 3 2 2 4 11 2" xfId="26408"/>
    <cellStyle name="Separador de milhares 3 2 2 4 11 2 2" xfId="51475"/>
    <cellStyle name="Separador de milhares 3 2 2 4 11 3" xfId="20494"/>
    <cellStyle name="Separador de milhares 3 2 2 4 11 3 2" xfId="45561"/>
    <cellStyle name="Separador de milhares 3 2 2 4 11 4" xfId="14583"/>
    <cellStyle name="Separador de milhares 3 2 2 4 11 4 2" xfId="39650"/>
    <cellStyle name="Separador de milhares 3 2 2 4 11 5" xfId="33739"/>
    <cellStyle name="Separador de milhares 3 2 2 4 12" xfId="4816"/>
    <cellStyle name="Separador de milhares 3 2 2 4 12 2" xfId="23451"/>
    <cellStyle name="Separador de milhares 3 2 2 4 12 2 2" xfId="48518"/>
    <cellStyle name="Separador de milhares 3 2 2 4 12 3" xfId="30783"/>
    <cellStyle name="Separador de milhares 3 2 2 4 13" xfId="17537"/>
    <cellStyle name="Separador de milhares 3 2 2 4 13 2" xfId="42604"/>
    <cellStyle name="Separador de milhares 3 2 2 4 14" xfId="11205"/>
    <cellStyle name="Separador de milhares 3 2 2 4 14 2" xfId="36696"/>
    <cellStyle name="Separador de milhares 3 2 2 4 15" xfId="29312"/>
    <cellStyle name="Separador de milhares 3 2 2 4 2" xfId="1001"/>
    <cellStyle name="Separador de milhares 3 2 2 4 2 2" xfId="6714"/>
    <cellStyle name="Separador de milhares 3 2 2 4 2 2 2" xfId="9861"/>
    <cellStyle name="Separador de milhares 3 2 2 4 2 2 2 2" xfId="28075"/>
    <cellStyle name="Separador de milhares 3 2 2 4 2 2 2 2 2" xfId="53142"/>
    <cellStyle name="Separador de milhares 3 2 2 4 2 2 2 3" xfId="22161"/>
    <cellStyle name="Separador de milhares 3 2 2 4 2 2 2 3 2" xfId="47228"/>
    <cellStyle name="Separador de milhares 3 2 2 4 2 2 2 4" xfId="16247"/>
    <cellStyle name="Separador de milhares 3 2 2 4 2 2 2 4 2" xfId="41314"/>
    <cellStyle name="Separador de milhares 3 2 2 4 2 2 2 5" xfId="35406"/>
    <cellStyle name="Separador de milhares 3 2 2 4 2 2 3" xfId="25118"/>
    <cellStyle name="Separador de milhares 3 2 2 4 2 2 3 2" xfId="50185"/>
    <cellStyle name="Separador de milhares 3 2 2 4 2 2 4" xfId="19204"/>
    <cellStyle name="Separador de milhares 3 2 2 4 2 2 4 2" xfId="44271"/>
    <cellStyle name="Separador de milhares 3 2 2 4 2 2 5" xfId="13103"/>
    <cellStyle name="Separador de milhares 3 2 2 4 2 2 5 2" xfId="38360"/>
    <cellStyle name="Separador de milhares 3 2 2 4 2 2 6" xfId="32449"/>
    <cellStyle name="Separador de milhares 3 2 2 4 2 3" xfId="8393"/>
    <cellStyle name="Separador de milhares 3 2 2 4 2 3 2" xfId="26607"/>
    <cellStyle name="Separador de milhares 3 2 2 4 2 3 2 2" xfId="51674"/>
    <cellStyle name="Separador de milhares 3 2 2 4 2 3 3" xfId="20693"/>
    <cellStyle name="Separador de milhares 3 2 2 4 2 3 3 2" xfId="45760"/>
    <cellStyle name="Separador de milhares 3 2 2 4 2 3 4" xfId="14779"/>
    <cellStyle name="Separador de milhares 3 2 2 4 2 3 4 2" xfId="39846"/>
    <cellStyle name="Separador de milhares 3 2 2 4 2 3 5" xfId="33938"/>
    <cellStyle name="Separador de milhares 3 2 2 4 2 4" xfId="5015"/>
    <cellStyle name="Separador de milhares 3 2 2 4 2 4 2" xfId="23650"/>
    <cellStyle name="Separador de milhares 3 2 2 4 2 4 2 2" xfId="48717"/>
    <cellStyle name="Separador de milhares 3 2 2 4 2 4 3" xfId="30981"/>
    <cellStyle name="Separador de milhares 3 2 2 4 2 5" xfId="17736"/>
    <cellStyle name="Separador de milhares 3 2 2 4 2 5 2" xfId="42803"/>
    <cellStyle name="Separador de milhares 3 2 2 4 2 6" xfId="11402"/>
    <cellStyle name="Separador de milhares 3 2 2 4 2 6 2" xfId="36892"/>
    <cellStyle name="Separador de milhares 3 2 2 4 2 7" xfId="29511"/>
    <cellStyle name="Separador de milhares 3 2 2 4 3" xfId="1352"/>
    <cellStyle name="Separador de milhares 3 2 2 4 3 2" xfId="6812"/>
    <cellStyle name="Separador de milhares 3 2 2 4 3 2 2" xfId="9959"/>
    <cellStyle name="Separador de milhares 3 2 2 4 3 2 2 2" xfId="28173"/>
    <cellStyle name="Separador de milhares 3 2 2 4 3 2 2 2 2" xfId="53240"/>
    <cellStyle name="Separador de milhares 3 2 2 4 3 2 2 3" xfId="22259"/>
    <cellStyle name="Separador de milhares 3 2 2 4 3 2 2 3 2" xfId="47326"/>
    <cellStyle name="Separador de milhares 3 2 2 4 3 2 2 4" xfId="16345"/>
    <cellStyle name="Separador de milhares 3 2 2 4 3 2 2 4 2" xfId="41412"/>
    <cellStyle name="Separador de milhares 3 2 2 4 3 2 2 5" xfId="35504"/>
    <cellStyle name="Separador de milhares 3 2 2 4 3 2 3" xfId="25216"/>
    <cellStyle name="Separador de milhares 3 2 2 4 3 2 3 2" xfId="50283"/>
    <cellStyle name="Separador de milhares 3 2 2 4 3 2 4" xfId="19302"/>
    <cellStyle name="Separador de milhares 3 2 2 4 3 2 4 2" xfId="44369"/>
    <cellStyle name="Separador de milhares 3 2 2 4 3 2 5" xfId="13201"/>
    <cellStyle name="Separador de milhares 3 2 2 4 3 2 5 2" xfId="38458"/>
    <cellStyle name="Separador de milhares 3 2 2 4 3 2 6" xfId="32547"/>
    <cellStyle name="Separador de milhares 3 2 2 4 3 3" xfId="8491"/>
    <cellStyle name="Separador de milhares 3 2 2 4 3 3 2" xfId="26705"/>
    <cellStyle name="Separador de milhares 3 2 2 4 3 3 2 2" xfId="51772"/>
    <cellStyle name="Separador de milhares 3 2 2 4 3 3 3" xfId="20791"/>
    <cellStyle name="Separador de milhares 3 2 2 4 3 3 3 2" xfId="45858"/>
    <cellStyle name="Separador de milhares 3 2 2 4 3 3 4" xfId="14877"/>
    <cellStyle name="Separador de milhares 3 2 2 4 3 3 4 2" xfId="39944"/>
    <cellStyle name="Separador de milhares 3 2 2 4 3 3 5" xfId="34036"/>
    <cellStyle name="Separador de milhares 3 2 2 4 3 4" xfId="5113"/>
    <cellStyle name="Separador de milhares 3 2 2 4 3 4 2" xfId="23748"/>
    <cellStyle name="Separador de milhares 3 2 2 4 3 4 2 2" xfId="48815"/>
    <cellStyle name="Separador de milhares 3 2 2 4 3 4 3" xfId="31079"/>
    <cellStyle name="Separador de milhares 3 2 2 4 3 5" xfId="17834"/>
    <cellStyle name="Separador de milhares 3 2 2 4 3 5 2" xfId="42901"/>
    <cellStyle name="Separador de milhares 3 2 2 4 3 6" xfId="11500"/>
    <cellStyle name="Separador de milhares 3 2 2 4 3 6 2" xfId="36990"/>
    <cellStyle name="Separador de milhares 3 2 2 4 3 7" xfId="29609"/>
    <cellStyle name="Separador de milhares 3 2 2 4 4" xfId="1787"/>
    <cellStyle name="Separador de milhares 3 2 2 4 4 2" xfId="6931"/>
    <cellStyle name="Separador de milhares 3 2 2 4 4 2 2" xfId="10078"/>
    <cellStyle name="Separador de milhares 3 2 2 4 4 2 2 2" xfId="28292"/>
    <cellStyle name="Separador de milhares 3 2 2 4 4 2 2 2 2" xfId="53359"/>
    <cellStyle name="Separador de milhares 3 2 2 4 4 2 2 3" xfId="22378"/>
    <cellStyle name="Separador de milhares 3 2 2 4 4 2 2 3 2" xfId="47445"/>
    <cellStyle name="Separador de milhares 3 2 2 4 4 2 2 4" xfId="16464"/>
    <cellStyle name="Separador de milhares 3 2 2 4 4 2 2 4 2" xfId="41531"/>
    <cellStyle name="Separador de milhares 3 2 2 4 4 2 2 5" xfId="35623"/>
    <cellStyle name="Separador de milhares 3 2 2 4 4 2 3" xfId="25335"/>
    <cellStyle name="Separador de milhares 3 2 2 4 4 2 3 2" xfId="50402"/>
    <cellStyle name="Separador de milhares 3 2 2 4 4 2 4" xfId="19421"/>
    <cellStyle name="Separador de milhares 3 2 2 4 4 2 4 2" xfId="44488"/>
    <cellStyle name="Separador de milhares 3 2 2 4 4 2 5" xfId="13320"/>
    <cellStyle name="Separador de milhares 3 2 2 4 4 2 5 2" xfId="38577"/>
    <cellStyle name="Separador de milhares 3 2 2 4 4 2 6" xfId="32666"/>
    <cellStyle name="Separador de milhares 3 2 2 4 4 3" xfId="8610"/>
    <cellStyle name="Separador de milhares 3 2 2 4 4 3 2" xfId="26824"/>
    <cellStyle name="Separador de milhares 3 2 2 4 4 3 2 2" xfId="51891"/>
    <cellStyle name="Separador de milhares 3 2 2 4 4 3 3" xfId="20910"/>
    <cellStyle name="Separador de milhares 3 2 2 4 4 3 3 2" xfId="45977"/>
    <cellStyle name="Separador de milhares 3 2 2 4 4 3 4" xfId="14996"/>
    <cellStyle name="Separador de milhares 3 2 2 4 4 3 4 2" xfId="40063"/>
    <cellStyle name="Separador de milhares 3 2 2 4 4 3 5" xfId="34155"/>
    <cellStyle name="Separador de milhares 3 2 2 4 4 4" xfId="5232"/>
    <cellStyle name="Separador de milhares 3 2 2 4 4 4 2" xfId="23867"/>
    <cellStyle name="Separador de milhares 3 2 2 4 4 4 2 2" xfId="48934"/>
    <cellStyle name="Separador de milhares 3 2 2 4 4 4 3" xfId="31198"/>
    <cellStyle name="Separador de milhares 3 2 2 4 4 5" xfId="17953"/>
    <cellStyle name="Separador de milhares 3 2 2 4 4 5 2" xfId="43020"/>
    <cellStyle name="Separador de milhares 3 2 2 4 4 6" xfId="11619"/>
    <cellStyle name="Separador de milhares 3 2 2 4 4 6 2" xfId="37109"/>
    <cellStyle name="Separador de milhares 3 2 2 4 4 7" xfId="29728"/>
    <cellStyle name="Separador de milhares 3 2 2 4 5" xfId="2317"/>
    <cellStyle name="Separador de milhares 3 2 2 4 5 2" xfId="7081"/>
    <cellStyle name="Separador de milhares 3 2 2 4 5 2 2" xfId="10225"/>
    <cellStyle name="Separador de milhares 3 2 2 4 5 2 2 2" xfId="28439"/>
    <cellStyle name="Separador de milhares 3 2 2 4 5 2 2 2 2" xfId="53506"/>
    <cellStyle name="Separador de milhares 3 2 2 4 5 2 2 3" xfId="22525"/>
    <cellStyle name="Separador de milhares 3 2 2 4 5 2 2 3 2" xfId="47592"/>
    <cellStyle name="Separador de milhares 3 2 2 4 5 2 2 4" xfId="16611"/>
    <cellStyle name="Separador de milhares 3 2 2 4 5 2 2 4 2" xfId="41678"/>
    <cellStyle name="Separador de milhares 3 2 2 4 5 2 2 5" xfId="35770"/>
    <cellStyle name="Separador de milhares 3 2 2 4 5 2 3" xfId="25482"/>
    <cellStyle name="Separador de milhares 3 2 2 4 5 2 3 2" xfId="50549"/>
    <cellStyle name="Separador de milhares 3 2 2 4 5 2 4" xfId="19568"/>
    <cellStyle name="Separador de milhares 3 2 2 4 5 2 4 2" xfId="44635"/>
    <cellStyle name="Separador de milhares 3 2 2 4 5 2 5" xfId="13470"/>
    <cellStyle name="Separador de milhares 3 2 2 4 5 2 5 2" xfId="38724"/>
    <cellStyle name="Separador de milhares 3 2 2 4 5 2 6" xfId="32813"/>
    <cellStyle name="Separador de milhares 3 2 2 4 5 3" xfId="8757"/>
    <cellStyle name="Separador de milhares 3 2 2 4 5 3 2" xfId="26971"/>
    <cellStyle name="Separador de milhares 3 2 2 4 5 3 2 2" xfId="52038"/>
    <cellStyle name="Separador de milhares 3 2 2 4 5 3 3" xfId="21057"/>
    <cellStyle name="Separador de milhares 3 2 2 4 5 3 3 2" xfId="46124"/>
    <cellStyle name="Separador de milhares 3 2 2 4 5 3 4" xfId="15143"/>
    <cellStyle name="Separador de milhares 3 2 2 4 5 3 4 2" xfId="40210"/>
    <cellStyle name="Separador de milhares 3 2 2 4 5 3 5" xfId="34302"/>
    <cellStyle name="Separador de milhares 3 2 2 4 5 4" xfId="5382"/>
    <cellStyle name="Separador de milhares 3 2 2 4 5 4 2" xfId="24014"/>
    <cellStyle name="Separador de milhares 3 2 2 4 5 4 2 2" xfId="49081"/>
    <cellStyle name="Separador de milhares 3 2 2 4 5 4 3" xfId="31345"/>
    <cellStyle name="Separador de milhares 3 2 2 4 5 5" xfId="18100"/>
    <cellStyle name="Separador de milhares 3 2 2 4 5 5 2" xfId="43167"/>
    <cellStyle name="Separador de milhares 3 2 2 4 5 6" xfId="11769"/>
    <cellStyle name="Separador de milhares 3 2 2 4 5 6 2" xfId="37256"/>
    <cellStyle name="Separador de milhares 3 2 2 4 5 7" xfId="29875"/>
    <cellStyle name="Separador de milhares 3 2 2 4 6" xfId="2844"/>
    <cellStyle name="Separador de milhares 3 2 2 4 6 2" xfId="7228"/>
    <cellStyle name="Separador de milhares 3 2 2 4 6 2 2" xfId="10372"/>
    <cellStyle name="Separador de milhares 3 2 2 4 6 2 2 2" xfId="28586"/>
    <cellStyle name="Separador de milhares 3 2 2 4 6 2 2 2 2" xfId="53653"/>
    <cellStyle name="Separador de milhares 3 2 2 4 6 2 2 3" xfId="22672"/>
    <cellStyle name="Separador de milhares 3 2 2 4 6 2 2 3 2" xfId="47739"/>
    <cellStyle name="Separador de milhares 3 2 2 4 6 2 2 4" xfId="16758"/>
    <cellStyle name="Separador de milhares 3 2 2 4 6 2 2 4 2" xfId="41825"/>
    <cellStyle name="Separador de milhares 3 2 2 4 6 2 2 5" xfId="35917"/>
    <cellStyle name="Separador de milhares 3 2 2 4 6 2 3" xfId="25629"/>
    <cellStyle name="Separador de milhares 3 2 2 4 6 2 3 2" xfId="50696"/>
    <cellStyle name="Separador de milhares 3 2 2 4 6 2 4" xfId="19715"/>
    <cellStyle name="Separador de milhares 3 2 2 4 6 2 4 2" xfId="44782"/>
    <cellStyle name="Separador de milhares 3 2 2 4 6 2 5" xfId="13617"/>
    <cellStyle name="Separador de milhares 3 2 2 4 6 2 5 2" xfId="38871"/>
    <cellStyle name="Separador de milhares 3 2 2 4 6 2 6" xfId="32960"/>
    <cellStyle name="Separador de milhares 3 2 2 4 6 3" xfId="8904"/>
    <cellStyle name="Separador de milhares 3 2 2 4 6 3 2" xfId="27118"/>
    <cellStyle name="Separador de milhares 3 2 2 4 6 3 2 2" xfId="52185"/>
    <cellStyle name="Separador de milhares 3 2 2 4 6 3 3" xfId="21204"/>
    <cellStyle name="Separador de milhares 3 2 2 4 6 3 3 2" xfId="46271"/>
    <cellStyle name="Separador de milhares 3 2 2 4 6 3 4" xfId="15290"/>
    <cellStyle name="Separador de milhares 3 2 2 4 6 3 4 2" xfId="40357"/>
    <cellStyle name="Separador de milhares 3 2 2 4 6 3 5" xfId="34449"/>
    <cellStyle name="Separador de milhares 3 2 2 4 6 4" xfId="5529"/>
    <cellStyle name="Separador de milhares 3 2 2 4 6 4 2" xfId="24161"/>
    <cellStyle name="Separador de milhares 3 2 2 4 6 4 2 2" xfId="49228"/>
    <cellStyle name="Separador de milhares 3 2 2 4 6 4 3" xfId="31492"/>
    <cellStyle name="Separador de milhares 3 2 2 4 6 5" xfId="18247"/>
    <cellStyle name="Separador de milhares 3 2 2 4 6 5 2" xfId="43314"/>
    <cellStyle name="Separador de milhares 3 2 2 4 6 6" xfId="11916"/>
    <cellStyle name="Separador de milhares 3 2 2 4 6 6 2" xfId="37403"/>
    <cellStyle name="Separador de milhares 3 2 2 4 6 7" xfId="30022"/>
    <cellStyle name="Separador de milhares 3 2 2 4 7" xfId="3371"/>
    <cellStyle name="Separador de milhares 3 2 2 4 7 2" xfId="7375"/>
    <cellStyle name="Separador de milhares 3 2 2 4 7 2 2" xfId="10519"/>
    <cellStyle name="Separador de milhares 3 2 2 4 7 2 2 2" xfId="28733"/>
    <cellStyle name="Separador de milhares 3 2 2 4 7 2 2 2 2" xfId="53800"/>
    <cellStyle name="Separador de milhares 3 2 2 4 7 2 2 3" xfId="22819"/>
    <cellStyle name="Separador de milhares 3 2 2 4 7 2 2 3 2" xfId="47886"/>
    <cellStyle name="Separador de milhares 3 2 2 4 7 2 2 4" xfId="16905"/>
    <cellStyle name="Separador de milhares 3 2 2 4 7 2 2 4 2" xfId="41972"/>
    <cellStyle name="Separador de milhares 3 2 2 4 7 2 2 5" xfId="36064"/>
    <cellStyle name="Separador de milhares 3 2 2 4 7 2 3" xfId="25776"/>
    <cellStyle name="Separador de milhares 3 2 2 4 7 2 3 2" xfId="50843"/>
    <cellStyle name="Separador de milhares 3 2 2 4 7 2 4" xfId="19862"/>
    <cellStyle name="Separador de milhares 3 2 2 4 7 2 4 2" xfId="44929"/>
    <cellStyle name="Separador de milhares 3 2 2 4 7 2 5" xfId="13764"/>
    <cellStyle name="Separador de milhares 3 2 2 4 7 2 5 2" xfId="39018"/>
    <cellStyle name="Separador de milhares 3 2 2 4 7 2 6" xfId="33107"/>
    <cellStyle name="Separador de milhares 3 2 2 4 7 3" xfId="9051"/>
    <cellStyle name="Separador de milhares 3 2 2 4 7 3 2" xfId="27265"/>
    <cellStyle name="Separador de milhares 3 2 2 4 7 3 2 2" xfId="52332"/>
    <cellStyle name="Separador de milhares 3 2 2 4 7 3 3" xfId="21351"/>
    <cellStyle name="Separador de milhares 3 2 2 4 7 3 3 2" xfId="46418"/>
    <cellStyle name="Separador de milhares 3 2 2 4 7 3 4" xfId="15437"/>
    <cellStyle name="Separador de milhares 3 2 2 4 7 3 4 2" xfId="40504"/>
    <cellStyle name="Separador de milhares 3 2 2 4 7 3 5" xfId="34596"/>
    <cellStyle name="Separador de milhares 3 2 2 4 7 4" xfId="5676"/>
    <cellStyle name="Separador de milhares 3 2 2 4 7 4 2" xfId="24308"/>
    <cellStyle name="Separador de milhares 3 2 2 4 7 4 2 2" xfId="49375"/>
    <cellStyle name="Separador de milhares 3 2 2 4 7 4 3" xfId="31639"/>
    <cellStyle name="Separador de milhares 3 2 2 4 7 5" xfId="18394"/>
    <cellStyle name="Separador de milhares 3 2 2 4 7 5 2" xfId="43461"/>
    <cellStyle name="Separador de milhares 3 2 2 4 7 6" xfId="12063"/>
    <cellStyle name="Separador de milhares 3 2 2 4 7 6 2" xfId="37550"/>
    <cellStyle name="Separador de milhares 3 2 2 4 7 7" xfId="30169"/>
    <cellStyle name="Separador de milhares 3 2 2 4 8" xfId="3898"/>
    <cellStyle name="Separador de milhares 3 2 2 4 8 2" xfId="7522"/>
    <cellStyle name="Separador de milhares 3 2 2 4 8 2 2" xfId="10666"/>
    <cellStyle name="Separador de milhares 3 2 2 4 8 2 2 2" xfId="28880"/>
    <cellStyle name="Separador de milhares 3 2 2 4 8 2 2 2 2" xfId="53947"/>
    <cellStyle name="Separador de milhares 3 2 2 4 8 2 2 3" xfId="22966"/>
    <cellStyle name="Separador de milhares 3 2 2 4 8 2 2 3 2" xfId="48033"/>
    <cellStyle name="Separador de milhares 3 2 2 4 8 2 2 4" xfId="17052"/>
    <cellStyle name="Separador de milhares 3 2 2 4 8 2 2 4 2" xfId="42119"/>
    <cellStyle name="Separador de milhares 3 2 2 4 8 2 2 5" xfId="36211"/>
    <cellStyle name="Separador de milhares 3 2 2 4 8 2 3" xfId="25923"/>
    <cellStyle name="Separador de milhares 3 2 2 4 8 2 3 2" xfId="50990"/>
    <cellStyle name="Separador de milhares 3 2 2 4 8 2 4" xfId="20009"/>
    <cellStyle name="Separador de milhares 3 2 2 4 8 2 4 2" xfId="45076"/>
    <cellStyle name="Separador de milhares 3 2 2 4 8 2 5" xfId="13911"/>
    <cellStyle name="Separador de milhares 3 2 2 4 8 2 5 2" xfId="39165"/>
    <cellStyle name="Separador de milhares 3 2 2 4 8 2 6" xfId="33254"/>
    <cellStyle name="Separador de milhares 3 2 2 4 8 3" xfId="9198"/>
    <cellStyle name="Separador de milhares 3 2 2 4 8 3 2" xfId="27412"/>
    <cellStyle name="Separador de milhares 3 2 2 4 8 3 2 2" xfId="52479"/>
    <cellStyle name="Separador de milhares 3 2 2 4 8 3 3" xfId="21498"/>
    <cellStyle name="Separador de milhares 3 2 2 4 8 3 3 2" xfId="46565"/>
    <cellStyle name="Separador de milhares 3 2 2 4 8 3 4" xfId="15584"/>
    <cellStyle name="Separador de milhares 3 2 2 4 8 3 4 2" xfId="40651"/>
    <cellStyle name="Separador de milhares 3 2 2 4 8 3 5" xfId="34743"/>
    <cellStyle name="Separador de milhares 3 2 2 4 8 4" xfId="5823"/>
    <cellStyle name="Separador de milhares 3 2 2 4 8 4 2" xfId="24455"/>
    <cellStyle name="Separador de milhares 3 2 2 4 8 4 2 2" xfId="49522"/>
    <cellStyle name="Separador de milhares 3 2 2 4 8 4 3" xfId="31786"/>
    <cellStyle name="Separador de milhares 3 2 2 4 8 5" xfId="18541"/>
    <cellStyle name="Separador de milhares 3 2 2 4 8 5 2" xfId="43608"/>
    <cellStyle name="Separador de milhares 3 2 2 4 8 6" xfId="12210"/>
    <cellStyle name="Separador de milhares 3 2 2 4 8 6 2" xfId="37697"/>
    <cellStyle name="Separador de milhares 3 2 2 4 8 7" xfId="30316"/>
    <cellStyle name="Separador de milhares 3 2 2 4 9" xfId="681"/>
    <cellStyle name="Separador de milhares 3 2 2 4 9 2" xfId="6616"/>
    <cellStyle name="Separador de milhares 3 2 2 4 9 2 2" xfId="9763"/>
    <cellStyle name="Separador de milhares 3 2 2 4 9 2 2 2" xfId="27977"/>
    <cellStyle name="Separador de milhares 3 2 2 4 9 2 2 2 2" xfId="53044"/>
    <cellStyle name="Separador de milhares 3 2 2 4 9 2 2 3" xfId="22063"/>
    <cellStyle name="Separador de milhares 3 2 2 4 9 2 2 3 2" xfId="47130"/>
    <cellStyle name="Separador de milhares 3 2 2 4 9 2 2 4" xfId="16149"/>
    <cellStyle name="Separador de milhares 3 2 2 4 9 2 2 4 2" xfId="41216"/>
    <cellStyle name="Separador de milhares 3 2 2 4 9 2 2 5" xfId="35308"/>
    <cellStyle name="Separador de milhares 3 2 2 4 9 2 3" xfId="25020"/>
    <cellStyle name="Separador de milhares 3 2 2 4 9 2 3 2" xfId="50087"/>
    <cellStyle name="Separador de milhares 3 2 2 4 9 2 4" xfId="19106"/>
    <cellStyle name="Separador de milhares 3 2 2 4 9 2 4 2" xfId="44173"/>
    <cellStyle name="Separador de milhares 3 2 2 4 9 2 5" xfId="13005"/>
    <cellStyle name="Separador de milhares 3 2 2 4 9 2 5 2" xfId="38262"/>
    <cellStyle name="Separador de milhares 3 2 2 4 9 2 6" xfId="32351"/>
    <cellStyle name="Separador de milhares 3 2 2 4 9 3" xfId="8295"/>
    <cellStyle name="Separador de milhares 3 2 2 4 9 3 2" xfId="26509"/>
    <cellStyle name="Separador de milhares 3 2 2 4 9 3 2 2" xfId="51576"/>
    <cellStyle name="Separador de milhares 3 2 2 4 9 3 3" xfId="20595"/>
    <cellStyle name="Separador de milhares 3 2 2 4 9 3 3 2" xfId="45662"/>
    <cellStyle name="Separador de milhares 3 2 2 4 9 3 4" xfId="14681"/>
    <cellStyle name="Separador de milhares 3 2 2 4 9 3 4 2" xfId="39748"/>
    <cellStyle name="Separador de milhares 3 2 2 4 9 3 5" xfId="33840"/>
    <cellStyle name="Separador de milhares 3 2 2 4 9 4" xfId="4917"/>
    <cellStyle name="Separador de milhares 3 2 2 4 9 4 2" xfId="23552"/>
    <cellStyle name="Separador de milhares 3 2 2 4 9 4 2 2" xfId="48619"/>
    <cellStyle name="Separador de milhares 3 2 2 4 9 4 3" xfId="30883"/>
    <cellStyle name="Separador de milhares 3 2 2 4 9 5" xfId="17638"/>
    <cellStyle name="Separador de milhares 3 2 2 4 9 5 2" xfId="42705"/>
    <cellStyle name="Separador de milhares 3 2 2 4 9 6" xfId="11304"/>
    <cellStyle name="Separador de milhares 3 2 2 4 9 6 2" xfId="36794"/>
    <cellStyle name="Separador de milhares 3 2 2 4 9 7" xfId="29413"/>
    <cellStyle name="Separador de milhares 3 2 2 5" xfId="613"/>
    <cellStyle name="Separador de milhares 3 2 2 5 10" xfId="4881"/>
    <cellStyle name="Separador de milhares 3 2 2 5 10 2" xfId="23515"/>
    <cellStyle name="Separador de milhares 3 2 2 5 10 2 2" xfId="48582"/>
    <cellStyle name="Separador de milhares 3 2 2 5 10 3" xfId="30847"/>
    <cellStyle name="Separador de milhares 3 2 2 5 11" xfId="17601"/>
    <cellStyle name="Separador de milhares 3 2 2 5 11 2" xfId="42668"/>
    <cellStyle name="Separador de milhares 3 2 2 5 12" xfId="11270"/>
    <cellStyle name="Separador de milhares 3 2 2 5 12 2" xfId="36760"/>
    <cellStyle name="Separador de milhares 3 2 2 5 13" xfId="29376"/>
    <cellStyle name="Separador de milhares 3 2 2 5 2" xfId="1436"/>
    <cellStyle name="Separador de milhares 3 2 2 5 2 2" xfId="6833"/>
    <cellStyle name="Separador de milhares 3 2 2 5 2 2 2" xfId="9980"/>
    <cellStyle name="Separador de milhares 3 2 2 5 2 2 2 2" xfId="28194"/>
    <cellStyle name="Separador de milhares 3 2 2 5 2 2 2 2 2" xfId="53261"/>
    <cellStyle name="Separador de milhares 3 2 2 5 2 2 2 3" xfId="22280"/>
    <cellStyle name="Separador de milhares 3 2 2 5 2 2 2 3 2" xfId="47347"/>
    <cellStyle name="Separador de milhares 3 2 2 5 2 2 2 4" xfId="16366"/>
    <cellStyle name="Separador de milhares 3 2 2 5 2 2 2 4 2" xfId="41433"/>
    <cellStyle name="Separador de milhares 3 2 2 5 2 2 2 5" xfId="35525"/>
    <cellStyle name="Separador de milhares 3 2 2 5 2 2 3" xfId="25237"/>
    <cellStyle name="Separador de milhares 3 2 2 5 2 2 3 2" xfId="50304"/>
    <cellStyle name="Separador de milhares 3 2 2 5 2 2 4" xfId="19323"/>
    <cellStyle name="Separador de milhares 3 2 2 5 2 2 4 2" xfId="44390"/>
    <cellStyle name="Separador de milhares 3 2 2 5 2 2 5" xfId="13222"/>
    <cellStyle name="Separador de milhares 3 2 2 5 2 2 5 2" xfId="38479"/>
    <cellStyle name="Separador de milhares 3 2 2 5 2 2 6" xfId="32568"/>
    <cellStyle name="Separador de milhares 3 2 2 5 2 3" xfId="8512"/>
    <cellStyle name="Separador de milhares 3 2 2 5 2 3 2" xfId="26726"/>
    <cellStyle name="Separador de milhares 3 2 2 5 2 3 2 2" xfId="51793"/>
    <cellStyle name="Separador de milhares 3 2 2 5 2 3 3" xfId="20812"/>
    <cellStyle name="Separador de milhares 3 2 2 5 2 3 3 2" xfId="45879"/>
    <cellStyle name="Separador de milhares 3 2 2 5 2 3 4" xfId="14898"/>
    <cellStyle name="Separador de milhares 3 2 2 5 2 3 4 2" xfId="39965"/>
    <cellStyle name="Separador de milhares 3 2 2 5 2 3 5" xfId="34057"/>
    <cellStyle name="Separador de milhares 3 2 2 5 2 4" xfId="5134"/>
    <cellStyle name="Separador de milhares 3 2 2 5 2 4 2" xfId="23769"/>
    <cellStyle name="Separador de milhares 3 2 2 5 2 4 2 2" xfId="48836"/>
    <cellStyle name="Separador de milhares 3 2 2 5 2 4 3" xfId="31100"/>
    <cellStyle name="Separador de milhares 3 2 2 5 2 5" xfId="17855"/>
    <cellStyle name="Separador de milhares 3 2 2 5 2 5 2" xfId="42922"/>
    <cellStyle name="Separador de milhares 3 2 2 5 2 6" xfId="11521"/>
    <cellStyle name="Separador de milhares 3 2 2 5 2 6 2" xfId="37011"/>
    <cellStyle name="Separador de milhares 3 2 2 5 2 7" xfId="29630"/>
    <cellStyle name="Separador de milhares 3 2 2 5 3" xfId="1871"/>
    <cellStyle name="Separador de milhares 3 2 2 5 3 2" xfId="6952"/>
    <cellStyle name="Separador de milhares 3 2 2 5 3 2 2" xfId="10099"/>
    <cellStyle name="Separador de milhares 3 2 2 5 3 2 2 2" xfId="28313"/>
    <cellStyle name="Separador de milhares 3 2 2 5 3 2 2 2 2" xfId="53380"/>
    <cellStyle name="Separador de milhares 3 2 2 5 3 2 2 3" xfId="22399"/>
    <cellStyle name="Separador de milhares 3 2 2 5 3 2 2 3 2" xfId="47466"/>
    <cellStyle name="Separador de milhares 3 2 2 5 3 2 2 4" xfId="16485"/>
    <cellStyle name="Separador de milhares 3 2 2 5 3 2 2 4 2" xfId="41552"/>
    <cellStyle name="Separador de milhares 3 2 2 5 3 2 2 5" xfId="35644"/>
    <cellStyle name="Separador de milhares 3 2 2 5 3 2 3" xfId="25356"/>
    <cellStyle name="Separador de milhares 3 2 2 5 3 2 3 2" xfId="50423"/>
    <cellStyle name="Separador de milhares 3 2 2 5 3 2 4" xfId="19442"/>
    <cellStyle name="Separador de milhares 3 2 2 5 3 2 4 2" xfId="44509"/>
    <cellStyle name="Separador de milhares 3 2 2 5 3 2 5" xfId="13341"/>
    <cellStyle name="Separador de milhares 3 2 2 5 3 2 5 2" xfId="38598"/>
    <cellStyle name="Separador de milhares 3 2 2 5 3 2 6" xfId="32687"/>
    <cellStyle name="Separador de milhares 3 2 2 5 3 3" xfId="8631"/>
    <cellStyle name="Separador de milhares 3 2 2 5 3 3 2" xfId="26845"/>
    <cellStyle name="Separador de milhares 3 2 2 5 3 3 2 2" xfId="51912"/>
    <cellStyle name="Separador de milhares 3 2 2 5 3 3 3" xfId="20931"/>
    <cellStyle name="Separador de milhares 3 2 2 5 3 3 3 2" xfId="45998"/>
    <cellStyle name="Separador de milhares 3 2 2 5 3 3 4" xfId="15017"/>
    <cellStyle name="Separador de milhares 3 2 2 5 3 3 4 2" xfId="40084"/>
    <cellStyle name="Separador de milhares 3 2 2 5 3 3 5" xfId="34176"/>
    <cellStyle name="Separador de milhares 3 2 2 5 3 4" xfId="5253"/>
    <cellStyle name="Separador de milhares 3 2 2 5 3 4 2" xfId="23888"/>
    <cellStyle name="Separador de milhares 3 2 2 5 3 4 2 2" xfId="48955"/>
    <cellStyle name="Separador de milhares 3 2 2 5 3 4 3" xfId="31219"/>
    <cellStyle name="Separador de milhares 3 2 2 5 3 5" xfId="17974"/>
    <cellStyle name="Separador de milhares 3 2 2 5 3 5 2" xfId="43041"/>
    <cellStyle name="Separador de milhares 3 2 2 5 3 6" xfId="11640"/>
    <cellStyle name="Separador de milhares 3 2 2 5 3 6 2" xfId="37130"/>
    <cellStyle name="Separador de milhares 3 2 2 5 3 7" xfId="29749"/>
    <cellStyle name="Separador de milhares 3 2 2 5 4" xfId="2401"/>
    <cellStyle name="Separador de milhares 3 2 2 5 4 2" xfId="7102"/>
    <cellStyle name="Separador de milhares 3 2 2 5 4 2 2" xfId="10246"/>
    <cellStyle name="Separador de milhares 3 2 2 5 4 2 2 2" xfId="28460"/>
    <cellStyle name="Separador de milhares 3 2 2 5 4 2 2 2 2" xfId="53527"/>
    <cellStyle name="Separador de milhares 3 2 2 5 4 2 2 3" xfId="22546"/>
    <cellStyle name="Separador de milhares 3 2 2 5 4 2 2 3 2" xfId="47613"/>
    <cellStyle name="Separador de milhares 3 2 2 5 4 2 2 4" xfId="16632"/>
    <cellStyle name="Separador de milhares 3 2 2 5 4 2 2 4 2" xfId="41699"/>
    <cellStyle name="Separador de milhares 3 2 2 5 4 2 2 5" xfId="35791"/>
    <cellStyle name="Separador de milhares 3 2 2 5 4 2 3" xfId="25503"/>
    <cellStyle name="Separador de milhares 3 2 2 5 4 2 3 2" xfId="50570"/>
    <cellStyle name="Separador de milhares 3 2 2 5 4 2 4" xfId="19589"/>
    <cellStyle name="Separador de milhares 3 2 2 5 4 2 4 2" xfId="44656"/>
    <cellStyle name="Separador de milhares 3 2 2 5 4 2 5" xfId="13491"/>
    <cellStyle name="Separador de milhares 3 2 2 5 4 2 5 2" xfId="38745"/>
    <cellStyle name="Separador de milhares 3 2 2 5 4 2 6" xfId="32834"/>
    <cellStyle name="Separador de milhares 3 2 2 5 4 3" xfId="8778"/>
    <cellStyle name="Separador de milhares 3 2 2 5 4 3 2" xfId="26992"/>
    <cellStyle name="Separador de milhares 3 2 2 5 4 3 2 2" xfId="52059"/>
    <cellStyle name="Separador de milhares 3 2 2 5 4 3 3" xfId="21078"/>
    <cellStyle name="Separador de milhares 3 2 2 5 4 3 3 2" xfId="46145"/>
    <cellStyle name="Separador de milhares 3 2 2 5 4 3 4" xfId="15164"/>
    <cellStyle name="Separador de milhares 3 2 2 5 4 3 4 2" xfId="40231"/>
    <cellStyle name="Separador de milhares 3 2 2 5 4 3 5" xfId="34323"/>
    <cellStyle name="Separador de milhares 3 2 2 5 4 4" xfId="5403"/>
    <cellStyle name="Separador de milhares 3 2 2 5 4 4 2" xfId="24035"/>
    <cellStyle name="Separador de milhares 3 2 2 5 4 4 2 2" xfId="49102"/>
    <cellStyle name="Separador de milhares 3 2 2 5 4 4 3" xfId="31366"/>
    <cellStyle name="Separador de milhares 3 2 2 5 4 5" xfId="18121"/>
    <cellStyle name="Separador de milhares 3 2 2 5 4 5 2" xfId="43188"/>
    <cellStyle name="Separador de milhares 3 2 2 5 4 6" xfId="11790"/>
    <cellStyle name="Separador de milhares 3 2 2 5 4 6 2" xfId="37277"/>
    <cellStyle name="Separador de milhares 3 2 2 5 4 7" xfId="29896"/>
    <cellStyle name="Separador de milhares 3 2 2 5 5" xfId="2928"/>
    <cellStyle name="Separador de milhares 3 2 2 5 5 2" xfId="7249"/>
    <cellStyle name="Separador de milhares 3 2 2 5 5 2 2" xfId="10393"/>
    <cellStyle name="Separador de milhares 3 2 2 5 5 2 2 2" xfId="28607"/>
    <cellStyle name="Separador de milhares 3 2 2 5 5 2 2 2 2" xfId="53674"/>
    <cellStyle name="Separador de milhares 3 2 2 5 5 2 2 3" xfId="22693"/>
    <cellStyle name="Separador de milhares 3 2 2 5 5 2 2 3 2" xfId="47760"/>
    <cellStyle name="Separador de milhares 3 2 2 5 5 2 2 4" xfId="16779"/>
    <cellStyle name="Separador de milhares 3 2 2 5 5 2 2 4 2" xfId="41846"/>
    <cellStyle name="Separador de milhares 3 2 2 5 5 2 2 5" xfId="35938"/>
    <cellStyle name="Separador de milhares 3 2 2 5 5 2 3" xfId="25650"/>
    <cellStyle name="Separador de milhares 3 2 2 5 5 2 3 2" xfId="50717"/>
    <cellStyle name="Separador de milhares 3 2 2 5 5 2 4" xfId="19736"/>
    <cellStyle name="Separador de milhares 3 2 2 5 5 2 4 2" xfId="44803"/>
    <cellStyle name="Separador de milhares 3 2 2 5 5 2 5" xfId="13638"/>
    <cellStyle name="Separador de milhares 3 2 2 5 5 2 5 2" xfId="38892"/>
    <cellStyle name="Separador de milhares 3 2 2 5 5 2 6" xfId="32981"/>
    <cellStyle name="Separador de milhares 3 2 2 5 5 3" xfId="8925"/>
    <cellStyle name="Separador de milhares 3 2 2 5 5 3 2" xfId="27139"/>
    <cellStyle name="Separador de milhares 3 2 2 5 5 3 2 2" xfId="52206"/>
    <cellStyle name="Separador de milhares 3 2 2 5 5 3 3" xfId="21225"/>
    <cellStyle name="Separador de milhares 3 2 2 5 5 3 3 2" xfId="46292"/>
    <cellStyle name="Separador de milhares 3 2 2 5 5 3 4" xfId="15311"/>
    <cellStyle name="Separador de milhares 3 2 2 5 5 3 4 2" xfId="40378"/>
    <cellStyle name="Separador de milhares 3 2 2 5 5 3 5" xfId="34470"/>
    <cellStyle name="Separador de milhares 3 2 2 5 5 4" xfId="5550"/>
    <cellStyle name="Separador de milhares 3 2 2 5 5 4 2" xfId="24182"/>
    <cellStyle name="Separador de milhares 3 2 2 5 5 4 2 2" xfId="49249"/>
    <cellStyle name="Separador de milhares 3 2 2 5 5 4 3" xfId="31513"/>
    <cellStyle name="Separador de milhares 3 2 2 5 5 5" xfId="18268"/>
    <cellStyle name="Separador de milhares 3 2 2 5 5 5 2" xfId="43335"/>
    <cellStyle name="Separador de milhares 3 2 2 5 5 6" xfId="11937"/>
    <cellStyle name="Separador de milhares 3 2 2 5 5 6 2" xfId="37424"/>
    <cellStyle name="Separador de milhares 3 2 2 5 5 7" xfId="30043"/>
    <cellStyle name="Separador de milhares 3 2 2 5 6" xfId="3455"/>
    <cellStyle name="Separador de milhares 3 2 2 5 6 2" xfId="7396"/>
    <cellStyle name="Separador de milhares 3 2 2 5 6 2 2" xfId="10540"/>
    <cellStyle name="Separador de milhares 3 2 2 5 6 2 2 2" xfId="28754"/>
    <cellStyle name="Separador de milhares 3 2 2 5 6 2 2 2 2" xfId="53821"/>
    <cellStyle name="Separador de milhares 3 2 2 5 6 2 2 3" xfId="22840"/>
    <cellStyle name="Separador de milhares 3 2 2 5 6 2 2 3 2" xfId="47907"/>
    <cellStyle name="Separador de milhares 3 2 2 5 6 2 2 4" xfId="16926"/>
    <cellStyle name="Separador de milhares 3 2 2 5 6 2 2 4 2" xfId="41993"/>
    <cellStyle name="Separador de milhares 3 2 2 5 6 2 2 5" xfId="36085"/>
    <cellStyle name="Separador de milhares 3 2 2 5 6 2 3" xfId="25797"/>
    <cellStyle name="Separador de milhares 3 2 2 5 6 2 3 2" xfId="50864"/>
    <cellStyle name="Separador de milhares 3 2 2 5 6 2 4" xfId="19883"/>
    <cellStyle name="Separador de milhares 3 2 2 5 6 2 4 2" xfId="44950"/>
    <cellStyle name="Separador de milhares 3 2 2 5 6 2 5" xfId="13785"/>
    <cellStyle name="Separador de milhares 3 2 2 5 6 2 5 2" xfId="39039"/>
    <cellStyle name="Separador de milhares 3 2 2 5 6 2 6" xfId="33128"/>
    <cellStyle name="Separador de milhares 3 2 2 5 6 3" xfId="9072"/>
    <cellStyle name="Separador de milhares 3 2 2 5 6 3 2" xfId="27286"/>
    <cellStyle name="Separador de milhares 3 2 2 5 6 3 2 2" xfId="52353"/>
    <cellStyle name="Separador de milhares 3 2 2 5 6 3 3" xfId="21372"/>
    <cellStyle name="Separador de milhares 3 2 2 5 6 3 3 2" xfId="46439"/>
    <cellStyle name="Separador de milhares 3 2 2 5 6 3 4" xfId="15458"/>
    <cellStyle name="Separador de milhares 3 2 2 5 6 3 4 2" xfId="40525"/>
    <cellStyle name="Separador de milhares 3 2 2 5 6 3 5" xfId="34617"/>
    <cellStyle name="Separador de milhares 3 2 2 5 6 4" xfId="5697"/>
    <cellStyle name="Separador de milhares 3 2 2 5 6 4 2" xfId="24329"/>
    <cellStyle name="Separador de milhares 3 2 2 5 6 4 2 2" xfId="49396"/>
    <cellStyle name="Separador de milhares 3 2 2 5 6 4 3" xfId="31660"/>
    <cellStyle name="Separador de milhares 3 2 2 5 6 5" xfId="18415"/>
    <cellStyle name="Separador de milhares 3 2 2 5 6 5 2" xfId="43482"/>
    <cellStyle name="Separador de milhares 3 2 2 5 6 6" xfId="12084"/>
    <cellStyle name="Separador de milhares 3 2 2 5 6 6 2" xfId="37571"/>
    <cellStyle name="Separador de milhares 3 2 2 5 6 7" xfId="30190"/>
    <cellStyle name="Separador de milhares 3 2 2 5 7" xfId="3982"/>
    <cellStyle name="Separador de milhares 3 2 2 5 7 2" xfId="7543"/>
    <cellStyle name="Separador de milhares 3 2 2 5 7 2 2" xfId="10687"/>
    <cellStyle name="Separador de milhares 3 2 2 5 7 2 2 2" xfId="28901"/>
    <cellStyle name="Separador de milhares 3 2 2 5 7 2 2 2 2" xfId="53968"/>
    <cellStyle name="Separador de milhares 3 2 2 5 7 2 2 3" xfId="22987"/>
    <cellStyle name="Separador de milhares 3 2 2 5 7 2 2 3 2" xfId="48054"/>
    <cellStyle name="Separador de milhares 3 2 2 5 7 2 2 4" xfId="17073"/>
    <cellStyle name="Separador de milhares 3 2 2 5 7 2 2 4 2" xfId="42140"/>
    <cellStyle name="Separador de milhares 3 2 2 5 7 2 2 5" xfId="36232"/>
    <cellStyle name="Separador de milhares 3 2 2 5 7 2 3" xfId="25944"/>
    <cellStyle name="Separador de milhares 3 2 2 5 7 2 3 2" xfId="51011"/>
    <cellStyle name="Separador de milhares 3 2 2 5 7 2 4" xfId="20030"/>
    <cellStyle name="Separador de milhares 3 2 2 5 7 2 4 2" xfId="45097"/>
    <cellStyle name="Separador de milhares 3 2 2 5 7 2 5" xfId="13932"/>
    <cellStyle name="Separador de milhares 3 2 2 5 7 2 5 2" xfId="39186"/>
    <cellStyle name="Separador de milhares 3 2 2 5 7 2 6" xfId="33275"/>
    <cellStyle name="Separador de milhares 3 2 2 5 7 3" xfId="9219"/>
    <cellStyle name="Separador de milhares 3 2 2 5 7 3 2" xfId="27433"/>
    <cellStyle name="Separador de milhares 3 2 2 5 7 3 2 2" xfId="52500"/>
    <cellStyle name="Separador de milhares 3 2 2 5 7 3 3" xfId="21519"/>
    <cellStyle name="Separador de milhares 3 2 2 5 7 3 3 2" xfId="46586"/>
    <cellStyle name="Separador de milhares 3 2 2 5 7 3 4" xfId="15605"/>
    <cellStyle name="Separador de milhares 3 2 2 5 7 3 4 2" xfId="40672"/>
    <cellStyle name="Separador de milhares 3 2 2 5 7 3 5" xfId="34764"/>
    <cellStyle name="Separador de milhares 3 2 2 5 7 4" xfId="5844"/>
    <cellStyle name="Separador de milhares 3 2 2 5 7 4 2" xfId="24476"/>
    <cellStyle name="Separador de milhares 3 2 2 5 7 4 2 2" xfId="49543"/>
    <cellStyle name="Separador de milhares 3 2 2 5 7 4 3" xfId="31807"/>
    <cellStyle name="Separador de milhares 3 2 2 5 7 5" xfId="18562"/>
    <cellStyle name="Separador de milhares 3 2 2 5 7 5 2" xfId="43629"/>
    <cellStyle name="Separador de milhares 3 2 2 5 7 6" xfId="12231"/>
    <cellStyle name="Separador de milhares 3 2 2 5 7 6 2" xfId="37718"/>
    <cellStyle name="Separador de milhares 3 2 2 5 7 7" xfId="30337"/>
    <cellStyle name="Separador de milhares 3 2 2 5 8" xfId="6582"/>
    <cellStyle name="Separador de milhares 3 2 2 5 8 2" xfId="9729"/>
    <cellStyle name="Separador de milhares 3 2 2 5 8 2 2" xfId="27943"/>
    <cellStyle name="Separador de milhares 3 2 2 5 8 2 2 2" xfId="53010"/>
    <cellStyle name="Separador de milhares 3 2 2 5 8 2 3" xfId="22029"/>
    <cellStyle name="Separador de milhares 3 2 2 5 8 2 3 2" xfId="47096"/>
    <cellStyle name="Separador de milhares 3 2 2 5 8 2 4" xfId="16115"/>
    <cellStyle name="Separador de milhares 3 2 2 5 8 2 4 2" xfId="41182"/>
    <cellStyle name="Separador de milhares 3 2 2 5 8 2 5" xfId="35274"/>
    <cellStyle name="Separador de milhares 3 2 2 5 8 3" xfId="24986"/>
    <cellStyle name="Separador de milhares 3 2 2 5 8 3 2" xfId="50053"/>
    <cellStyle name="Separador de milhares 3 2 2 5 8 4" xfId="19072"/>
    <cellStyle name="Separador de milhares 3 2 2 5 8 4 2" xfId="44139"/>
    <cellStyle name="Separador de milhares 3 2 2 5 8 5" xfId="12971"/>
    <cellStyle name="Separador de milhares 3 2 2 5 8 5 2" xfId="38228"/>
    <cellStyle name="Separador de milhares 3 2 2 5 8 6" xfId="32317"/>
    <cellStyle name="Separador de milhares 3 2 2 5 9" xfId="8258"/>
    <cellStyle name="Separador de milhares 3 2 2 5 9 2" xfId="26472"/>
    <cellStyle name="Separador de milhares 3 2 2 5 9 2 2" xfId="51539"/>
    <cellStyle name="Separador de milhares 3 2 2 5 9 3" xfId="20558"/>
    <cellStyle name="Separador de milhares 3 2 2 5 9 3 2" xfId="45625"/>
    <cellStyle name="Separador de milhares 3 2 2 5 9 4" xfId="14647"/>
    <cellStyle name="Separador de milhares 3 2 2 5 9 4 2" xfId="39714"/>
    <cellStyle name="Separador de milhares 3 2 2 5 9 5" xfId="33803"/>
    <cellStyle name="Separador de milhares 3 2 2 6" xfId="734"/>
    <cellStyle name="Separador de milhares 3 2 2 6 2" xfId="4158"/>
    <cellStyle name="Separador de milhares 3 2 2 6 2 2" xfId="7592"/>
    <cellStyle name="Separador de milhares 3 2 2 6 2 2 2" xfId="10736"/>
    <cellStyle name="Separador de milhares 3 2 2 6 2 2 2 2" xfId="28950"/>
    <cellStyle name="Separador de milhares 3 2 2 6 2 2 2 2 2" xfId="54017"/>
    <cellStyle name="Separador de milhares 3 2 2 6 2 2 2 3" xfId="23036"/>
    <cellStyle name="Separador de milhares 3 2 2 6 2 2 2 3 2" xfId="48103"/>
    <cellStyle name="Separador de milhares 3 2 2 6 2 2 2 4" xfId="17122"/>
    <cellStyle name="Separador de milhares 3 2 2 6 2 2 2 4 2" xfId="42189"/>
    <cellStyle name="Separador de milhares 3 2 2 6 2 2 2 5" xfId="36281"/>
    <cellStyle name="Separador de milhares 3 2 2 6 2 2 3" xfId="25993"/>
    <cellStyle name="Separador de milhares 3 2 2 6 2 2 3 2" xfId="51060"/>
    <cellStyle name="Separador de milhares 3 2 2 6 2 2 4" xfId="20079"/>
    <cellStyle name="Separador de milhares 3 2 2 6 2 2 4 2" xfId="45146"/>
    <cellStyle name="Separador de milhares 3 2 2 6 2 2 5" xfId="13981"/>
    <cellStyle name="Separador de milhares 3 2 2 6 2 2 5 2" xfId="39235"/>
    <cellStyle name="Separador de milhares 3 2 2 6 2 2 6" xfId="33324"/>
    <cellStyle name="Separador de milhares 3 2 2 6 2 3" xfId="9268"/>
    <cellStyle name="Separador de milhares 3 2 2 6 2 3 2" xfId="27482"/>
    <cellStyle name="Separador de milhares 3 2 2 6 2 3 2 2" xfId="52549"/>
    <cellStyle name="Separador de milhares 3 2 2 6 2 3 3" xfId="21568"/>
    <cellStyle name="Separador de milhares 3 2 2 6 2 3 3 2" xfId="46635"/>
    <cellStyle name="Separador de milhares 3 2 2 6 2 3 4" xfId="15654"/>
    <cellStyle name="Separador de milhares 3 2 2 6 2 3 4 2" xfId="40721"/>
    <cellStyle name="Separador de milhares 3 2 2 6 2 3 5" xfId="34813"/>
    <cellStyle name="Separador de milhares 3 2 2 6 2 4" xfId="5893"/>
    <cellStyle name="Separador de milhares 3 2 2 6 2 4 2" xfId="24525"/>
    <cellStyle name="Separador de milhares 3 2 2 6 2 4 2 2" xfId="49592"/>
    <cellStyle name="Separador de milhares 3 2 2 6 2 4 3" xfId="31856"/>
    <cellStyle name="Separador de milhares 3 2 2 6 2 5" xfId="18611"/>
    <cellStyle name="Separador de milhares 3 2 2 6 2 5 2" xfId="43678"/>
    <cellStyle name="Separador de milhares 3 2 2 6 2 6" xfId="12280"/>
    <cellStyle name="Separador de milhares 3 2 2 6 2 6 2" xfId="37767"/>
    <cellStyle name="Separador de milhares 3 2 2 6 2 7" xfId="30386"/>
    <cellStyle name="Separador de milhares 3 2 2 6 3" xfId="6637"/>
    <cellStyle name="Separador de milhares 3 2 2 6 3 2" xfId="9784"/>
    <cellStyle name="Separador de milhares 3 2 2 6 3 2 2" xfId="27998"/>
    <cellStyle name="Separador de milhares 3 2 2 6 3 2 2 2" xfId="53065"/>
    <cellStyle name="Separador de milhares 3 2 2 6 3 2 3" xfId="22084"/>
    <cellStyle name="Separador de milhares 3 2 2 6 3 2 3 2" xfId="47151"/>
    <cellStyle name="Separador de milhares 3 2 2 6 3 2 4" xfId="16170"/>
    <cellStyle name="Separador de milhares 3 2 2 6 3 2 4 2" xfId="41237"/>
    <cellStyle name="Separador de milhares 3 2 2 6 3 2 5" xfId="35329"/>
    <cellStyle name="Separador de milhares 3 2 2 6 3 3" xfId="25041"/>
    <cellStyle name="Separador de milhares 3 2 2 6 3 3 2" xfId="50108"/>
    <cellStyle name="Separador de milhares 3 2 2 6 3 4" xfId="19127"/>
    <cellStyle name="Separador de milhares 3 2 2 6 3 4 2" xfId="44194"/>
    <cellStyle name="Separador de milhares 3 2 2 6 3 5" xfId="13026"/>
    <cellStyle name="Separador de milhares 3 2 2 6 3 5 2" xfId="38283"/>
    <cellStyle name="Separador de milhares 3 2 2 6 3 6" xfId="32372"/>
    <cellStyle name="Separador de milhares 3 2 2 6 4" xfId="8316"/>
    <cellStyle name="Separador de milhares 3 2 2 6 4 2" xfId="26530"/>
    <cellStyle name="Separador de milhares 3 2 2 6 4 2 2" xfId="51597"/>
    <cellStyle name="Separador de milhares 3 2 2 6 4 3" xfId="20616"/>
    <cellStyle name="Separador de milhares 3 2 2 6 4 3 2" xfId="45683"/>
    <cellStyle name="Separador de milhares 3 2 2 6 4 4" xfId="14702"/>
    <cellStyle name="Separador de milhares 3 2 2 6 4 4 2" xfId="39769"/>
    <cellStyle name="Separador de milhares 3 2 2 6 4 5" xfId="33861"/>
    <cellStyle name="Separador de milhares 3 2 2 6 5" xfId="4938"/>
    <cellStyle name="Separador de milhares 3 2 2 6 5 2" xfId="23573"/>
    <cellStyle name="Separador de milhares 3 2 2 6 5 2 2" xfId="48640"/>
    <cellStyle name="Separador de milhares 3 2 2 6 5 3" xfId="30904"/>
    <cellStyle name="Separador de milhares 3 2 2 6 6" xfId="17659"/>
    <cellStyle name="Separador de milhares 3 2 2 6 6 2" xfId="42726"/>
    <cellStyle name="Separador de milhares 3 2 2 6 7" xfId="11325"/>
    <cellStyle name="Separador de milhares 3 2 2 6 7 2" xfId="36815"/>
    <cellStyle name="Separador de milhares 3 2 2 6 8" xfId="29434"/>
    <cellStyle name="Separador de milhares 3 2 2 7" xfId="1085"/>
    <cellStyle name="Separador de milhares 3 2 2 7 2" xfId="6735"/>
    <cellStyle name="Separador de milhares 3 2 2 7 2 2" xfId="9882"/>
    <cellStyle name="Separador de milhares 3 2 2 7 2 2 2" xfId="28096"/>
    <cellStyle name="Separador de milhares 3 2 2 7 2 2 2 2" xfId="53163"/>
    <cellStyle name="Separador de milhares 3 2 2 7 2 2 3" xfId="22182"/>
    <cellStyle name="Separador de milhares 3 2 2 7 2 2 3 2" xfId="47249"/>
    <cellStyle name="Separador de milhares 3 2 2 7 2 2 4" xfId="16268"/>
    <cellStyle name="Separador de milhares 3 2 2 7 2 2 4 2" xfId="41335"/>
    <cellStyle name="Separador de milhares 3 2 2 7 2 2 5" xfId="35427"/>
    <cellStyle name="Separador de milhares 3 2 2 7 2 3" xfId="25139"/>
    <cellStyle name="Separador de milhares 3 2 2 7 2 3 2" xfId="50206"/>
    <cellStyle name="Separador de milhares 3 2 2 7 2 4" xfId="19225"/>
    <cellStyle name="Separador de milhares 3 2 2 7 2 4 2" xfId="44292"/>
    <cellStyle name="Separador de milhares 3 2 2 7 2 5" xfId="13124"/>
    <cellStyle name="Separador de milhares 3 2 2 7 2 5 2" xfId="38381"/>
    <cellStyle name="Separador de milhares 3 2 2 7 2 6" xfId="32470"/>
    <cellStyle name="Separador de milhares 3 2 2 7 3" xfId="8414"/>
    <cellStyle name="Separador de milhares 3 2 2 7 3 2" xfId="26628"/>
    <cellStyle name="Separador de milhares 3 2 2 7 3 2 2" xfId="51695"/>
    <cellStyle name="Separador de milhares 3 2 2 7 3 3" xfId="20714"/>
    <cellStyle name="Separador de milhares 3 2 2 7 3 3 2" xfId="45781"/>
    <cellStyle name="Separador de milhares 3 2 2 7 3 4" xfId="14800"/>
    <cellStyle name="Separador de milhares 3 2 2 7 3 4 2" xfId="39867"/>
    <cellStyle name="Separador de milhares 3 2 2 7 3 5" xfId="33959"/>
    <cellStyle name="Separador de milhares 3 2 2 7 4" xfId="5036"/>
    <cellStyle name="Separador de milhares 3 2 2 7 4 2" xfId="23671"/>
    <cellStyle name="Separador de milhares 3 2 2 7 4 2 2" xfId="48738"/>
    <cellStyle name="Separador de milhares 3 2 2 7 4 3" xfId="31002"/>
    <cellStyle name="Separador de milhares 3 2 2 7 5" xfId="17757"/>
    <cellStyle name="Separador de milhares 3 2 2 7 5 2" xfId="42824"/>
    <cellStyle name="Separador de milhares 3 2 2 7 6" xfId="11423"/>
    <cellStyle name="Separador de milhares 3 2 2 7 6 2" xfId="36913"/>
    <cellStyle name="Separador de milhares 3 2 2 7 7" xfId="29532"/>
    <cellStyle name="Separador de milhares 3 2 2 8" xfId="1520"/>
    <cellStyle name="Separador de milhares 3 2 2 8 2" xfId="6854"/>
    <cellStyle name="Separador de milhares 3 2 2 8 2 2" xfId="10001"/>
    <cellStyle name="Separador de milhares 3 2 2 8 2 2 2" xfId="28215"/>
    <cellStyle name="Separador de milhares 3 2 2 8 2 2 2 2" xfId="53282"/>
    <cellStyle name="Separador de milhares 3 2 2 8 2 2 3" xfId="22301"/>
    <cellStyle name="Separador de milhares 3 2 2 8 2 2 3 2" xfId="47368"/>
    <cellStyle name="Separador de milhares 3 2 2 8 2 2 4" xfId="16387"/>
    <cellStyle name="Separador de milhares 3 2 2 8 2 2 4 2" xfId="41454"/>
    <cellStyle name="Separador de milhares 3 2 2 8 2 2 5" xfId="35546"/>
    <cellStyle name="Separador de milhares 3 2 2 8 2 3" xfId="25258"/>
    <cellStyle name="Separador de milhares 3 2 2 8 2 3 2" xfId="50325"/>
    <cellStyle name="Separador de milhares 3 2 2 8 2 4" xfId="19344"/>
    <cellStyle name="Separador de milhares 3 2 2 8 2 4 2" xfId="44411"/>
    <cellStyle name="Separador de milhares 3 2 2 8 2 5" xfId="13243"/>
    <cellStyle name="Separador de milhares 3 2 2 8 2 5 2" xfId="38500"/>
    <cellStyle name="Separador de milhares 3 2 2 8 2 6" xfId="32589"/>
    <cellStyle name="Separador de milhares 3 2 2 8 3" xfId="8533"/>
    <cellStyle name="Separador de milhares 3 2 2 8 3 2" xfId="26747"/>
    <cellStyle name="Separador de milhares 3 2 2 8 3 2 2" xfId="51814"/>
    <cellStyle name="Separador de milhares 3 2 2 8 3 3" xfId="20833"/>
    <cellStyle name="Separador de milhares 3 2 2 8 3 3 2" xfId="45900"/>
    <cellStyle name="Separador de milhares 3 2 2 8 3 4" xfId="14919"/>
    <cellStyle name="Separador de milhares 3 2 2 8 3 4 2" xfId="39986"/>
    <cellStyle name="Separador de milhares 3 2 2 8 3 5" xfId="34078"/>
    <cellStyle name="Separador de milhares 3 2 2 8 4" xfId="5155"/>
    <cellStyle name="Separador de milhares 3 2 2 8 4 2" xfId="23790"/>
    <cellStyle name="Separador de milhares 3 2 2 8 4 2 2" xfId="48857"/>
    <cellStyle name="Separador de milhares 3 2 2 8 4 3" xfId="31121"/>
    <cellStyle name="Separador de milhares 3 2 2 8 5" xfId="17876"/>
    <cellStyle name="Separador de milhares 3 2 2 8 5 2" xfId="42943"/>
    <cellStyle name="Separador de milhares 3 2 2 8 6" xfId="11542"/>
    <cellStyle name="Separador de milhares 3 2 2 8 6 2" xfId="37032"/>
    <cellStyle name="Separador de milhares 3 2 2 8 7" xfId="29651"/>
    <cellStyle name="Separador de milhares 3 2 2 9" xfId="2050"/>
    <cellStyle name="Separador de milhares 3 2 2 9 2" xfId="7004"/>
    <cellStyle name="Separador de milhares 3 2 2 9 2 2" xfId="10148"/>
    <cellStyle name="Separador de milhares 3 2 2 9 2 2 2" xfId="28362"/>
    <cellStyle name="Separador de milhares 3 2 2 9 2 2 2 2" xfId="53429"/>
    <cellStyle name="Separador de milhares 3 2 2 9 2 2 3" xfId="22448"/>
    <cellStyle name="Separador de milhares 3 2 2 9 2 2 3 2" xfId="47515"/>
    <cellStyle name="Separador de milhares 3 2 2 9 2 2 4" xfId="16534"/>
    <cellStyle name="Separador de milhares 3 2 2 9 2 2 4 2" xfId="41601"/>
    <cellStyle name="Separador de milhares 3 2 2 9 2 2 5" xfId="35693"/>
    <cellStyle name="Separador de milhares 3 2 2 9 2 3" xfId="25405"/>
    <cellStyle name="Separador de milhares 3 2 2 9 2 3 2" xfId="50472"/>
    <cellStyle name="Separador de milhares 3 2 2 9 2 4" xfId="19491"/>
    <cellStyle name="Separador de milhares 3 2 2 9 2 4 2" xfId="44558"/>
    <cellStyle name="Separador de milhares 3 2 2 9 2 5" xfId="13393"/>
    <cellStyle name="Separador de milhares 3 2 2 9 2 5 2" xfId="38647"/>
    <cellStyle name="Separador de milhares 3 2 2 9 2 6" xfId="32736"/>
    <cellStyle name="Separador de milhares 3 2 2 9 3" xfId="8680"/>
    <cellStyle name="Separador de milhares 3 2 2 9 3 2" xfId="26894"/>
    <cellStyle name="Separador de milhares 3 2 2 9 3 2 2" xfId="51961"/>
    <cellStyle name="Separador de milhares 3 2 2 9 3 3" xfId="20980"/>
    <cellStyle name="Separador de milhares 3 2 2 9 3 3 2" xfId="46047"/>
    <cellStyle name="Separador de milhares 3 2 2 9 3 4" xfId="15066"/>
    <cellStyle name="Separador de milhares 3 2 2 9 3 4 2" xfId="40133"/>
    <cellStyle name="Separador de milhares 3 2 2 9 3 5" xfId="34225"/>
    <cellStyle name="Separador de milhares 3 2 2 9 4" xfId="5305"/>
    <cellStyle name="Separador de milhares 3 2 2 9 4 2" xfId="23937"/>
    <cellStyle name="Separador de milhares 3 2 2 9 4 2 2" xfId="49004"/>
    <cellStyle name="Separador de milhares 3 2 2 9 4 3" xfId="31268"/>
    <cellStyle name="Separador de milhares 3 2 2 9 5" xfId="18023"/>
    <cellStyle name="Separador de milhares 3 2 2 9 5 2" xfId="43090"/>
    <cellStyle name="Separador de milhares 3 2 2 9 6" xfId="11692"/>
    <cellStyle name="Separador de milhares 3 2 2 9 6 2" xfId="37179"/>
    <cellStyle name="Separador de milhares 3 2 2 9 7" xfId="29798"/>
    <cellStyle name="Separador de milhares 3 2 20" xfId="8105"/>
    <cellStyle name="Separador de milhares 3 2 20 2" xfId="26319"/>
    <cellStyle name="Separador de milhares 3 2 20 2 2" xfId="51386"/>
    <cellStyle name="Separador de milhares 3 2 20 3" xfId="20405"/>
    <cellStyle name="Separador de milhares 3 2 20 3 2" xfId="45472"/>
    <cellStyle name="Separador de milhares 3 2 20 4" xfId="14494"/>
    <cellStyle name="Separador de milhares 3 2 20 4 2" xfId="39561"/>
    <cellStyle name="Separador de milhares 3 2 20 5" xfId="33650"/>
    <cellStyle name="Separador de milhares 3 2 21" xfId="4718"/>
    <cellStyle name="Separador de milhares 3 2 21 2" xfId="23362"/>
    <cellStyle name="Separador de milhares 3 2 21 2 2" xfId="48429"/>
    <cellStyle name="Separador de milhares 3 2 21 3" xfId="30694"/>
    <cellStyle name="Separador de milhares 3 2 22" xfId="17448"/>
    <cellStyle name="Separador de milhares 3 2 22 2" xfId="42515"/>
    <cellStyle name="Separador de milhares 3 2 23" xfId="11108"/>
    <cellStyle name="Separador de milhares 3 2 23 2" xfId="36607"/>
    <cellStyle name="Separador de milhares 3 2 24" xfId="29222"/>
    <cellStyle name="Separador de milhares 3 2 3" xfId="82"/>
    <cellStyle name="Separador de milhares 3 2 3 10" xfId="2585"/>
    <cellStyle name="Separador de milhares 3 2 3 10 2" xfId="7153"/>
    <cellStyle name="Separador de milhares 3 2 3 10 2 2" xfId="10297"/>
    <cellStyle name="Separador de milhares 3 2 3 10 2 2 2" xfId="28511"/>
    <cellStyle name="Separador de milhares 3 2 3 10 2 2 2 2" xfId="53578"/>
    <cellStyle name="Separador de milhares 3 2 3 10 2 2 3" xfId="22597"/>
    <cellStyle name="Separador de milhares 3 2 3 10 2 2 3 2" xfId="47664"/>
    <cellStyle name="Separador de milhares 3 2 3 10 2 2 4" xfId="16683"/>
    <cellStyle name="Separador de milhares 3 2 3 10 2 2 4 2" xfId="41750"/>
    <cellStyle name="Separador de milhares 3 2 3 10 2 2 5" xfId="35842"/>
    <cellStyle name="Separador de milhares 3 2 3 10 2 3" xfId="25554"/>
    <cellStyle name="Separador de milhares 3 2 3 10 2 3 2" xfId="50621"/>
    <cellStyle name="Separador de milhares 3 2 3 10 2 4" xfId="19640"/>
    <cellStyle name="Separador de milhares 3 2 3 10 2 4 2" xfId="44707"/>
    <cellStyle name="Separador de milhares 3 2 3 10 2 5" xfId="13542"/>
    <cellStyle name="Separador de milhares 3 2 3 10 2 5 2" xfId="38796"/>
    <cellStyle name="Separador de milhares 3 2 3 10 2 6" xfId="32885"/>
    <cellStyle name="Separador de milhares 3 2 3 10 3" xfId="8829"/>
    <cellStyle name="Separador de milhares 3 2 3 10 3 2" xfId="27043"/>
    <cellStyle name="Separador de milhares 3 2 3 10 3 2 2" xfId="52110"/>
    <cellStyle name="Separador de milhares 3 2 3 10 3 3" xfId="21129"/>
    <cellStyle name="Separador de milhares 3 2 3 10 3 3 2" xfId="46196"/>
    <cellStyle name="Separador de milhares 3 2 3 10 3 4" xfId="15215"/>
    <cellStyle name="Separador de milhares 3 2 3 10 3 4 2" xfId="40282"/>
    <cellStyle name="Separador de milhares 3 2 3 10 3 5" xfId="34374"/>
    <cellStyle name="Separador de milhares 3 2 3 10 4" xfId="5454"/>
    <cellStyle name="Separador de milhares 3 2 3 10 4 2" xfId="24086"/>
    <cellStyle name="Separador de milhares 3 2 3 10 4 2 2" xfId="49153"/>
    <cellStyle name="Separador de milhares 3 2 3 10 4 3" xfId="31417"/>
    <cellStyle name="Separador de milhares 3 2 3 10 5" xfId="18172"/>
    <cellStyle name="Separador de milhares 3 2 3 10 5 2" xfId="43239"/>
    <cellStyle name="Separador de milhares 3 2 3 10 6" xfId="11841"/>
    <cellStyle name="Separador de milhares 3 2 3 10 6 2" xfId="37328"/>
    <cellStyle name="Separador de milhares 3 2 3 10 7" xfId="29947"/>
    <cellStyle name="Separador de milhares 3 2 3 11" xfId="3112"/>
    <cellStyle name="Separador de milhares 3 2 3 11 2" xfId="7300"/>
    <cellStyle name="Separador de milhares 3 2 3 11 2 2" xfId="10444"/>
    <cellStyle name="Separador de milhares 3 2 3 11 2 2 2" xfId="28658"/>
    <cellStyle name="Separador de milhares 3 2 3 11 2 2 2 2" xfId="53725"/>
    <cellStyle name="Separador de milhares 3 2 3 11 2 2 3" xfId="22744"/>
    <cellStyle name="Separador de milhares 3 2 3 11 2 2 3 2" xfId="47811"/>
    <cellStyle name="Separador de milhares 3 2 3 11 2 2 4" xfId="16830"/>
    <cellStyle name="Separador de milhares 3 2 3 11 2 2 4 2" xfId="41897"/>
    <cellStyle name="Separador de milhares 3 2 3 11 2 2 5" xfId="35989"/>
    <cellStyle name="Separador de milhares 3 2 3 11 2 3" xfId="25701"/>
    <cellStyle name="Separador de milhares 3 2 3 11 2 3 2" xfId="50768"/>
    <cellStyle name="Separador de milhares 3 2 3 11 2 4" xfId="19787"/>
    <cellStyle name="Separador de milhares 3 2 3 11 2 4 2" xfId="44854"/>
    <cellStyle name="Separador de milhares 3 2 3 11 2 5" xfId="13689"/>
    <cellStyle name="Separador de milhares 3 2 3 11 2 5 2" xfId="38943"/>
    <cellStyle name="Separador de milhares 3 2 3 11 2 6" xfId="33032"/>
    <cellStyle name="Separador de milhares 3 2 3 11 3" xfId="8976"/>
    <cellStyle name="Separador de milhares 3 2 3 11 3 2" xfId="27190"/>
    <cellStyle name="Separador de milhares 3 2 3 11 3 2 2" xfId="52257"/>
    <cellStyle name="Separador de milhares 3 2 3 11 3 3" xfId="21276"/>
    <cellStyle name="Separador de milhares 3 2 3 11 3 3 2" xfId="46343"/>
    <cellStyle name="Separador de milhares 3 2 3 11 3 4" xfId="15362"/>
    <cellStyle name="Separador de milhares 3 2 3 11 3 4 2" xfId="40429"/>
    <cellStyle name="Separador de milhares 3 2 3 11 3 5" xfId="34521"/>
    <cellStyle name="Separador de milhares 3 2 3 11 4" xfId="5601"/>
    <cellStyle name="Separador de milhares 3 2 3 11 4 2" xfId="24233"/>
    <cellStyle name="Separador de milhares 3 2 3 11 4 2 2" xfId="49300"/>
    <cellStyle name="Separador de milhares 3 2 3 11 4 3" xfId="31564"/>
    <cellStyle name="Separador de milhares 3 2 3 11 5" xfId="18319"/>
    <cellStyle name="Separador de milhares 3 2 3 11 5 2" xfId="43386"/>
    <cellStyle name="Separador de milhares 3 2 3 11 6" xfId="11988"/>
    <cellStyle name="Separador de milhares 3 2 3 11 6 2" xfId="37475"/>
    <cellStyle name="Separador de milhares 3 2 3 11 7" xfId="30094"/>
    <cellStyle name="Separador de milhares 3 2 3 12" xfId="3639"/>
    <cellStyle name="Separador de milhares 3 2 3 12 2" xfId="7447"/>
    <cellStyle name="Separador de milhares 3 2 3 12 2 2" xfId="10591"/>
    <cellStyle name="Separador de milhares 3 2 3 12 2 2 2" xfId="28805"/>
    <cellStyle name="Separador de milhares 3 2 3 12 2 2 2 2" xfId="53872"/>
    <cellStyle name="Separador de milhares 3 2 3 12 2 2 3" xfId="22891"/>
    <cellStyle name="Separador de milhares 3 2 3 12 2 2 3 2" xfId="47958"/>
    <cellStyle name="Separador de milhares 3 2 3 12 2 2 4" xfId="16977"/>
    <cellStyle name="Separador de milhares 3 2 3 12 2 2 4 2" xfId="42044"/>
    <cellStyle name="Separador de milhares 3 2 3 12 2 2 5" xfId="36136"/>
    <cellStyle name="Separador de milhares 3 2 3 12 2 3" xfId="25848"/>
    <cellStyle name="Separador de milhares 3 2 3 12 2 3 2" xfId="50915"/>
    <cellStyle name="Separador de milhares 3 2 3 12 2 4" xfId="19934"/>
    <cellStyle name="Separador de milhares 3 2 3 12 2 4 2" xfId="45001"/>
    <cellStyle name="Separador de milhares 3 2 3 12 2 5" xfId="13836"/>
    <cellStyle name="Separador de milhares 3 2 3 12 2 5 2" xfId="39090"/>
    <cellStyle name="Separador de milhares 3 2 3 12 2 6" xfId="33179"/>
    <cellStyle name="Separador de milhares 3 2 3 12 3" xfId="9123"/>
    <cellStyle name="Separador de milhares 3 2 3 12 3 2" xfId="27337"/>
    <cellStyle name="Separador de milhares 3 2 3 12 3 2 2" xfId="52404"/>
    <cellStyle name="Separador de milhares 3 2 3 12 3 3" xfId="21423"/>
    <cellStyle name="Separador de milhares 3 2 3 12 3 3 2" xfId="46490"/>
    <cellStyle name="Separador de milhares 3 2 3 12 3 4" xfId="15509"/>
    <cellStyle name="Separador de milhares 3 2 3 12 3 4 2" xfId="40576"/>
    <cellStyle name="Separador de milhares 3 2 3 12 3 5" xfId="34668"/>
    <cellStyle name="Separador de milhares 3 2 3 12 4" xfId="5748"/>
    <cellStyle name="Separador de milhares 3 2 3 12 4 2" xfId="24380"/>
    <cellStyle name="Separador de milhares 3 2 3 12 4 2 2" xfId="49447"/>
    <cellStyle name="Separador de milhares 3 2 3 12 4 3" xfId="31711"/>
    <cellStyle name="Separador de milhares 3 2 3 12 5" xfId="18466"/>
    <cellStyle name="Separador de milhares 3 2 3 12 5 2" xfId="43533"/>
    <cellStyle name="Separador de milhares 3 2 3 12 6" xfId="12135"/>
    <cellStyle name="Separador de milhares 3 2 3 12 6 2" xfId="37622"/>
    <cellStyle name="Separador de milhares 3 2 3 12 7" xfId="30241"/>
    <cellStyle name="Separador de milhares 3 2 3 13" xfId="6431"/>
    <cellStyle name="Separador de milhares 3 2 3 13 2" xfId="9587"/>
    <cellStyle name="Separador de milhares 3 2 3 13 2 2" xfId="27801"/>
    <cellStyle name="Separador de milhares 3 2 3 13 2 2 2" xfId="52868"/>
    <cellStyle name="Separador de milhares 3 2 3 13 2 3" xfId="21887"/>
    <cellStyle name="Separador de milhares 3 2 3 13 2 3 2" xfId="46954"/>
    <cellStyle name="Separador de milhares 3 2 3 13 2 4" xfId="15973"/>
    <cellStyle name="Separador de milhares 3 2 3 13 2 4 2" xfId="41040"/>
    <cellStyle name="Separador de milhares 3 2 3 13 2 5" xfId="35132"/>
    <cellStyle name="Separador de milhares 3 2 3 13 3" xfId="24844"/>
    <cellStyle name="Separador de milhares 3 2 3 13 3 2" xfId="49911"/>
    <cellStyle name="Separador de milhares 3 2 3 13 4" xfId="18930"/>
    <cellStyle name="Separador de milhares 3 2 3 13 4 2" xfId="43997"/>
    <cellStyle name="Separador de milhares 3 2 3 13 5" xfId="12820"/>
    <cellStyle name="Separador de milhares 3 2 3 13 5 2" xfId="38086"/>
    <cellStyle name="Separador de milhares 3 2 3 13 6" xfId="32175"/>
    <cellStyle name="Separador de milhares 3 2 3 14" xfId="8116"/>
    <cellStyle name="Separador de milhares 3 2 3 14 2" xfId="26330"/>
    <cellStyle name="Separador de milhares 3 2 3 14 2 2" xfId="51397"/>
    <cellStyle name="Separador de milhares 3 2 3 14 3" xfId="20416"/>
    <cellStyle name="Separador de milhares 3 2 3 14 3 2" xfId="45483"/>
    <cellStyle name="Separador de milhares 3 2 3 14 4" xfId="14505"/>
    <cellStyle name="Separador de milhares 3 2 3 14 4 2" xfId="39572"/>
    <cellStyle name="Separador de milhares 3 2 3 14 5" xfId="33661"/>
    <cellStyle name="Separador de milhares 3 2 3 15" xfId="4729"/>
    <cellStyle name="Separador de milhares 3 2 3 15 2" xfId="23373"/>
    <cellStyle name="Separador de milhares 3 2 3 15 2 2" xfId="48440"/>
    <cellStyle name="Separador de milhares 3 2 3 15 3" xfId="30705"/>
    <cellStyle name="Separador de milhares 3 2 3 16" xfId="17459"/>
    <cellStyle name="Separador de milhares 3 2 3 16 2" xfId="42526"/>
    <cellStyle name="Separador de milhares 3 2 3 17" xfId="11119"/>
    <cellStyle name="Separador de milhares 3 2 3 17 2" xfId="36618"/>
    <cellStyle name="Separador de milhares 3 2 3 18" xfId="29233"/>
    <cellStyle name="Separador de milhares 3 2 3 2" xfId="176"/>
    <cellStyle name="Separador de milhares 3 2 3 2 10" xfId="6460"/>
    <cellStyle name="Separador de milhares 3 2 3 2 10 2" xfId="9614"/>
    <cellStyle name="Separador de milhares 3 2 3 2 10 2 2" xfId="27828"/>
    <cellStyle name="Separador de milhares 3 2 3 2 10 2 2 2" xfId="52895"/>
    <cellStyle name="Separador de milhares 3 2 3 2 10 2 3" xfId="21914"/>
    <cellStyle name="Separador de milhares 3 2 3 2 10 2 3 2" xfId="46981"/>
    <cellStyle name="Separador de milhares 3 2 3 2 10 2 4" xfId="16000"/>
    <cellStyle name="Separador de milhares 3 2 3 2 10 2 4 2" xfId="41067"/>
    <cellStyle name="Separador de milhares 3 2 3 2 10 2 5" xfId="35159"/>
    <cellStyle name="Separador de milhares 3 2 3 2 10 3" xfId="24871"/>
    <cellStyle name="Separador de milhares 3 2 3 2 10 3 2" xfId="49938"/>
    <cellStyle name="Separador de milhares 3 2 3 2 10 4" xfId="18957"/>
    <cellStyle name="Separador de milhares 3 2 3 2 10 4 2" xfId="44024"/>
    <cellStyle name="Separador de milhares 3 2 3 2 10 5" xfId="12849"/>
    <cellStyle name="Separador de milhares 3 2 3 2 10 5 2" xfId="38113"/>
    <cellStyle name="Separador de milhares 3 2 3 2 10 6" xfId="32202"/>
    <cellStyle name="Separador de milhares 3 2 3 2 11" xfId="8143"/>
    <cellStyle name="Separador de milhares 3 2 3 2 11 2" xfId="26357"/>
    <cellStyle name="Separador de milhares 3 2 3 2 11 2 2" xfId="51424"/>
    <cellStyle name="Separador de milhares 3 2 3 2 11 3" xfId="20443"/>
    <cellStyle name="Separador de milhares 3 2 3 2 11 3 2" xfId="45510"/>
    <cellStyle name="Separador de milhares 3 2 3 2 11 4" xfId="14532"/>
    <cellStyle name="Separador de milhares 3 2 3 2 11 4 2" xfId="39599"/>
    <cellStyle name="Separador de milhares 3 2 3 2 11 5" xfId="33688"/>
    <cellStyle name="Separador de milhares 3 2 3 2 12" xfId="4759"/>
    <cellStyle name="Separador de milhares 3 2 3 2 12 2" xfId="23400"/>
    <cellStyle name="Separador de milhares 3 2 3 2 12 2 2" xfId="48467"/>
    <cellStyle name="Separador de milhares 3 2 3 2 12 3" xfId="30732"/>
    <cellStyle name="Separador de milhares 3 2 3 2 13" xfId="17486"/>
    <cellStyle name="Separador de milhares 3 2 3 2 13 2" xfId="42553"/>
    <cellStyle name="Separador de milhares 3 2 3 2 14" xfId="11148"/>
    <cellStyle name="Separador de milhares 3 2 3 2 14 2" xfId="36645"/>
    <cellStyle name="Separador de milhares 3 2 3 2 15" xfId="29261"/>
    <cellStyle name="Separador de milhares 3 2 3 2 2" xfId="449"/>
    <cellStyle name="Separador de milhares 3 2 3 2 2 10" xfId="17560"/>
    <cellStyle name="Separador de milhares 3 2 3 2 2 10 2" xfId="42627"/>
    <cellStyle name="Separador de milhares 3 2 3 2 2 11" xfId="11229"/>
    <cellStyle name="Separador de milhares 3 2 3 2 2 11 2" xfId="36719"/>
    <cellStyle name="Separador de milhares 3 2 3 2 2 12" xfId="29335"/>
    <cellStyle name="Separador de milhares 3 2 3 2 2 2" xfId="1968"/>
    <cellStyle name="Separador de milhares 3 2 3 2 2 2 2" xfId="6979"/>
    <cellStyle name="Separador de milhares 3 2 3 2 2 2 2 2" xfId="10126"/>
    <cellStyle name="Separador de milhares 3 2 3 2 2 2 2 2 2" xfId="28340"/>
    <cellStyle name="Separador de milhares 3 2 3 2 2 2 2 2 2 2" xfId="53407"/>
    <cellStyle name="Separador de milhares 3 2 3 2 2 2 2 2 3" xfId="22426"/>
    <cellStyle name="Separador de milhares 3 2 3 2 2 2 2 2 3 2" xfId="47493"/>
    <cellStyle name="Separador de milhares 3 2 3 2 2 2 2 2 4" xfId="16512"/>
    <cellStyle name="Separador de milhares 3 2 3 2 2 2 2 2 4 2" xfId="41579"/>
    <cellStyle name="Separador de milhares 3 2 3 2 2 2 2 2 5" xfId="35671"/>
    <cellStyle name="Separador de milhares 3 2 3 2 2 2 2 3" xfId="25383"/>
    <cellStyle name="Separador de milhares 3 2 3 2 2 2 2 3 2" xfId="50450"/>
    <cellStyle name="Separador de milhares 3 2 3 2 2 2 2 4" xfId="19469"/>
    <cellStyle name="Separador de milhares 3 2 3 2 2 2 2 4 2" xfId="44536"/>
    <cellStyle name="Separador de milhares 3 2 3 2 2 2 2 5" xfId="13368"/>
    <cellStyle name="Separador de milhares 3 2 3 2 2 2 2 5 2" xfId="38625"/>
    <cellStyle name="Separador de milhares 3 2 3 2 2 2 2 6" xfId="32714"/>
    <cellStyle name="Separador de milhares 3 2 3 2 2 2 3" xfId="8658"/>
    <cellStyle name="Separador de milhares 3 2 3 2 2 2 3 2" xfId="26872"/>
    <cellStyle name="Separador de milhares 3 2 3 2 2 2 3 2 2" xfId="51939"/>
    <cellStyle name="Separador de milhares 3 2 3 2 2 2 3 3" xfId="20958"/>
    <cellStyle name="Separador de milhares 3 2 3 2 2 2 3 3 2" xfId="46025"/>
    <cellStyle name="Separador de milhares 3 2 3 2 2 2 3 4" xfId="15044"/>
    <cellStyle name="Separador de milhares 3 2 3 2 2 2 3 4 2" xfId="40111"/>
    <cellStyle name="Separador de milhares 3 2 3 2 2 2 3 5" xfId="34203"/>
    <cellStyle name="Separador de milhares 3 2 3 2 2 2 4" xfId="5280"/>
    <cellStyle name="Separador de milhares 3 2 3 2 2 2 4 2" xfId="23915"/>
    <cellStyle name="Separador de milhares 3 2 3 2 2 2 4 2 2" xfId="48982"/>
    <cellStyle name="Separador de milhares 3 2 3 2 2 2 4 3" xfId="31246"/>
    <cellStyle name="Separador de milhares 3 2 3 2 2 2 5" xfId="18001"/>
    <cellStyle name="Separador de milhares 3 2 3 2 2 2 5 2" xfId="43068"/>
    <cellStyle name="Separador de milhares 3 2 3 2 2 2 6" xfId="11667"/>
    <cellStyle name="Separador de milhares 3 2 3 2 2 2 6 2" xfId="37157"/>
    <cellStyle name="Separador de milhares 3 2 3 2 2 2 7" xfId="29776"/>
    <cellStyle name="Separador de milhares 3 2 3 2 2 3" xfId="2498"/>
    <cellStyle name="Separador de milhares 3 2 3 2 2 3 2" xfId="7129"/>
    <cellStyle name="Separador de milhares 3 2 3 2 2 3 2 2" xfId="10273"/>
    <cellStyle name="Separador de milhares 3 2 3 2 2 3 2 2 2" xfId="28487"/>
    <cellStyle name="Separador de milhares 3 2 3 2 2 3 2 2 2 2" xfId="53554"/>
    <cellStyle name="Separador de milhares 3 2 3 2 2 3 2 2 3" xfId="22573"/>
    <cellStyle name="Separador de milhares 3 2 3 2 2 3 2 2 3 2" xfId="47640"/>
    <cellStyle name="Separador de milhares 3 2 3 2 2 3 2 2 4" xfId="16659"/>
    <cellStyle name="Separador de milhares 3 2 3 2 2 3 2 2 4 2" xfId="41726"/>
    <cellStyle name="Separador de milhares 3 2 3 2 2 3 2 2 5" xfId="35818"/>
    <cellStyle name="Separador de milhares 3 2 3 2 2 3 2 3" xfId="25530"/>
    <cellStyle name="Separador de milhares 3 2 3 2 2 3 2 3 2" xfId="50597"/>
    <cellStyle name="Separador de milhares 3 2 3 2 2 3 2 4" xfId="19616"/>
    <cellStyle name="Separador de milhares 3 2 3 2 2 3 2 4 2" xfId="44683"/>
    <cellStyle name="Separador de milhares 3 2 3 2 2 3 2 5" xfId="13518"/>
    <cellStyle name="Separador de milhares 3 2 3 2 2 3 2 5 2" xfId="38772"/>
    <cellStyle name="Separador de milhares 3 2 3 2 2 3 2 6" xfId="32861"/>
    <cellStyle name="Separador de milhares 3 2 3 2 2 3 3" xfId="8805"/>
    <cellStyle name="Separador de milhares 3 2 3 2 2 3 3 2" xfId="27019"/>
    <cellStyle name="Separador de milhares 3 2 3 2 2 3 3 2 2" xfId="52086"/>
    <cellStyle name="Separador de milhares 3 2 3 2 2 3 3 3" xfId="21105"/>
    <cellStyle name="Separador de milhares 3 2 3 2 2 3 3 3 2" xfId="46172"/>
    <cellStyle name="Separador de milhares 3 2 3 2 2 3 3 4" xfId="15191"/>
    <cellStyle name="Separador de milhares 3 2 3 2 2 3 3 4 2" xfId="40258"/>
    <cellStyle name="Separador de milhares 3 2 3 2 2 3 3 5" xfId="34350"/>
    <cellStyle name="Separador de milhares 3 2 3 2 2 3 4" xfId="5430"/>
    <cellStyle name="Separador de milhares 3 2 3 2 2 3 4 2" xfId="24062"/>
    <cellStyle name="Separador de milhares 3 2 3 2 2 3 4 2 2" xfId="49129"/>
    <cellStyle name="Separador de milhares 3 2 3 2 2 3 4 3" xfId="31393"/>
    <cellStyle name="Separador de milhares 3 2 3 2 2 3 5" xfId="18148"/>
    <cellStyle name="Separador de milhares 3 2 3 2 2 3 5 2" xfId="43215"/>
    <cellStyle name="Separador de milhares 3 2 3 2 2 3 6" xfId="11817"/>
    <cellStyle name="Separador de milhares 3 2 3 2 2 3 6 2" xfId="37304"/>
    <cellStyle name="Separador de milhares 3 2 3 2 2 3 7" xfId="29923"/>
    <cellStyle name="Separador de milhares 3 2 3 2 2 4" xfId="3025"/>
    <cellStyle name="Separador de milhares 3 2 3 2 2 4 2" xfId="7276"/>
    <cellStyle name="Separador de milhares 3 2 3 2 2 4 2 2" xfId="10420"/>
    <cellStyle name="Separador de milhares 3 2 3 2 2 4 2 2 2" xfId="28634"/>
    <cellStyle name="Separador de milhares 3 2 3 2 2 4 2 2 2 2" xfId="53701"/>
    <cellStyle name="Separador de milhares 3 2 3 2 2 4 2 2 3" xfId="22720"/>
    <cellStyle name="Separador de milhares 3 2 3 2 2 4 2 2 3 2" xfId="47787"/>
    <cellStyle name="Separador de milhares 3 2 3 2 2 4 2 2 4" xfId="16806"/>
    <cellStyle name="Separador de milhares 3 2 3 2 2 4 2 2 4 2" xfId="41873"/>
    <cellStyle name="Separador de milhares 3 2 3 2 2 4 2 2 5" xfId="35965"/>
    <cellStyle name="Separador de milhares 3 2 3 2 2 4 2 3" xfId="25677"/>
    <cellStyle name="Separador de milhares 3 2 3 2 2 4 2 3 2" xfId="50744"/>
    <cellStyle name="Separador de milhares 3 2 3 2 2 4 2 4" xfId="19763"/>
    <cellStyle name="Separador de milhares 3 2 3 2 2 4 2 4 2" xfId="44830"/>
    <cellStyle name="Separador de milhares 3 2 3 2 2 4 2 5" xfId="13665"/>
    <cellStyle name="Separador de milhares 3 2 3 2 2 4 2 5 2" xfId="38919"/>
    <cellStyle name="Separador de milhares 3 2 3 2 2 4 2 6" xfId="33008"/>
    <cellStyle name="Separador de milhares 3 2 3 2 2 4 3" xfId="8952"/>
    <cellStyle name="Separador de milhares 3 2 3 2 2 4 3 2" xfId="27166"/>
    <cellStyle name="Separador de milhares 3 2 3 2 2 4 3 2 2" xfId="52233"/>
    <cellStyle name="Separador de milhares 3 2 3 2 2 4 3 3" xfId="21252"/>
    <cellStyle name="Separador de milhares 3 2 3 2 2 4 3 3 2" xfId="46319"/>
    <cellStyle name="Separador de milhares 3 2 3 2 2 4 3 4" xfId="15338"/>
    <cellStyle name="Separador de milhares 3 2 3 2 2 4 3 4 2" xfId="40405"/>
    <cellStyle name="Separador de milhares 3 2 3 2 2 4 3 5" xfId="34497"/>
    <cellStyle name="Separador de milhares 3 2 3 2 2 4 4" xfId="5577"/>
    <cellStyle name="Separador de milhares 3 2 3 2 2 4 4 2" xfId="24209"/>
    <cellStyle name="Separador de milhares 3 2 3 2 2 4 4 2 2" xfId="49276"/>
    <cellStyle name="Separador de milhares 3 2 3 2 2 4 4 3" xfId="31540"/>
    <cellStyle name="Separador de milhares 3 2 3 2 2 4 5" xfId="18295"/>
    <cellStyle name="Separador de milhares 3 2 3 2 2 4 5 2" xfId="43362"/>
    <cellStyle name="Separador de milhares 3 2 3 2 2 4 6" xfId="11964"/>
    <cellStyle name="Separador de milhares 3 2 3 2 2 4 6 2" xfId="37451"/>
    <cellStyle name="Separador de milhares 3 2 3 2 2 4 7" xfId="30070"/>
    <cellStyle name="Separador de milhares 3 2 3 2 2 5" xfId="3552"/>
    <cellStyle name="Separador de milhares 3 2 3 2 2 5 2" xfId="7423"/>
    <cellStyle name="Separador de milhares 3 2 3 2 2 5 2 2" xfId="10567"/>
    <cellStyle name="Separador de milhares 3 2 3 2 2 5 2 2 2" xfId="28781"/>
    <cellStyle name="Separador de milhares 3 2 3 2 2 5 2 2 2 2" xfId="53848"/>
    <cellStyle name="Separador de milhares 3 2 3 2 2 5 2 2 3" xfId="22867"/>
    <cellStyle name="Separador de milhares 3 2 3 2 2 5 2 2 3 2" xfId="47934"/>
    <cellStyle name="Separador de milhares 3 2 3 2 2 5 2 2 4" xfId="16953"/>
    <cellStyle name="Separador de milhares 3 2 3 2 2 5 2 2 4 2" xfId="42020"/>
    <cellStyle name="Separador de milhares 3 2 3 2 2 5 2 2 5" xfId="36112"/>
    <cellStyle name="Separador de milhares 3 2 3 2 2 5 2 3" xfId="25824"/>
    <cellStyle name="Separador de milhares 3 2 3 2 2 5 2 3 2" xfId="50891"/>
    <cellStyle name="Separador de milhares 3 2 3 2 2 5 2 4" xfId="19910"/>
    <cellStyle name="Separador de milhares 3 2 3 2 2 5 2 4 2" xfId="44977"/>
    <cellStyle name="Separador de milhares 3 2 3 2 2 5 2 5" xfId="13812"/>
    <cellStyle name="Separador de milhares 3 2 3 2 2 5 2 5 2" xfId="39066"/>
    <cellStyle name="Separador de milhares 3 2 3 2 2 5 2 6" xfId="33155"/>
    <cellStyle name="Separador de milhares 3 2 3 2 2 5 3" xfId="9099"/>
    <cellStyle name="Separador de milhares 3 2 3 2 2 5 3 2" xfId="27313"/>
    <cellStyle name="Separador de milhares 3 2 3 2 2 5 3 2 2" xfId="52380"/>
    <cellStyle name="Separador de milhares 3 2 3 2 2 5 3 3" xfId="21399"/>
    <cellStyle name="Separador de milhares 3 2 3 2 2 5 3 3 2" xfId="46466"/>
    <cellStyle name="Separador de milhares 3 2 3 2 2 5 3 4" xfId="15485"/>
    <cellStyle name="Separador de milhares 3 2 3 2 2 5 3 4 2" xfId="40552"/>
    <cellStyle name="Separador de milhares 3 2 3 2 2 5 3 5" xfId="34644"/>
    <cellStyle name="Separador de milhares 3 2 3 2 2 5 4" xfId="5724"/>
    <cellStyle name="Separador de milhares 3 2 3 2 2 5 4 2" xfId="24356"/>
    <cellStyle name="Separador de milhares 3 2 3 2 2 5 4 2 2" xfId="49423"/>
    <cellStyle name="Separador de milhares 3 2 3 2 2 5 4 3" xfId="31687"/>
    <cellStyle name="Separador de milhares 3 2 3 2 2 5 5" xfId="18442"/>
    <cellStyle name="Separador de milhares 3 2 3 2 2 5 5 2" xfId="43509"/>
    <cellStyle name="Separador de milhares 3 2 3 2 2 5 6" xfId="12111"/>
    <cellStyle name="Separador de milhares 3 2 3 2 2 5 6 2" xfId="37598"/>
    <cellStyle name="Separador de milhares 3 2 3 2 2 5 7" xfId="30217"/>
    <cellStyle name="Separador de milhares 3 2 3 2 2 6" xfId="4079"/>
    <cellStyle name="Separador de milhares 3 2 3 2 2 6 2" xfId="7570"/>
    <cellStyle name="Separador de milhares 3 2 3 2 2 6 2 2" xfId="10714"/>
    <cellStyle name="Separador de milhares 3 2 3 2 2 6 2 2 2" xfId="28928"/>
    <cellStyle name="Separador de milhares 3 2 3 2 2 6 2 2 2 2" xfId="53995"/>
    <cellStyle name="Separador de milhares 3 2 3 2 2 6 2 2 3" xfId="23014"/>
    <cellStyle name="Separador de milhares 3 2 3 2 2 6 2 2 3 2" xfId="48081"/>
    <cellStyle name="Separador de milhares 3 2 3 2 2 6 2 2 4" xfId="17100"/>
    <cellStyle name="Separador de milhares 3 2 3 2 2 6 2 2 4 2" xfId="42167"/>
    <cellStyle name="Separador de milhares 3 2 3 2 2 6 2 2 5" xfId="36259"/>
    <cellStyle name="Separador de milhares 3 2 3 2 2 6 2 3" xfId="25971"/>
    <cellStyle name="Separador de milhares 3 2 3 2 2 6 2 3 2" xfId="51038"/>
    <cellStyle name="Separador de milhares 3 2 3 2 2 6 2 4" xfId="20057"/>
    <cellStyle name="Separador de milhares 3 2 3 2 2 6 2 4 2" xfId="45124"/>
    <cellStyle name="Separador de milhares 3 2 3 2 2 6 2 5" xfId="13959"/>
    <cellStyle name="Separador de milhares 3 2 3 2 2 6 2 5 2" xfId="39213"/>
    <cellStyle name="Separador de milhares 3 2 3 2 2 6 2 6" xfId="33302"/>
    <cellStyle name="Separador de milhares 3 2 3 2 2 6 3" xfId="9246"/>
    <cellStyle name="Separador de milhares 3 2 3 2 2 6 3 2" xfId="27460"/>
    <cellStyle name="Separador de milhares 3 2 3 2 2 6 3 2 2" xfId="52527"/>
    <cellStyle name="Separador de milhares 3 2 3 2 2 6 3 3" xfId="21546"/>
    <cellStyle name="Separador de milhares 3 2 3 2 2 6 3 3 2" xfId="46613"/>
    <cellStyle name="Separador de milhares 3 2 3 2 2 6 3 4" xfId="15632"/>
    <cellStyle name="Separador de milhares 3 2 3 2 2 6 3 4 2" xfId="40699"/>
    <cellStyle name="Separador de milhares 3 2 3 2 2 6 3 5" xfId="34791"/>
    <cellStyle name="Separador de milhares 3 2 3 2 2 6 4" xfId="5871"/>
    <cellStyle name="Separador de milhares 3 2 3 2 2 6 4 2" xfId="24503"/>
    <cellStyle name="Separador de milhares 3 2 3 2 2 6 4 2 2" xfId="49570"/>
    <cellStyle name="Separador de milhares 3 2 3 2 2 6 4 3" xfId="31834"/>
    <cellStyle name="Separador de milhares 3 2 3 2 2 6 5" xfId="18589"/>
    <cellStyle name="Separador de milhares 3 2 3 2 2 6 5 2" xfId="43656"/>
    <cellStyle name="Separador de milhares 3 2 3 2 2 6 6" xfId="12258"/>
    <cellStyle name="Separador de milhares 3 2 3 2 2 6 6 2" xfId="37745"/>
    <cellStyle name="Separador de milhares 3 2 3 2 2 6 7" xfId="30364"/>
    <cellStyle name="Separador de milhares 3 2 3 2 2 7" xfId="6541"/>
    <cellStyle name="Separador de milhares 3 2 3 2 2 7 2" xfId="9688"/>
    <cellStyle name="Separador de milhares 3 2 3 2 2 7 2 2" xfId="27902"/>
    <cellStyle name="Separador de milhares 3 2 3 2 2 7 2 2 2" xfId="52969"/>
    <cellStyle name="Separador de milhares 3 2 3 2 2 7 2 3" xfId="21988"/>
    <cellStyle name="Separador de milhares 3 2 3 2 2 7 2 3 2" xfId="47055"/>
    <cellStyle name="Separador de milhares 3 2 3 2 2 7 2 4" xfId="16074"/>
    <cellStyle name="Separador de milhares 3 2 3 2 2 7 2 4 2" xfId="41141"/>
    <cellStyle name="Separador de milhares 3 2 3 2 2 7 2 5" xfId="35233"/>
    <cellStyle name="Separador de milhares 3 2 3 2 2 7 3" xfId="24945"/>
    <cellStyle name="Separador de milhares 3 2 3 2 2 7 3 2" xfId="50012"/>
    <cellStyle name="Separador de milhares 3 2 3 2 2 7 4" xfId="19031"/>
    <cellStyle name="Separador de milhares 3 2 3 2 2 7 4 2" xfId="44098"/>
    <cellStyle name="Separador de milhares 3 2 3 2 2 7 5" xfId="12930"/>
    <cellStyle name="Separador de milhares 3 2 3 2 2 7 5 2" xfId="38187"/>
    <cellStyle name="Separador de milhares 3 2 3 2 2 7 6" xfId="32276"/>
    <cellStyle name="Separador de milhares 3 2 3 2 2 8" xfId="8217"/>
    <cellStyle name="Separador de milhares 3 2 3 2 2 8 2" xfId="26431"/>
    <cellStyle name="Separador de milhares 3 2 3 2 2 8 2 2" xfId="51498"/>
    <cellStyle name="Separador de milhares 3 2 3 2 2 8 3" xfId="20517"/>
    <cellStyle name="Separador de milhares 3 2 3 2 2 8 3 2" xfId="45584"/>
    <cellStyle name="Separador de milhares 3 2 3 2 2 8 4" xfId="14606"/>
    <cellStyle name="Separador de milhares 3 2 3 2 2 8 4 2" xfId="39673"/>
    <cellStyle name="Separador de milhares 3 2 3 2 2 8 5" xfId="33762"/>
    <cellStyle name="Separador de milhares 3 2 3 2 2 9" xfId="4840"/>
    <cellStyle name="Separador de milhares 3 2 3 2 2 9 2" xfId="23474"/>
    <cellStyle name="Separador de milhares 3 2 3 2 2 9 2 2" xfId="48541"/>
    <cellStyle name="Separador de milhares 3 2 3 2 2 9 3" xfId="30806"/>
    <cellStyle name="Separador de milhares 3 2 3 2 3" xfId="922"/>
    <cellStyle name="Separador de milhares 3 2 3 2 3 2" xfId="6692"/>
    <cellStyle name="Separador de milhares 3 2 3 2 3 2 2" xfId="9839"/>
    <cellStyle name="Separador de milhares 3 2 3 2 3 2 2 2" xfId="28053"/>
    <cellStyle name="Separador de milhares 3 2 3 2 3 2 2 2 2" xfId="53120"/>
    <cellStyle name="Separador de milhares 3 2 3 2 3 2 2 3" xfId="22139"/>
    <cellStyle name="Separador de milhares 3 2 3 2 3 2 2 3 2" xfId="47206"/>
    <cellStyle name="Separador de milhares 3 2 3 2 3 2 2 4" xfId="16225"/>
    <cellStyle name="Separador de milhares 3 2 3 2 3 2 2 4 2" xfId="41292"/>
    <cellStyle name="Separador de milhares 3 2 3 2 3 2 2 5" xfId="35384"/>
    <cellStyle name="Separador de milhares 3 2 3 2 3 2 3" xfId="25096"/>
    <cellStyle name="Separador de milhares 3 2 3 2 3 2 3 2" xfId="50163"/>
    <cellStyle name="Separador de milhares 3 2 3 2 3 2 4" xfId="19182"/>
    <cellStyle name="Separador de milhares 3 2 3 2 3 2 4 2" xfId="44249"/>
    <cellStyle name="Separador de milhares 3 2 3 2 3 2 5" xfId="13081"/>
    <cellStyle name="Separador de milhares 3 2 3 2 3 2 5 2" xfId="38338"/>
    <cellStyle name="Separador de milhares 3 2 3 2 3 2 6" xfId="32427"/>
    <cellStyle name="Separador de milhares 3 2 3 2 3 3" xfId="8371"/>
    <cellStyle name="Separador de milhares 3 2 3 2 3 3 2" xfId="26585"/>
    <cellStyle name="Separador de milhares 3 2 3 2 3 3 2 2" xfId="51652"/>
    <cellStyle name="Separador de milhares 3 2 3 2 3 3 3" xfId="20671"/>
    <cellStyle name="Separador de milhares 3 2 3 2 3 3 3 2" xfId="45738"/>
    <cellStyle name="Separador de milhares 3 2 3 2 3 3 4" xfId="14757"/>
    <cellStyle name="Separador de milhares 3 2 3 2 3 3 4 2" xfId="39824"/>
    <cellStyle name="Separador de milhares 3 2 3 2 3 3 5" xfId="33916"/>
    <cellStyle name="Separador de milhares 3 2 3 2 3 4" xfId="4993"/>
    <cellStyle name="Separador de milhares 3 2 3 2 3 4 2" xfId="23628"/>
    <cellStyle name="Separador de milhares 3 2 3 2 3 4 2 2" xfId="48695"/>
    <cellStyle name="Separador de milhares 3 2 3 2 3 4 3" xfId="30959"/>
    <cellStyle name="Separador de milhares 3 2 3 2 3 5" xfId="17714"/>
    <cellStyle name="Separador de milhares 3 2 3 2 3 5 2" xfId="42781"/>
    <cellStyle name="Separador de milhares 3 2 3 2 3 6" xfId="11380"/>
    <cellStyle name="Separador de milhares 3 2 3 2 3 6 2" xfId="36870"/>
    <cellStyle name="Separador de milhares 3 2 3 2 3 7" xfId="29489"/>
    <cellStyle name="Separador de milhares 3 2 3 2 4" xfId="1273"/>
    <cellStyle name="Separador de milhares 3 2 3 2 4 2" xfId="6790"/>
    <cellStyle name="Separador de milhares 3 2 3 2 4 2 2" xfId="9937"/>
    <cellStyle name="Separador de milhares 3 2 3 2 4 2 2 2" xfId="28151"/>
    <cellStyle name="Separador de milhares 3 2 3 2 4 2 2 2 2" xfId="53218"/>
    <cellStyle name="Separador de milhares 3 2 3 2 4 2 2 3" xfId="22237"/>
    <cellStyle name="Separador de milhares 3 2 3 2 4 2 2 3 2" xfId="47304"/>
    <cellStyle name="Separador de milhares 3 2 3 2 4 2 2 4" xfId="16323"/>
    <cellStyle name="Separador de milhares 3 2 3 2 4 2 2 4 2" xfId="41390"/>
    <cellStyle name="Separador de milhares 3 2 3 2 4 2 2 5" xfId="35482"/>
    <cellStyle name="Separador de milhares 3 2 3 2 4 2 3" xfId="25194"/>
    <cellStyle name="Separador de milhares 3 2 3 2 4 2 3 2" xfId="50261"/>
    <cellStyle name="Separador de milhares 3 2 3 2 4 2 4" xfId="19280"/>
    <cellStyle name="Separador de milhares 3 2 3 2 4 2 4 2" xfId="44347"/>
    <cellStyle name="Separador de milhares 3 2 3 2 4 2 5" xfId="13179"/>
    <cellStyle name="Separador de milhares 3 2 3 2 4 2 5 2" xfId="38436"/>
    <cellStyle name="Separador de milhares 3 2 3 2 4 2 6" xfId="32525"/>
    <cellStyle name="Separador de milhares 3 2 3 2 4 3" xfId="8469"/>
    <cellStyle name="Separador de milhares 3 2 3 2 4 3 2" xfId="26683"/>
    <cellStyle name="Separador de milhares 3 2 3 2 4 3 2 2" xfId="51750"/>
    <cellStyle name="Separador de milhares 3 2 3 2 4 3 3" xfId="20769"/>
    <cellStyle name="Separador de milhares 3 2 3 2 4 3 3 2" xfId="45836"/>
    <cellStyle name="Separador de milhares 3 2 3 2 4 3 4" xfId="14855"/>
    <cellStyle name="Separador de milhares 3 2 3 2 4 3 4 2" xfId="39922"/>
    <cellStyle name="Separador de milhares 3 2 3 2 4 3 5" xfId="34014"/>
    <cellStyle name="Separador de milhares 3 2 3 2 4 4" xfId="5091"/>
    <cellStyle name="Separador de milhares 3 2 3 2 4 4 2" xfId="23726"/>
    <cellStyle name="Separador de milhares 3 2 3 2 4 4 2 2" xfId="48793"/>
    <cellStyle name="Separador de milhares 3 2 3 2 4 4 3" xfId="31057"/>
    <cellStyle name="Separador de milhares 3 2 3 2 4 5" xfId="17812"/>
    <cellStyle name="Separador de milhares 3 2 3 2 4 5 2" xfId="42879"/>
    <cellStyle name="Separador de milhares 3 2 3 2 4 6" xfId="11478"/>
    <cellStyle name="Separador de milhares 3 2 3 2 4 6 2" xfId="36968"/>
    <cellStyle name="Separador de milhares 3 2 3 2 4 7" xfId="29587"/>
    <cellStyle name="Separador de milhares 3 2 3 2 5" xfId="1708"/>
    <cellStyle name="Separador de milhares 3 2 3 2 5 2" xfId="6909"/>
    <cellStyle name="Separador de milhares 3 2 3 2 5 2 2" xfId="10056"/>
    <cellStyle name="Separador de milhares 3 2 3 2 5 2 2 2" xfId="28270"/>
    <cellStyle name="Separador de milhares 3 2 3 2 5 2 2 2 2" xfId="53337"/>
    <cellStyle name="Separador de milhares 3 2 3 2 5 2 2 3" xfId="22356"/>
    <cellStyle name="Separador de milhares 3 2 3 2 5 2 2 3 2" xfId="47423"/>
    <cellStyle name="Separador de milhares 3 2 3 2 5 2 2 4" xfId="16442"/>
    <cellStyle name="Separador de milhares 3 2 3 2 5 2 2 4 2" xfId="41509"/>
    <cellStyle name="Separador de milhares 3 2 3 2 5 2 2 5" xfId="35601"/>
    <cellStyle name="Separador de milhares 3 2 3 2 5 2 3" xfId="25313"/>
    <cellStyle name="Separador de milhares 3 2 3 2 5 2 3 2" xfId="50380"/>
    <cellStyle name="Separador de milhares 3 2 3 2 5 2 4" xfId="19399"/>
    <cellStyle name="Separador de milhares 3 2 3 2 5 2 4 2" xfId="44466"/>
    <cellStyle name="Separador de milhares 3 2 3 2 5 2 5" xfId="13298"/>
    <cellStyle name="Separador de milhares 3 2 3 2 5 2 5 2" xfId="38555"/>
    <cellStyle name="Separador de milhares 3 2 3 2 5 2 6" xfId="32644"/>
    <cellStyle name="Separador de milhares 3 2 3 2 5 3" xfId="8588"/>
    <cellStyle name="Separador de milhares 3 2 3 2 5 3 2" xfId="26802"/>
    <cellStyle name="Separador de milhares 3 2 3 2 5 3 2 2" xfId="51869"/>
    <cellStyle name="Separador de milhares 3 2 3 2 5 3 3" xfId="20888"/>
    <cellStyle name="Separador de milhares 3 2 3 2 5 3 3 2" xfId="45955"/>
    <cellStyle name="Separador de milhares 3 2 3 2 5 3 4" xfId="14974"/>
    <cellStyle name="Separador de milhares 3 2 3 2 5 3 4 2" xfId="40041"/>
    <cellStyle name="Separador de milhares 3 2 3 2 5 3 5" xfId="34133"/>
    <cellStyle name="Separador de milhares 3 2 3 2 5 4" xfId="5210"/>
    <cellStyle name="Separador de milhares 3 2 3 2 5 4 2" xfId="23845"/>
    <cellStyle name="Separador de milhares 3 2 3 2 5 4 2 2" xfId="48912"/>
    <cellStyle name="Separador de milhares 3 2 3 2 5 4 3" xfId="31176"/>
    <cellStyle name="Separador de milhares 3 2 3 2 5 5" xfId="17931"/>
    <cellStyle name="Separador de milhares 3 2 3 2 5 5 2" xfId="42998"/>
    <cellStyle name="Separador de milhares 3 2 3 2 5 6" xfId="11597"/>
    <cellStyle name="Separador de milhares 3 2 3 2 5 6 2" xfId="37087"/>
    <cellStyle name="Separador de milhares 3 2 3 2 5 7" xfId="29706"/>
    <cellStyle name="Separador de milhares 3 2 3 2 6" xfId="2238"/>
    <cellStyle name="Separador de milhares 3 2 3 2 6 2" xfId="7059"/>
    <cellStyle name="Separador de milhares 3 2 3 2 6 2 2" xfId="10203"/>
    <cellStyle name="Separador de milhares 3 2 3 2 6 2 2 2" xfId="28417"/>
    <cellStyle name="Separador de milhares 3 2 3 2 6 2 2 2 2" xfId="53484"/>
    <cellStyle name="Separador de milhares 3 2 3 2 6 2 2 3" xfId="22503"/>
    <cellStyle name="Separador de milhares 3 2 3 2 6 2 2 3 2" xfId="47570"/>
    <cellStyle name="Separador de milhares 3 2 3 2 6 2 2 4" xfId="16589"/>
    <cellStyle name="Separador de milhares 3 2 3 2 6 2 2 4 2" xfId="41656"/>
    <cellStyle name="Separador de milhares 3 2 3 2 6 2 2 5" xfId="35748"/>
    <cellStyle name="Separador de milhares 3 2 3 2 6 2 3" xfId="25460"/>
    <cellStyle name="Separador de milhares 3 2 3 2 6 2 3 2" xfId="50527"/>
    <cellStyle name="Separador de milhares 3 2 3 2 6 2 4" xfId="19546"/>
    <cellStyle name="Separador de milhares 3 2 3 2 6 2 4 2" xfId="44613"/>
    <cellStyle name="Separador de milhares 3 2 3 2 6 2 5" xfId="13448"/>
    <cellStyle name="Separador de milhares 3 2 3 2 6 2 5 2" xfId="38702"/>
    <cellStyle name="Separador de milhares 3 2 3 2 6 2 6" xfId="32791"/>
    <cellStyle name="Separador de milhares 3 2 3 2 6 3" xfId="8735"/>
    <cellStyle name="Separador de milhares 3 2 3 2 6 3 2" xfId="26949"/>
    <cellStyle name="Separador de milhares 3 2 3 2 6 3 2 2" xfId="52016"/>
    <cellStyle name="Separador de milhares 3 2 3 2 6 3 3" xfId="21035"/>
    <cellStyle name="Separador de milhares 3 2 3 2 6 3 3 2" xfId="46102"/>
    <cellStyle name="Separador de milhares 3 2 3 2 6 3 4" xfId="15121"/>
    <cellStyle name="Separador de milhares 3 2 3 2 6 3 4 2" xfId="40188"/>
    <cellStyle name="Separador de milhares 3 2 3 2 6 3 5" xfId="34280"/>
    <cellStyle name="Separador de milhares 3 2 3 2 6 4" xfId="5360"/>
    <cellStyle name="Separador de milhares 3 2 3 2 6 4 2" xfId="23992"/>
    <cellStyle name="Separador de milhares 3 2 3 2 6 4 2 2" xfId="49059"/>
    <cellStyle name="Separador de milhares 3 2 3 2 6 4 3" xfId="31323"/>
    <cellStyle name="Separador de milhares 3 2 3 2 6 5" xfId="18078"/>
    <cellStyle name="Separador de milhares 3 2 3 2 6 5 2" xfId="43145"/>
    <cellStyle name="Separador de milhares 3 2 3 2 6 6" xfId="11747"/>
    <cellStyle name="Separador de milhares 3 2 3 2 6 6 2" xfId="37234"/>
    <cellStyle name="Separador de milhares 3 2 3 2 6 7" xfId="29853"/>
    <cellStyle name="Separador de milhares 3 2 3 2 7" xfId="2765"/>
    <cellStyle name="Separador de milhares 3 2 3 2 7 2" xfId="7206"/>
    <cellStyle name="Separador de milhares 3 2 3 2 7 2 2" xfId="10350"/>
    <cellStyle name="Separador de milhares 3 2 3 2 7 2 2 2" xfId="28564"/>
    <cellStyle name="Separador de milhares 3 2 3 2 7 2 2 2 2" xfId="53631"/>
    <cellStyle name="Separador de milhares 3 2 3 2 7 2 2 3" xfId="22650"/>
    <cellStyle name="Separador de milhares 3 2 3 2 7 2 2 3 2" xfId="47717"/>
    <cellStyle name="Separador de milhares 3 2 3 2 7 2 2 4" xfId="16736"/>
    <cellStyle name="Separador de milhares 3 2 3 2 7 2 2 4 2" xfId="41803"/>
    <cellStyle name="Separador de milhares 3 2 3 2 7 2 2 5" xfId="35895"/>
    <cellStyle name="Separador de milhares 3 2 3 2 7 2 3" xfId="25607"/>
    <cellStyle name="Separador de milhares 3 2 3 2 7 2 3 2" xfId="50674"/>
    <cellStyle name="Separador de milhares 3 2 3 2 7 2 4" xfId="19693"/>
    <cellStyle name="Separador de milhares 3 2 3 2 7 2 4 2" xfId="44760"/>
    <cellStyle name="Separador de milhares 3 2 3 2 7 2 5" xfId="13595"/>
    <cellStyle name="Separador de milhares 3 2 3 2 7 2 5 2" xfId="38849"/>
    <cellStyle name="Separador de milhares 3 2 3 2 7 2 6" xfId="32938"/>
    <cellStyle name="Separador de milhares 3 2 3 2 7 3" xfId="8882"/>
    <cellStyle name="Separador de milhares 3 2 3 2 7 3 2" xfId="27096"/>
    <cellStyle name="Separador de milhares 3 2 3 2 7 3 2 2" xfId="52163"/>
    <cellStyle name="Separador de milhares 3 2 3 2 7 3 3" xfId="21182"/>
    <cellStyle name="Separador de milhares 3 2 3 2 7 3 3 2" xfId="46249"/>
    <cellStyle name="Separador de milhares 3 2 3 2 7 3 4" xfId="15268"/>
    <cellStyle name="Separador de milhares 3 2 3 2 7 3 4 2" xfId="40335"/>
    <cellStyle name="Separador de milhares 3 2 3 2 7 3 5" xfId="34427"/>
    <cellStyle name="Separador de milhares 3 2 3 2 7 4" xfId="5507"/>
    <cellStyle name="Separador de milhares 3 2 3 2 7 4 2" xfId="24139"/>
    <cellStyle name="Separador de milhares 3 2 3 2 7 4 2 2" xfId="49206"/>
    <cellStyle name="Separador de milhares 3 2 3 2 7 4 3" xfId="31470"/>
    <cellStyle name="Separador de milhares 3 2 3 2 7 5" xfId="18225"/>
    <cellStyle name="Separador de milhares 3 2 3 2 7 5 2" xfId="43292"/>
    <cellStyle name="Separador de milhares 3 2 3 2 7 6" xfId="11894"/>
    <cellStyle name="Separador de milhares 3 2 3 2 7 6 2" xfId="37381"/>
    <cellStyle name="Separador de milhares 3 2 3 2 7 7" xfId="30000"/>
    <cellStyle name="Separador de milhares 3 2 3 2 8" xfId="3292"/>
    <cellStyle name="Separador de milhares 3 2 3 2 8 2" xfId="7353"/>
    <cellStyle name="Separador de milhares 3 2 3 2 8 2 2" xfId="10497"/>
    <cellStyle name="Separador de milhares 3 2 3 2 8 2 2 2" xfId="28711"/>
    <cellStyle name="Separador de milhares 3 2 3 2 8 2 2 2 2" xfId="53778"/>
    <cellStyle name="Separador de milhares 3 2 3 2 8 2 2 3" xfId="22797"/>
    <cellStyle name="Separador de milhares 3 2 3 2 8 2 2 3 2" xfId="47864"/>
    <cellStyle name="Separador de milhares 3 2 3 2 8 2 2 4" xfId="16883"/>
    <cellStyle name="Separador de milhares 3 2 3 2 8 2 2 4 2" xfId="41950"/>
    <cellStyle name="Separador de milhares 3 2 3 2 8 2 2 5" xfId="36042"/>
    <cellStyle name="Separador de milhares 3 2 3 2 8 2 3" xfId="25754"/>
    <cellStyle name="Separador de milhares 3 2 3 2 8 2 3 2" xfId="50821"/>
    <cellStyle name="Separador de milhares 3 2 3 2 8 2 4" xfId="19840"/>
    <cellStyle name="Separador de milhares 3 2 3 2 8 2 4 2" xfId="44907"/>
    <cellStyle name="Separador de milhares 3 2 3 2 8 2 5" xfId="13742"/>
    <cellStyle name="Separador de milhares 3 2 3 2 8 2 5 2" xfId="38996"/>
    <cellStyle name="Separador de milhares 3 2 3 2 8 2 6" xfId="33085"/>
    <cellStyle name="Separador de milhares 3 2 3 2 8 3" xfId="9029"/>
    <cellStyle name="Separador de milhares 3 2 3 2 8 3 2" xfId="27243"/>
    <cellStyle name="Separador de milhares 3 2 3 2 8 3 2 2" xfId="52310"/>
    <cellStyle name="Separador de milhares 3 2 3 2 8 3 3" xfId="21329"/>
    <cellStyle name="Separador de milhares 3 2 3 2 8 3 3 2" xfId="46396"/>
    <cellStyle name="Separador de milhares 3 2 3 2 8 3 4" xfId="15415"/>
    <cellStyle name="Separador de milhares 3 2 3 2 8 3 4 2" xfId="40482"/>
    <cellStyle name="Separador de milhares 3 2 3 2 8 3 5" xfId="34574"/>
    <cellStyle name="Separador de milhares 3 2 3 2 8 4" xfId="5654"/>
    <cellStyle name="Separador de milhares 3 2 3 2 8 4 2" xfId="24286"/>
    <cellStyle name="Separador de milhares 3 2 3 2 8 4 2 2" xfId="49353"/>
    <cellStyle name="Separador de milhares 3 2 3 2 8 4 3" xfId="31617"/>
    <cellStyle name="Separador de milhares 3 2 3 2 8 5" xfId="18372"/>
    <cellStyle name="Separador de milhares 3 2 3 2 8 5 2" xfId="43439"/>
    <cellStyle name="Separador de milhares 3 2 3 2 8 6" xfId="12041"/>
    <cellStyle name="Separador de milhares 3 2 3 2 8 6 2" xfId="37528"/>
    <cellStyle name="Separador de milhares 3 2 3 2 8 7" xfId="30147"/>
    <cellStyle name="Separador de milhares 3 2 3 2 9" xfId="3819"/>
    <cellStyle name="Separador de milhares 3 2 3 2 9 2" xfId="7500"/>
    <cellStyle name="Separador de milhares 3 2 3 2 9 2 2" xfId="10644"/>
    <cellStyle name="Separador de milhares 3 2 3 2 9 2 2 2" xfId="28858"/>
    <cellStyle name="Separador de milhares 3 2 3 2 9 2 2 2 2" xfId="53925"/>
    <cellStyle name="Separador de milhares 3 2 3 2 9 2 2 3" xfId="22944"/>
    <cellStyle name="Separador de milhares 3 2 3 2 9 2 2 3 2" xfId="48011"/>
    <cellStyle name="Separador de milhares 3 2 3 2 9 2 2 4" xfId="17030"/>
    <cellStyle name="Separador de milhares 3 2 3 2 9 2 2 4 2" xfId="42097"/>
    <cellStyle name="Separador de milhares 3 2 3 2 9 2 2 5" xfId="36189"/>
    <cellStyle name="Separador de milhares 3 2 3 2 9 2 3" xfId="25901"/>
    <cellStyle name="Separador de milhares 3 2 3 2 9 2 3 2" xfId="50968"/>
    <cellStyle name="Separador de milhares 3 2 3 2 9 2 4" xfId="19987"/>
    <cellStyle name="Separador de milhares 3 2 3 2 9 2 4 2" xfId="45054"/>
    <cellStyle name="Separador de milhares 3 2 3 2 9 2 5" xfId="13889"/>
    <cellStyle name="Separador de milhares 3 2 3 2 9 2 5 2" xfId="39143"/>
    <cellStyle name="Separador de milhares 3 2 3 2 9 2 6" xfId="33232"/>
    <cellStyle name="Separador de milhares 3 2 3 2 9 3" xfId="9176"/>
    <cellStyle name="Separador de milhares 3 2 3 2 9 3 2" xfId="27390"/>
    <cellStyle name="Separador de milhares 3 2 3 2 9 3 2 2" xfId="52457"/>
    <cellStyle name="Separador de milhares 3 2 3 2 9 3 3" xfId="21476"/>
    <cellStyle name="Separador de milhares 3 2 3 2 9 3 3 2" xfId="46543"/>
    <cellStyle name="Separador de milhares 3 2 3 2 9 3 4" xfId="15562"/>
    <cellStyle name="Separador de milhares 3 2 3 2 9 3 4 2" xfId="40629"/>
    <cellStyle name="Separador de milhares 3 2 3 2 9 3 5" xfId="34721"/>
    <cellStyle name="Separador de milhares 3 2 3 2 9 4" xfId="5801"/>
    <cellStyle name="Separador de milhares 3 2 3 2 9 4 2" xfId="24433"/>
    <cellStyle name="Separador de milhares 3 2 3 2 9 4 2 2" xfId="49500"/>
    <cellStyle name="Separador de milhares 3 2 3 2 9 4 3" xfId="31764"/>
    <cellStyle name="Separador de milhares 3 2 3 2 9 5" xfId="18519"/>
    <cellStyle name="Separador de milhares 3 2 3 2 9 5 2" xfId="43586"/>
    <cellStyle name="Separador de milhares 3 2 3 2 9 6" xfId="12188"/>
    <cellStyle name="Separador de milhares 3 2 3 2 9 6 2" xfId="37675"/>
    <cellStyle name="Separador de milhares 3 2 3 2 9 7" xfId="30294"/>
    <cellStyle name="Separador de milhares 3 2 3 3" xfId="271"/>
    <cellStyle name="Separador de milhares 3 2 3 3 10" xfId="6491"/>
    <cellStyle name="Separador de milhares 3 2 3 3 10 2" xfId="9642"/>
    <cellStyle name="Separador de milhares 3 2 3 3 10 2 2" xfId="27856"/>
    <cellStyle name="Separador de milhares 3 2 3 3 10 2 2 2" xfId="52923"/>
    <cellStyle name="Separador de milhares 3 2 3 3 10 2 3" xfId="21942"/>
    <cellStyle name="Separador de milhares 3 2 3 3 10 2 3 2" xfId="47009"/>
    <cellStyle name="Separador de milhares 3 2 3 3 10 2 4" xfId="16028"/>
    <cellStyle name="Separador de milhares 3 2 3 3 10 2 4 2" xfId="41095"/>
    <cellStyle name="Separador de milhares 3 2 3 3 10 2 5" xfId="35187"/>
    <cellStyle name="Separador de milhares 3 2 3 3 10 3" xfId="24899"/>
    <cellStyle name="Separador de milhares 3 2 3 3 10 3 2" xfId="49966"/>
    <cellStyle name="Separador de milhares 3 2 3 3 10 4" xfId="18985"/>
    <cellStyle name="Separador de milhares 3 2 3 3 10 4 2" xfId="44052"/>
    <cellStyle name="Separador de milhares 3 2 3 3 10 5" xfId="12880"/>
    <cellStyle name="Separador de milhares 3 2 3 3 10 5 2" xfId="38141"/>
    <cellStyle name="Separador de milhares 3 2 3 3 10 6" xfId="32230"/>
    <cellStyle name="Separador de milhares 3 2 3 3 11" xfId="8171"/>
    <cellStyle name="Separador de milhares 3 2 3 3 11 2" xfId="26385"/>
    <cellStyle name="Separador de milhares 3 2 3 3 11 2 2" xfId="51452"/>
    <cellStyle name="Separador de milhares 3 2 3 3 11 3" xfId="20471"/>
    <cellStyle name="Separador de milhares 3 2 3 3 11 3 2" xfId="45538"/>
    <cellStyle name="Separador de milhares 3 2 3 3 11 4" xfId="14560"/>
    <cellStyle name="Separador de milhares 3 2 3 3 11 4 2" xfId="39627"/>
    <cellStyle name="Separador de milhares 3 2 3 3 11 5" xfId="33716"/>
    <cellStyle name="Separador de milhares 3 2 3 3 12" xfId="4790"/>
    <cellStyle name="Separador de milhares 3 2 3 3 12 2" xfId="23428"/>
    <cellStyle name="Separador de milhares 3 2 3 3 12 2 2" xfId="48495"/>
    <cellStyle name="Separador de milhares 3 2 3 3 12 3" xfId="30760"/>
    <cellStyle name="Separador de milhares 3 2 3 3 13" xfId="17514"/>
    <cellStyle name="Separador de milhares 3 2 3 3 13 2" xfId="42581"/>
    <cellStyle name="Separador de milhares 3 2 3 3 14" xfId="11179"/>
    <cellStyle name="Separador de milhares 3 2 3 3 14 2" xfId="36673"/>
    <cellStyle name="Separador de milhares 3 2 3 3 15" xfId="29289"/>
    <cellStyle name="Separador de milhares 3 2 3 3 2" xfId="534"/>
    <cellStyle name="Separador de milhares 3 2 3 3 2 2" xfId="6562"/>
    <cellStyle name="Separador de milhares 3 2 3 3 2 2 2" xfId="9709"/>
    <cellStyle name="Separador de milhares 3 2 3 3 2 2 2 2" xfId="27923"/>
    <cellStyle name="Separador de milhares 3 2 3 3 2 2 2 2 2" xfId="52990"/>
    <cellStyle name="Separador de milhares 3 2 3 3 2 2 2 3" xfId="22009"/>
    <cellStyle name="Separador de milhares 3 2 3 3 2 2 2 3 2" xfId="47076"/>
    <cellStyle name="Separador de milhares 3 2 3 3 2 2 2 4" xfId="16095"/>
    <cellStyle name="Separador de milhares 3 2 3 3 2 2 2 4 2" xfId="41162"/>
    <cellStyle name="Separador de milhares 3 2 3 3 2 2 2 5" xfId="35254"/>
    <cellStyle name="Separador de milhares 3 2 3 3 2 2 3" xfId="24966"/>
    <cellStyle name="Separador de milhares 3 2 3 3 2 2 3 2" xfId="50033"/>
    <cellStyle name="Separador de milhares 3 2 3 3 2 2 4" xfId="19052"/>
    <cellStyle name="Separador de milhares 3 2 3 3 2 2 4 2" xfId="44119"/>
    <cellStyle name="Separador de milhares 3 2 3 3 2 2 5" xfId="12951"/>
    <cellStyle name="Separador de milhares 3 2 3 3 2 2 5 2" xfId="38208"/>
    <cellStyle name="Separador de milhares 3 2 3 3 2 2 6" xfId="32297"/>
    <cellStyle name="Separador de milhares 3 2 3 3 2 3" xfId="8238"/>
    <cellStyle name="Separador de milhares 3 2 3 3 2 3 2" xfId="26452"/>
    <cellStyle name="Separador de milhares 3 2 3 3 2 3 2 2" xfId="51519"/>
    <cellStyle name="Separador de milhares 3 2 3 3 2 3 3" xfId="20538"/>
    <cellStyle name="Separador de milhares 3 2 3 3 2 3 3 2" xfId="45605"/>
    <cellStyle name="Separador de milhares 3 2 3 3 2 3 4" xfId="14627"/>
    <cellStyle name="Separador de milhares 3 2 3 3 2 3 4 2" xfId="39694"/>
    <cellStyle name="Separador de milhares 3 2 3 3 2 3 5" xfId="33783"/>
    <cellStyle name="Separador de milhares 3 2 3 3 2 4" xfId="4861"/>
    <cellStyle name="Separador de milhares 3 2 3 3 2 4 2" xfId="23495"/>
    <cellStyle name="Separador de milhares 3 2 3 3 2 4 2 2" xfId="48562"/>
    <cellStyle name="Separador de milhares 3 2 3 3 2 4 3" xfId="30827"/>
    <cellStyle name="Separador de milhares 3 2 3 3 2 5" xfId="17581"/>
    <cellStyle name="Separador de milhares 3 2 3 3 2 5 2" xfId="42648"/>
    <cellStyle name="Separador de milhares 3 2 3 3 2 6" xfId="11250"/>
    <cellStyle name="Separador de milhares 3 2 3 3 2 6 2" xfId="36740"/>
    <cellStyle name="Separador de milhares 3 2 3 3 2 7" xfId="29356"/>
    <cellStyle name="Separador de milhares 3 2 3 3 3" xfId="831"/>
    <cellStyle name="Separador de milhares 3 2 3 3 3 2" xfId="6664"/>
    <cellStyle name="Separador de milhares 3 2 3 3 3 2 2" xfId="9811"/>
    <cellStyle name="Separador de milhares 3 2 3 3 3 2 2 2" xfId="28025"/>
    <cellStyle name="Separador de milhares 3 2 3 3 3 2 2 2 2" xfId="53092"/>
    <cellStyle name="Separador de milhares 3 2 3 3 3 2 2 3" xfId="22111"/>
    <cellStyle name="Separador de milhares 3 2 3 3 3 2 2 3 2" xfId="47178"/>
    <cellStyle name="Separador de milhares 3 2 3 3 3 2 2 4" xfId="16197"/>
    <cellStyle name="Separador de milhares 3 2 3 3 3 2 2 4 2" xfId="41264"/>
    <cellStyle name="Separador de milhares 3 2 3 3 3 2 2 5" xfId="35356"/>
    <cellStyle name="Separador de milhares 3 2 3 3 3 2 3" xfId="25068"/>
    <cellStyle name="Separador de milhares 3 2 3 3 3 2 3 2" xfId="50135"/>
    <cellStyle name="Separador de milhares 3 2 3 3 3 2 4" xfId="19154"/>
    <cellStyle name="Separador de milhares 3 2 3 3 3 2 4 2" xfId="44221"/>
    <cellStyle name="Separador de milhares 3 2 3 3 3 2 5" xfId="13053"/>
    <cellStyle name="Separador de milhares 3 2 3 3 3 2 5 2" xfId="38310"/>
    <cellStyle name="Separador de milhares 3 2 3 3 3 2 6" xfId="32399"/>
    <cellStyle name="Separador de milhares 3 2 3 3 3 3" xfId="8343"/>
    <cellStyle name="Separador de milhares 3 2 3 3 3 3 2" xfId="26557"/>
    <cellStyle name="Separador de milhares 3 2 3 3 3 3 2 2" xfId="51624"/>
    <cellStyle name="Separador de milhares 3 2 3 3 3 3 3" xfId="20643"/>
    <cellStyle name="Separador de milhares 3 2 3 3 3 3 3 2" xfId="45710"/>
    <cellStyle name="Separador de milhares 3 2 3 3 3 3 4" xfId="14729"/>
    <cellStyle name="Separador de milhares 3 2 3 3 3 3 4 2" xfId="39796"/>
    <cellStyle name="Separador de milhares 3 2 3 3 3 3 5" xfId="33888"/>
    <cellStyle name="Separador de milhares 3 2 3 3 3 4" xfId="4965"/>
    <cellStyle name="Separador de milhares 3 2 3 3 3 4 2" xfId="23600"/>
    <cellStyle name="Separador de milhares 3 2 3 3 3 4 2 2" xfId="48667"/>
    <cellStyle name="Separador de milhares 3 2 3 3 3 4 3" xfId="30931"/>
    <cellStyle name="Separador de milhares 3 2 3 3 3 5" xfId="17686"/>
    <cellStyle name="Separador de milhares 3 2 3 3 3 5 2" xfId="42753"/>
    <cellStyle name="Separador de milhares 3 2 3 3 3 6" xfId="11352"/>
    <cellStyle name="Separador de milhares 3 2 3 3 3 6 2" xfId="36842"/>
    <cellStyle name="Separador de milhares 3 2 3 3 3 7" xfId="29461"/>
    <cellStyle name="Separador de milhares 3 2 3 3 4" xfId="1182"/>
    <cellStyle name="Separador de milhares 3 2 3 3 4 2" xfId="6762"/>
    <cellStyle name="Separador de milhares 3 2 3 3 4 2 2" xfId="9909"/>
    <cellStyle name="Separador de milhares 3 2 3 3 4 2 2 2" xfId="28123"/>
    <cellStyle name="Separador de milhares 3 2 3 3 4 2 2 2 2" xfId="53190"/>
    <cellStyle name="Separador de milhares 3 2 3 3 4 2 2 3" xfId="22209"/>
    <cellStyle name="Separador de milhares 3 2 3 3 4 2 2 3 2" xfId="47276"/>
    <cellStyle name="Separador de milhares 3 2 3 3 4 2 2 4" xfId="16295"/>
    <cellStyle name="Separador de milhares 3 2 3 3 4 2 2 4 2" xfId="41362"/>
    <cellStyle name="Separador de milhares 3 2 3 3 4 2 2 5" xfId="35454"/>
    <cellStyle name="Separador de milhares 3 2 3 3 4 2 3" xfId="25166"/>
    <cellStyle name="Separador de milhares 3 2 3 3 4 2 3 2" xfId="50233"/>
    <cellStyle name="Separador de milhares 3 2 3 3 4 2 4" xfId="19252"/>
    <cellStyle name="Separador de milhares 3 2 3 3 4 2 4 2" xfId="44319"/>
    <cellStyle name="Separador de milhares 3 2 3 3 4 2 5" xfId="13151"/>
    <cellStyle name="Separador de milhares 3 2 3 3 4 2 5 2" xfId="38408"/>
    <cellStyle name="Separador de milhares 3 2 3 3 4 2 6" xfId="32497"/>
    <cellStyle name="Separador de milhares 3 2 3 3 4 3" xfId="8441"/>
    <cellStyle name="Separador de milhares 3 2 3 3 4 3 2" xfId="26655"/>
    <cellStyle name="Separador de milhares 3 2 3 3 4 3 2 2" xfId="51722"/>
    <cellStyle name="Separador de milhares 3 2 3 3 4 3 3" xfId="20741"/>
    <cellStyle name="Separador de milhares 3 2 3 3 4 3 3 2" xfId="45808"/>
    <cellStyle name="Separador de milhares 3 2 3 3 4 3 4" xfId="14827"/>
    <cellStyle name="Separador de milhares 3 2 3 3 4 3 4 2" xfId="39894"/>
    <cellStyle name="Separador de milhares 3 2 3 3 4 3 5" xfId="33986"/>
    <cellStyle name="Separador de milhares 3 2 3 3 4 4" xfId="5063"/>
    <cellStyle name="Separador de milhares 3 2 3 3 4 4 2" xfId="23698"/>
    <cellStyle name="Separador de milhares 3 2 3 3 4 4 2 2" xfId="48765"/>
    <cellStyle name="Separador de milhares 3 2 3 3 4 4 3" xfId="31029"/>
    <cellStyle name="Separador de milhares 3 2 3 3 4 5" xfId="17784"/>
    <cellStyle name="Separador de milhares 3 2 3 3 4 5 2" xfId="42851"/>
    <cellStyle name="Separador de milhares 3 2 3 3 4 6" xfId="11450"/>
    <cellStyle name="Separador de milhares 3 2 3 3 4 6 2" xfId="36940"/>
    <cellStyle name="Separador de milhares 3 2 3 3 4 7" xfId="29559"/>
    <cellStyle name="Separador de milhares 3 2 3 3 5" xfId="1617"/>
    <cellStyle name="Separador de milhares 3 2 3 3 5 2" xfId="6881"/>
    <cellStyle name="Separador de milhares 3 2 3 3 5 2 2" xfId="10028"/>
    <cellStyle name="Separador de milhares 3 2 3 3 5 2 2 2" xfId="28242"/>
    <cellStyle name="Separador de milhares 3 2 3 3 5 2 2 2 2" xfId="53309"/>
    <cellStyle name="Separador de milhares 3 2 3 3 5 2 2 3" xfId="22328"/>
    <cellStyle name="Separador de milhares 3 2 3 3 5 2 2 3 2" xfId="47395"/>
    <cellStyle name="Separador de milhares 3 2 3 3 5 2 2 4" xfId="16414"/>
    <cellStyle name="Separador de milhares 3 2 3 3 5 2 2 4 2" xfId="41481"/>
    <cellStyle name="Separador de milhares 3 2 3 3 5 2 2 5" xfId="35573"/>
    <cellStyle name="Separador de milhares 3 2 3 3 5 2 3" xfId="25285"/>
    <cellStyle name="Separador de milhares 3 2 3 3 5 2 3 2" xfId="50352"/>
    <cellStyle name="Separador de milhares 3 2 3 3 5 2 4" xfId="19371"/>
    <cellStyle name="Separador de milhares 3 2 3 3 5 2 4 2" xfId="44438"/>
    <cellStyle name="Separador de milhares 3 2 3 3 5 2 5" xfId="13270"/>
    <cellStyle name="Separador de milhares 3 2 3 3 5 2 5 2" xfId="38527"/>
    <cellStyle name="Separador de milhares 3 2 3 3 5 2 6" xfId="32616"/>
    <cellStyle name="Separador de milhares 3 2 3 3 5 3" xfId="8560"/>
    <cellStyle name="Separador de milhares 3 2 3 3 5 3 2" xfId="26774"/>
    <cellStyle name="Separador de milhares 3 2 3 3 5 3 2 2" xfId="51841"/>
    <cellStyle name="Separador de milhares 3 2 3 3 5 3 3" xfId="20860"/>
    <cellStyle name="Separador de milhares 3 2 3 3 5 3 3 2" xfId="45927"/>
    <cellStyle name="Separador de milhares 3 2 3 3 5 3 4" xfId="14946"/>
    <cellStyle name="Separador de milhares 3 2 3 3 5 3 4 2" xfId="40013"/>
    <cellStyle name="Separador de milhares 3 2 3 3 5 3 5" xfId="34105"/>
    <cellStyle name="Separador de milhares 3 2 3 3 5 4" xfId="5182"/>
    <cellStyle name="Separador de milhares 3 2 3 3 5 4 2" xfId="23817"/>
    <cellStyle name="Separador de milhares 3 2 3 3 5 4 2 2" xfId="48884"/>
    <cellStyle name="Separador de milhares 3 2 3 3 5 4 3" xfId="31148"/>
    <cellStyle name="Separador de milhares 3 2 3 3 5 5" xfId="17903"/>
    <cellStyle name="Separador de milhares 3 2 3 3 5 5 2" xfId="42970"/>
    <cellStyle name="Separador de milhares 3 2 3 3 5 6" xfId="11569"/>
    <cellStyle name="Separador de milhares 3 2 3 3 5 6 2" xfId="37059"/>
    <cellStyle name="Separador de milhares 3 2 3 3 5 7" xfId="29678"/>
    <cellStyle name="Separador de milhares 3 2 3 3 6" xfId="2147"/>
    <cellStyle name="Separador de milhares 3 2 3 3 6 2" xfId="7031"/>
    <cellStyle name="Separador de milhares 3 2 3 3 6 2 2" xfId="10175"/>
    <cellStyle name="Separador de milhares 3 2 3 3 6 2 2 2" xfId="28389"/>
    <cellStyle name="Separador de milhares 3 2 3 3 6 2 2 2 2" xfId="53456"/>
    <cellStyle name="Separador de milhares 3 2 3 3 6 2 2 3" xfId="22475"/>
    <cellStyle name="Separador de milhares 3 2 3 3 6 2 2 3 2" xfId="47542"/>
    <cellStyle name="Separador de milhares 3 2 3 3 6 2 2 4" xfId="16561"/>
    <cellStyle name="Separador de milhares 3 2 3 3 6 2 2 4 2" xfId="41628"/>
    <cellStyle name="Separador de milhares 3 2 3 3 6 2 2 5" xfId="35720"/>
    <cellStyle name="Separador de milhares 3 2 3 3 6 2 3" xfId="25432"/>
    <cellStyle name="Separador de milhares 3 2 3 3 6 2 3 2" xfId="50499"/>
    <cellStyle name="Separador de milhares 3 2 3 3 6 2 4" xfId="19518"/>
    <cellStyle name="Separador de milhares 3 2 3 3 6 2 4 2" xfId="44585"/>
    <cellStyle name="Separador de milhares 3 2 3 3 6 2 5" xfId="13420"/>
    <cellStyle name="Separador de milhares 3 2 3 3 6 2 5 2" xfId="38674"/>
    <cellStyle name="Separador de milhares 3 2 3 3 6 2 6" xfId="32763"/>
    <cellStyle name="Separador de milhares 3 2 3 3 6 3" xfId="8707"/>
    <cellStyle name="Separador de milhares 3 2 3 3 6 3 2" xfId="26921"/>
    <cellStyle name="Separador de milhares 3 2 3 3 6 3 2 2" xfId="51988"/>
    <cellStyle name="Separador de milhares 3 2 3 3 6 3 3" xfId="21007"/>
    <cellStyle name="Separador de milhares 3 2 3 3 6 3 3 2" xfId="46074"/>
    <cellStyle name="Separador de milhares 3 2 3 3 6 3 4" xfId="15093"/>
    <cellStyle name="Separador de milhares 3 2 3 3 6 3 4 2" xfId="40160"/>
    <cellStyle name="Separador de milhares 3 2 3 3 6 3 5" xfId="34252"/>
    <cellStyle name="Separador de milhares 3 2 3 3 6 4" xfId="5332"/>
    <cellStyle name="Separador de milhares 3 2 3 3 6 4 2" xfId="23964"/>
    <cellStyle name="Separador de milhares 3 2 3 3 6 4 2 2" xfId="49031"/>
    <cellStyle name="Separador de milhares 3 2 3 3 6 4 3" xfId="31295"/>
    <cellStyle name="Separador de milhares 3 2 3 3 6 5" xfId="18050"/>
    <cellStyle name="Separador de milhares 3 2 3 3 6 5 2" xfId="43117"/>
    <cellStyle name="Separador de milhares 3 2 3 3 6 6" xfId="11719"/>
    <cellStyle name="Separador de milhares 3 2 3 3 6 6 2" xfId="37206"/>
    <cellStyle name="Separador de milhares 3 2 3 3 6 7" xfId="29825"/>
    <cellStyle name="Separador de milhares 3 2 3 3 7" xfId="2674"/>
    <cellStyle name="Separador de milhares 3 2 3 3 7 2" xfId="7178"/>
    <cellStyle name="Separador de milhares 3 2 3 3 7 2 2" xfId="10322"/>
    <cellStyle name="Separador de milhares 3 2 3 3 7 2 2 2" xfId="28536"/>
    <cellStyle name="Separador de milhares 3 2 3 3 7 2 2 2 2" xfId="53603"/>
    <cellStyle name="Separador de milhares 3 2 3 3 7 2 2 3" xfId="22622"/>
    <cellStyle name="Separador de milhares 3 2 3 3 7 2 2 3 2" xfId="47689"/>
    <cellStyle name="Separador de milhares 3 2 3 3 7 2 2 4" xfId="16708"/>
    <cellStyle name="Separador de milhares 3 2 3 3 7 2 2 4 2" xfId="41775"/>
    <cellStyle name="Separador de milhares 3 2 3 3 7 2 2 5" xfId="35867"/>
    <cellStyle name="Separador de milhares 3 2 3 3 7 2 3" xfId="25579"/>
    <cellStyle name="Separador de milhares 3 2 3 3 7 2 3 2" xfId="50646"/>
    <cellStyle name="Separador de milhares 3 2 3 3 7 2 4" xfId="19665"/>
    <cellStyle name="Separador de milhares 3 2 3 3 7 2 4 2" xfId="44732"/>
    <cellStyle name="Separador de milhares 3 2 3 3 7 2 5" xfId="13567"/>
    <cellStyle name="Separador de milhares 3 2 3 3 7 2 5 2" xfId="38821"/>
    <cellStyle name="Separador de milhares 3 2 3 3 7 2 6" xfId="32910"/>
    <cellStyle name="Separador de milhares 3 2 3 3 7 3" xfId="8854"/>
    <cellStyle name="Separador de milhares 3 2 3 3 7 3 2" xfId="27068"/>
    <cellStyle name="Separador de milhares 3 2 3 3 7 3 2 2" xfId="52135"/>
    <cellStyle name="Separador de milhares 3 2 3 3 7 3 3" xfId="21154"/>
    <cellStyle name="Separador de milhares 3 2 3 3 7 3 3 2" xfId="46221"/>
    <cellStyle name="Separador de milhares 3 2 3 3 7 3 4" xfId="15240"/>
    <cellStyle name="Separador de milhares 3 2 3 3 7 3 4 2" xfId="40307"/>
    <cellStyle name="Separador de milhares 3 2 3 3 7 3 5" xfId="34399"/>
    <cellStyle name="Separador de milhares 3 2 3 3 7 4" xfId="5479"/>
    <cellStyle name="Separador de milhares 3 2 3 3 7 4 2" xfId="24111"/>
    <cellStyle name="Separador de milhares 3 2 3 3 7 4 2 2" xfId="49178"/>
    <cellStyle name="Separador de milhares 3 2 3 3 7 4 3" xfId="31442"/>
    <cellStyle name="Separador de milhares 3 2 3 3 7 5" xfId="18197"/>
    <cellStyle name="Separador de milhares 3 2 3 3 7 5 2" xfId="43264"/>
    <cellStyle name="Separador de milhares 3 2 3 3 7 6" xfId="11866"/>
    <cellStyle name="Separador de milhares 3 2 3 3 7 6 2" xfId="37353"/>
    <cellStyle name="Separador de milhares 3 2 3 3 7 7" xfId="29972"/>
    <cellStyle name="Separador de milhares 3 2 3 3 8" xfId="3201"/>
    <cellStyle name="Separador de milhares 3 2 3 3 8 2" xfId="7325"/>
    <cellStyle name="Separador de milhares 3 2 3 3 8 2 2" xfId="10469"/>
    <cellStyle name="Separador de milhares 3 2 3 3 8 2 2 2" xfId="28683"/>
    <cellStyle name="Separador de milhares 3 2 3 3 8 2 2 2 2" xfId="53750"/>
    <cellStyle name="Separador de milhares 3 2 3 3 8 2 2 3" xfId="22769"/>
    <cellStyle name="Separador de milhares 3 2 3 3 8 2 2 3 2" xfId="47836"/>
    <cellStyle name="Separador de milhares 3 2 3 3 8 2 2 4" xfId="16855"/>
    <cellStyle name="Separador de milhares 3 2 3 3 8 2 2 4 2" xfId="41922"/>
    <cellStyle name="Separador de milhares 3 2 3 3 8 2 2 5" xfId="36014"/>
    <cellStyle name="Separador de milhares 3 2 3 3 8 2 3" xfId="25726"/>
    <cellStyle name="Separador de milhares 3 2 3 3 8 2 3 2" xfId="50793"/>
    <cellStyle name="Separador de milhares 3 2 3 3 8 2 4" xfId="19812"/>
    <cellStyle name="Separador de milhares 3 2 3 3 8 2 4 2" xfId="44879"/>
    <cellStyle name="Separador de milhares 3 2 3 3 8 2 5" xfId="13714"/>
    <cellStyle name="Separador de milhares 3 2 3 3 8 2 5 2" xfId="38968"/>
    <cellStyle name="Separador de milhares 3 2 3 3 8 2 6" xfId="33057"/>
    <cellStyle name="Separador de milhares 3 2 3 3 8 3" xfId="9001"/>
    <cellStyle name="Separador de milhares 3 2 3 3 8 3 2" xfId="27215"/>
    <cellStyle name="Separador de milhares 3 2 3 3 8 3 2 2" xfId="52282"/>
    <cellStyle name="Separador de milhares 3 2 3 3 8 3 3" xfId="21301"/>
    <cellStyle name="Separador de milhares 3 2 3 3 8 3 3 2" xfId="46368"/>
    <cellStyle name="Separador de milhares 3 2 3 3 8 3 4" xfId="15387"/>
    <cellStyle name="Separador de milhares 3 2 3 3 8 3 4 2" xfId="40454"/>
    <cellStyle name="Separador de milhares 3 2 3 3 8 3 5" xfId="34546"/>
    <cellStyle name="Separador de milhares 3 2 3 3 8 4" xfId="5626"/>
    <cellStyle name="Separador de milhares 3 2 3 3 8 4 2" xfId="24258"/>
    <cellStyle name="Separador de milhares 3 2 3 3 8 4 2 2" xfId="49325"/>
    <cellStyle name="Separador de milhares 3 2 3 3 8 4 3" xfId="31589"/>
    <cellStyle name="Separador de milhares 3 2 3 3 8 5" xfId="18344"/>
    <cellStyle name="Separador de milhares 3 2 3 3 8 5 2" xfId="43411"/>
    <cellStyle name="Separador de milhares 3 2 3 3 8 6" xfId="12013"/>
    <cellStyle name="Separador de milhares 3 2 3 3 8 6 2" xfId="37500"/>
    <cellStyle name="Separador de milhares 3 2 3 3 8 7" xfId="30119"/>
    <cellStyle name="Separador de milhares 3 2 3 3 9" xfId="3728"/>
    <cellStyle name="Separador de milhares 3 2 3 3 9 2" xfId="7472"/>
    <cellStyle name="Separador de milhares 3 2 3 3 9 2 2" xfId="10616"/>
    <cellStyle name="Separador de milhares 3 2 3 3 9 2 2 2" xfId="28830"/>
    <cellStyle name="Separador de milhares 3 2 3 3 9 2 2 2 2" xfId="53897"/>
    <cellStyle name="Separador de milhares 3 2 3 3 9 2 2 3" xfId="22916"/>
    <cellStyle name="Separador de milhares 3 2 3 3 9 2 2 3 2" xfId="47983"/>
    <cellStyle name="Separador de milhares 3 2 3 3 9 2 2 4" xfId="17002"/>
    <cellStyle name="Separador de milhares 3 2 3 3 9 2 2 4 2" xfId="42069"/>
    <cellStyle name="Separador de milhares 3 2 3 3 9 2 2 5" xfId="36161"/>
    <cellStyle name="Separador de milhares 3 2 3 3 9 2 3" xfId="25873"/>
    <cellStyle name="Separador de milhares 3 2 3 3 9 2 3 2" xfId="50940"/>
    <cellStyle name="Separador de milhares 3 2 3 3 9 2 4" xfId="19959"/>
    <cellStyle name="Separador de milhares 3 2 3 3 9 2 4 2" xfId="45026"/>
    <cellStyle name="Separador de milhares 3 2 3 3 9 2 5" xfId="13861"/>
    <cellStyle name="Separador de milhares 3 2 3 3 9 2 5 2" xfId="39115"/>
    <cellStyle name="Separador de milhares 3 2 3 3 9 2 6" xfId="33204"/>
    <cellStyle name="Separador de milhares 3 2 3 3 9 3" xfId="9148"/>
    <cellStyle name="Separador de milhares 3 2 3 3 9 3 2" xfId="27362"/>
    <cellStyle name="Separador de milhares 3 2 3 3 9 3 2 2" xfId="52429"/>
    <cellStyle name="Separador de milhares 3 2 3 3 9 3 3" xfId="21448"/>
    <cellStyle name="Separador de milhares 3 2 3 3 9 3 3 2" xfId="46515"/>
    <cellStyle name="Separador de milhares 3 2 3 3 9 3 4" xfId="15534"/>
    <cellStyle name="Separador de milhares 3 2 3 3 9 3 4 2" xfId="40601"/>
    <cellStyle name="Separador de milhares 3 2 3 3 9 3 5" xfId="34693"/>
    <cellStyle name="Separador de milhares 3 2 3 3 9 4" xfId="5773"/>
    <cellStyle name="Separador de milhares 3 2 3 3 9 4 2" xfId="24405"/>
    <cellStyle name="Separador de milhares 3 2 3 3 9 4 2 2" xfId="49472"/>
    <cellStyle name="Separador de milhares 3 2 3 3 9 4 3" xfId="31736"/>
    <cellStyle name="Separador de milhares 3 2 3 3 9 5" xfId="18491"/>
    <cellStyle name="Separador de milhares 3 2 3 3 9 5 2" xfId="43558"/>
    <cellStyle name="Separador de milhares 3 2 3 3 9 6" xfId="12160"/>
    <cellStyle name="Separador de milhares 3 2 3 3 9 6 2" xfId="37647"/>
    <cellStyle name="Separador de milhares 3 2 3 3 9 7" xfId="30266"/>
    <cellStyle name="Separador de milhares 3 2 3 4" xfId="364"/>
    <cellStyle name="Separador de milhares 3 2 3 4 10" xfId="6519"/>
    <cellStyle name="Separador de milhares 3 2 3 4 10 2" xfId="9667"/>
    <cellStyle name="Separador de milhares 3 2 3 4 10 2 2" xfId="27881"/>
    <cellStyle name="Separador de milhares 3 2 3 4 10 2 2 2" xfId="52948"/>
    <cellStyle name="Separador de milhares 3 2 3 4 10 2 3" xfId="21967"/>
    <cellStyle name="Separador de milhares 3 2 3 4 10 2 3 2" xfId="47034"/>
    <cellStyle name="Separador de milhares 3 2 3 4 10 2 4" xfId="16053"/>
    <cellStyle name="Separador de milhares 3 2 3 4 10 2 4 2" xfId="41120"/>
    <cellStyle name="Separador de milhares 3 2 3 4 10 2 5" xfId="35212"/>
    <cellStyle name="Separador de milhares 3 2 3 4 10 3" xfId="24924"/>
    <cellStyle name="Separador de milhares 3 2 3 4 10 3 2" xfId="49991"/>
    <cellStyle name="Separador de milhares 3 2 3 4 10 4" xfId="19010"/>
    <cellStyle name="Separador de milhares 3 2 3 4 10 4 2" xfId="44077"/>
    <cellStyle name="Separador de milhares 3 2 3 4 10 5" xfId="12908"/>
    <cellStyle name="Separador de milhares 3 2 3 4 10 5 2" xfId="38166"/>
    <cellStyle name="Separador de milhares 3 2 3 4 10 6" xfId="32255"/>
    <cellStyle name="Separador de milhares 3 2 3 4 11" xfId="8196"/>
    <cellStyle name="Separador de milhares 3 2 3 4 11 2" xfId="26410"/>
    <cellStyle name="Separador de milhares 3 2 3 4 11 2 2" xfId="51477"/>
    <cellStyle name="Separador de milhares 3 2 3 4 11 3" xfId="20496"/>
    <cellStyle name="Separador de milhares 3 2 3 4 11 3 2" xfId="45563"/>
    <cellStyle name="Separador de milhares 3 2 3 4 11 4" xfId="14585"/>
    <cellStyle name="Separador de milhares 3 2 3 4 11 4 2" xfId="39652"/>
    <cellStyle name="Separador de milhares 3 2 3 4 11 5" xfId="33741"/>
    <cellStyle name="Separador de milhares 3 2 3 4 12" xfId="4818"/>
    <cellStyle name="Separador de milhares 3 2 3 4 12 2" xfId="23453"/>
    <cellStyle name="Separador de milhares 3 2 3 4 12 2 2" xfId="48520"/>
    <cellStyle name="Separador de milhares 3 2 3 4 12 3" xfId="30785"/>
    <cellStyle name="Separador de milhares 3 2 3 4 13" xfId="17539"/>
    <cellStyle name="Separador de milhares 3 2 3 4 13 2" xfId="42606"/>
    <cellStyle name="Separador de milhares 3 2 3 4 14" xfId="11207"/>
    <cellStyle name="Separador de milhares 3 2 3 4 14 2" xfId="36698"/>
    <cellStyle name="Separador de milhares 3 2 3 4 15" xfId="29314"/>
    <cellStyle name="Separador de milhares 3 2 3 4 2" xfId="1009"/>
    <cellStyle name="Separador de milhares 3 2 3 4 2 2" xfId="6716"/>
    <cellStyle name="Separador de milhares 3 2 3 4 2 2 2" xfId="9863"/>
    <cellStyle name="Separador de milhares 3 2 3 4 2 2 2 2" xfId="28077"/>
    <cellStyle name="Separador de milhares 3 2 3 4 2 2 2 2 2" xfId="53144"/>
    <cellStyle name="Separador de milhares 3 2 3 4 2 2 2 3" xfId="22163"/>
    <cellStyle name="Separador de milhares 3 2 3 4 2 2 2 3 2" xfId="47230"/>
    <cellStyle name="Separador de milhares 3 2 3 4 2 2 2 4" xfId="16249"/>
    <cellStyle name="Separador de milhares 3 2 3 4 2 2 2 4 2" xfId="41316"/>
    <cellStyle name="Separador de milhares 3 2 3 4 2 2 2 5" xfId="35408"/>
    <cellStyle name="Separador de milhares 3 2 3 4 2 2 3" xfId="25120"/>
    <cellStyle name="Separador de milhares 3 2 3 4 2 2 3 2" xfId="50187"/>
    <cellStyle name="Separador de milhares 3 2 3 4 2 2 4" xfId="19206"/>
    <cellStyle name="Separador de milhares 3 2 3 4 2 2 4 2" xfId="44273"/>
    <cellStyle name="Separador de milhares 3 2 3 4 2 2 5" xfId="13105"/>
    <cellStyle name="Separador de milhares 3 2 3 4 2 2 5 2" xfId="38362"/>
    <cellStyle name="Separador de milhares 3 2 3 4 2 2 6" xfId="32451"/>
    <cellStyle name="Separador de milhares 3 2 3 4 2 3" xfId="8395"/>
    <cellStyle name="Separador de milhares 3 2 3 4 2 3 2" xfId="26609"/>
    <cellStyle name="Separador de milhares 3 2 3 4 2 3 2 2" xfId="51676"/>
    <cellStyle name="Separador de milhares 3 2 3 4 2 3 3" xfId="20695"/>
    <cellStyle name="Separador de milhares 3 2 3 4 2 3 3 2" xfId="45762"/>
    <cellStyle name="Separador de milhares 3 2 3 4 2 3 4" xfId="14781"/>
    <cellStyle name="Separador de milhares 3 2 3 4 2 3 4 2" xfId="39848"/>
    <cellStyle name="Separador de milhares 3 2 3 4 2 3 5" xfId="33940"/>
    <cellStyle name="Separador de milhares 3 2 3 4 2 4" xfId="5017"/>
    <cellStyle name="Separador de milhares 3 2 3 4 2 4 2" xfId="23652"/>
    <cellStyle name="Separador de milhares 3 2 3 4 2 4 2 2" xfId="48719"/>
    <cellStyle name="Separador de milhares 3 2 3 4 2 4 3" xfId="30983"/>
    <cellStyle name="Separador de milhares 3 2 3 4 2 5" xfId="17738"/>
    <cellStyle name="Separador de milhares 3 2 3 4 2 5 2" xfId="42805"/>
    <cellStyle name="Separador de milhares 3 2 3 4 2 6" xfId="11404"/>
    <cellStyle name="Separador de milhares 3 2 3 4 2 6 2" xfId="36894"/>
    <cellStyle name="Separador de milhares 3 2 3 4 2 7" xfId="29513"/>
    <cellStyle name="Separador de milhares 3 2 3 4 3" xfId="1360"/>
    <cellStyle name="Separador de milhares 3 2 3 4 3 2" xfId="6814"/>
    <cellStyle name="Separador de milhares 3 2 3 4 3 2 2" xfId="9961"/>
    <cellStyle name="Separador de milhares 3 2 3 4 3 2 2 2" xfId="28175"/>
    <cellStyle name="Separador de milhares 3 2 3 4 3 2 2 2 2" xfId="53242"/>
    <cellStyle name="Separador de milhares 3 2 3 4 3 2 2 3" xfId="22261"/>
    <cellStyle name="Separador de milhares 3 2 3 4 3 2 2 3 2" xfId="47328"/>
    <cellStyle name="Separador de milhares 3 2 3 4 3 2 2 4" xfId="16347"/>
    <cellStyle name="Separador de milhares 3 2 3 4 3 2 2 4 2" xfId="41414"/>
    <cellStyle name="Separador de milhares 3 2 3 4 3 2 2 5" xfId="35506"/>
    <cellStyle name="Separador de milhares 3 2 3 4 3 2 3" xfId="25218"/>
    <cellStyle name="Separador de milhares 3 2 3 4 3 2 3 2" xfId="50285"/>
    <cellStyle name="Separador de milhares 3 2 3 4 3 2 4" xfId="19304"/>
    <cellStyle name="Separador de milhares 3 2 3 4 3 2 4 2" xfId="44371"/>
    <cellStyle name="Separador de milhares 3 2 3 4 3 2 5" xfId="13203"/>
    <cellStyle name="Separador de milhares 3 2 3 4 3 2 5 2" xfId="38460"/>
    <cellStyle name="Separador de milhares 3 2 3 4 3 2 6" xfId="32549"/>
    <cellStyle name="Separador de milhares 3 2 3 4 3 3" xfId="8493"/>
    <cellStyle name="Separador de milhares 3 2 3 4 3 3 2" xfId="26707"/>
    <cellStyle name="Separador de milhares 3 2 3 4 3 3 2 2" xfId="51774"/>
    <cellStyle name="Separador de milhares 3 2 3 4 3 3 3" xfId="20793"/>
    <cellStyle name="Separador de milhares 3 2 3 4 3 3 3 2" xfId="45860"/>
    <cellStyle name="Separador de milhares 3 2 3 4 3 3 4" xfId="14879"/>
    <cellStyle name="Separador de milhares 3 2 3 4 3 3 4 2" xfId="39946"/>
    <cellStyle name="Separador de milhares 3 2 3 4 3 3 5" xfId="34038"/>
    <cellStyle name="Separador de milhares 3 2 3 4 3 4" xfId="5115"/>
    <cellStyle name="Separador de milhares 3 2 3 4 3 4 2" xfId="23750"/>
    <cellStyle name="Separador de milhares 3 2 3 4 3 4 2 2" xfId="48817"/>
    <cellStyle name="Separador de milhares 3 2 3 4 3 4 3" xfId="31081"/>
    <cellStyle name="Separador de milhares 3 2 3 4 3 5" xfId="17836"/>
    <cellStyle name="Separador de milhares 3 2 3 4 3 5 2" xfId="42903"/>
    <cellStyle name="Separador de milhares 3 2 3 4 3 6" xfId="11502"/>
    <cellStyle name="Separador de milhares 3 2 3 4 3 6 2" xfId="36992"/>
    <cellStyle name="Separador de milhares 3 2 3 4 3 7" xfId="29611"/>
    <cellStyle name="Separador de milhares 3 2 3 4 4" xfId="1795"/>
    <cellStyle name="Separador de milhares 3 2 3 4 4 2" xfId="6933"/>
    <cellStyle name="Separador de milhares 3 2 3 4 4 2 2" xfId="10080"/>
    <cellStyle name="Separador de milhares 3 2 3 4 4 2 2 2" xfId="28294"/>
    <cellStyle name="Separador de milhares 3 2 3 4 4 2 2 2 2" xfId="53361"/>
    <cellStyle name="Separador de milhares 3 2 3 4 4 2 2 3" xfId="22380"/>
    <cellStyle name="Separador de milhares 3 2 3 4 4 2 2 3 2" xfId="47447"/>
    <cellStyle name="Separador de milhares 3 2 3 4 4 2 2 4" xfId="16466"/>
    <cellStyle name="Separador de milhares 3 2 3 4 4 2 2 4 2" xfId="41533"/>
    <cellStyle name="Separador de milhares 3 2 3 4 4 2 2 5" xfId="35625"/>
    <cellStyle name="Separador de milhares 3 2 3 4 4 2 3" xfId="25337"/>
    <cellStyle name="Separador de milhares 3 2 3 4 4 2 3 2" xfId="50404"/>
    <cellStyle name="Separador de milhares 3 2 3 4 4 2 4" xfId="19423"/>
    <cellStyle name="Separador de milhares 3 2 3 4 4 2 4 2" xfId="44490"/>
    <cellStyle name="Separador de milhares 3 2 3 4 4 2 5" xfId="13322"/>
    <cellStyle name="Separador de milhares 3 2 3 4 4 2 5 2" xfId="38579"/>
    <cellStyle name="Separador de milhares 3 2 3 4 4 2 6" xfId="32668"/>
    <cellStyle name="Separador de milhares 3 2 3 4 4 3" xfId="8612"/>
    <cellStyle name="Separador de milhares 3 2 3 4 4 3 2" xfId="26826"/>
    <cellStyle name="Separador de milhares 3 2 3 4 4 3 2 2" xfId="51893"/>
    <cellStyle name="Separador de milhares 3 2 3 4 4 3 3" xfId="20912"/>
    <cellStyle name="Separador de milhares 3 2 3 4 4 3 3 2" xfId="45979"/>
    <cellStyle name="Separador de milhares 3 2 3 4 4 3 4" xfId="14998"/>
    <cellStyle name="Separador de milhares 3 2 3 4 4 3 4 2" xfId="40065"/>
    <cellStyle name="Separador de milhares 3 2 3 4 4 3 5" xfId="34157"/>
    <cellStyle name="Separador de milhares 3 2 3 4 4 4" xfId="5234"/>
    <cellStyle name="Separador de milhares 3 2 3 4 4 4 2" xfId="23869"/>
    <cellStyle name="Separador de milhares 3 2 3 4 4 4 2 2" xfId="48936"/>
    <cellStyle name="Separador de milhares 3 2 3 4 4 4 3" xfId="31200"/>
    <cellStyle name="Separador de milhares 3 2 3 4 4 5" xfId="17955"/>
    <cellStyle name="Separador de milhares 3 2 3 4 4 5 2" xfId="43022"/>
    <cellStyle name="Separador de milhares 3 2 3 4 4 6" xfId="11621"/>
    <cellStyle name="Separador de milhares 3 2 3 4 4 6 2" xfId="37111"/>
    <cellStyle name="Separador de milhares 3 2 3 4 4 7" xfId="29730"/>
    <cellStyle name="Separador de milhares 3 2 3 4 5" xfId="2325"/>
    <cellStyle name="Separador de milhares 3 2 3 4 5 2" xfId="7083"/>
    <cellStyle name="Separador de milhares 3 2 3 4 5 2 2" xfId="10227"/>
    <cellStyle name="Separador de milhares 3 2 3 4 5 2 2 2" xfId="28441"/>
    <cellStyle name="Separador de milhares 3 2 3 4 5 2 2 2 2" xfId="53508"/>
    <cellStyle name="Separador de milhares 3 2 3 4 5 2 2 3" xfId="22527"/>
    <cellStyle name="Separador de milhares 3 2 3 4 5 2 2 3 2" xfId="47594"/>
    <cellStyle name="Separador de milhares 3 2 3 4 5 2 2 4" xfId="16613"/>
    <cellStyle name="Separador de milhares 3 2 3 4 5 2 2 4 2" xfId="41680"/>
    <cellStyle name="Separador de milhares 3 2 3 4 5 2 2 5" xfId="35772"/>
    <cellStyle name="Separador de milhares 3 2 3 4 5 2 3" xfId="25484"/>
    <cellStyle name="Separador de milhares 3 2 3 4 5 2 3 2" xfId="50551"/>
    <cellStyle name="Separador de milhares 3 2 3 4 5 2 4" xfId="19570"/>
    <cellStyle name="Separador de milhares 3 2 3 4 5 2 4 2" xfId="44637"/>
    <cellStyle name="Separador de milhares 3 2 3 4 5 2 5" xfId="13472"/>
    <cellStyle name="Separador de milhares 3 2 3 4 5 2 5 2" xfId="38726"/>
    <cellStyle name="Separador de milhares 3 2 3 4 5 2 6" xfId="32815"/>
    <cellStyle name="Separador de milhares 3 2 3 4 5 3" xfId="8759"/>
    <cellStyle name="Separador de milhares 3 2 3 4 5 3 2" xfId="26973"/>
    <cellStyle name="Separador de milhares 3 2 3 4 5 3 2 2" xfId="52040"/>
    <cellStyle name="Separador de milhares 3 2 3 4 5 3 3" xfId="21059"/>
    <cellStyle name="Separador de milhares 3 2 3 4 5 3 3 2" xfId="46126"/>
    <cellStyle name="Separador de milhares 3 2 3 4 5 3 4" xfId="15145"/>
    <cellStyle name="Separador de milhares 3 2 3 4 5 3 4 2" xfId="40212"/>
    <cellStyle name="Separador de milhares 3 2 3 4 5 3 5" xfId="34304"/>
    <cellStyle name="Separador de milhares 3 2 3 4 5 4" xfId="5384"/>
    <cellStyle name="Separador de milhares 3 2 3 4 5 4 2" xfId="24016"/>
    <cellStyle name="Separador de milhares 3 2 3 4 5 4 2 2" xfId="49083"/>
    <cellStyle name="Separador de milhares 3 2 3 4 5 4 3" xfId="31347"/>
    <cellStyle name="Separador de milhares 3 2 3 4 5 5" xfId="18102"/>
    <cellStyle name="Separador de milhares 3 2 3 4 5 5 2" xfId="43169"/>
    <cellStyle name="Separador de milhares 3 2 3 4 5 6" xfId="11771"/>
    <cellStyle name="Separador de milhares 3 2 3 4 5 6 2" xfId="37258"/>
    <cellStyle name="Separador de milhares 3 2 3 4 5 7" xfId="29877"/>
    <cellStyle name="Separador de milhares 3 2 3 4 6" xfId="2852"/>
    <cellStyle name="Separador de milhares 3 2 3 4 6 2" xfId="7230"/>
    <cellStyle name="Separador de milhares 3 2 3 4 6 2 2" xfId="10374"/>
    <cellStyle name="Separador de milhares 3 2 3 4 6 2 2 2" xfId="28588"/>
    <cellStyle name="Separador de milhares 3 2 3 4 6 2 2 2 2" xfId="53655"/>
    <cellStyle name="Separador de milhares 3 2 3 4 6 2 2 3" xfId="22674"/>
    <cellStyle name="Separador de milhares 3 2 3 4 6 2 2 3 2" xfId="47741"/>
    <cellStyle name="Separador de milhares 3 2 3 4 6 2 2 4" xfId="16760"/>
    <cellStyle name="Separador de milhares 3 2 3 4 6 2 2 4 2" xfId="41827"/>
    <cellStyle name="Separador de milhares 3 2 3 4 6 2 2 5" xfId="35919"/>
    <cellStyle name="Separador de milhares 3 2 3 4 6 2 3" xfId="25631"/>
    <cellStyle name="Separador de milhares 3 2 3 4 6 2 3 2" xfId="50698"/>
    <cellStyle name="Separador de milhares 3 2 3 4 6 2 4" xfId="19717"/>
    <cellStyle name="Separador de milhares 3 2 3 4 6 2 4 2" xfId="44784"/>
    <cellStyle name="Separador de milhares 3 2 3 4 6 2 5" xfId="13619"/>
    <cellStyle name="Separador de milhares 3 2 3 4 6 2 5 2" xfId="38873"/>
    <cellStyle name="Separador de milhares 3 2 3 4 6 2 6" xfId="32962"/>
    <cellStyle name="Separador de milhares 3 2 3 4 6 3" xfId="8906"/>
    <cellStyle name="Separador de milhares 3 2 3 4 6 3 2" xfId="27120"/>
    <cellStyle name="Separador de milhares 3 2 3 4 6 3 2 2" xfId="52187"/>
    <cellStyle name="Separador de milhares 3 2 3 4 6 3 3" xfId="21206"/>
    <cellStyle name="Separador de milhares 3 2 3 4 6 3 3 2" xfId="46273"/>
    <cellStyle name="Separador de milhares 3 2 3 4 6 3 4" xfId="15292"/>
    <cellStyle name="Separador de milhares 3 2 3 4 6 3 4 2" xfId="40359"/>
    <cellStyle name="Separador de milhares 3 2 3 4 6 3 5" xfId="34451"/>
    <cellStyle name="Separador de milhares 3 2 3 4 6 4" xfId="5531"/>
    <cellStyle name="Separador de milhares 3 2 3 4 6 4 2" xfId="24163"/>
    <cellStyle name="Separador de milhares 3 2 3 4 6 4 2 2" xfId="49230"/>
    <cellStyle name="Separador de milhares 3 2 3 4 6 4 3" xfId="31494"/>
    <cellStyle name="Separador de milhares 3 2 3 4 6 5" xfId="18249"/>
    <cellStyle name="Separador de milhares 3 2 3 4 6 5 2" xfId="43316"/>
    <cellStyle name="Separador de milhares 3 2 3 4 6 6" xfId="11918"/>
    <cellStyle name="Separador de milhares 3 2 3 4 6 6 2" xfId="37405"/>
    <cellStyle name="Separador de milhares 3 2 3 4 6 7" xfId="30024"/>
    <cellStyle name="Separador de milhares 3 2 3 4 7" xfId="3379"/>
    <cellStyle name="Separador de milhares 3 2 3 4 7 2" xfId="7377"/>
    <cellStyle name="Separador de milhares 3 2 3 4 7 2 2" xfId="10521"/>
    <cellStyle name="Separador de milhares 3 2 3 4 7 2 2 2" xfId="28735"/>
    <cellStyle name="Separador de milhares 3 2 3 4 7 2 2 2 2" xfId="53802"/>
    <cellStyle name="Separador de milhares 3 2 3 4 7 2 2 3" xfId="22821"/>
    <cellStyle name="Separador de milhares 3 2 3 4 7 2 2 3 2" xfId="47888"/>
    <cellStyle name="Separador de milhares 3 2 3 4 7 2 2 4" xfId="16907"/>
    <cellStyle name="Separador de milhares 3 2 3 4 7 2 2 4 2" xfId="41974"/>
    <cellStyle name="Separador de milhares 3 2 3 4 7 2 2 5" xfId="36066"/>
    <cellStyle name="Separador de milhares 3 2 3 4 7 2 3" xfId="25778"/>
    <cellStyle name="Separador de milhares 3 2 3 4 7 2 3 2" xfId="50845"/>
    <cellStyle name="Separador de milhares 3 2 3 4 7 2 4" xfId="19864"/>
    <cellStyle name="Separador de milhares 3 2 3 4 7 2 4 2" xfId="44931"/>
    <cellStyle name="Separador de milhares 3 2 3 4 7 2 5" xfId="13766"/>
    <cellStyle name="Separador de milhares 3 2 3 4 7 2 5 2" xfId="39020"/>
    <cellStyle name="Separador de milhares 3 2 3 4 7 2 6" xfId="33109"/>
    <cellStyle name="Separador de milhares 3 2 3 4 7 3" xfId="9053"/>
    <cellStyle name="Separador de milhares 3 2 3 4 7 3 2" xfId="27267"/>
    <cellStyle name="Separador de milhares 3 2 3 4 7 3 2 2" xfId="52334"/>
    <cellStyle name="Separador de milhares 3 2 3 4 7 3 3" xfId="21353"/>
    <cellStyle name="Separador de milhares 3 2 3 4 7 3 3 2" xfId="46420"/>
    <cellStyle name="Separador de milhares 3 2 3 4 7 3 4" xfId="15439"/>
    <cellStyle name="Separador de milhares 3 2 3 4 7 3 4 2" xfId="40506"/>
    <cellStyle name="Separador de milhares 3 2 3 4 7 3 5" xfId="34598"/>
    <cellStyle name="Separador de milhares 3 2 3 4 7 4" xfId="5678"/>
    <cellStyle name="Separador de milhares 3 2 3 4 7 4 2" xfId="24310"/>
    <cellStyle name="Separador de milhares 3 2 3 4 7 4 2 2" xfId="49377"/>
    <cellStyle name="Separador de milhares 3 2 3 4 7 4 3" xfId="31641"/>
    <cellStyle name="Separador de milhares 3 2 3 4 7 5" xfId="18396"/>
    <cellStyle name="Separador de milhares 3 2 3 4 7 5 2" xfId="43463"/>
    <cellStyle name="Separador de milhares 3 2 3 4 7 6" xfId="12065"/>
    <cellStyle name="Separador de milhares 3 2 3 4 7 6 2" xfId="37552"/>
    <cellStyle name="Separador de milhares 3 2 3 4 7 7" xfId="30171"/>
    <cellStyle name="Separador de milhares 3 2 3 4 8" xfId="3906"/>
    <cellStyle name="Separador de milhares 3 2 3 4 8 2" xfId="7524"/>
    <cellStyle name="Separador de milhares 3 2 3 4 8 2 2" xfId="10668"/>
    <cellStyle name="Separador de milhares 3 2 3 4 8 2 2 2" xfId="28882"/>
    <cellStyle name="Separador de milhares 3 2 3 4 8 2 2 2 2" xfId="53949"/>
    <cellStyle name="Separador de milhares 3 2 3 4 8 2 2 3" xfId="22968"/>
    <cellStyle name="Separador de milhares 3 2 3 4 8 2 2 3 2" xfId="48035"/>
    <cellStyle name="Separador de milhares 3 2 3 4 8 2 2 4" xfId="17054"/>
    <cellStyle name="Separador de milhares 3 2 3 4 8 2 2 4 2" xfId="42121"/>
    <cellStyle name="Separador de milhares 3 2 3 4 8 2 2 5" xfId="36213"/>
    <cellStyle name="Separador de milhares 3 2 3 4 8 2 3" xfId="25925"/>
    <cellStyle name="Separador de milhares 3 2 3 4 8 2 3 2" xfId="50992"/>
    <cellStyle name="Separador de milhares 3 2 3 4 8 2 4" xfId="20011"/>
    <cellStyle name="Separador de milhares 3 2 3 4 8 2 4 2" xfId="45078"/>
    <cellStyle name="Separador de milhares 3 2 3 4 8 2 5" xfId="13913"/>
    <cellStyle name="Separador de milhares 3 2 3 4 8 2 5 2" xfId="39167"/>
    <cellStyle name="Separador de milhares 3 2 3 4 8 2 6" xfId="33256"/>
    <cellStyle name="Separador de milhares 3 2 3 4 8 3" xfId="9200"/>
    <cellStyle name="Separador de milhares 3 2 3 4 8 3 2" xfId="27414"/>
    <cellStyle name="Separador de milhares 3 2 3 4 8 3 2 2" xfId="52481"/>
    <cellStyle name="Separador de milhares 3 2 3 4 8 3 3" xfId="21500"/>
    <cellStyle name="Separador de milhares 3 2 3 4 8 3 3 2" xfId="46567"/>
    <cellStyle name="Separador de milhares 3 2 3 4 8 3 4" xfId="15586"/>
    <cellStyle name="Separador de milhares 3 2 3 4 8 3 4 2" xfId="40653"/>
    <cellStyle name="Separador de milhares 3 2 3 4 8 3 5" xfId="34745"/>
    <cellStyle name="Separador de milhares 3 2 3 4 8 4" xfId="5825"/>
    <cellStyle name="Separador de milhares 3 2 3 4 8 4 2" xfId="24457"/>
    <cellStyle name="Separador de milhares 3 2 3 4 8 4 2 2" xfId="49524"/>
    <cellStyle name="Separador de milhares 3 2 3 4 8 4 3" xfId="31788"/>
    <cellStyle name="Separador de milhares 3 2 3 4 8 5" xfId="18543"/>
    <cellStyle name="Separador de milhares 3 2 3 4 8 5 2" xfId="43610"/>
    <cellStyle name="Separador de milhares 3 2 3 4 8 6" xfId="12212"/>
    <cellStyle name="Separador de milhares 3 2 3 4 8 6 2" xfId="37699"/>
    <cellStyle name="Separador de milhares 3 2 3 4 8 7" xfId="30318"/>
    <cellStyle name="Separador de milhares 3 2 3 4 9" xfId="683"/>
    <cellStyle name="Separador de milhares 3 2 3 4 9 2" xfId="6618"/>
    <cellStyle name="Separador de milhares 3 2 3 4 9 2 2" xfId="9765"/>
    <cellStyle name="Separador de milhares 3 2 3 4 9 2 2 2" xfId="27979"/>
    <cellStyle name="Separador de milhares 3 2 3 4 9 2 2 2 2" xfId="53046"/>
    <cellStyle name="Separador de milhares 3 2 3 4 9 2 2 3" xfId="22065"/>
    <cellStyle name="Separador de milhares 3 2 3 4 9 2 2 3 2" xfId="47132"/>
    <cellStyle name="Separador de milhares 3 2 3 4 9 2 2 4" xfId="16151"/>
    <cellStyle name="Separador de milhares 3 2 3 4 9 2 2 4 2" xfId="41218"/>
    <cellStyle name="Separador de milhares 3 2 3 4 9 2 2 5" xfId="35310"/>
    <cellStyle name="Separador de milhares 3 2 3 4 9 2 3" xfId="25022"/>
    <cellStyle name="Separador de milhares 3 2 3 4 9 2 3 2" xfId="50089"/>
    <cellStyle name="Separador de milhares 3 2 3 4 9 2 4" xfId="19108"/>
    <cellStyle name="Separador de milhares 3 2 3 4 9 2 4 2" xfId="44175"/>
    <cellStyle name="Separador de milhares 3 2 3 4 9 2 5" xfId="13007"/>
    <cellStyle name="Separador de milhares 3 2 3 4 9 2 5 2" xfId="38264"/>
    <cellStyle name="Separador de milhares 3 2 3 4 9 2 6" xfId="32353"/>
    <cellStyle name="Separador de milhares 3 2 3 4 9 3" xfId="8297"/>
    <cellStyle name="Separador de milhares 3 2 3 4 9 3 2" xfId="26511"/>
    <cellStyle name="Separador de milhares 3 2 3 4 9 3 2 2" xfId="51578"/>
    <cellStyle name="Separador de milhares 3 2 3 4 9 3 3" xfId="20597"/>
    <cellStyle name="Separador de milhares 3 2 3 4 9 3 3 2" xfId="45664"/>
    <cellStyle name="Separador de milhares 3 2 3 4 9 3 4" xfId="14683"/>
    <cellStyle name="Separador de milhares 3 2 3 4 9 3 4 2" xfId="39750"/>
    <cellStyle name="Separador de milhares 3 2 3 4 9 3 5" xfId="33842"/>
    <cellStyle name="Separador de milhares 3 2 3 4 9 4" xfId="4919"/>
    <cellStyle name="Separador de milhares 3 2 3 4 9 4 2" xfId="23554"/>
    <cellStyle name="Separador de milhares 3 2 3 4 9 4 2 2" xfId="48621"/>
    <cellStyle name="Separador de milhares 3 2 3 4 9 4 3" xfId="30885"/>
    <cellStyle name="Separador de milhares 3 2 3 4 9 5" xfId="17640"/>
    <cellStyle name="Separador de milhares 3 2 3 4 9 5 2" xfId="42707"/>
    <cellStyle name="Separador de milhares 3 2 3 4 9 6" xfId="11306"/>
    <cellStyle name="Separador de milhares 3 2 3 4 9 6 2" xfId="36796"/>
    <cellStyle name="Separador de milhares 3 2 3 4 9 7" xfId="29415"/>
    <cellStyle name="Separador de milhares 3 2 3 5" xfId="621"/>
    <cellStyle name="Separador de milhares 3 2 3 5 10" xfId="4883"/>
    <cellStyle name="Separador de milhares 3 2 3 5 10 2" xfId="23517"/>
    <cellStyle name="Separador de milhares 3 2 3 5 10 2 2" xfId="48584"/>
    <cellStyle name="Separador de milhares 3 2 3 5 10 3" xfId="30849"/>
    <cellStyle name="Separador de milhares 3 2 3 5 11" xfId="17603"/>
    <cellStyle name="Separador de milhares 3 2 3 5 11 2" xfId="42670"/>
    <cellStyle name="Separador de milhares 3 2 3 5 12" xfId="11272"/>
    <cellStyle name="Separador de milhares 3 2 3 5 12 2" xfId="36762"/>
    <cellStyle name="Separador de milhares 3 2 3 5 13" xfId="29378"/>
    <cellStyle name="Separador de milhares 3 2 3 5 2" xfId="1444"/>
    <cellStyle name="Separador de milhares 3 2 3 5 2 2" xfId="6835"/>
    <cellStyle name="Separador de milhares 3 2 3 5 2 2 2" xfId="9982"/>
    <cellStyle name="Separador de milhares 3 2 3 5 2 2 2 2" xfId="28196"/>
    <cellStyle name="Separador de milhares 3 2 3 5 2 2 2 2 2" xfId="53263"/>
    <cellStyle name="Separador de milhares 3 2 3 5 2 2 2 3" xfId="22282"/>
    <cellStyle name="Separador de milhares 3 2 3 5 2 2 2 3 2" xfId="47349"/>
    <cellStyle name="Separador de milhares 3 2 3 5 2 2 2 4" xfId="16368"/>
    <cellStyle name="Separador de milhares 3 2 3 5 2 2 2 4 2" xfId="41435"/>
    <cellStyle name="Separador de milhares 3 2 3 5 2 2 2 5" xfId="35527"/>
    <cellStyle name="Separador de milhares 3 2 3 5 2 2 3" xfId="25239"/>
    <cellStyle name="Separador de milhares 3 2 3 5 2 2 3 2" xfId="50306"/>
    <cellStyle name="Separador de milhares 3 2 3 5 2 2 4" xfId="19325"/>
    <cellStyle name="Separador de milhares 3 2 3 5 2 2 4 2" xfId="44392"/>
    <cellStyle name="Separador de milhares 3 2 3 5 2 2 5" xfId="13224"/>
    <cellStyle name="Separador de milhares 3 2 3 5 2 2 5 2" xfId="38481"/>
    <cellStyle name="Separador de milhares 3 2 3 5 2 2 6" xfId="32570"/>
    <cellStyle name="Separador de milhares 3 2 3 5 2 3" xfId="8514"/>
    <cellStyle name="Separador de milhares 3 2 3 5 2 3 2" xfId="26728"/>
    <cellStyle name="Separador de milhares 3 2 3 5 2 3 2 2" xfId="51795"/>
    <cellStyle name="Separador de milhares 3 2 3 5 2 3 3" xfId="20814"/>
    <cellStyle name="Separador de milhares 3 2 3 5 2 3 3 2" xfId="45881"/>
    <cellStyle name="Separador de milhares 3 2 3 5 2 3 4" xfId="14900"/>
    <cellStyle name="Separador de milhares 3 2 3 5 2 3 4 2" xfId="39967"/>
    <cellStyle name="Separador de milhares 3 2 3 5 2 3 5" xfId="34059"/>
    <cellStyle name="Separador de milhares 3 2 3 5 2 4" xfId="5136"/>
    <cellStyle name="Separador de milhares 3 2 3 5 2 4 2" xfId="23771"/>
    <cellStyle name="Separador de milhares 3 2 3 5 2 4 2 2" xfId="48838"/>
    <cellStyle name="Separador de milhares 3 2 3 5 2 4 3" xfId="31102"/>
    <cellStyle name="Separador de milhares 3 2 3 5 2 5" xfId="17857"/>
    <cellStyle name="Separador de milhares 3 2 3 5 2 5 2" xfId="42924"/>
    <cellStyle name="Separador de milhares 3 2 3 5 2 6" xfId="11523"/>
    <cellStyle name="Separador de milhares 3 2 3 5 2 6 2" xfId="37013"/>
    <cellStyle name="Separador de milhares 3 2 3 5 2 7" xfId="29632"/>
    <cellStyle name="Separador de milhares 3 2 3 5 3" xfId="1879"/>
    <cellStyle name="Separador de milhares 3 2 3 5 3 2" xfId="6954"/>
    <cellStyle name="Separador de milhares 3 2 3 5 3 2 2" xfId="10101"/>
    <cellStyle name="Separador de milhares 3 2 3 5 3 2 2 2" xfId="28315"/>
    <cellStyle name="Separador de milhares 3 2 3 5 3 2 2 2 2" xfId="53382"/>
    <cellStyle name="Separador de milhares 3 2 3 5 3 2 2 3" xfId="22401"/>
    <cellStyle name="Separador de milhares 3 2 3 5 3 2 2 3 2" xfId="47468"/>
    <cellStyle name="Separador de milhares 3 2 3 5 3 2 2 4" xfId="16487"/>
    <cellStyle name="Separador de milhares 3 2 3 5 3 2 2 4 2" xfId="41554"/>
    <cellStyle name="Separador de milhares 3 2 3 5 3 2 2 5" xfId="35646"/>
    <cellStyle name="Separador de milhares 3 2 3 5 3 2 3" xfId="25358"/>
    <cellStyle name="Separador de milhares 3 2 3 5 3 2 3 2" xfId="50425"/>
    <cellStyle name="Separador de milhares 3 2 3 5 3 2 4" xfId="19444"/>
    <cellStyle name="Separador de milhares 3 2 3 5 3 2 4 2" xfId="44511"/>
    <cellStyle name="Separador de milhares 3 2 3 5 3 2 5" xfId="13343"/>
    <cellStyle name="Separador de milhares 3 2 3 5 3 2 5 2" xfId="38600"/>
    <cellStyle name="Separador de milhares 3 2 3 5 3 2 6" xfId="32689"/>
    <cellStyle name="Separador de milhares 3 2 3 5 3 3" xfId="8633"/>
    <cellStyle name="Separador de milhares 3 2 3 5 3 3 2" xfId="26847"/>
    <cellStyle name="Separador de milhares 3 2 3 5 3 3 2 2" xfId="51914"/>
    <cellStyle name="Separador de milhares 3 2 3 5 3 3 3" xfId="20933"/>
    <cellStyle name="Separador de milhares 3 2 3 5 3 3 3 2" xfId="46000"/>
    <cellStyle name="Separador de milhares 3 2 3 5 3 3 4" xfId="15019"/>
    <cellStyle name="Separador de milhares 3 2 3 5 3 3 4 2" xfId="40086"/>
    <cellStyle name="Separador de milhares 3 2 3 5 3 3 5" xfId="34178"/>
    <cellStyle name="Separador de milhares 3 2 3 5 3 4" xfId="5255"/>
    <cellStyle name="Separador de milhares 3 2 3 5 3 4 2" xfId="23890"/>
    <cellStyle name="Separador de milhares 3 2 3 5 3 4 2 2" xfId="48957"/>
    <cellStyle name="Separador de milhares 3 2 3 5 3 4 3" xfId="31221"/>
    <cellStyle name="Separador de milhares 3 2 3 5 3 5" xfId="17976"/>
    <cellStyle name="Separador de milhares 3 2 3 5 3 5 2" xfId="43043"/>
    <cellStyle name="Separador de milhares 3 2 3 5 3 6" xfId="11642"/>
    <cellStyle name="Separador de milhares 3 2 3 5 3 6 2" xfId="37132"/>
    <cellStyle name="Separador de milhares 3 2 3 5 3 7" xfId="29751"/>
    <cellStyle name="Separador de milhares 3 2 3 5 4" xfId="2409"/>
    <cellStyle name="Separador de milhares 3 2 3 5 4 2" xfId="7104"/>
    <cellStyle name="Separador de milhares 3 2 3 5 4 2 2" xfId="10248"/>
    <cellStyle name="Separador de milhares 3 2 3 5 4 2 2 2" xfId="28462"/>
    <cellStyle name="Separador de milhares 3 2 3 5 4 2 2 2 2" xfId="53529"/>
    <cellStyle name="Separador de milhares 3 2 3 5 4 2 2 3" xfId="22548"/>
    <cellStyle name="Separador de milhares 3 2 3 5 4 2 2 3 2" xfId="47615"/>
    <cellStyle name="Separador de milhares 3 2 3 5 4 2 2 4" xfId="16634"/>
    <cellStyle name="Separador de milhares 3 2 3 5 4 2 2 4 2" xfId="41701"/>
    <cellStyle name="Separador de milhares 3 2 3 5 4 2 2 5" xfId="35793"/>
    <cellStyle name="Separador de milhares 3 2 3 5 4 2 3" xfId="25505"/>
    <cellStyle name="Separador de milhares 3 2 3 5 4 2 3 2" xfId="50572"/>
    <cellStyle name="Separador de milhares 3 2 3 5 4 2 4" xfId="19591"/>
    <cellStyle name="Separador de milhares 3 2 3 5 4 2 4 2" xfId="44658"/>
    <cellStyle name="Separador de milhares 3 2 3 5 4 2 5" xfId="13493"/>
    <cellStyle name="Separador de milhares 3 2 3 5 4 2 5 2" xfId="38747"/>
    <cellStyle name="Separador de milhares 3 2 3 5 4 2 6" xfId="32836"/>
    <cellStyle name="Separador de milhares 3 2 3 5 4 3" xfId="8780"/>
    <cellStyle name="Separador de milhares 3 2 3 5 4 3 2" xfId="26994"/>
    <cellStyle name="Separador de milhares 3 2 3 5 4 3 2 2" xfId="52061"/>
    <cellStyle name="Separador de milhares 3 2 3 5 4 3 3" xfId="21080"/>
    <cellStyle name="Separador de milhares 3 2 3 5 4 3 3 2" xfId="46147"/>
    <cellStyle name="Separador de milhares 3 2 3 5 4 3 4" xfId="15166"/>
    <cellStyle name="Separador de milhares 3 2 3 5 4 3 4 2" xfId="40233"/>
    <cellStyle name="Separador de milhares 3 2 3 5 4 3 5" xfId="34325"/>
    <cellStyle name="Separador de milhares 3 2 3 5 4 4" xfId="5405"/>
    <cellStyle name="Separador de milhares 3 2 3 5 4 4 2" xfId="24037"/>
    <cellStyle name="Separador de milhares 3 2 3 5 4 4 2 2" xfId="49104"/>
    <cellStyle name="Separador de milhares 3 2 3 5 4 4 3" xfId="31368"/>
    <cellStyle name="Separador de milhares 3 2 3 5 4 5" xfId="18123"/>
    <cellStyle name="Separador de milhares 3 2 3 5 4 5 2" xfId="43190"/>
    <cellStyle name="Separador de milhares 3 2 3 5 4 6" xfId="11792"/>
    <cellStyle name="Separador de milhares 3 2 3 5 4 6 2" xfId="37279"/>
    <cellStyle name="Separador de milhares 3 2 3 5 4 7" xfId="29898"/>
    <cellStyle name="Separador de milhares 3 2 3 5 5" xfId="2936"/>
    <cellStyle name="Separador de milhares 3 2 3 5 5 2" xfId="7251"/>
    <cellStyle name="Separador de milhares 3 2 3 5 5 2 2" xfId="10395"/>
    <cellStyle name="Separador de milhares 3 2 3 5 5 2 2 2" xfId="28609"/>
    <cellStyle name="Separador de milhares 3 2 3 5 5 2 2 2 2" xfId="53676"/>
    <cellStyle name="Separador de milhares 3 2 3 5 5 2 2 3" xfId="22695"/>
    <cellStyle name="Separador de milhares 3 2 3 5 5 2 2 3 2" xfId="47762"/>
    <cellStyle name="Separador de milhares 3 2 3 5 5 2 2 4" xfId="16781"/>
    <cellStyle name="Separador de milhares 3 2 3 5 5 2 2 4 2" xfId="41848"/>
    <cellStyle name="Separador de milhares 3 2 3 5 5 2 2 5" xfId="35940"/>
    <cellStyle name="Separador de milhares 3 2 3 5 5 2 3" xfId="25652"/>
    <cellStyle name="Separador de milhares 3 2 3 5 5 2 3 2" xfId="50719"/>
    <cellStyle name="Separador de milhares 3 2 3 5 5 2 4" xfId="19738"/>
    <cellStyle name="Separador de milhares 3 2 3 5 5 2 4 2" xfId="44805"/>
    <cellStyle name="Separador de milhares 3 2 3 5 5 2 5" xfId="13640"/>
    <cellStyle name="Separador de milhares 3 2 3 5 5 2 5 2" xfId="38894"/>
    <cellStyle name="Separador de milhares 3 2 3 5 5 2 6" xfId="32983"/>
    <cellStyle name="Separador de milhares 3 2 3 5 5 3" xfId="8927"/>
    <cellStyle name="Separador de milhares 3 2 3 5 5 3 2" xfId="27141"/>
    <cellStyle name="Separador de milhares 3 2 3 5 5 3 2 2" xfId="52208"/>
    <cellStyle name="Separador de milhares 3 2 3 5 5 3 3" xfId="21227"/>
    <cellStyle name="Separador de milhares 3 2 3 5 5 3 3 2" xfId="46294"/>
    <cellStyle name="Separador de milhares 3 2 3 5 5 3 4" xfId="15313"/>
    <cellStyle name="Separador de milhares 3 2 3 5 5 3 4 2" xfId="40380"/>
    <cellStyle name="Separador de milhares 3 2 3 5 5 3 5" xfId="34472"/>
    <cellStyle name="Separador de milhares 3 2 3 5 5 4" xfId="5552"/>
    <cellStyle name="Separador de milhares 3 2 3 5 5 4 2" xfId="24184"/>
    <cellStyle name="Separador de milhares 3 2 3 5 5 4 2 2" xfId="49251"/>
    <cellStyle name="Separador de milhares 3 2 3 5 5 4 3" xfId="31515"/>
    <cellStyle name="Separador de milhares 3 2 3 5 5 5" xfId="18270"/>
    <cellStyle name="Separador de milhares 3 2 3 5 5 5 2" xfId="43337"/>
    <cellStyle name="Separador de milhares 3 2 3 5 5 6" xfId="11939"/>
    <cellStyle name="Separador de milhares 3 2 3 5 5 6 2" xfId="37426"/>
    <cellStyle name="Separador de milhares 3 2 3 5 5 7" xfId="30045"/>
    <cellStyle name="Separador de milhares 3 2 3 5 6" xfId="3463"/>
    <cellStyle name="Separador de milhares 3 2 3 5 6 2" xfId="7398"/>
    <cellStyle name="Separador de milhares 3 2 3 5 6 2 2" xfId="10542"/>
    <cellStyle name="Separador de milhares 3 2 3 5 6 2 2 2" xfId="28756"/>
    <cellStyle name="Separador de milhares 3 2 3 5 6 2 2 2 2" xfId="53823"/>
    <cellStyle name="Separador de milhares 3 2 3 5 6 2 2 3" xfId="22842"/>
    <cellStyle name="Separador de milhares 3 2 3 5 6 2 2 3 2" xfId="47909"/>
    <cellStyle name="Separador de milhares 3 2 3 5 6 2 2 4" xfId="16928"/>
    <cellStyle name="Separador de milhares 3 2 3 5 6 2 2 4 2" xfId="41995"/>
    <cellStyle name="Separador de milhares 3 2 3 5 6 2 2 5" xfId="36087"/>
    <cellStyle name="Separador de milhares 3 2 3 5 6 2 3" xfId="25799"/>
    <cellStyle name="Separador de milhares 3 2 3 5 6 2 3 2" xfId="50866"/>
    <cellStyle name="Separador de milhares 3 2 3 5 6 2 4" xfId="19885"/>
    <cellStyle name="Separador de milhares 3 2 3 5 6 2 4 2" xfId="44952"/>
    <cellStyle name="Separador de milhares 3 2 3 5 6 2 5" xfId="13787"/>
    <cellStyle name="Separador de milhares 3 2 3 5 6 2 5 2" xfId="39041"/>
    <cellStyle name="Separador de milhares 3 2 3 5 6 2 6" xfId="33130"/>
    <cellStyle name="Separador de milhares 3 2 3 5 6 3" xfId="9074"/>
    <cellStyle name="Separador de milhares 3 2 3 5 6 3 2" xfId="27288"/>
    <cellStyle name="Separador de milhares 3 2 3 5 6 3 2 2" xfId="52355"/>
    <cellStyle name="Separador de milhares 3 2 3 5 6 3 3" xfId="21374"/>
    <cellStyle name="Separador de milhares 3 2 3 5 6 3 3 2" xfId="46441"/>
    <cellStyle name="Separador de milhares 3 2 3 5 6 3 4" xfId="15460"/>
    <cellStyle name="Separador de milhares 3 2 3 5 6 3 4 2" xfId="40527"/>
    <cellStyle name="Separador de milhares 3 2 3 5 6 3 5" xfId="34619"/>
    <cellStyle name="Separador de milhares 3 2 3 5 6 4" xfId="5699"/>
    <cellStyle name="Separador de milhares 3 2 3 5 6 4 2" xfId="24331"/>
    <cellStyle name="Separador de milhares 3 2 3 5 6 4 2 2" xfId="49398"/>
    <cellStyle name="Separador de milhares 3 2 3 5 6 4 3" xfId="31662"/>
    <cellStyle name="Separador de milhares 3 2 3 5 6 5" xfId="18417"/>
    <cellStyle name="Separador de milhares 3 2 3 5 6 5 2" xfId="43484"/>
    <cellStyle name="Separador de milhares 3 2 3 5 6 6" xfId="12086"/>
    <cellStyle name="Separador de milhares 3 2 3 5 6 6 2" xfId="37573"/>
    <cellStyle name="Separador de milhares 3 2 3 5 6 7" xfId="30192"/>
    <cellStyle name="Separador de milhares 3 2 3 5 7" xfId="3990"/>
    <cellStyle name="Separador de milhares 3 2 3 5 7 2" xfId="7545"/>
    <cellStyle name="Separador de milhares 3 2 3 5 7 2 2" xfId="10689"/>
    <cellStyle name="Separador de milhares 3 2 3 5 7 2 2 2" xfId="28903"/>
    <cellStyle name="Separador de milhares 3 2 3 5 7 2 2 2 2" xfId="53970"/>
    <cellStyle name="Separador de milhares 3 2 3 5 7 2 2 3" xfId="22989"/>
    <cellStyle name="Separador de milhares 3 2 3 5 7 2 2 3 2" xfId="48056"/>
    <cellStyle name="Separador de milhares 3 2 3 5 7 2 2 4" xfId="17075"/>
    <cellStyle name="Separador de milhares 3 2 3 5 7 2 2 4 2" xfId="42142"/>
    <cellStyle name="Separador de milhares 3 2 3 5 7 2 2 5" xfId="36234"/>
    <cellStyle name="Separador de milhares 3 2 3 5 7 2 3" xfId="25946"/>
    <cellStyle name="Separador de milhares 3 2 3 5 7 2 3 2" xfId="51013"/>
    <cellStyle name="Separador de milhares 3 2 3 5 7 2 4" xfId="20032"/>
    <cellStyle name="Separador de milhares 3 2 3 5 7 2 4 2" xfId="45099"/>
    <cellStyle name="Separador de milhares 3 2 3 5 7 2 5" xfId="13934"/>
    <cellStyle name="Separador de milhares 3 2 3 5 7 2 5 2" xfId="39188"/>
    <cellStyle name="Separador de milhares 3 2 3 5 7 2 6" xfId="33277"/>
    <cellStyle name="Separador de milhares 3 2 3 5 7 3" xfId="9221"/>
    <cellStyle name="Separador de milhares 3 2 3 5 7 3 2" xfId="27435"/>
    <cellStyle name="Separador de milhares 3 2 3 5 7 3 2 2" xfId="52502"/>
    <cellStyle name="Separador de milhares 3 2 3 5 7 3 3" xfId="21521"/>
    <cellStyle name="Separador de milhares 3 2 3 5 7 3 3 2" xfId="46588"/>
    <cellStyle name="Separador de milhares 3 2 3 5 7 3 4" xfId="15607"/>
    <cellStyle name="Separador de milhares 3 2 3 5 7 3 4 2" xfId="40674"/>
    <cellStyle name="Separador de milhares 3 2 3 5 7 3 5" xfId="34766"/>
    <cellStyle name="Separador de milhares 3 2 3 5 7 4" xfId="5846"/>
    <cellStyle name="Separador de milhares 3 2 3 5 7 4 2" xfId="24478"/>
    <cellStyle name="Separador de milhares 3 2 3 5 7 4 2 2" xfId="49545"/>
    <cellStyle name="Separador de milhares 3 2 3 5 7 4 3" xfId="31809"/>
    <cellStyle name="Separador de milhares 3 2 3 5 7 5" xfId="18564"/>
    <cellStyle name="Separador de milhares 3 2 3 5 7 5 2" xfId="43631"/>
    <cellStyle name="Separador de milhares 3 2 3 5 7 6" xfId="12233"/>
    <cellStyle name="Separador de milhares 3 2 3 5 7 6 2" xfId="37720"/>
    <cellStyle name="Separador de milhares 3 2 3 5 7 7" xfId="30339"/>
    <cellStyle name="Separador de milhares 3 2 3 5 8" xfId="6584"/>
    <cellStyle name="Separador de milhares 3 2 3 5 8 2" xfId="9731"/>
    <cellStyle name="Separador de milhares 3 2 3 5 8 2 2" xfId="27945"/>
    <cellStyle name="Separador de milhares 3 2 3 5 8 2 2 2" xfId="53012"/>
    <cellStyle name="Separador de milhares 3 2 3 5 8 2 3" xfId="22031"/>
    <cellStyle name="Separador de milhares 3 2 3 5 8 2 3 2" xfId="47098"/>
    <cellStyle name="Separador de milhares 3 2 3 5 8 2 4" xfId="16117"/>
    <cellStyle name="Separador de milhares 3 2 3 5 8 2 4 2" xfId="41184"/>
    <cellStyle name="Separador de milhares 3 2 3 5 8 2 5" xfId="35276"/>
    <cellStyle name="Separador de milhares 3 2 3 5 8 3" xfId="24988"/>
    <cellStyle name="Separador de milhares 3 2 3 5 8 3 2" xfId="50055"/>
    <cellStyle name="Separador de milhares 3 2 3 5 8 4" xfId="19074"/>
    <cellStyle name="Separador de milhares 3 2 3 5 8 4 2" xfId="44141"/>
    <cellStyle name="Separador de milhares 3 2 3 5 8 5" xfId="12973"/>
    <cellStyle name="Separador de milhares 3 2 3 5 8 5 2" xfId="38230"/>
    <cellStyle name="Separador de milhares 3 2 3 5 8 6" xfId="32319"/>
    <cellStyle name="Separador de milhares 3 2 3 5 9" xfId="8260"/>
    <cellStyle name="Separador de milhares 3 2 3 5 9 2" xfId="26474"/>
    <cellStyle name="Separador de milhares 3 2 3 5 9 2 2" xfId="51541"/>
    <cellStyle name="Separador de milhares 3 2 3 5 9 3" xfId="20560"/>
    <cellStyle name="Separador de milhares 3 2 3 5 9 3 2" xfId="45627"/>
    <cellStyle name="Separador de milhares 3 2 3 5 9 4" xfId="14649"/>
    <cellStyle name="Separador de milhares 3 2 3 5 9 4 2" xfId="39716"/>
    <cellStyle name="Separador de milhares 3 2 3 5 9 5" xfId="33805"/>
    <cellStyle name="Separador de milhares 3 2 3 6" xfId="742"/>
    <cellStyle name="Separador de milhares 3 2 3 6 2" xfId="4166"/>
    <cellStyle name="Separador de milhares 3 2 3 6 2 2" xfId="7594"/>
    <cellStyle name="Separador de milhares 3 2 3 6 2 2 2" xfId="10738"/>
    <cellStyle name="Separador de milhares 3 2 3 6 2 2 2 2" xfId="28952"/>
    <cellStyle name="Separador de milhares 3 2 3 6 2 2 2 2 2" xfId="54019"/>
    <cellStyle name="Separador de milhares 3 2 3 6 2 2 2 3" xfId="23038"/>
    <cellStyle name="Separador de milhares 3 2 3 6 2 2 2 3 2" xfId="48105"/>
    <cellStyle name="Separador de milhares 3 2 3 6 2 2 2 4" xfId="17124"/>
    <cellStyle name="Separador de milhares 3 2 3 6 2 2 2 4 2" xfId="42191"/>
    <cellStyle name="Separador de milhares 3 2 3 6 2 2 2 5" xfId="36283"/>
    <cellStyle name="Separador de milhares 3 2 3 6 2 2 3" xfId="25995"/>
    <cellStyle name="Separador de milhares 3 2 3 6 2 2 3 2" xfId="51062"/>
    <cellStyle name="Separador de milhares 3 2 3 6 2 2 4" xfId="20081"/>
    <cellStyle name="Separador de milhares 3 2 3 6 2 2 4 2" xfId="45148"/>
    <cellStyle name="Separador de milhares 3 2 3 6 2 2 5" xfId="13983"/>
    <cellStyle name="Separador de milhares 3 2 3 6 2 2 5 2" xfId="39237"/>
    <cellStyle name="Separador de milhares 3 2 3 6 2 2 6" xfId="33326"/>
    <cellStyle name="Separador de milhares 3 2 3 6 2 3" xfId="9270"/>
    <cellStyle name="Separador de milhares 3 2 3 6 2 3 2" xfId="27484"/>
    <cellStyle name="Separador de milhares 3 2 3 6 2 3 2 2" xfId="52551"/>
    <cellStyle name="Separador de milhares 3 2 3 6 2 3 3" xfId="21570"/>
    <cellStyle name="Separador de milhares 3 2 3 6 2 3 3 2" xfId="46637"/>
    <cellStyle name="Separador de milhares 3 2 3 6 2 3 4" xfId="15656"/>
    <cellStyle name="Separador de milhares 3 2 3 6 2 3 4 2" xfId="40723"/>
    <cellStyle name="Separador de milhares 3 2 3 6 2 3 5" xfId="34815"/>
    <cellStyle name="Separador de milhares 3 2 3 6 2 4" xfId="5895"/>
    <cellStyle name="Separador de milhares 3 2 3 6 2 4 2" xfId="24527"/>
    <cellStyle name="Separador de milhares 3 2 3 6 2 4 2 2" xfId="49594"/>
    <cellStyle name="Separador de milhares 3 2 3 6 2 4 3" xfId="31858"/>
    <cellStyle name="Separador de milhares 3 2 3 6 2 5" xfId="18613"/>
    <cellStyle name="Separador de milhares 3 2 3 6 2 5 2" xfId="43680"/>
    <cellStyle name="Separador de milhares 3 2 3 6 2 6" xfId="12282"/>
    <cellStyle name="Separador de milhares 3 2 3 6 2 6 2" xfId="37769"/>
    <cellStyle name="Separador de milhares 3 2 3 6 2 7" xfId="30388"/>
    <cellStyle name="Separador de milhares 3 2 3 6 3" xfId="6639"/>
    <cellStyle name="Separador de milhares 3 2 3 6 3 2" xfId="9786"/>
    <cellStyle name="Separador de milhares 3 2 3 6 3 2 2" xfId="28000"/>
    <cellStyle name="Separador de milhares 3 2 3 6 3 2 2 2" xfId="53067"/>
    <cellStyle name="Separador de milhares 3 2 3 6 3 2 3" xfId="22086"/>
    <cellStyle name="Separador de milhares 3 2 3 6 3 2 3 2" xfId="47153"/>
    <cellStyle name="Separador de milhares 3 2 3 6 3 2 4" xfId="16172"/>
    <cellStyle name="Separador de milhares 3 2 3 6 3 2 4 2" xfId="41239"/>
    <cellStyle name="Separador de milhares 3 2 3 6 3 2 5" xfId="35331"/>
    <cellStyle name="Separador de milhares 3 2 3 6 3 3" xfId="25043"/>
    <cellStyle name="Separador de milhares 3 2 3 6 3 3 2" xfId="50110"/>
    <cellStyle name="Separador de milhares 3 2 3 6 3 4" xfId="19129"/>
    <cellStyle name="Separador de milhares 3 2 3 6 3 4 2" xfId="44196"/>
    <cellStyle name="Separador de milhares 3 2 3 6 3 5" xfId="13028"/>
    <cellStyle name="Separador de milhares 3 2 3 6 3 5 2" xfId="38285"/>
    <cellStyle name="Separador de milhares 3 2 3 6 3 6" xfId="32374"/>
    <cellStyle name="Separador de milhares 3 2 3 6 4" xfId="8318"/>
    <cellStyle name="Separador de milhares 3 2 3 6 4 2" xfId="26532"/>
    <cellStyle name="Separador de milhares 3 2 3 6 4 2 2" xfId="51599"/>
    <cellStyle name="Separador de milhares 3 2 3 6 4 3" xfId="20618"/>
    <cellStyle name="Separador de milhares 3 2 3 6 4 3 2" xfId="45685"/>
    <cellStyle name="Separador de milhares 3 2 3 6 4 4" xfId="14704"/>
    <cellStyle name="Separador de milhares 3 2 3 6 4 4 2" xfId="39771"/>
    <cellStyle name="Separador de milhares 3 2 3 6 4 5" xfId="33863"/>
    <cellStyle name="Separador de milhares 3 2 3 6 5" xfId="4940"/>
    <cellStyle name="Separador de milhares 3 2 3 6 5 2" xfId="23575"/>
    <cellStyle name="Separador de milhares 3 2 3 6 5 2 2" xfId="48642"/>
    <cellStyle name="Separador de milhares 3 2 3 6 5 3" xfId="30906"/>
    <cellStyle name="Separador de milhares 3 2 3 6 6" xfId="17661"/>
    <cellStyle name="Separador de milhares 3 2 3 6 6 2" xfId="42728"/>
    <cellStyle name="Separador de milhares 3 2 3 6 7" xfId="11327"/>
    <cellStyle name="Separador de milhares 3 2 3 6 7 2" xfId="36817"/>
    <cellStyle name="Separador de milhares 3 2 3 6 8" xfId="29436"/>
    <cellStyle name="Separador de milhares 3 2 3 7" xfId="1093"/>
    <cellStyle name="Separador de milhares 3 2 3 7 2" xfId="6737"/>
    <cellStyle name="Separador de milhares 3 2 3 7 2 2" xfId="9884"/>
    <cellStyle name="Separador de milhares 3 2 3 7 2 2 2" xfId="28098"/>
    <cellStyle name="Separador de milhares 3 2 3 7 2 2 2 2" xfId="53165"/>
    <cellStyle name="Separador de milhares 3 2 3 7 2 2 3" xfId="22184"/>
    <cellStyle name="Separador de milhares 3 2 3 7 2 2 3 2" xfId="47251"/>
    <cellStyle name="Separador de milhares 3 2 3 7 2 2 4" xfId="16270"/>
    <cellStyle name="Separador de milhares 3 2 3 7 2 2 4 2" xfId="41337"/>
    <cellStyle name="Separador de milhares 3 2 3 7 2 2 5" xfId="35429"/>
    <cellStyle name="Separador de milhares 3 2 3 7 2 3" xfId="25141"/>
    <cellStyle name="Separador de milhares 3 2 3 7 2 3 2" xfId="50208"/>
    <cellStyle name="Separador de milhares 3 2 3 7 2 4" xfId="19227"/>
    <cellStyle name="Separador de milhares 3 2 3 7 2 4 2" xfId="44294"/>
    <cellStyle name="Separador de milhares 3 2 3 7 2 5" xfId="13126"/>
    <cellStyle name="Separador de milhares 3 2 3 7 2 5 2" xfId="38383"/>
    <cellStyle name="Separador de milhares 3 2 3 7 2 6" xfId="32472"/>
    <cellStyle name="Separador de milhares 3 2 3 7 3" xfId="8416"/>
    <cellStyle name="Separador de milhares 3 2 3 7 3 2" xfId="26630"/>
    <cellStyle name="Separador de milhares 3 2 3 7 3 2 2" xfId="51697"/>
    <cellStyle name="Separador de milhares 3 2 3 7 3 3" xfId="20716"/>
    <cellStyle name="Separador de milhares 3 2 3 7 3 3 2" xfId="45783"/>
    <cellStyle name="Separador de milhares 3 2 3 7 3 4" xfId="14802"/>
    <cellStyle name="Separador de milhares 3 2 3 7 3 4 2" xfId="39869"/>
    <cellStyle name="Separador de milhares 3 2 3 7 3 5" xfId="33961"/>
    <cellStyle name="Separador de milhares 3 2 3 7 4" xfId="5038"/>
    <cellStyle name="Separador de milhares 3 2 3 7 4 2" xfId="23673"/>
    <cellStyle name="Separador de milhares 3 2 3 7 4 2 2" xfId="48740"/>
    <cellStyle name="Separador de milhares 3 2 3 7 4 3" xfId="31004"/>
    <cellStyle name="Separador de milhares 3 2 3 7 5" xfId="17759"/>
    <cellStyle name="Separador de milhares 3 2 3 7 5 2" xfId="42826"/>
    <cellStyle name="Separador de milhares 3 2 3 7 6" xfId="11425"/>
    <cellStyle name="Separador de milhares 3 2 3 7 6 2" xfId="36915"/>
    <cellStyle name="Separador de milhares 3 2 3 7 7" xfId="29534"/>
    <cellStyle name="Separador de milhares 3 2 3 8" xfId="1528"/>
    <cellStyle name="Separador de milhares 3 2 3 8 2" xfId="6856"/>
    <cellStyle name="Separador de milhares 3 2 3 8 2 2" xfId="10003"/>
    <cellStyle name="Separador de milhares 3 2 3 8 2 2 2" xfId="28217"/>
    <cellStyle name="Separador de milhares 3 2 3 8 2 2 2 2" xfId="53284"/>
    <cellStyle name="Separador de milhares 3 2 3 8 2 2 3" xfId="22303"/>
    <cellStyle name="Separador de milhares 3 2 3 8 2 2 3 2" xfId="47370"/>
    <cellStyle name="Separador de milhares 3 2 3 8 2 2 4" xfId="16389"/>
    <cellStyle name="Separador de milhares 3 2 3 8 2 2 4 2" xfId="41456"/>
    <cellStyle name="Separador de milhares 3 2 3 8 2 2 5" xfId="35548"/>
    <cellStyle name="Separador de milhares 3 2 3 8 2 3" xfId="25260"/>
    <cellStyle name="Separador de milhares 3 2 3 8 2 3 2" xfId="50327"/>
    <cellStyle name="Separador de milhares 3 2 3 8 2 4" xfId="19346"/>
    <cellStyle name="Separador de milhares 3 2 3 8 2 4 2" xfId="44413"/>
    <cellStyle name="Separador de milhares 3 2 3 8 2 5" xfId="13245"/>
    <cellStyle name="Separador de milhares 3 2 3 8 2 5 2" xfId="38502"/>
    <cellStyle name="Separador de milhares 3 2 3 8 2 6" xfId="32591"/>
    <cellStyle name="Separador de milhares 3 2 3 8 3" xfId="8535"/>
    <cellStyle name="Separador de milhares 3 2 3 8 3 2" xfId="26749"/>
    <cellStyle name="Separador de milhares 3 2 3 8 3 2 2" xfId="51816"/>
    <cellStyle name="Separador de milhares 3 2 3 8 3 3" xfId="20835"/>
    <cellStyle name="Separador de milhares 3 2 3 8 3 3 2" xfId="45902"/>
    <cellStyle name="Separador de milhares 3 2 3 8 3 4" xfId="14921"/>
    <cellStyle name="Separador de milhares 3 2 3 8 3 4 2" xfId="39988"/>
    <cellStyle name="Separador de milhares 3 2 3 8 3 5" xfId="34080"/>
    <cellStyle name="Separador de milhares 3 2 3 8 4" xfId="5157"/>
    <cellStyle name="Separador de milhares 3 2 3 8 4 2" xfId="23792"/>
    <cellStyle name="Separador de milhares 3 2 3 8 4 2 2" xfId="48859"/>
    <cellStyle name="Separador de milhares 3 2 3 8 4 3" xfId="31123"/>
    <cellStyle name="Separador de milhares 3 2 3 8 5" xfId="17878"/>
    <cellStyle name="Separador de milhares 3 2 3 8 5 2" xfId="42945"/>
    <cellStyle name="Separador de milhares 3 2 3 8 6" xfId="11544"/>
    <cellStyle name="Separador de milhares 3 2 3 8 6 2" xfId="37034"/>
    <cellStyle name="Separador de milhares 3 2 3 8 7" xfId="29653"/>
    <cellStyle name="Separador de milhares 3 2 3 9" xfId="2058"/>
    <cellStyle name="Separador de milhares 3 2 3 9 2" xfId="7006"/>
    <cellStyle name="Separador de milhares 3 2 3 9 2 2" xfId="10150"/>
    <cellStyle name="Separador de milhares 3 2 3 9 2 2 2" xfId="28364"/>
    <cellStyle name="Separador de milhares 3 2 3 9 2 2 2 2" xfId="53431"/>
    <cellStyle name="Separador de milhares 3 2 3 9 2 2 3" xfId="22450"/>
    <cellStyle name="Separador de milhares 3 2 3 9 2 2 3 2" xfId="47517"/>
    <cellStyle name="Separador de milhares 3 2 3 9 2 2 4" xfId="16536"/>
    <cellStyle name="Separador de milhares 3 2 3 9 2 2 4 2" xfId="41603"/>
    <cellStyle name="Separador de milhares 3 2 3 9 2 2 5" xfId="35695"/>
    <cellStyle name="Separador de milhares 3 2 3 9 2 3" xfId="25407"/>
    <cellStyle name="Separador de milhares 3 2 3 9 2 3 2" xfId="50474"/>
    <cellStyle name="Separador de milhares 3 2 3 9 2 4" xfId="19493"/>
    <cellStyle name="Separador de milhares 3 2 3 9 2 4 2" xfId="44560"/>
    <cellStyle name="Separador de milhares 3 2 3 9 2 5" xfId="13395"/>
    <cellStyle name="Separador de milhares 3 2 3 9 2 5 2" xfId="38649"/>
    <cellStyle name="Separador de milhares 3 2 3 9 2 6" xfId="32738"/>
    <cellStyle name="Separador de milhares 3 2 3 9 3" xfId="8682"/>
    <cellStyle name="Separador de milhares 3 2 3 9 3 2" xfId="26896"/>
    <cellStyle name="Separador de milhares 3 2 3 9 3 2 2" xfId="51963"/>
    <cellStyle name="Separador de milhares 3 2 3 9 3 3" xfId="20982"/>
    <cellStyle name="Separador de milhares 3 2 3 9 3 3 2" xfId="46049"/>
    <cellStyle name="Separador de milhares 3 2 3 9 3 4" xfId="15068"/>
    <cellStyle name="Separador de milhares 3 2 3 9 3 4 2" xfId="40135"/>
    <cellStyle name="Separador de milhares 3 2 3 9 3 5" xfId="34227"/>
    <cellStyle name="Separador de milhares 3 2 3 9 4" xfId="5307"/>
    <cellStyle name="Separador de milhares 3 2 3 9 4 2" xfId="23939"/>
    <cellStyle name="Separador de milhares 3 2 3 9 4 2 2" xfId="49006"/>
    <cellStyle name="Separador de milhares 3 2 3 9 4 3" xfId="31270"/>
    <cellStyle name="Separador de milhares 3 2 3 9 5" xfId="18025"/>
    <cellStyle name="Separador de milhares 3 2 3 9 5 2" xfId="43092"/>
    <cellStyle name="Separador de milhares 3 2 3 9 6" xfId="11694"/>
    <cellStyle name="Separador de milhares 3 2 3 9 6 2" xfId="37181"/>
    <cellStyle name="Separador de milhares 3 2 3 9 7" xfId="29800"/>
    <cellStyle name="Separador de milhares 3 2 4" xfId="90"/>
    <cellStyle name="Separador de milhares 3 2 4 10" xfId="2593"/>
    <cellStyle name="Separador de milhares 3 2 4 10 2" xfId="7155"/>
    <cellStyle name="Separador de milhares 3 2 4 10 2 2" xfId="10299"/>
    <cellStyle name="Separador de milhares 3 2 4 10 2 2 2" xfId="28513"/>
    <cellStyle name="Separador de milhares 3 2 4 10 2 2 2 2" xfId="53580"/>
    <cellStyle name="Separador de milhares 3 2 4 10 2 2 3" xfId="22599"/>
    <cellStyle name="Separador de milhares 3 2 4 10 2 2 3 2" xfId="47666"/>
    <cellStyle name="Separador de milhares 3 2 4 10 2 2 4" xfId="16685"/>
    <cellStyle name="Separador de milhares 3 2 4 10 2 2 4 2" xfId="41752"/>
    <cellStyle name="Separador de milhares 3 2 4 10 2 2 5" xfId="35844"/>
    <cellStyle name="Separador de milhares 3 2 4 10 2 3" xfId="25556"/>
    <cellStyle name="Separador de milhares 3 2 4 10 2 3 2" xfId="50623"/>
    <cellStyle name="Separador de milhares 3 2 4 10 2 4" xfId="19642"/>
    <cellStyle name="Separador de milhares 3 2 4 10 2 4 2" xfId="44709"/>
    <cellStyle name="Separador de milhares 3 2 4 10 2 5" xfId="13544"/>
    <cellStyle name="Separador de milhares 3 2 4 10 2 5 2" xfId="38798"/>
    <cellStyle name="Separador de milhares 3 2 4 10 2 6" xfId="32887"/>
    <cellStyle name="Separador de milhares 3 2 4 10 3" xfId="8831"/>
    <cellStyle name="Separador de milhares 3 2 4 10 3 2" xfId="27045"/>
    <cellStyle name="Separador de milhares 3 2 4 10 3 2 2" xfId="52112"/>
    <cellStyle name="Separador de milhares 3 2 4 10 3 3" xfId="21131"/>
    <cellStyle name="Separador de milhares 3 2 4 10 3 3 2" xfId="46198"/>
    <cellStyle name="Separador de milhares 3 2 4 10 3 4" xfId="15217"/>
    <cellStyle name="Separador de milhares 3 2 4 10 3 4 2" xfId="40284"/>
    <cellStyle name="Separador de milhares 3 2 4 10 3 5" xfId="34376"/>
    <cellStyle name="Separador de milhares 3 2 4 10 4" xfId="5456"/>
    <cellStyle name="Separador de milhares 3 2 4 10 4 2" xfId="24088"/>
    <cellStyle name="Separador de milhares 3 2 4 10 4 2 2" xfId="49155"/>
    <cellStyle name="Separador de milhares 3 2 4 10 4 3" xfId="31419"/>
    <cellStyle name="Separador de milhares 3 2 4 10 5" xfId="18174"/>
    <cellStyle name="Separador de milhares 3 2 4 10 5 2" xfId="43241"/>
    <cellStyle name="Separador de milhares 3 2 4 10 6" xfId="11843"/>
    <cellStyle name="Separador de milhares 3 2 4 10 6 2" xfId="37330"/>
    <cellStyle name="Separador de milhares 3 2 4 10 7" xfId="29949"/>
    <cellStyle name="Separador de milhares 3 2 4 11" xfId="3120"/>
    <cellStyle name="Separador de milhares 3 2 4 11 2" xfId="7302"/>
    <cellStyle name="Separador de milhares 3 2 4 11 2 2" xfId="10446"/>
    <cellStyle name="Separador de milhares 3 2 4 11 2 2 2" xfId="28660"/>
    <cellStyle name="Separador de milhares 3 2 4 11 2 2 2 2" xfId="53727"/>
    <cellStyle name="Separador de milhares 3 2 4 11 2 2 3" xfId="22746"/>
    <cellStyle name="Separador de milhares 3 2 4 11 2 2 3 2" xfId="47813"/>
    <cellStyle name="Separador de milhares 3 2 4 11 2 2 4" xfId="16832"/>
    <cellStyle name="Separador de milhares 3 2 4 11 2 2 4 2" xfId="41899"/>
    <cellStyle name="Separador de milhares 3 2 4 11 2 2 5" xfId="35991"/>
    <cellStyle name="Separador de milhares 3 2 4 11 2 3" xfId="25703"/>
    <cellStyle name="Separador de milhares 3 2 4 11 2 3 2" xfId="50770"/>
    <cellStyle name="Separador de milhares 3 2 4 11 2 4" xfId="19789"/>
    <cellStyle name="Separador de milhares 3 2 4 11 2 4 2" xfId="44856"/>
    <cellStyle name="Separador de milhares 3 2 4 11 2 5" xfId="13691"/>
    <cellStyle name="Separador de milhares 3 2 4 11 2 5 2" xfId="38945"/>
    <cellStyle name="Separador de milhares 3 2 4 11 2 6" xfId="33034"/>
    <cellStyle name="Separador de milhares 3 2 4 11 3" xfId="8978"/>
    <cellStyle name="Separador de milhares 3 2 4 11 3 2" xfId="27192"/>
    <cellStyle name="Separador de milhares 3 2 4 11 3 2 2" xfId="52259"/>
    <cellStyle name="Separador de milhares 3 2 4 11 3 3" xfId="21278"/>
    <cellStyle name="Separador de milhares 3 2 4 11 3 3 2" xfId="46345"/>
    <cellStyle name="Separador de milhares 3 2 4 11 3 4" xfId="15364"/>
    <cellStyle name="Separador de milhares 3 2 4 11 3 4 2" xfId="40431"/>
    <cellStyle name="Separador de milhares 3 2 4 11 3 5" xfId="34523"/>
    <cellStyle name="Separador de milhares 3 2 4 11 4" xfId="5603"/>
    <cellStyle name="Separador de milhares 3 2 4 11 4 2" xfId="24235"/>
    <cellStyle name="Separador de milhares 3 2 4 11 4 2 2" xfId="49302"/>
    <cellStyle name="Separador de milhares 3 2 4 11 4 3" xfId="31566"/>
    <cellStyle name="Separador de milhares 3 2 4 11 5" xfId="18321"/>
    <cellStyle name="Separador de milhares 3 2 4 11 5 2" xfId="43388"/>
    <cellStyle name="Separador de milhares 3 2 4 11 6" xfId="11990"/>
    <cellStyle name="Separador de milhares 3 2 4 11 6 2" xfId="37477"/>
    <cellStyle name="Separador de milhares 3 2 4 11 7" xfId="30096"/>
    <cellStyle name="Separador de milhares 3 2 4 12" xfId="3647"/>
    <cellStyle name="Separador de milhares 3 2 4 12 2" xfId="7449"/>
    <cellStyle name="Separador de milhares 3 2 4 12 2 2" xfId="10593"/>
    <cellStyle name="Separador de milhares 3 2 4 12 2 2 2" xfId="28807"/>
    <cellStyle name="Separador de milhares 3 2 4 12 2 2 2 2" xfId="53874"/>
    <cellStyle name="Separador de milhares 3 2 4 12 2 2 3" xfId="22893"/>
    <cellStyle name="Separador de milhares 3 2 4 12 2 2 3 2" xfId="47960"/>
    <cellStyle name="Separador de milhares 3 2 4 12 2 2 4" xfId="16979"/>
    <cellStyle name="Separador de milhares 3 2 4 12 2 2 4 2" xfId="42046"/>
    <cellStyle name="Separador de milhares 3 2 4 12 2 2 5" xfId="36138"/>
    <cellStyle name="Separador de milhares 3 2 4 12 2 3" xfId="25850"/>
    <cellStyle name="Separador de milhares 3 2 4 12 2 3 2" xfId="50917"/>
    <cellStyle name="Separador de milhares 3 2 4 12 2 4" xfId="19936"/>
    <cellStyle name="Separador de milhares 3 2 4 12 2 4 2" xfId="45003"/>
    <cellStyle name="Separador de milhares 3 2 4 12 2 5" xfId="13838"/>
    <cellStyle name="Separador de milhares 3 2 4 12 2 5 2" xfId="39092"/>
    <cellStyle name="Separador de milhares 3 2 4 12 2 6" xfId="33181"/>
    <cellStyle name="Separador de milhares 3 2 4 12 3" xfId="9125"/>
    <cellStyle name="Separador de milhares 3 2 4 12 3 2" xfId="27339"/>
    <cellStyle name="Separador de milhares 3 2 4 12 3 2 2" xfId="52406"/>
    <cellStyle name="Separador de milhares 3 2 4 12 3 3" xfId="21425"/>
    <cellStyle name="Separador de milhares 3 2 4 12 3 3 2" xfId="46492"/>
    <cellStyle name="Separador de milhares 3 2 4 12 3 4" xfId="15511"/>
    <cellStyle name="Separador de milhares 3 2 4 12 3 4 2" xfId="40578"/>
    <cellStyle name="Separador de milhares 3 2 4 12 3 5" xfId="34670"/>
    <cellStyle name="Separador de milhares 3 2 4 12 4" xfId="5750"/>
    <cellStyle name="Separador de milhares 3 2 4 12 4 2" xfId="24382"/>
    <cellStyle name="Separador de milhares 3 2 4 12 4 2 2" xfId="49449"/>
    <cellStyle name="Separador de milhares 3 2 4 12 4 3" xfId="31713"/>
    <cellStyle name="Separador de milhares 3 2 4 12 5" xfId="18468"/>
    <cellStyle name="Separador de milhares 3 2 4 12 5 2" xfId="43535"/>
    <cellStyle name="Separador de milhares 3 2 4 12 6" xfId="12137"/>
    <cellStyle name="Separador de milhares 3 2 4 12 6 2" xfId="37624"/>
    <cellStyle name="Separador de milhares 3 2 4 12 7" xfId="30243"/>
    <cellStyle name="Separador de milhares 3 2 4 13" xfId="6433"/>
    <cellStyle name="Separador de milhares 3 2 4 13 2" xfId="9589"/>
    <cellStyle name="Separador de milhares 3 2 4 13 2 2" xfId="27803"/>
    <cellStyle name="Separador de milhares 3 2 4 13 2 2 2" xfId="52870"/>
    <cellStyle name="Separador de milhares 3 2 4 13 2 3" xfId="21889"/>
    <cellStyle name="Separador de milhares 3 2 4 13 2 3 2" xfId="46956"/>
    <cellStyle name="Separador de milhares 3 2 4 13 2 4" xfId="15975"/>
    <cellStyle name="Separador de milhares 3 2 4 13 2 4 2" xfId="41042"/>
    <cellStyle name="Separador de milhares 3 2 4 13 2 5" xfId="35134"/>
    <cellStyle name="Separador de milhares 3 2 4 13 3" xfId="24846"/>
    <cellStyle name="Separador de milhares 3 2 4 13 3 2" xfId="49913"/>
    <cellStyle name="Separador de milhares 3 2 4 13 4" xfId="18932"/>
    <cellStyle name="Separador de milhares 3 2 4 13 4 2" xfId="43999"/>
    <cellStyle name="Separador de milhares 3 2 4 13 5" xfId="12822"/>
    <cellStyle name="Separador de milhares 3 2 4 13 5 2" xfId="38088"/>
    <cellStyle name="Separador de milhares 3 2 4 13 6" xfId="32177"/>
    <cellStyle name="Separador de milhares 3 2 4 14" xfId="8118"/>
    <cellStyle name="Separador de milhares 3 2 4 14 2" xfId="26332"/>
    <cellStyle name="Separador de milhares 3 2 4 14 2 2" xfId="51399"/>
    <cellStyle name="Separador de milhares 3 2 4 14 3" xfId="20418"/>
    <cellStyle name="Separador de milhares 3 2 4 14 3 2" xfId="45485"/>
    <cellStyle name="Separador de milhares 3 2 4 14 4" xfId="14507"/>
    <cellStyle name="Separador de milhares 3 2 4 14 4 2" xfId="39574"/>
    <cellStyle name="Separador de milhares 3 2 4 14 5" xfId="33663"/>
    <cellStyle name="Separador de milhares 3 2 4 15" xfId="4731"/>
    <cellStyle name="Separador de milhares 3 2 4 15 2" xfId="23375"/>
    <cellStyle name="Separador de milhares 3 2 4 15 2 2" xfId="48442"/>
    <cellStyle name="Separador de milhares 3 2 4 15 3" xfId="30707"/>
    <cellStyle name="Separador de milhares 3 2 4 16" xfId="17461"/>
    <cellStyle name="Separador de milhares 3 2 4 16 2" xfId="42528"/>
    <cellStyle name="Separador de milhares 3 2 4 17" xfId="11121"/>
    <cellStyle name="Separador de milhares 3 2 4 17 2" xfId="36620"/>
    <cellStyle name="Separador de milhares 3 2 4 18" xfId="29235"/>
    <cellStyle name="Separador de milhares 3 2 4 2" xfId="184"/>
    <cellStyle name="Separador de milhares 3 2 4 2 10" xfId="6462"/>
    <cellStyle name="Separador de milhares 3 2 4 2 10 2" xfId="9616"/>
    <cellStyle name="Separador de milhares 3 2 4 2 10 2 2" xfId="27830"/>
    <cellStyle name="Separador de milhares 3 2 4 2 10 2 2 2" xfId="52897"/>
    <cellStyle name="Separador de milhares 3 2 4 2 10 2 3" xfId="21916"/>
    <cellStyle name="Separador de milhares 3 2 4 2 10 2 3 2" xfId="46983"/>
    <cellStyle name="Separador de milhares 3 2 4 2 10 2 4" xfId="16002"/>
    <cellStyle name="Separador de milhares 3 2 4 2 10 2 4 2" xfId="41069"/>
    <cellStyle name="Separador de milhares 3 2 4 2 10 2 5" xfId="35161"/>
    <cellStyle name="Separador de milhares 3 2 4 2 10 3" xfId="24873"/>
    <cellStyle name="Separador de milhares 3 2 4 2 10 3 2" xfId="49940"/>
    <cellStyle name="Separador de milhares 3 2 4 2 10 4" xfId="18959"/>
    <cellStyle name="Separador de milhares 3 2 4 2 10 4 2" xfId="44026"/>
    <cellStyle name="Separador de milhares 3 2 4 2 10 5" xfId="12851"/>
    <cellStyle name="Separador de milhares 3 2 4 2 10 5 2" xfId="38115"/>
    <cellStyle name="Separador de milhares 3 2 4 2 10 6" xfId="32204"/>
    <cellStyle name="Separador de milhares 3 2 4 2 11" xfId="8145"/>
    <cellStyle name="Separador de milhares 3 2 4 2 11 2" xfId="26359"/>
    <cellStyle name="Separador de milhares 3 2 4 2 11 2 2" xfId="51426"/>
    <cellStyle name="Separador de milhares 3 2 4 2 11 3" xfId="20445"/>
    <cellStyle name="Separador de milhares 3 2 4 2 11 3 2" xfId="45512"/>
    <cellStyle name="Separador de milhares 3 2 4 2 11 4" xfId="14534"/>
    <cellStyle name="Separador de milhares 3 2 4 2 11 4 2" xfId="39601"/>
    <cellStyle name="Separador de milhares 3 2 4 2 11 5" xfId="33690"/>
    <cellStyle name="Separador de milhares 3 2 4 2 12" xfId="4761"/>
    <cellStyle name="Separador de milhares 3 2 4 2 12 2" xfId="23402"/>
    <cellStyle name="Separador de milhares 3 2 4 2 12 2 2" xfId="48469"/>
    <cellStyle name="Separador de milhares 3 2 4 2 12 3" xfId="30734"/>
    <cellStyle name="Separador de milhares 3 2 4 2 13" xfId="17488"/>
    <cellStyle name="Separador de milhares 3 2 4 2 13 2" xfId="42555"/>
    <cellStyle name="Separador de milhares 3 2 4 2 14" xfId="11150"/>
    <cellStyle name="Separador de milhares 3 2 4 2 14 2" xfId="36647"/>
    <cellStyle name="Separador de milhares 3 2 4 2 15" xfId="29263"/>
    <cellStyle name="Separador de milhares 3 2 4 2 2" xfId="457"/>
    <cellStyle name="Separador de milhares 3 2 4 2 2 10" xfId="17562"/>
    <cellStyle name="Separador de milhares 3 2 4 2 2 10 2" xfId="42629"/>
    <cellStyle name="Separador de milhares 3 2 4 2 2 11" xfId="11231"/>
    <cellStyle name="Separador de milhares 3 2 4 2 2 11 2" xfId="36721"/>
    <cellStyle name="Separador de milhares 3 2 4 2 2 12" xfId="29337"/>
    <cellStyle name="Separador de milhares 3 2 4 2 2 2" xfId="1976"/>
    <cellStyle name="Separador de milhares 3 2 4 2 2 2 2" xfId="6981"/>
    <cellStyle name="Separador de milhares 3 2 4 2 2 2 2 2" xfId="10128"/>
    <cellStyle name="Separador de milhares 3 2 4 2 2 2 2 2 2" xfId="28342"/>
    <cellStyle name="Separador de milhares 3 2 4 2 2 2 2 2 2 2" xfId="53409"/>
    <cellStyle name="Separador de milhares 3 2 4 2 2 2 2 2 3" xfId="22428"/>
    <cellStyle name="Separador de milhares 3 2 4 2 2 2 2 2 3 2" xfId="47495"/>
    <cellStyle name="Separador de milhares 3 2 4 2 2 2 2 2 4" xfId="16514"/>
    <cellStyle name="Separador de milhares 3 2 4 2 2 2 2 2 4 2" xfId="41581"/>
    <cellStyle name="Separador de milhares 3 2 4 2 2 2 2 2 5" xfId="35673"/>
    <cellStyle name="Separador de milhares 3 2 4 2 2 2 2 3" xfId="25385"/>
    <cellStyle name="Separador de milhares 3 2 4 2 2 2 2 3 2" xfId="50452"/>
    <cellStyle name="Separador de milhares 3 2 4 2 2 2 2 4" xfId="19471"/>
    <cellStyle name="Separador de milhares 3 2 4 2 2 2 2 4 2" xfId="44538"/>
    <cellStyle name="Separador de milhares 3 2 4 2 2 2 2 5" xfId="13370"/>
    <cellStyle name="Separador de milhares 3 2 4 2 2 2 2 5 2" xfId="38627"/>
    <cellStyle name="Separador de milhares 3 2 4 2 2 2 2 6" xfId="32716"/>
    <cellStyle name="Separador de milhares 3 2 4 2 2 2 3" xfId="8660"/>
    <cellStyle name="Separador de milhares 3 2 4 2 2 2 3 2" xfId="26874"/>
    <cellStyle name="Separador de milhares 3 2 4 2 2 2 3 2 2" xfId="51941"/>
    <cellStyle name="Separador de milhares 3 2 4 2 2 2 3 3" xfId="20960"/>
    <cellStyle name="Separador de milhares 3 2 4 2 2 2 3 3 2" xfId="46027"/>
    <cellStyle name="Separador de milhares 3 2 4 2 2 2 3 4" xfId="15046"/>
    <cellStyle name="Separador de milhares 3 2 4 2 2 2 3 4 2" xfId="40113"/>
    <cellStyle name="Separador de milhares 3 2 4 2 2 2 3 5" xfId="34205"/>
    <cellStyle name="Separador de milhares 3 2 4 2 2 2 4" xfId="5282"/>
    <cellStyle name="Separador de milhares 3 2 4 2 2 2 4 2" xfId="23917"/>
    <cellStyle name="Separador de milhares 3 2 4 2 2 2 4 2 2" xfId="48984"/>
    <cellStyle name="Separador de milhares 3 2 4 2 2 2 4 3" xfId="31248"/>
    <cellStyle name="Separador de milhares 3 2 4 2 2 2 5" xfId="18003"/>
    <cellStyle name="Separador de milhares 3 2 4 2 2 2 5 2" xfId="43070"/>
    <cellStyle name="Separador de milhares 3 2 4 2 2 2 6" xfId="11669"/>
    <cellStyle name="Separador de milhares 3 2 4 2 2 2 6 2" xfId="37159"/>
    <cellStyle name="Separador de milhares 3 2 4 2 2 2 7" xfId="29778"/>
    <cellStyle name="Separador de milhares 3 2 4 2 2 3" xfId="2506"/>
    <cellStyle name="Separador de milhares 3 2 4 2 2 3 2" xfId="7131"/>
    <cellStyle name="Separador de milhares 3 2 4 2 2 3 2 2" xfId="10275"/>
    <cellStyle name="Separador de milhares 3 2 4 2 2 3 2 2 2" xfId="28489"/>
    <cellStyle name="Separador de milhares 3 2 4 2 2 3 2 2 2 2" xfId="53556"/>
    <cellStyle name="Separador de milhares 3 2 4 2 2 3 2 2 3" xfId="22575"/>
    <cellStyle name="Separador de milhares 3 2 4 2 2 3 2 2 3 2" xfId="47642"/>
    <cellStyle name="Separador de milhares 3 2 4 2 2 3 2 2 4" xfId="16661"/>
    <cellStyle name="Separador de milhares 3 2 4 2 2 3 2 2 4 2" xfId="41728"/>
    <cellStyle name="Separador de milhares 3 2 4 2 2 3 2 2 5" xfId="35820"/>
    <cellStyle name="Separador de milhares 3 2 4 2 2 3 2 3" xfId="25532"/>
    <cellStyle name="Separador de milhares 3 2 4 2 2 3 2 3 2" xfId="50599"/>
    <cellStyle name="Separador de milhares 3 2 4 2 2 3 2 4" xfId="19618"/>
    <cellStyle name="Separador de milhares 3 2 4 2 2 3 2 4 2" xfId="44685"/>
    <cellStyle name="Separador de milhares 3 2 4 2 2 3 2 5" xfId="13520"/>
    <cellStyle name="Separador de milhares 3 2 4 2 2 3 2 5 2" xfId="38774"/>
    <cellStyle name="Separador de milhares 3 2 4 2 2 3 2 6" xfId="32863"/>
    <cellStyle name="Separador de milhares 3 2 4 2 2 3 3" xfId="8807"/>
    <cellStyle name="Separador de milhares 3 2 4 2 2 3 3 2" xfId="27021"/>
    <cellStyle name="Separador de milhares 3 2 4 2 2 3 3 2 2" xfId="52088"/>
    <cellStyle name="Separador de milhares 3 2 4 2 2 3 3 3" xfId="21107"/>
    <cellStyle name="Separador de milhares 3 2 4 2 2 3 3 3 2" xfId="46174"/>
    <cellStyle name="Separador de milhares 3 2 4 2 2 3 3 4" xfId="15193"/>
    <cellStyle name="Separador de milhares 3 2 4 2 2 3 3 4 2" xfId="40260"/>
    <cellStyle name="Separador de milhares 3 2 4 2 2 3 3 5" xfId="34352"/>
    <cellStyle name="Separador de milhares 3 2 4 2 2 3 4" xfId="5432"/>
    <cellStyle name="Separador de milhares 3 2 4 2 2 3 4 2" xfId="24064"/>
    <cellStyle name="Separador de milhares 3 2 4 2 2 3 4 2 2" xfId="49131"/>
    <cellStyle name="Separador de milhares 3 2 4 2 2 3 4 3" xfId="31395"/>
    <cellStyle name="Separador de milhares 3 2 4 2 2 3 5" xfId="18150"/>
    <cellStyle name="Separador de milhares 3 2 4 2 2 3 5 2" xfId="43217"/>
    <cellStyle name="Separador de milhares 3 2 4 2 2 3 6" xfId="11819"/>
    <cellStyle name="Separador de milhares 3 2 4 2 2 3 6 2" xfId="37306"/>
    <cellStyle name="Separador de milhares 3 2 4 2 2 3 7" xfId="29925"/>
    <cellStyle name="Separador de milhares 3 2 4 2 2 4" xfId="3033"/>
    <cellStyle name="Separador de milhares 3 2 4 2 2 4 2" xfId="7278"/>
    <cellStyle name="Separador de milhares 3 2 4 2 2 4 2 2" xfId="10422"/>
    <cellStyle name="Separador de milhares 3 2 4 2 2 4 2 2 2" xfId="28636"/>
    <cellStyle name="Separador de milhares 3 2 4 2 2 4 2 2 2 2" xfId="53703"/>
    <cellStyle name="Separador de milhares 3 2 4 2 2 4 2 2 3" xfId="22722"/>
    <cellStyle name="Separador de milhares 3 2 4 2 2 4 2 2 3 2" xfId="47789"/>
    <cellStyle name="Separador de milhares 3 2 4 2 2 4 2 2 4" xfId="16808"/>
    <cellStyle name="Separador de milhares 3 2 4 2 2 4 2 2 4 2" xfId="41875"/>
    <cellStyle name="Separador de milhares 3 2 4 2 2 4 2 2 5" xfId="35967"/>
    <cellStyle name="Separador de milhares 3 2 4 2 2 4 2 3" xfId="25679"/>
    <cellStyle name="Separador de milhares 3 2 4 2 2 4 2 3 2" xfId="50746"/>
    <cellStyle name="Separador de milhares 3 2 4 2 2 4 2 4" xfId="19765"/>
    <cellStyle name="Separador de milhares 3 2 4 2 2 4 2 4 2" xfId="44832"/>
    <cellStyle name="Separador de milhares 3 2 4 2 2 4 2 5" xfId="13667"/>
    <cellStyle name="Separador de milhares 3 2 4 2 2 4 2 5 2" xfId="38921"/>
    <cellStyle name="Separador de milhares 3 2 4 2 2 4 2 6" xfId="33010"/>
    <cellStyle name="Separador de milhares 3 2 4 2 2 4 3" xfId="8954"/>
    <cellStyle name="Separador de milhares 3 2 4 2 2 4 3 2" xfId="27168"/>
    <cellStyle name="Separador de milhares 3 2 4 2 2 4 3 2 2" xfId="52235"/>
    <cellStyle name="Separador de milhares 3 2 4 2 2 4 3 3" xfId="21254"/>
    <cellStyle name="Separador de milhares 3 2 4 2 2 4 3 3 2" xfId="46321"/>
    <cellStyle name="Separador de milhares 3 2 4 2 2 4 3 4" xfId="15340"/>
    <cellStyle name="Separador de milhares 3 2 4 2 2 4 3 4 2" xfId="40407"/>
    <cellStyle name="Separador de milhares 3 2 4 2 2 4 3 5" xfId="34499"/>
    <cellStyle name="Separador de milhares 3 2 4 2 2 4 4" xfId="5579"/>
    <cellStyle name="Separador de milhares 3 2 4 2 2 4 4 2" xfId="24211"/>
    <cellStyle name="Separador de milhares 3 2 4 2 2 4 4 2 2" xfId="49278"/>
    <cellStyle name="Separador de milhares 3 2 4 2 2 4 4 3" xfId="31542"/>
    <cellStyle name="Separador de milhares 3 2 4 2 2 4 5" xfId="18297"/>
    <cellStyle name="Separador de milhares 3 2 4 2 2 4 5 2" xfId="43364"/>
    <cellStyle name="Separador de milhares 3 2 4 2 2 4 6" xfId="11966"/>
    <cellStyle name="Separador de milhares 3 2 4 2 2 4 6 2" xfId="37453"/>
    <cellStyle name="Separador de milhares 3 2 4 2 2 4 7" xfId="30072"/>
    <cellStyle name="Separador de milhares 3 2 4 2 2 5" xfId="3560"/>
    <cellStyle name="Separador de milhares 3 2 4 2 2 5 2" xfId="7425"/>
    <cellStyle name="Separador de milhares 3 2 4 2 2 5 2 2" xfId="10569"/>
    <cellStyle name="Separador de milhares 3 2 4 2 2 5 2 2 2" xfId="28783"/>
    <cellStyle name="Separador de milhares 3 2 4 2 2 5 2 2 2 2" xfId="53850"/>
    <cellStyle name="Separador de milhares 3 2 4 2 2 5 2 2 3" xfId="22869"/>
    <cellStyle name="Separador de milhares 3 2 4 2 2 5 2 2 3 2" xfId="47936"/>
    <cellStyle name="Separador de milhares 3 2 4 2 2 5 2 2 4" xfId="16955"/>
    <cellStyle name="Separador de milhares 3 2 4 2 2 5 2 2 4 2" xfId="42022"/>
    <cellStyle name="Separador de milhares 3 2 4 2 2 5 2 2 5" xfId="36114"/>
    <cellStyle name="Separador de milhares 3 2 4 2 2 5 2 3" xfId="25826"/>
    <cellStyle name="Separador de milhares 3 2 4 2 2 5 2 3 2" xfId="50893"/>
    <cellStyle name="Separador de milhares 3 2 4 2 2 5 2 4" xfId="19912"/>
    <cellStyle name="Separador de milhares 3 2 4 2 2 5 2 4 2" xfId="44979"/>
    <cellStyle name="Separador de milhares 3 2 4 2 2 5 2 5" xfId="13814"/>
    <cellStyle name="Separador de milhares 3 2 4 2 2 5 2 5 2" xfId="39068"/>
    <cellStyle name="Separador de milhares 3 2 4 2 2 5 2 6" xfId="33157"/>
    <cellStyle name="Separador de milhares 3 2 4 2 2 5 3" xfId="9101"/>
    <cellStyle name="Separador de milhares 3 2 4 2 2 5 3 2" xfId="27315"/>
    <cellStyle name="Separador de milhares 3 2 4 2 2 5 3 2 2" xfId="52382"/>
    <cellStyle name="Separador de milhares 3 2 4 2 2 5 3 3" xfId="21401"/>
    <cellStyle name="Separador de milhares 3 2 4 2 2 5 3 3 2" xfId="46468"/>
    <cellStyle name="Separador de milhares 3 2 4 2 2 5 3 4" xfId="15487"/>
    <cellStyle name="Separador de milhares 3 2 4 2 2 5 3 4 2" xfId="40554"/>
    <cellStyle name="Separador de milhares 3 2 4 2 2 5 3 5" xfId="34646"/>
    <cellStyle name="Separador de milhares 3 2 4 2 2 5 4" xfId="5726"/>
    <cellStyle name="Separador de milhares 3 2 4 2 2 5 4 2" xfId="24358"/>
    <cellStyle name="Separador de milhares 3 2 4 2 2 5 4 2 2" xfId="49425"/>
    <cellStyle name="Separador de milhares 3 2 4 2 2 5 4 3" xfId="31689"/>
    <cellStyle name="Separador de milhares 3 2 4 2 2 5 5" xfId="18444"/>
    <cellStyle name="Separador de milhares 3 2 4 2 2 5 5 2" xfId="43511"/>
    <cellStyle name="Separador de milhares 3 2 4 2 2 5 6" xfId="12113"/>
    <cellStyle name="Separador de milhares 3 2 4 2 2 5 6 2" xfId="37600"/>
    <cellStyle name="Separador de milhares 3 2 4 2 2 5 7" xfId="30219"/>
    <cellStyle name="Separador de milhares 3 2 4 2 2 6" xfId="4087"/>
    <cellStyle name="Separador de milhares 3 2 4 2 2 6 2" xfId="7572"/>
    <cellStyle name="Separador de milhares 3 2 4 2 2 6 2 2" xfId="10716"/>
    <cellStyle name="Separador de milhares 3 2 4 2 2 6 2 2 2" xfId="28930"/>
    <cellStyle name="Separador de milhares 3 2 4 2 2 6 2 2 2 2" xfId="53997"/>
    <cellStyle name="Separador de milhares 3 2 4 2 2 6 2 2 3" xfId="23016"/>
    <cellStyle name="Separador de milhares 3 2 4 2 2 6 2 2 3 2" xfId="48083"/>
    <cellStyle name="Separador de milhares 3 2 4 2 2 6 2 2 4" xfId="17102"/>
    <cellStyle name="Separador de milhares 3 2 4 2 2 6 2 2 4 2" xfId="42169"/>
    <cellStyle name="Separador de milhares 3 2 4 2 2 6 2 2 5" xfId="36261"/>
    <cellStyle name="Separador de milhares 3 2 4 2 2 6 2 3" xfId="25973"/>
    <cellStyle name="Separador de milhares 3 2 4 2 2 6 2 3 2" xfId="51040"/>
    <cellStyle name="Separador de milhares 3 2 4 2 2 6 2 4" xfId="20059"/>
    <cellStyle name="Separador de milhares 3 2 4 2 2 6 2 4 2" xfId="45126"/>
    <cellStyle name="Separador de milhares 3 2 4 2 2 6 2 5" xfId="13961"/>
    <cellStyle name="Separador de milhares 3 2 4 2 2 6 2 5 2" xfId="39215"/>
    <cellStyle name="Separador de milhares 3 2 4 2 2 6 2 6" xfId="33304"/>
    <cellStyle name="Separador de milhares 3 2 4 2 2 6 3" xfId="9248"/>
    <cellStyle name="Separador de milhares 3 2 4 2 2 6 3 2" xfId="27462"/>
    <cellStyle name="Separador de milhares 3 2 4 2 2 6 3 2 2" xfId="52529"/>
    <cellStyle name="Separador de milhares 3 2 4 2 2 6 3 3" xfId="21548"/>
    <cellStyle name="Separador de milhares 3 2 4 2 2 6 3 3 2" xfId="46615"/>
    <cellStyle name="Separador de milhares 3 2 4 2 2 6 3 4" xfId="15634"/>
    <cellStyle name="Separador de milhares 3 2 4 2 2 6 3 4 2" xfId="40701"/>
    <cellStyle name="Separador de milhares 3 2 4 2 2 6 3 5" xfId="34793"/>
    <cellStyle name="Separador de milhares 3 2 4 2 2 6 4" xfId="5873"/>
    <cellStyle name="Separador de milhares 3 2 4 2 2 6 4 2" xfId="24505"/>
    <cellStyle name="Separador de milhares 3 2 4 2 2 6 4 2 2" xfId="49572"/>
    <cellStyle name="Separador de milhares 3 2 4 2 2 6 4 3" xfId="31836"/>
    <cellStyle name="Separador de milhares 3 2 4 2 2 6 5" xfId="18591"/>
    <cellStyle name="Separador de milhares 3 2 4 2 2 6 5 2" xfId="43658"/>
    <cellStyle name="Separador de milhares 3 2 4 2 2 6 6" xfId="12260"/>
    <cellStyle name="Separador de milhares 3 2 4 2 2 6 6 2" xfId="37747"/>
    <cellStyle name="Separador de milhares 3 2 4 2 2 6 7" xfId="30366"/>
    <cellStyle name="Separador de milhares 3 2 4 2 2 7" xfId="6543"/>
    <cellStyle name="Separador de milhares 3 2 4 2 2 7 2" xfId="9690"/>
    <cellStyle name="Separador de milhares 3 2 4 2 2 7 2 2" xfId="27904"/>
    <cellStyle name="Separador de milhares 3 2 4 2 2 7 2 2 2" xfId="52971"/>
    <cellStyle name="Separador de milhares 3 2 4 2 2 7 2 3" xfId="21990"/>
    <cellStyle name="Separador de milhares 3 2 4 2 2 7 2 3 2" xfId="47057"/>
    <cellStyle name="Separador de milhares 3 2 4 2 2 7 2 4" xfId="16076"/>
    <cellStyle name="Separador de milhares 3 2 4 2 2 7 2 4 2" xfId="41143"/>
    <cellStyle name="Separador de milhares 3 2 4 2 2 7 2 5" xfId="35235"/>
    <cellStyle name="Separador de milhares 3 2 4 2 2 7 3" xfId="24947"/>
    <cellStyle name="Separador de milhares 3 2 4 2 2 7 3 2" xfId="50014"/>
    <cellStyle name="Separador de milhares 3 2 4 2 2 7 4" xfId="19033"/>
    <cellStyle name="Separador de milhares 3 2 4 2 2 7 4 2" xfId="44100"/>
    <cellStyle name="Separador de milhares 3 2 4 2 2 7 5" xfId="12932"/>
    <cellStyle name="Separador de milhares 3 2 4 2 2 7 5 2" xfId="38189"/>
    <cellStyle name="Separador de milhares 3 2 4 2 2 7 6" xfId="32278"/>
    <cellStyle name="Separador de milhares 3 2 4 2 2 8" xfId="8219"/>
    <cellStyle name="Separador de milhares 3 2 4 2 2 8 2" xfId="26433"/>
    <cellStyle name="Separador de milhares 3 2 4 2 2 8 2 2" xfId="51500"/>
    <cellStyle name="Separador de milhares 3 2 4 2 2 8 3" xfId="20519"/>
    <cellStyle name="Separador de milhares 3 2 4 2 2 8 3 2" xfId="45586"/>
    <cellStyle name="Separador de milhares 3 2 4 2 2 8 4" xfId="14608"/>
    <cellStyle name="Separador de milhares 3 2 4 2 2 8 4 2" xfId="39675"/>
    <cellStyle name="Separador de milhares 3 2 4 2 2 8 5" xfId="33764"/>
    <cellStyle name="Separador de milhares 3 2 4 2 2 9" xfId="4842"/>
    <cellStyle name="Separador de milhares 3 2 4 2 2 9 2" xfId="23476"/>
    <cellStyle name="Separador de milhares 3 2 4 2 2 9 2 2" xfId="48543"/>
    <cellStyle name="Separador de milhares 3 2 4 2 2 9 3" xfId="30808"/>
    <cellStyle name="Separador de milhares 3 2 4 2 3" xfId="930"/>
    <cellStyle name="Separador de milhares 3 2 4 2 3 2" xfId="6694"/>
    <cellStyle name="Separador de milhares 3 2 4 2 3 2 2" xfId="9841"/>
    <cellStyle name="Separador de milhares 3 2 4 2 3 2 2 2" xfId="28055"/>
    <cellStyle name="Separador de milhares 3 2 4 2 3 2 2 2 2" xfId="53122"/>
    <cellStyle name="Separador de milhares 3 2 4 2 3 2 2 3" xfId="22141"/>
    <cellStyle name="Separador de milhares 3 2 4 2 3 2 2 3 2" xfId="47208"/>
    <cellStyle name="Separador de milhares 3 2 4 2 3 2 2 4" xfId="16227"/>
    <cellStyle name="Separador de milhares 3 2 4 2 3 2 2 4 2" xfId="41294"/>
    <cellStyle name="Separador de milhares 3 2 4 2 3 2 2 5" xfId="35386"/>
    <cellStyle name="Separador de milhares 3 2 4 2 3 2 3" xfId="25098"/>
    <cellStyle name="Separador de milhares 3 2 4 2 3 2 3 2" xfId="50165"/>
    <cellStyle name="Separador de milhares 3 2 4 2 3 2 4" xfId="19184"/>
    <cellStyle name="Separador de milhares 3 2 4 2 3 2 4 2" xfId="44251"/>
    <cellStyle name="Separador de milhares 3 2 4 2 3 2 5" xfId="13083"/>
    <cellStyle name="Separador de milhares 3 2 4 2 3 2 5 2" xfId="38340"/>
    <cellStyle name="Separador de milhares 3 2 4 2 3 2 6" xfId="32429"/>
    <cellStyle name="Separador de milhares 3 2 4 2 3 3" xfId="8373"/>
    <cellStyle name="Separador de milhares 3 2 4 2 3 3 2" xfId="26587"/>
    <cellStyle name="Separador de milhares 3 2 4 2 3 3 2 2" xfId="51654"/>
    <cellStyle name="Separador de milhares 3 2 4 2 3 3 3" xfId="20673"/>
    <cellStyle name="Separador de milhares 3 2 4 2 3 3 3 2" xfId="45740"/>
    <cellStyle name="Separador de milhares 3 2 4 2 3 3 4" xfId="14759"/>
    <cellStyle name="Separador de milhares 3 2 4 2 3 3 4 2" xfId="39826"/>
    <cellStyle name="Separador de milhares 3 2 4 2 3 3 5" xfId="33918"/>
    <cellStyle name="Separador de milhares 3 2 4 2 3 4" xfId="4995"/>
    <cellStyle name="Separador de milhares 3 2 4 2 3 4 2" xfId="23630"/>
    <cellStyle name="Separador de milhares 3 2 4 2 3 4 2 2" xfId="48697"/>
    <cellStyle name="Separador de milhares 3 2 4 2 3 4 3" xfId="30961"/>
    <cellStyle name="Separador de milhares 3 2 4 2 3 5" xfId="17716"/>
    <cellStyle name="Separador de milhares 3 2 4 2 3 5 2" xfId="42783"/>
    <cellStyle name="Separador de milhares 3 2 4 2 3 6" xfId="11382"/>
    <cellStyle name="Separador de milhares 3 2 4 2 3 6 2" xfId="36872"/>
    <cellStyle name="Separador de milhares 3 2 4 2 3 7" xfId="29491"/>
    <cellStyle name="Separador de milhares 3 2 4 2 4" xfId="1281"/>
    <cellStyle name="Separador de milhares 3 2 4 2 4 2" xfId="6792"/>
    <cellStyle name="Separador de milhares 3 2 4 2 4 2 2" xfId="9939"/>
    <cellStyle name="Separador de milhares 3 2 4 2 4 2 2 2" xfId="28153"/>
    <cellStyle name="Separador de milhares 3 2 4 2 4 2 2 2 2" xfId="53220"/>
    <cellStyle name="Separador de milhares 3 2 4 2 4 2 2 3" xfId="22239"/>
    <cellStyle name="Separador de milhares 3 2 4 2 4 2 2 3 2" xfId="47306"/>
    <cellStyle name="Separador de milhares 3 2 4 2 4 2 2 4" xfId="16325"/>
    <cellStyle name="Separador de milhares 3 2 4 2 4 2 2 4 2" xfId="41392"/>
    <cellStyle name="Separador de milhares 3 2 4 2 4 2 2 5" xfId="35484"/>
    <cellStyle name="Separador de milhares 3 2 4 2 4 2 3" xfId="25196"/>
    <cellStyle name="Separador de milhares 3 2 4 2 4 2 3 2" xfId="50263"/>
    <cellStyle name="Separador de milhares 3 2 4 2 4 2 4" xfId="19282"/>
    <cellStyle name="Separador de milhares 3 2 4 2 4 2 4 2" xfId="44349"/>
    <cellStyle name="Separador de milhares 3 2 4 2 4 2 5" xfId="13181"/>
    <cellStyle name="Separador de milhares 3 2 4 2 4 2 5 2" xfId="38438"/>
    <cellStyle name="Separador de milhares 3 2 4 2 4 2 6" xfId="32527"/>
    <cellStyle name="Separador de milhares 3 2 4 2 4 3" xfId="8471"/>
    <cellStyle name="Separador de milhares 3 2 4 2 4 3 2" xfId="26685"/>
    <cellStyle name="Separador de milhares 3 2 4 2 4 3 2 2" xfId="51752"/>
    <cellStyle name="Separador de milhares 3 2 4 2 4 3 3" xfId="20771"/>
    <cellStyle name="Separador de milhares 3 2 4 2 4 3 3 2" xfId="45838"/>
    <cellStyle name="Separador de milhares 3 2 4 2 4 3 4" xfId="14857"/>
    <cellStyle name="Separador de milhares 3 2 4 2 4 3 4 2" xfId="39924"/>
    <cellStyle name="Separador de milhares 3 2 4 2 4 3 5" xfId="34016"/>
    <cellStyle name="Separador de milhares 3 2 4 2 4 4" xfId="5093"/>
    <cellStyle name="Separador de milhares 3 2 4 2 4 4 2" xfId="23728"/>
    <cellStyle name="Separador de milhares 3 2 4 2 4 4 2 2" xfId="48795"/>
    <cellStyle name="Separador de milhares 3 2 4 2 4 4 3" xfId="31059"/>
    <cellStyle name="Separador de milhares 3 2 4 2 4 5" xfId="17814"/>
    <cellStyle name="Separador de milhares 3 2 4 2 4 5 2" xfId="42881"/>
    <cellStyle name="Separador de milhares 3 2 4 2 4 6" xfId="11480"/>
    <cellStyle name="Separador de milhares 3 2 4 2 4 6 2" xfId="36970"/>
    <cellStyle name="Separador de milhares 3 2 4 2 4 7" xfId="29589"/>
    <cellStyle name="Separador de milhares 3 2 4 2 5" xfId="1716"/>
    <cellStyle name="Separador de milhares 3 2 4 2 5 2" xfId="6911"/>
    <cellStyle name="Separador de milhares 3 2 4 2 5 2 2" xfId="10058"/>
    <cellStyle name="Separador de milhares 3 2 4 2 5 2 2 2" xfId="28272"/>
    <cellStyle name="Separador de milhares 3 2 4 2 5 2 2 2 2" xfId="53339"/>
    <cellStyle name="Separador de milhares 3 2 4 2 5 2 2 3" xfId="22358"/>
    <cellStyle name="Separador de milhares 3 2 4 2 5 2 2 3 2" xfId="47425"/>
    <cellStyle name="Separador de milhares 3 2 4 2 5 2 2 4" xfId="16444"/>
    <cellStyle name="Separador de milhares 3 2 4 2 5 2 2 4 2" xfId="41511"/>
    <cellStyle name="Separador de milhares 3 2 4 2 5 2 2 5" xfId="35603"/>
    <cellStyle name="Separador de milhares 3 2 4 2 5 2 3" xfId="25315"/>
    <cellStyle name="Separador de milhares 3 2 4 2 5 2 3 2" xfId="50382"/>
    <cellStyle name="Separador de milhares 3 2 4 2 5 2 4" xfId="19401"/>
    <cellStyle name="Separador de milhares 3 2 4 2 5 2 4 2" xfId="44468"/>
    <cellStyle name="Separador de milhares 3 2 4 2 5 2 5" xfId="13300"/>
    <cellStyle name="Separador de milhares 3 2 4 2 5 2 5 2" xfId="38557"/>
    <cellStyle name="Separador de milhares 3 2 4 2 5 2 6" xfId="32646"/>
    <cellStyle name="Separador de milhares 3 2 4 2 5 3" xfId="8590"/>
    <cellStyle name="Separador de milhares 3 2 4 2 5 3 2" xfId="26804"/>
    <cellStyle name="Separador de milhares 3 2 4 2 5 3 2 2" xfId="51871"/>
    <cellStyle name="Separador de milhares 3 2 4 2 5 3 3" xfId="20890"/>
    <cellStyle name="Separador de milhares 3 2 4 2 5 3 3 2" xfId="45957"/>
    <cellStyle name="Separador de milhares 3 2 4 2 5 3 4" xfId="14976"/>
    <cellStyle name="Separador de milhares 3 2 4 2 5 3 4 2" xfId="40043"/>
    <cellStyle name="Separador de milhares 3 2 4 2 5 3 5" xfId="34135"/>
    <cellStyle name="Separador de milhares 3 2 4 2 5 4" xfId="5212"/>
    <cellStyle name="Separador de milhares 3 2 4 2 5 4 2" xfId="23847"/>
    <cellStyle name="Separador de milhares 3 2 4 2 5 4 2 2" xfId="48914"/>
    <cellStyle name="Separador de milhares 3 2 4 2 5 4 3" xfId="31178"/>
    <cellStyle name="Separador de milhares 3 2 4 2 5 5" xfId="17933"/>
    <cellStyle name="Separador de milhares 3 2 4 2 5 5 2" xfId="43000"/>
    <cellStyle name="Separador de milhares 3 2 4 2 5 6" xfId="11599"/>
    <cellStyle name="Separador de milhares 3 2 4 2 5 6 2" xfId="37089"/>
    <cellStyle name="Separador de milhares 3 2 4 2 5 7" xfId="29708"/>
    <cellStyle name="Separador de milhares 3 2 4 2 6" xfId="2246"/>
    <cellStyle name="Separador de milhares 3 2 4 2 6 2" xfId="7061"/>
    <cellStyle name="Separador de milhares 3 2 4 2 6 2 2" xfId="10205"/>
    <cellStyle name="Separador de milhares 3 2 4 2 6 2 2 2" xfId="28419"/>
    <cellStyle name="Separador de milhares 3 2 4 2 6 2 2 2 2" xfId="53486"/>
    <cellStyle name="Separador de milhares 3 2 4 2 6 2 2 3" xfId="22505"/>
    <cellStyle name="Separador de milhares 3 2 4 2 6 2 2 3 2" xfId="47572"/>
    <cellStyle name="Separador de milhares 3 2 4 2 6 2 2 4" xfId="16591"/>
    <cellStyle name="Separador de milhares 3 2 4 2 6 2 2 4 2" xfId="41658"/>
    <cellStyle name="Separador de milhares 3 2 4 2 6 2 2 5" xfId="35750"/>
    <cellStyle name="Separador de milhares 3 2 4 2 6 2 3" xfId="25462"/>
    <cellStyle name="Separador de milhares 3 2 4 2 6 2 3 2" xfId="50529"/>
    <cellStyle name="Separador de milhares 3 2 4 2 6 2 4" xfId="19548"/>
    <cellStyle name="Separador de milhares 3 2 4 2 6 2 4 2" xfId="44615"/>
    <cellStyle name="Separador de milhares 3 2 4 2 6 2 5" xfId="13450"/>
    <cellStyle name="Separador de milhares 3 2 4 2 6 2 5 2" xfId="38704"/>
    <cellStyle name="Separador de milhares 3 2 4 2 6 2 6" xfId="32793"/>
    <cellStyle name="Separador de milhares 3 2 4 2 6 3" xfId="8737"/>
    <cellStyle name="Separador de milhares 3 2 4 2 6 3 2" xfId="26951"/>
    <cellStyle name="Separador de milhares 3 2 4 2 6 3 2 2" xfId="52018"/>
    <cellStyle name="Separador de milhares 3 2 4 2 6 3 3" xfId="21037"/>
    <cellStyle name="Separador de milhares 3 2 4 2 6 3 3 2" xfId="46104"/>
    <cellStyle name="Separador de milhares 3 2 4 2 6 3 4" xfId="15123"/>
    <cellStyle name="Separador de milhares 3 2 4 2 6 3 4 2" xfId="40190"/>
    <cellStyle name="Separador de milhares 3 2 4 2 6 3 5" xfId="34282"/>
    <cellStyle name="Separador de milhares 3 2 4 2 6 4" xfId="5362"/>
    <cellStyle name="Separador de milhares 3 2 4 2 6 4 2" xfId="23994"/>
    <cellStyle name="Separador de milhares 3 2 4 2 6 4 2 2" xfId="49061"/>
    <cellStyle name="Separador de milhares 3 2 4 2 6 4 3" xfId="31325"/>
    <cellStyle name="Separador de milhares 3 2 4 2 6 5" xfId="18080"/>
    <cellStyle name="Separador de milhares 3 2 4 2 6 5 2" xfId="43147"/>
    <cellStyle name="Separador de milhares 3 2 4 2 6 6" xfId="11749"/>
    <cellStyle name="Separador de milhares 3 2 4 2 6 6 2" xfId="37236"/>
    <cellStyle name="Separador de milhares 3 2 4 2 6 7" xfId="29855"/>
    <cellStyle name="Separador de milhares 3 2 4 2 7" xfId="2773"/>
    <cellStyle name="Separador de milhares 3 2 4 2 7 2" xfId="7208"/>
    <cellStyle name="Separador de milhares 3 2 4 2 7 2 2" xfId="10352"/>
    <cellStyle name="Separador de milhares 3 2 4 2 7 2 2 2" xfId="28566"/>
    <cellStyle name="Separador de milhares 3 2 4 2 7 2 2 2 2" xfId="53633"/>
    <cellStyle name="Separador de milhares 3 2 4 2 7 2 2 3" xfId="22652"/>
    <cellStyle name="Separador de milhares 3 2 4 2 7 2 2 3 2" xfId="47719"/>
    <cellStyle name="Separador de milhares 3 2 4 2 7 2 2 4" xfId="16738"/>
    <cellStyle name="Separador de milhares 3 2 4 2 7 2 2 4 2" xfId="41805"/>
    <cellStyle name="Separador de milhares 3 2 4 2 7 2 2 5" xfId="35897"/>
    <cellStyle name="Separador de milhares 3 2 4 2 7 2 3" xfId="25609"/>
    <cellStyle name="Separador de milhares 3 2 4 2 7 2 3 2" xfId="50676"/>
    <cellStyle name="Separador de milhares 3 2 4 2 7 2 4" xfId="19695"/>
    <cellStyle name="Separador de milhares 3 2 4 2 7 2 4 2" xfId="44762"/>
    <cellStyle name="Separador de milhares 3 2 4 2 7 2 5" xfId="13597"/>
    <cellStyle name="Separador de milhares 3 2 4 2 7 2 5 2" xfId="38851"/>
    <cellStyle name="Separador de milhares 3 2 4 2 7 2 6" xfId="32940"/>
    <cellStyle name="Separador de milhares 3 2 4 2 7 3" xfId="8884"/>
    <cellStyle name="Separador de milhares 3 2 4 2 7 3 2" xfId="27098"/>
    <cellStyle name="Separador de milhares 3 2 4 2 7 3 2 2" xfId="52165"/>
    <cellStyle name="Separador de milhares 3 2 4 2 7 3 3" xfId="21184"/>
    <cellStyle name="Separador de milhares 3 2 4 2 7 3 3 2" xfId="46251"/>
    <cellStyle name="Separador de milhares 3 2 4 2 7 3 4" xfId="15270"/>
    <cellStyle name="Separador de milhares 3 2 4 2 7 3 4 2" xfId="40337"/>
    <cellStyle name="Separador de milhares 3 2 4 2 7 3 5" xfId="34429"/>
    <cellStyle name="Separador de milhares 3 2 4 2 7 4" xfId="5509"/>
    <cellStyle name="Separador de milhares 3 2 4 2 7 4 2" xfId="24141"/>
    <cellStyle name="Separador de milhares 3 2 4 2 7 4 2 2" xfId="49208"/>
    <cellStyle name="Separador de milhares 3 2 4 2 7 4 3" xfId="31472"/>
    <cellStyle name="Separador de milhares 3 2 4 2 7 5" xfId="18227"/>
    <cellStyle name="Separador de milhares 3 2 4 2 7 5 2" xfId="43294"/>
    <cellStyle name="Separador de milhares 3 2 4 2 7 6" xfId="11896"/>
    <cellStyle name="Separador de milhares 3 2 4 2 7 6 2" xfId="37383"/>
    <cellStyle name="Separador de milhares 3 2 4 2 7 7" xfId="30002"/>
    <cellStyle name="Separador de milhares 3 2 4 2 8" xfId="3300"/>
    <cellStyle name="Separador de milhares 3 2 4 2 8 2" xfId="7355"/>
    <cellStyle name="Separador de milhares 3 2 4 2 8 2 2" xfId="10499"/>
    <cellStyle name="Separador de milhares 3 2 4 2 8 2 2 2" xfId="28713"/>
    <cellStyle name="Separador de milhares 3 2 4 2 8 2 2 2 2" xfId="53780"/>
    <cellStyle name="Separador de milhares 3 2 4 2 8 2 2 3" xfId="22799"/>
    <cellStyle name="Separador de milhares 3 2 4 2 8 2 2 3 2" xfId="47866"/>
    <cellStyle name="Separador de milhares 3 2 4 2 8 2 2 4" xfId="16885"/>
    <cellStyle name="Separador de milhares 3 2 4 2 8 2 2 4 2" xfId="41952"/>
    <cellStyle name="Separador de milhares 3 2 4 2 8 2 2 5" xfId="36044"/>
    <cellStyle name="Separador de milhares 3 2 4 2 8 2 3" xfId="25756"/>
    <cellStyle name="Separador de milhares 3 2 4 2 8 2 3 2" xfId="50823"/>
    <cellStyle name="Separador de milhares 3 2 4 2 8 2 4" xfId="19842"/>
    <cellStyle name="Separador de milhares 3 2 4 2 8 2 4 2" xfId="44909"/>
    <cellStyle name="Separador de milhares 3 2 4 2 8 2 5" xfId="13744"/>
    <cellStyle name="Separador de milhares 3 2 4 2 8 2 5 2" xfId="38998"/>
    <cellStyle name="Separador de milhares 3 2 4 2 8 2 6" xfId="33087"/>
    <cellStyle name="Separador de milhares 3 2 4 2 8 3" xfId="9031"/>
    <cellStyle name="Separador de milhares 3 2 4 2 8 3 2" xfId="27245"/>
    <cellStyle name="Separador de milhares 3 2 4 2 8 3 2 2" xfId="52312"/>
    <cellStyle name="Separador de milhares 3 2 4 2 8 3 3" xfId="21331"/>
    <cellStyle name="Separador de milhares 3 2 4 2 8 3 3 2" xfId="46398"/>
    <cellStyle name="Separador de milhares 3 2 4 2 8 3 4" xfId="15417"/>
    <cellStyle name="Separador de milhares 3 2 4 2 8 3 4 2" xfId="40484"/>
    <cellStyle name="Separador de milhares 3 2 4 2 8 3 5" xfId="34576"/>
    <cellStyle name="Separador de milhares 3 2 4 2 8 4" xfId="5656"/>
    <cellStyle name="Separador de milhares 3 2 4 2 8 4 2" xfId="24288"/>
    <cellStyle name="Separador de milhares 3 2 4 2 8 4 2 2" xfId="49355"/>
    <cellStyle name="Separador de milhares 3 2 4 2 8 4 3" xfId="31619"/>
    <cellStyle name="Separador de milhares 3 2 4 2 8 5" xfId="18374"/>
    <cellStyle name="Separador de milhares 3 2 4 2 8 5 2" xfId="43441"/>
    <cellStyle name="Separador de milhares 3 2 4 2 8 6" xfId="12043"/>
    <cellStyle name="Separador de milhares 3 2 4 2 8 6 2" xfId="37530"/>
    <cellStyle name="Separador de milhares 3 2 4 2 8 7" xfId="30149"/>
    <cellStyle name="Separador de milhares 3 2 4 2 9" xfId="3827"/>
    <cellStyle name="Separador de milhares 3 2 4 2 9 2" xfId="7502"/>
    <cellStyle name="Separador de milhares 3 2 4 2 9 2 2" xfId="10646"/>
    <cellStyle name="Separador de milhares 3 2 4 2 9 2 2 2" xfId="28860"/>
    <cellStyle name="Separador de milhares 3 2 4 2 9 2 2 2 2" xfId="53927"/>
    <cellStyle name="Separador de milhares 3 2 4 2 9 2 2 3" xfId="22946"/>
    <cellStyle name="Separador de milhares 3 2 4 2 9 2 2 3 2" xfId="48013"/>
    <cellStyle name="Separador de milhares 3 2 4 2 9 2 2 4" xfId="17032"/>
    <cellStyle name="Separador de milhares 3 2 4 2 9 2 2 4 2" xfId="42099"/>
    <cellStyle name="Separador de milhares 3 2 4 2 9 2 2 5" xfId="36191"/>
    <cellStyle name="Separador de milhares 3 2 4 2 9 2 3" xfId="25903"/>
    <cellStyle name="Separador de milhares 3 2 4 2 9 2 3 2" xfId="50970"/>
    <cellStyle name="Separador de milhares 3 2 4 2 9 2 4" xfId="19989"/>
    <cellStyle name="Separador de milhares 3 2 4 2 9 2 4 2" xfId="45056"/>
    <cellStyle name="Separador de milhares 3 2 4 2 9 2 5" xfId="13891"/>
    <cellStyle name="Separador de milhares 3 2 4 2 9 2 5 2" xfId="39145"/>
    <cellStyle name="Separador de milhares 3 2 4 2 9 2 6" xfId="33234"/>
    <cellStyle name="Separador de milhares 3 2 4 2 9 3" xfId="9178"/>
    <cellStyle name="Separador de milhares 3 2 4 2 9 3 2" xfId="27392"/>
    <cellStyle name="Separador de milhares 3 2 4 2 9 3 2 2" xfId="52459"/>
    <cellStyle name="Separador de milhares 3 2 4 2 9 3 3" xfId="21478"/>
    <cellStyle name="Separador de milhares 3 2 4 2 9 3 3 2" xfId="46545"/>
    <cellStyle name="Separador de milhares 3 2 4 2 9 3 4" xfId="15564"/>
    <cellStyle name="Separador de milhares 3 2 4 2 9 3 4 2" xfId="40631"/>
    <cellStyle name="Separador de milhares 3 2 4 2 9 3 5" xfId="34723"/>
    <cellStyle name="Separador de milhares 3 2 4 2 9 4" xfId="5803"/>
    <cellStyle name="Separador de milhares 3 2 4 2 9 4 2" xfId="24435"/>
    <cellStyle name="Separador de milhares 3 2 4 2 9 4 2 2" xfId="49502"/>
    <cellStyle name="Separador de milhares 3 2 4 2 9 4 3" xfId="31766"/>
    <cellStyle name="Separador de milhares 3 2 4 2 9 5" xfId="18521"/>
    <cellStyle name="Separador de milhares 3 2 4 2 9 5 2" xfId="43588"/>
    <cellStyle name="Separador de milhares 3 2 4 2 9 6" xfId="12190"/>
    <cellStyle name="Separador de milhares 3 2 4 2 9 6 2" xfId="37677"/>
    <cellStyle name="Separador de milhares 3 2 4 2 9 7" xfId="30296"/>
    <cellStyle name="Separador de milhares 3 2 4 3" xfId="279"/>
    <cellStyle name="Separador de milhares 3 2 4 3 10" xfId="6493"/>
    <cellStyle name="Separador de milhares 3 2 4 3 10 2" xfId="9644"/>
    <cellStyle name="Separador de milhares 3 2 4 3 10 2 2" xfId="27858"/>
    <cellStyle name="Separador de milhares 3 2 4 3 10 2 2 2" xfId="52925"/>
    <cellStyle name="Separador de milhares 3 2 4 3 10 2 3" xfId="21944"/>
    <cellStyle name="Separador de milhares 3 2 4 3 10 2 3 2" xfId="47011"/>
    <cellStyle name="Separador de milhares 3 2 4 3 10 2 4" xfId="16030"/>
    <cellStyle name="Separador de milhares 3 2 4 3 10 2 4 2" xfId="41097"/>
    <cellStyle name="Separador de milhares 3 2 4 3 10 2 5" xfId="35189"/>
    <cellStyle name="Separador de milhares 3 2 4 3 10 3" xfId="24901"/>
    <cellStyle name="Separador de milhares 3 2 4 3 10 3 2" xfId="49968"/>
    <cellStyle name="Separador de milhares 3 2 4 3 10 4" xfId="18987"/>
    <cellStyle name="Separador de milhares 3 2 4 3 10 4 2" xfId="44054"/>
    <cellStyle name="Separador de milhares 3 2 4 3 10 5" xfId="12882"/>
    <cellStyle name="Separador de milhares 3 2 4 3 10 5 2" xfId="38143"/>
    <cellStyle name="Separador de milhares 3 2 4 3 10 6" xfId="32232"/>
    <cellStyle name="Separador de milhares 3 2 4 3 11" xfId="8173"/>
    <cellStyle name="Separador de milhares 3 2 4 3 11 2" xfId="26387"/>
    <cellStyle name="Separador de milhares 3 2 4 3 11 2 2" xfId="51454"/>
    <cellStyle name="Separador de milhares 3 2 4 3 11 3" xfId="20473"/>
    <cellStyle name="Separador de milhares 3 2 4 3 11 3 2" xfId="45540"/>
    <cellStyle name="Separador de milhares 3 2 4 3 11 4" xfId="14562"/>
    <cellStyle name="Separador de milhares 3 2 4 3 11 4 2" xfId="39629"/>
    <cellStyle name="Separador de milhares 3 2 4 3 11 5" xfId="33718"/>
    <cellStyle name="Separador de milhares 3 2 4 3 12" xfId="4792"/>
    <cellStyle name="Separador de milhares 3 2 4 3 12 2" xfId="23430"/>
    <cellStyle name="Separador de milhares 3 2 4 3 12 2 2" xfId="48497"/>
    <cellStyle name="Separador de milhares 3 2 4 3 12 3" xfId="30762"/>
    <cellStyle name="Separador de milhares 3 2 4 3 13" xfId="17516"/>
    <cellStyle name="Separador de milhares 3 2 4 3 13 2" xfId="42583"/>
    <cellStyle name="Separador de milhares 3 2 4 3 14" xfId="11181"/>
    <cellStyle name="Separador de milhares 3 2 4 3 14 2" xfId="36675"/>
    <cellStyle name="Separador de milhares 3 2 4 3 15" xfId="29291"/>
    <cellStyle name="Separador de milhares 3 2 4 3 2" xfId="542"/>
    <cellStyle name="Separador de milhares 3 2 4 3 2 2" xfId="6564"/>
    <cellStyle name="Separador de milhares 3 2 4 3 2 2 2" xfId="9711"/>
    <cellStyle name="Separador de milhares 3 2 4 3 2 2 2 2" xfId="27925"/>
    <cellStyle name="Separador de milhares 3 2 4 3 2 2 2 2 2" xfId="52992"/>
    <cellStyle name="Separador de milhares 3 2 4 3 2 2 2 3" xfId="22011"/>
    <cellStyle name="Separador de milhares 3 2 4 3 2 2 2 3 2" xfId="47078"/>
    <cellStyle name="Separador de milhares 3 2 4 3 2 2 2 4" xfId="16097"/>
    <cellStyle name="Separador de milhares 3 2 4 3 2 2 2 4 2" xfId="41164"/>
    <cellStyle name="Separador de milhares 3 2 4 3 2 2 2 5" xfId="35256"/>
    <cellStyle name="Separador de milhares 3 2 4 3 2 2 3" xfId="24968"/>
    <cellStyle name="Separador de milhares 3 2 4 3 2 2 3 2" xfId="50035"/>
    <cellStyle name="Separador de milhares 3 2 4 3 2 2 4" xfId="19054"/>
    <cellStyle name="Separador de milhares 3 2 4 3 2 2 4 2" xfId="44121"/>
    <cellStyle name="Separador de milhares 3 2 4 3 2 2 5" xfId="12953"/>
    <cellStyle name="Separador de milhares 3 2 4 3 2 2 5 2" xfId="38210"/>
    <cellStyle name="Separador de milhares 3 2 4 3 2 2 6" xfId="32299"/>
    <cellStyle name="Separador de milhares 3 2 4 3 2 3" xfId="8240"/>
    <cellStyle name="Separador de milhares 3 2 4 3 2 3 2" xfId="26454"/>
    <cellStyle name="Separador de milhares 3 2 4 3 2 3 2 2" xfId="51521"/>
    <cellStyle name="Separador de milhares 3 2 4 3 2 3 3" xfId="20540"/>
    <cellStyle name="Separador de milhares 3 2 4 3 2 3 3 2" xfId="45607"/>
    <cellStyle name="Separador de milhares 3 2 4 3 2 3 4" xfId="14629"/>
    <cellStyle name="Separador de milhares 3 2 4 3 2 3 4 2" xfId="39696"/>
    <cellStyle name="Separador de milhares 3 2 4 3 2 3 5" xfId="33785"/>
    <cellStyle name="Separador de milhares 3 2 4 3 2 4" xfId="4863"/>
    <cellStyle name="Separador de milhares 3 2 4 3 2 4 2" xfId="23497"/>
    <cellStyle name="Separador de milhares 3 2 4 3 2 4 2 2" xfId="48564"/>
    <cellStyle name="Separador de milhares 3 2 4 3 2 4 3" xfId="30829"/>
    <cellStyle name="Separador de milhares 3 2 4 3 2 5" xfId="17583"/>
    <cellStyle name="Separador de milhares 3 2 4 3 2 5 2" xfId="42650"/>
    <cellStyle name="Separador de milhares 3 2 4 3 2 6" xfId="11252"/>
    <cellStyle name="Separador de milhares 3 2 4 3 2 6 2" xfId="36742"/>
    <cellStyle name="Separador de milhares 3 2 4 3 2 7" xfId="29358"/>
    <cellStyle name="Separador de milhares 3 2 4 3 3" xfId="839"/>
    <cellStyle name="Separador de milhares 3 2 4 3 3 2" xfId="6666"/>
    <cellStyle name="Separador de milhares 3 2 4 3 3 2 2" xfId="9813"/>
    <cellStyle name="Separador de milhares 3 2 4 3 3 2 2 2" xfId="28027"/>
    <cellStyle name="Separador de milhares 3 2 4 3 3 2 2 2 2" xfId="53094"/>
    <cellStyle name="Separador de milhares 3 2 4 3 3 2 2 3" xfId="22113"/>
    <cellStyle name="Separador de milhares 3 2 4 3 3 2 2 3 2" xfId="47180"/>
    <cellStyle name="Separador de milhares 3 2 4 3 3 2 2 4" xfId="16199"/>
    <cellStyle name="Separador de milhares 3 2 4 3 3 2 2 4 2" xfId="41266"/>
    <cellStyle name="Separador de milhares 3 2 4 3 3 2 2 5" xfId="35358"/>
    <cellStyle name="Separador de milhares 3 2 4 3 3 2 3" xfId="25070"/>
    <cellStyle name="Separador de milhares 3 2 4 3 3 2 3 2" xfId="50137"/>
    <cellStyle name="Separador de milhares 3 2 4 3 3 2 4" xfId="19156"/>
    <cellStyle name="Separador de milhares 3 2 4 3 3 2 4 2" xfId="44223"/>
    <cellStyle name="Separador de milhares 3 2 4 3 3 2 5" xfId="13055"/>
    <cellStyle name="Separador de milhares 3 2 4 3 3 2 5 2" xfId="38312"/>
    <cellStyle name="Separador de milhares 3 2 4 3 3 2 6" xfId="32401"/>
    <cellStyle name="Separador de milhares 3 2 4 3 3 3" xfId="8345"/>
    <cellStyle name="Separador de milhares 3 2 4 3 3 3 2" xfId="26559"/>
    <cellStyle name="Separador de milhares 3 2 4 3 3 3 2 2" xfId="51626"/>
    <cellStyle name="Separador de milhares 3 2 4 3 3 3 3" xfId="20645"/>
    <cellStyle name="Separador de milhares 3 2 4 3 3 3 3 2" xfId="45712"/>
    <cellStyle name="Separador de milhares 3 2 4 3 3 3 4" xfId="14731"/>
    <cellStyle name="Separador de milhares 3 2 4 3 3 3 4 2" xfId="39798"/>
    <cellStyle name="Separador de milhares 3 2 4 3 3 3 5" xfId="33890"/>
    <cellStyle name="Separador de milhares 3 2 4 3 3 4" xfId="4967"/>
    <cellStyle name="Separador de milhares 3 2 4 3 3 4 2" xfId="23602"/>
    <cellStyle name="Separador de milhares 3 2 4 3 3 4 2 2" xfId="48669"/>
    <cellStyle name="Separador de milhares 3 2 4 3 3 4 3" xfId="30933"/>
    <cellStyle name="Separador de milhares 3 2 4 3 3 5" xfId="17688"/>
    <cellStyle name="Separador de milhares 3 2 4 3 3 5 2" xfId="42755"/>
    <cellStyle name="Separador de milhares 3 2 4 3 3 6" xfId="11354"/>
    <cellStyle name="Separador de milhares 3 2 4 3 3 6 2" xfId="36844"/>
    <cellStyle name="Separador de milhares 3 2 4 3 3 7" xfId="29463"/>
    <cellStyle name="Separador de milhares 3 2 4 3 4" xfId="1190"/>
    <cellStyle name="Separador de milhares 3 2 4 3 4 2" xfId="6764"/>
    <cellStyle name="Separador de milhares 3 2 4 3 4 2 2" xfId="9911"/>
    <cellStyle name="Separador de milhares 3 2 4 3 4 2 2 2" xfId="28125"/>
    <cellStyle name="Separador de milhares 3 2 4 3 4 2 2 2 2" xfId="53192"/>
    <cellStyle name="Separador de milhares 3 2 4 3 4 2 2 3" xfId="22211"/>
    <cellStyle name="Separador de milhares 3 2 4 3 4 2 2 3 2" xfId="47278"/>
    <cellStyle name="Separador de milhares 3 2 4 3 4 2 2 4" xfId="16297"/>
    <cellStyle name="Separador de milhares 3 2 4 3 4 2 2 4 2" xfId="41364"/>
    <cellStyle name="Separador de milhares 3 2 4 3 4 2 2 5" xfId="35456"/>
    <cellStyle name="Separador de milhares 3 2 4 3 4 2 3" xfId="25168"/>
    <cellStyle name="Separador de milhares 3 2 4 3 4 2 3 2" xfId="50235"/>
    <cellStyle name="Separador de milhares 3 2 4 3 4 2 4" xfId="19254"/>
    <cellStyle name="Separador de milhares 3 2 4 3 4 2 4 2" xfId="44321"/>
    <cellStyle name="Separador de milhares 3 2 4 3 4 2 5" xfId="13153"/>
    <cellStyle name="Separador de milhares 3 2 4 3 4 2 5 2" xfId="38410"/>
    <cellStyle name="Separador de milhares 3 2 4 3 4 2 6" xfId="32499"/>
    <cellStyle name="Separador de milhares 3 2 4 3 4 3" xfId="8443"/>
    <cellStyle name="Separador de milhares 3 2 4 3 4 3 2" xfId="26657"/>
    <cellStyle name="Separador de milhares 3 2 4 3 4 3 2 2" xfId="51724"/>
    <cellStyle name="Separador de milhares 3 2 4 3 4 3 3" xfId="20743"/>
    <cellStyle name="Separador de milhares 3 2 4 3 4 3 3 2" xfId="45810"/>
    <cellStyle name="Separador de milhares 3 2 4 3 4 3 4" xfId="14829"/>
    <cellStyle name="Separador de milhares 3 2 4 3 4 3 4 2" xfId="39896"/>
    <cellStyle name="Separador de milhares 3 2 4 3 4 3 5" xfId="33988"/>
    <cellStyle name="Separador de milhares 3 2 4 3 4 4" xfId="5065"/>
    <cellStyle name="Separador de milhares 3 2 4 3 4 4 2" xfId="23700"/>
    <cellStyle name="Separador de milhares 3 2 4 3 4 4 2 2" xfId="48767"/>
    <cellStyle name="Separador de milhares 3 2 4 3 4 4 3" xfId="31031"/>
    <cellStyle name="Separador de milhares 3 2 4 3 4 5" xfId="17786"/>
    <cellStyle name="Separador de milhares 3 2 4 3 4 5 2" xfId="42853"/>
    <cellStyle name="Separador de milhares 3 2 4 3 4 6" xfId="11452"/>
    <cellStyle name="Separador de milhares 3 2 4 3 4 6 2" xfId="36942"/>
    <cellStyle name="Separador de milhares 3 2 4 3 4 7" xfId="29561"/>
    <cellStyle name="Separador de milhares 3 2 4 3 5" xfId="1625"/>
    <cellStyle name="Separador de milhares 3 2 4 3 5 2" xfId="6883"/>
    <cellStyle name="Separador de milhares 3 2 4 3 5 2 2" xfId="10030"/>
    <cellStyle name="Separador de milhares 3 2 4 3 5 2 2 2" xfId="28244"/>
    <cellStyle name="Separador de milhares 3 2 4 3 5 2 2 2 2" xfId="53311"/>
    <cellStyle name="Separador de milhares 3 2 4 3 5 2 2 3" xfId="22330"/>
    <cellStyle name="Separador de milhares 3 2 4 3 5 2 2 3 2" xfId="47397"/>
    <cellStyle name="Separador de milhares 3 2 4 3 5 2 2 4" xfId="16416"/>
    <cellStyle name="Separador de milhares 3 2 4 3 5 2 2 4 2" xfId="41483"/>
    <cellStyle name="Separador de milhares 3 2 4 3 5 2 2 5" xfId="35575"/>
    <cellStyle name="Separador de milhares 3 2 4 3 5 2 3" xfId="25287"/>
    <cellStyle name="Separador de milhares 3 2 4 3 5 2 3 2" xfId="50354"/>
    <cellStyle name="Separador de milhares 3 2 4 3 5 2 4" xfId="19373"/>
    <cellStyle name="Separador de milhares 3 2 4 3 5 2 4 2" xfId="44440"/>
    <cellStyle name="Separador de milhares 3 2 4 3 5 2 5" xfId="13272"/>
    <cellStyle name="Separador de milhares 3 2 4 3 5 2 5 2" xfId="38529"/>
    <cellStyle name="Separador de milhares 3 2 4 3 5 2 6" xfId="32618"/>
    <cellStyle name="Separador de milhares 3 2 4 3 5 3" xfId="8562"/>
    <cellStyle name="Separador de milhares 3 2 4 3 5 3 2" xfId="26776"/>
    <cellStyle name="Separador de milhares 3 2 4 3 5 3 2 2" xfId="51843"/>
    <cellStyle name="Separador de milhares 3 2 4 3 5 3 3" xfId="20862"/>
    <cellStyle name="Separador de milhares 3 2 4 3 5 3 3 2" xfId="45929"/>
    <cellStyle name="Separador de milhares 3 2 4 3 5 3 4" xfId="14948"/>
    <cellStyle name="Separador de milhares 3 2 4 3 5 3 4 2" xfId="40015"/>
    <cellStyle name="Separador de milhares 3 2 4 3 5 3 5" xfId="34107"/>
    <cellStyle name="Separador de milhares 3 2 4 3 5 4" xfId="5184"/>
    <cellStyle name="Separador de milhares 3 2 4 3 5 4 2" xfId="23819"/>
    <cellStyle name="Separador de milhares 3 2 4 3 5 4 2 2" xfId="48886"/>
    <cellStyle name="Separador de milhares 3 2 4 3 5 4 3" xfId="31150"/>
    <cellStyle name="Separador de milhares 3 2 4 3 5 5" xfId="17905"/>
    <cellStyle name="Separador de milhares 3 2 4 3 5 5 2" xfId="42972"/>
    <cellStyle name="Separador de milhares 3 2 4 3 5 6" xfId="11571"/>
    <cellStyle name="Separador de milhares 3 2 4 3 5 6 2" xfId="37061"/>
    <cellStyle name="Separador de milhares 3 2 4 3 5 7" xfId="29680"/>
    <cellStyle name="Separador de milhares 3 2 4 3 6" xfId="2155"/>
    <cellStyle name="Separador de milhares 3 2 4 3 6 2" xfId="7033"/>
    <cellStyle name="Separador de milhares 3 2 4 3 6 2 2" xfId="10177"/>
    <cellStyle name="Separador de milhares 3 2 4 3 6 2 2 2" xfId="28391"/>
    <cellStyle name="Separador de milhares 3 2 4 3 6 2 2 2 2" xfId="53458"/>
    <cellStyle name="Separador de milhares 3 2 4 3 6 2 2 3" xfId="22477"/>
    <cellStyle name="Separador de milhares 3 2 4 3 6 2 2 3 2" xfId="47544"/>
    <cellStyle name="Separador de milhares 3 2 4 3 6 2 2 4" xfId="16563"/>
    <cellStyle name="Separador de milhares 3 2 4 3 6 2 2 4 2" xfId="41630"/>
    <cellStyle name="Separador de milhares 3 2 4 3 6 2 2 5" xfId="35722"/>
    <cellStyle name="Separador de milhares 3 2 4 3 6 2 3" xfId="25434"/>
    <cellStyle name="Separador de milhares 3 2 4 3 6 2 3 2" xfId="50501"/>
    <cellStyle name="Separador de milhares 3 2 4 3 6 2 4" xfId="19520"/>
    <cellStyle name="Separador de milhares 3 2 4 3 6 2 4 2" xfId="44587"/>
    <cellStyle name="Separador de milhares 3 2 4 3 6 2 5" xfId="13422"/>
    <cellStyle name="Separador de milhares 3 2 4 3 6 2 5 2" xfId="38676"/>
    <cellStyle name="Separador de milhares 3 2 4 3 6 2 6" xfId="32765"/>
    <cellStyle name="Separador de milhares 3 2 4 3 6 3" xfId="8709"/>
    <cellStyle name="Separador de milhares 3 2 4 3 6 3 2" xfId="26923"/>
    <cellStyle name="Separador de milhares 3 2 4 3 6 3 2 2" xfId="51990"/>
    <cellStyle name="Separador de milhares 3 2 4 3 6 3 3" xfId="21009"/>
    <cellStyle name="Separador de milhares 3 2 4 3 6 3 3 2" xfId="46076"/>
    <cellStyle name="Separador de milhares 3 2 4 3 6 3 4" xfId="15095"/>
    <cellStyle name="Separador de milhares 3 2 4 3 6 3 4 2" xfId="40162"/>
    <cellStyle name="Separador de milhares 3 2 4 3 6 3 5" xfId="34254"/>
    <cellStyle name="Separador de milhares 3 2 4 3 6 4" xfId="5334"/>
    <cellStyle name="Separador de milhares 3 2 4 3 6 4 2" xfId="23966"/>
    <cellStyle name="Separador de milhares 3 2 4 3 6 4 2 2" xfId="49033"/>
    <cellStyle name="Separador de milhares 3 2 4 3 6 4 3" xfId="31297"/>
    <cellStyle name="Separador de milhares 3 2 4 3 6 5" xfId="18052"/>
    <cellStyle name="Separador de milhares 3 2 4 3 6 5 2" xfId="43119"/>
    <cellStyle name="Separador de milhares 3 2 4 3 6 6" xfId="11721"/>
    <cellStyle name="Separador de milhares 3 2 4 3 6 6 2" xfId="37208"/>
    <cellStyle name="Separador de milhares 3 2 4 3 6 7" xfId="29827"/>
    <cellStyle name="Separador de milhares 3 2 4 3 7" xfId="2682"/>
    <cellStyle name="Separador de milhares 3 2 4 3 7 2" xfId="7180"/>
    <cellStyle name="Separador de milhares 3 2 4 3 7 2 2" xfId="10324"/>
    <cellStyle name="Separador de milhares 3 2 4 3 7 2 2 2" xfId="28538"/>
    <cellStyle name="Separador de milhares 3 2 4 3 7 2 2 2 2" xfId="53605"/>
    <cellStyle name="Separador de milhares 3 2 4 3 7 2 2 3" xfId="22624"/>
    <cellStyle name="Separador de milhares 3 2 4 3 7 2 2 3 2" xfId="47691"/>
    <cellStyle name="Separador de milhares 3 2 4 3 7 2 2 4" xfId="16710"/>
    <cellStyle name="Separador de milhares 3 2 4 3 7 2 2 4 2" xfId="41777"/>
    <cellStyle name="Separador de milhares 3 2 4 3 7 2 2 5" xfId="35869"/>
    <cellStyle name="Separador de milhares 3 2 4 3 7 2 3" xfId="25581"/>
    <cellStyle name="Separador de milhares 3 2 4 3 7 2 3 2" xfId="50648"/>
    <cellStyle name="Separador de milhares 3 2 4 3 7 2 4" xfId="19667"/>
    <cellStyle name="Separador de milhares 3 2 4 3 7 2 4 2" xfId="44734"/>
    <cellStyle name="Separador de milhares 3 2 4 3 7 2 5" xfId="13569"/>
    <cellStyle name="Separador de milhares 3 2 4 3 7 2 5 2" xfId="38823"/>
    <cellStyle name="Separador de milhares 3 2 4 3 7 2 6" xfId="32912"/>
    <cellStyle name="Separador de milhares 3 2 4 3 7 3" xfId="8856"/>
    <cellStyle name="Separador de milhares 3 2 4 3 7 3 2" xfId="27070"/>
    <cellStyle name="Separador de milhares 3 2 4 3 7 3 2 2" xfId="52137"/>
    <cellStyle name="Separador de milhares 3 2 4 3 7 3 3" xfId="21156"/>
    <cellStyle name="Separador de milhares 3 2 4 3 7 3 3 2" xfId="46223"/>
    <cellStyle name="Separador de milhares 3 2 4 3 7 3 4" xfId="15242"/>
    <cellStyle name="Separador de milhares 3 2 4 3 7 3 4 2" xfId="40309"/>
    <cellStyle name="Separador de milhares 3 2 4 3 7 3 5" xfId="34401"/>
    <cellStyle name="Separador de milhares 3 2 4 3 7 4" xfId="5481"/>
    <cellStyle name="Separador de milhares 3 2 4 3 7 4 2" xfId="24113"/>
    <cellStyle name="Separador de milhares 3 2 4 3 7 4 2 2" xfId="49180"/>
    <cellStyle name="Separador de milhares 3 2 4 3 7 4 3" xfId="31444"/>
    <cellStyle name="Separador de milhares 3 2 4 3 7 5" xfId="18199"/>
    <cellStyle name="Separador de milhares 3 2 4 3 7 5 2" xfId="43266"/>
    <cellStyle name="Separador de milhares 3 2 4 3 7 6" xfId="11868"/>
    <cellStyle name="Separador de milhares 3 2 4 3 7 6 2" xfId="37355"/>
    <cellStyle name="Separador de milhares 3 2 4 3 7 7" xfId="29974"/>
    <cellStyle name="Separador de milhares 3 2 4 3 8" xfId="3209"/>
    <cellStyle name="Separador de milhares 3 2 4 3 8 2" xfId="7327"/>
    <cellStyle name="Separador de milhares 3 2 4 3 8 2 2" xfId="10471"/>
    <cellStyle name="Separador de milhares 3 2 4 3 8 2 2 2" xfId="28685"/>
    <cellStyle name="Separador de milhares 3 2 4 3 8 2 2 2 2" xfId="53752"/>
    <cellStyle name="Separador de milhares 3 2 4 3 8 2 2 3" xfId="22771"/>
    <cellStyle name="Separador de milhares 3 2 4 3 8 2 2 3 2" xfId="47838"/>
    <cellStyle name="Separador de milhares 3 2 4 3 8 2 2 4" xfId="16857"/>
    <cellStyle name="Separador de milhares 3 2 4 3 8 2 2 4 2" xfId="41924"/>
    <cellStyle name="Separador de milhares 3 2 4 3 8 2 2 5" xfId="36016"/>
    <cellStyle name="Separador de milhares 3 2 4 3 8 2 3" xfId="25728"/>
    <cellStyle name="Separador de milhares 3 2 4 3 8 2 3 2" xfId="50795"/>
    <cellStyle name="Separador de milhares 3 2 4 3 8 2 4" xfId="19814"/>
    <cellStyle name="Separador de milhares 3 2 4 3 8 2 4 2" xfId="44881"/>
    <cellStyle name="Separador de milhares 3 2 4 3 8 2 5" xfId="13716"/>
    <cellStyle name="Separador de milhares 3 2 4 3 8 2 5 2" xfId="38970"/>
    <cellStyle name="Separador de milhares 3 2 4 3 8 2 6" xfId="33059"/>
    <cellStyle name="Separador de milhares 3 2 4 3 8 3" xfId="9003"/>
    <cellStyle name="Separador de milhares 3 2 4 3 8 3 2" xfId="27217"/>
    <cellStyle name="Separador de milhares 3 2 4 3 8 3 2 2" xfId="52284"/>
    <cellStyle name="Separador de milhares 3 2 4 3 8 3 3" xfId="21303"/>
    <cellStyle name="Separador de milhares 3 2 4 3 8 3 3 2" xfId="46370"/>
    <cellStyle name="Separador de milhares 3 2 4 3 8 3 4" xfId="15389"/>
    <cellStyle name="Separador de milhares 3 2 4 3 8 3 4 2" xfId="40456"/>
    <cellStyle name="Separador de milhares 3 2 4 3 8 3 5" xfId="34548"/>
    <cellStyle name="Separador de milhares 3 2 4 3 8 4" xfId="5628"/>
    <cellStyle name="Separador de milhares 3 2 4 3 8 4 2" xfId="24260"/>
    <cellStyle name="Separador de milhares 3 2 4 3 8 4 2 2" xfId="49327"/>
    <cellStyle name="Separador de milhares 3 2 4 3 8 4 3" xfId="31591"/>
    <cellStyle name="Separador de milhares 3 2 4 3 8 5" xfId="18346"/>
    <cellStyle name="Separador de milhares 3 2 4 3 8 5 2" xfId="43413"/>
    <cellStyle name="Separador de milhares 3 2 4 3 8 6" xfId="12015"/>
    <cellStyle name="Separador de milhares 3 2 4 3 8 6 2" xfId="37502"/>
    <cellStyle name="Separador de milhares 3 2 4 3 8 7" xfId="30121"/>
    <cellStyle name="Separador de milhares 3 2 4 3 9" xfId="3736"/>
    <cellStyle name="Separador de milhares 3 2 4 3 9 2" xfId="7474"/>
    <cellStyle name="Separador de milhares 3 2 4 3 9 2 2" xfId="10618"/>
    <cellStyle name="Separador de milhares 3 2 4 3 9 2 2 2" xfId="28832"/>
    <cellStyle name="Separador de milhares 3 2 4 3 9 2 2 2 2" xfId="53899"/>
    <cellStyle name="Separador de milhares 3 2 4 3 9 2 2 3" xfId="22918"/>
    <cellStyle name="Separador de milhares 3 2 4 3 9 2 2 3 2" xfId="47985"/>
    <cellStyle name="Separador de milhares 3 2 4 3 9 2 2 4" xfId="17004"/>
    <cellStyle name="Separador de milhares 3 2 4 3 9 2 2 4 2" xfId="42071"/>
    <cellStyle name="Separador de milhares 3 2 4 3 9 2 2 5" xfId="36163"/>
    <cellStyle name="Separador de milhares 3 2 4 3 9 2 3" xfId="25875"/>
    <cellStyle name="Separador de milhares 3 2 4 3 9 2 3 2" xfId="50942"/>
    <cellStyle name="Separador de milhares 3 2 4 3 9 2 4" xfId="19961"/>
    <cellStyle name="Separador de milhares 3 2 4 3 9 2 4 2" xfId="45028"/>
    <cellStyle name="Separador de milhares 3 2 4 3 9 2 5" xfId="13863"/>
    <cellStyle name="Separador de milhares 3 2 4 3 9 2 5 2" xfId="39117"/>
    <cellStyle name="Separador de milhares 3 2 4 3 9 2 6" xfId="33206"/>
    <cellStyle name="Separador de milhares 3 2 4 3 9 3" xfId="9150"/>
    <cellStyle name="Separador de milhares 3 2 4 3 9 3 2" xfId="27364"/>
    <cellStyle name="Separador de milhares 3 2 4 3 9 3 2 2" xfId="52431"/>
    <cellStyle name="Separador de milhares 3 2 4 3 9 3 3" xfId="21450"/>
    <cellStyle name="Separador de milhares 3 2 4 3 9 3 3 2" xfId="46517"/>
    <cellStyle name="Separador de milhares 3 2 4 3 9 3 4" xfId="15536"/>
    <cellStyle name="Separador de milhares 3 2 4 3 9 3 4 2" xfId="40603"/>
    <cellStyle name="Separador de milhares 3 2 4 3 9 3 5" xfId="34695"/>
    <cellStyle name="Separador de milhares 3 2 4 3 9 4" xfId="5775"/>
    <cellStyle name="Separador de milhares 3 2 4 3 9 4 2" xfId="24407"/>
    <cellStyle name="Separador de milhares 3 2 4 3 9 4 2 2" xfId="49474"/>
    <cellStyle name="Separador de milhares 3 2 4 3 9 4 3" xfId="31738"/>
    <cellStyle name="Separador de milhares 3 2 4 3 9 5" xfId="18493"/>
    <cellStyle name="Separador de milhares 3 2 4 3 9 5 2" xfId="43560"/>
    <cellStyle name="Separador de milhares 3 2 4 3 9 6" xfId="12162"/>
    <cellStyle name="Separador de milhares 3 2 4 3 9 6 2" xfId="37649"/>
    <cellStyle name="Separador de milhares 3 2 4 3 9 7" xfId="30268"/>
    <cellStyle name="Separador de milhares 3 2 4 4" xfId="372"/>
    <cellStyle name="Separador de milhares 3 2 4 4 10" xfId="6521"/>
    <cellStyle name="Separador de milhares 3 2 4 4 10 2" xfId="9669"/>
    <cellStyle name="Separador de milhares 3 2 4 4 10 2 2" xfId="27883"/>
    <cellStyle name="Separador de milhares 3 2 4 4 10 2 2 2" xfId="52950"/>
    <cellStyle name="Separador de milhares 3 2 4 4 10 2 3" xfId="21969"/>
    <cellStyle name="Separador de milhares 3 2 4 4 10 2 3 2" xfId="47036"/>
    <cellStyle name="Separador de milhares 3 2 4 4 10 2 4" xfId="16055"/>
    <cellStyle name="Separador de milhares 3 2 4 4 10 2 4 2" xfId="41122"/>
    <cellStyle name="Separador de milhares 3 2 4 4 10 2 5" xfId="35214"/>
    <cellStyle name="Separador de milhares 3 2 4 4 10 3" xfId="24926"/>
    <cellStyle name="Separador de milhares 3 2 4 4 10 3 2" xfId="49993"/>
    <cellStyle name="Separador de milhares 3 2 4 4 10 4" xfId="19012"/>
    <cellStyle name="Separador de milhares 3 2 4 4 10 4 2" xfId="44079"/>
    <cellStyle name="Separador de milhares 3 2 4 4 10 5" xfId="12910"/>
    <cellStyle name="Separador de milhares 3 2 4 4 10 5 2" xfId="38168"/>
    <cellStyle name="Separador de milhares 3 2 4 4 10 6" xfId="32257"/>
    <cellStyle name="Separador de milhares 3 2 4 4 11" xfId="8198"/>
    <cellStyle name="Separador de milhares 3 2 4 4 11 2" xfId="26412"/>
    <cellStyle name="Separador de milhares 3 2 4 4 11 2 2" xfId="51479"/>
    <cellStyle name="Separador de milhares 3 2 4 4 11 3" xfId="20498"/>
    <cellStyle name="Separador de milhares 3 2 4 4 11 3 2" xfId="45565"/>
    <cellStyle name="Separador de milhares 3 2 4 4 11 4" xfId="14587"/>
    <cellStyle name="Separador de milhares 3 2 4 4 11 4 2" xfId="39654"/>
    <cellStyle name="Separador de milhares 3 2 4 4 11 5" xfId="33743"/>
    <cellStyle name="Separador de milhares 3 2 4 4 12" xfId="4820"/>
    <cellStyle name="Separador de milhares 3 2 4 4 12 2" xfId="23455"/>
    <cellStyle name="Separador de milhares 3 2 4 4 12 2 2" xfId="48522"/>
    <cellStyle name="Separador de milhares 3 2 4 4 12 3" xfId="30787"/>
    <cellStyle name="Separador de milhares 3 2 4 4 13" xfId="17541"/>
    <cellStyle name="Separador de milhares 3 2 4 4 13 2" xfId="42608"/>
    <cellStyle name="Separador de milhares 3 2 4 4 14" xfId="11209"/>
    <cellStyle name="Separador de milhares 3 2 4 4 14 2" xfId="36700"/>
    <cellStyle name="Separador de milhares 3 2 4 4 15" xfId="29316"/>
    <cellStyle name="Separador de milhares 3 2 4 4 2" xfId="1017"/>
    <cellStyle name="Separador de milhares 3 2 4 4 2 2" xfId="6718"/>
    <cellStyle name="Separador de milhares 3 2 4 4 2 2 2" xfId="9865"/>
    <cellStyle name="Separador de milhares 3 2 4 4 2 2 2 2" xfId="28079"/>
    <cellStyle name="Separador de milhares 3 2 4 4 2 2 2 2 2" xfId="53146"/>
    <cellStyle name="Separador de milhares 3 2 4 4 2 2 2 3" xfId="22165"/>
    <cellStyle name="Separador de milhares 3 2 4 4 2 2 2 3 2" xfId="47232"/>
    <cellStyle name="Separador de milhares 3 2 4 4 2 2 2 4" xfId="16251"/>
    <cellStyle name="Separador de milhares 3 2 4 4 2 2 2 4 2" xfId="41318"/>
    <cellStyle name="Separador de milhares 3 2 4 4 2 2 2 5" xfId="35410"/>
    <cellStyle name="Separador de milhares 3 2 4 4 2 2 3" xfId="25122"/>
    <cellStyle name="Separador de milhares 3 2 4 4 2 2 3 2" xfId="50189"/>
    <cellStyle name="Separador de milhares 3 2 4 4 2 2 4" xfId="19208"/>
    <cellStyle name="Separador de milhares 3 2 4 4 2 2 4 2" xfId="44275"/>
    <cellStyle name="Separador de milhares 3 2 4 4 2 2 5" xfId="13107"/>
    <cellStyle name="Separador de milhares 3 2 4 4 2 2 5 2" xfId="38364"/>
    <cellStyle name="Separador de milhares 3 2 4 4 2 2 6" xfId="32453"/>
    <cellStyle name="Separador de milhares 3 2 4 4 2 3" xfId="8397"/>
    <cellStyle name="Separador de milhares 3 2 4 4 2 3 2" xfId="26611"/>
    <cellStyle name="Separador de milhares 3 2 4 4 2 3 2 2" xfId="51678"/>
    <cellStyle name="Separador de milhares 3 2 4 4 2 3 3" xfId="20697"/>
    <cellStyle name="Separador de milhares 3 2 4 4 2 3 3 2" xfId="45764"/>
    <cellStyle name="Separador de milhares 3 2 4 4 2 3 4" xfId="14783"/>
    <cellStyle name="Separador de milhares 3 2 4 4 2 3 4 2" xfId="39850"/>
    <cellStyle name="Separador de milhares 3 2 4 4 2 3 5" xfId="33942"/>
    <cellStyle name="Separador de milhares 3 2 4 4 2 4" xfId="5019"/>
    <cellStyle name="Separador de milhares 3 2 4 4 2 4 2" xfId="23654"/>
    <cellStyle name="Separador de milhares 3 2 4 4 2 4 2 2" xfId="48721"/>
    <cellStyle name="Separador de milhares 3 2 4 4 2 4 3" xfId="30985"/>
    <cellStyle name="Separador de milhares 3 2 4 4 2 5" xfId="17740"/>
    <cellStyle name="Separador de milhares 3 2 4 4 2 5 2" xfId="42807"/>
    <cellStyle name="Separador de milhares 3 2 4 4 2 6" xfId="11406"/>
    <cellStyle name="Separador de milhares 3 2 4 4 2 6 2" xfId="36896"/>
    <cellStyle name="Separador de milhares 3 2 4 4 2 7" xfId="29515"/>
    <cellStyle name="Separador de milhares 3 2 4 4 3" xfId="1368"/>
    <cellStyle name="Separador de milhares 3 2 4 4 3 2" xfId="6816"/>
    <cellStyle name="Separador de milhares 3 2 4 4 3 2 2" xfId="9963"/>
    <cellStyle name="Separador de milhares 3 2 4 4 3 2 2 2" xfId="28177"/>
    <cellStyle name="Separador de milhares 3 2 4 4 3 2 2 2 2" xfId="53244"/>
    <cellStyle name="Separador de milhares 3 2 4 4 3 2 2 3" xfId="22263"/>
    <cellStyle name="Separador de milhares 3 2 4 4 3 2 2 3 2" xfId="47330"/>
    <cellStyle name="Separador de milhares 3 2 4 4 3 2 2 4" xfId="16349"/>
    <cellStyle name="Separador de milhares 3 2 4 4 3 2 2 4 2" xfId="41416"/>
    <cellStyle name="Separador de milhares 3 2 4 4 3 2 2 5" xfId="35508"/>
    <cellStyle name="Separador de milhares 3 2 4 4 3 2 3" xfId="25220"/>
    <cellStyle name="Separador de milhares 3 2 4 4 3 2 3 2" xfId="50287"/>
    <cellStyle name="Separador de milhares 3 2 4 4 3 2 4" xfId="19306"/>
    <cellStyle name="Separador de milhares 3 2 4 4 3 2 4 2" xfId="44373"/>
    <cellStyle name="Separador de milhares 3 2 4 4 3 2 5" xfId="13205"/>
    <cellStyle name="Separador de milhares 3 2 4 4 3 2 5 2" xfId="38462"/>
    <cellStyle name="Separador de milhares 3 2 4 4 3 2 6" xfId="32551"/>
    <cellStyle name="Separador de milhares 3 2 4 4 3 3" xfId="8495"/>
    <cellStyle name="Separador de milhares 3 2 4 4 3 3 2" xfId="26709"/>
    <cellStyle name="Separador de milhares 3 2 4 4 3 3 2 2" xfId="51776"/>
    <cellStyle name="Separador de milhares 3 2 4 4 3 3 3" xfId="20795"/>
    <cellStyle name="Separador de milhares 3 2 4 4 3 3 3 2" xfId="45862"/>
    <cellStyle name="Separador de milhares 3 2 4 4 3 3 4" xfId="14881"/>
    <cellStyle name="Separador de milhares 3 2 4 4 3 3 4 2" xfId="39948"/>
    <cellStyle name="Separador de milhares 3 2 4 4 3 3 5" xfId="34040"/>
    <cellStyle name="Separador de milhares 3 2 4 4 3 4" xfId="5117"/>
    <cellStyle name="Separador de milhares 3 2 4 4 3 4 2" xfId="23752"/>
    <cellStyle name="Separador de milhares 3 2 4 4 3 4 2 2" xfId="48819"/>
    <cellStyle name="Separador de milhares 3 2 4 4 3 4 3" xfId="31083"/>
    <cellStyle name="Separador de milhares 3 2 4 4 3 5" xfId="17838"/>
    <cellStyle name="Separador de milhares 3 2 4 4 3 5 2" xfId="42905"/>
    <cellStyle name="Separador de milhares 3 2 4 4 3 6" xfId="11504"/>
    <cellStyle name="Separador de milhares 3 2 4 4 3 6 2" xfId="36994"/>
    <cellStyle name="Separador de milhares 3 2 4 4 3 7" xfId="29613"/>
    <cellStyle name="Separador de milhares 3 2 4 4 4" xfId="1803"/>
    <cellStyle name="Separador de milhares 3 2 4 4 4 2" xfId="6935"/>
    <cellStyle name="Separador de milhares 3 2 4 4 4 2 2" xfId="10082"/>
    <cellStyle name="Separador de milhares 3 2 4 4 4 2 2 2" xfId="28296"/>
    <cellStyle name="Separador de milhares 3 2 4 4 4 2 2 2 2" xfId="53363"/>
    <cellStyle name="Separador de milhares 3 2 4 4 4 2 2 3" xfId="22382"/>
    <cellStyle name="Separador de milhares 3 2 4 4 4 2 2 3 2" xfId="47449"/>
    <cellStyle name="Separador de milhares 3 2 4 4 4 2 2 4" xfId="16468"/>
    <cellStyle name="Separador de milhares 3 2 4 4 4 2 2 4 2" xfId="41535"/>
    <cellStyle name="Separador de milhares 3 2 4 4 4 2 2 5" xfId="35627"/>
    <cellStyle name="Separador de milhares 3 2 4 4 4 2 3" xfId="25339"/>
    <cellStyle name="Separador de milhares 3 2 4 4 4 2 3 2" xfId="50406"/>
    <cellStyle name="Separador de milhares 3 2 4 4 4 2 4" xfId="19425"/>
    <cellStyle name="Separador de milhares 3 2 4 4 4 2 4 2" xfId="44492"/>
    <cellStyle name="Separador de milhares 3 2 4 4 4 2 5" xfId="13324"/>
    <cellStyle name="Separador de milhares 3 2 4 4 4 2 5 2" xfId="38581"/>
    <cellStyle name="Separador de milhares 3 2 4 4 4 2 6" xfId="32670"/>
    <cellStyle name="Separador de milhares 3 2 4 4 4 3" xfId="8614"/>
    <cellStyle name="Separador de milhares 3 2 4 4 4 3 2" xfId="26828"/>
    <cellStyle name="Separador de milhares 3 2 4 4 4 3 2 2" xfId="51895"/>
    <cellStyle name="Separador de milhares 3 2 4 4 4 3 3" xfId="20914"/>
    <cellStyle name="Separador de milhares 3 2 4 4 4 3 3 2" xfId="45981"/>
    <cellStyle name="Separador de milhares 3 2 4 4 4 3 4" xfId="15000"/>
    <cellStyle name="Separador de milhares 3 2 4 4 4 3 4 2" xfId="40067"/>
    <cellStyle name="Separador de milhares 3 2 4 4 4 3 5" xfId="34159"/>
    <cellStyle name="Separador de milhares 3 2 4 4 4 4" xfId="5236"/>
    <cellStyle name="Separador de milhares 3 2 4 4 4 4 2" xfId="23871"/>
    <cellStyle name="Separador de milhares 3 2 4 4 4 4 2 2" xfId="48938"/>
    <cellStyle name="Separador de milhares 3 2 4 4 4 4 3" xfId="31202"/>
    <cellStyle name="Separador de milhares 3 2 4 4 4 5" xfId="17957"/>
    <cellStyle name="Separador de milhares 3 2 4 4 4 5 2" xfId="43024"/>
    <cellStyle name="Separador de milhares 3 2 4 4 4 6" xfId="11623"/>
    <cellStyle name="Separador de milhares 3 2 4 4 4 6 2" xfId="37113"/>
    <cellStyle name="Separador de milhares 3 2 4 4 4 7" xfId="29732"/>
    <cellStyle name="Separador de milhares 3 2 4 4 5" xfId="2333"/>
    <cellStyle name="Separador de milhares 3 2 4 4 5 2" xfId="7085"/>
    <cellStyle name="Separador de milhares 3 2 4 4 5 2 2" xfId="10229"/>
    <cellStyle name="Separador de milhares 3 2 4 4 5 2 2 2" xfId="28443"/>
    <cellStyle name="Separador de milhares 3 2 4 4 5 2 2 2 2" xfId="53510"/>
    <cellStyle name="Separador de milhares 3 2 4 4 5 2 2 3" xfId="22529"/>
    <cellStyle name="Separador de milhares 3 2 4 4 5 2 2 3 2" xfId="47596"/>
    <cellStyle name="Separador de milhares 3 2 4 4 5 2 2 4" xfId="16615"/>
    <cellStyle name="Separador de milhares 3 2 4 4 5 2 2 4 2" xfId="41682"/>
    <cellStyle name="Separador de milhares 3 2 4 4 5 2 2 5" xfId="35774"/>
    <cellStyle name="Separador de milhares 3 2 4 4 5 2 3" xfId="25486"/>
    <cellStyle name="Separador de milhares 3 2 4 4 5 2 3 2" xfId="50553"/>
    <cellStyle name="Separador de milhares 3 2 4 4 5 2 4" xfId="19572"/>
    <cellStyle name="Separador de milhares 3 2 4 4 5 2 4 2" xfId="44639"/>
    <cellStyle name="Separador de milhares 3 2 4 4 5 2 5" xfId="13474"/>
    <cellStyle name="Separador de milhares 3 2 4 4 5 2 5 2" xfId="38728"/>
    <cellStyle name="Separador de milhares 3 2 4 4 5 2 6" xfId="32817"/>
    <cellStyle name="Separador de milhares 3 2 4 4 5 3" xfId="8761"/>
    <cellStyle name="Separador de milhares 3 2 4 4 5 3 2" xfId="26975"/>
    <cellStyle name="Separador de milhares 3 2 4 4 5 3 2 2" xfId="52042"/>
    <cellStyle name="Separador de milhares 3 2 4 4 5 3 3" xfId="21061"/>
    <cellStyle name="Separador de milhares 3 2 4 4 5 3 3 2" xfId="46128"/>
    <cellStyle name="Separador de milhares 3 2 4 4 5 3 4" xfId="15147"/>
    <cellStyle name="Separador de milhares 3 2 4 4 5 3 4 2" xfId="40214"/>
    <cellStyle name="Separador de milhares 3 2 4 4 5 3 5" xfId="34306"/>
    <cellStyle name="Separador de milhares 3 2 4 4 5 4" xfId="5386"/>
    <cellStyle name="Separador de milhares 3 2 4 4 5 4 2" xfId="24018"/>
    <cellStyle name="Separador de milhares 3 2 4 4 5 4 2 2" xfId="49085"/>
    <cellStyle name="Separador de milhares 3 2 4 4 5 4 3" xfId="31349"/>
    <cellStyle name="Separador de milhares 3 2 4 4 5 5" xfId="18104"/>
    <cellStyle name="Separador de milhares 3 2 4 4 5 5 2" xfId="43171"/>
    <cellStyle name="Separador de milhares 3 2 4 4 5 6" xfId="11773"/>
    <cellStyle name="Separador de milhares 3 2 4 4 5 6 2" xfId="37260"/>
    <cellStyle name="Separador de milhares 3 2 4 4 5 7" xfId="29879"/>
    <cellStyle name="Separador de milhares 3 2 4 4 6" xfId="2860"/>
    <cellStyle name="Separador de milhares 3 2 4 4 6 2" xfId="7232"/>
    <cellStyle name="Separador de milhares 3 2 4 4 6 2 2" xfId="10376"/>
    <cellStyle name="Separador de milhares 3 2 4 4 6 2 2 2" xfId="28590"/>
    <cellStyle name="Separador de milhares 3 2 4 4 6 2 2 2 2" xfId="53657"/>
    <cellStyle name="Separador de milhares 3 2 4 4 6 2 2 3" xfId="22676"/>
    <cellStyle name="Separador de milhares 3 2 4 4 6 2 2 3 2" xfId="47743"/>
    <cellStyle name="Separador de milhares 3 2 4 4 6 2 2 4" xfId="16762"/>
    <cellStyle name="Separador de milhares 3 2 4 4 6 2 2 4 2" xfId="41829"/>
    <cellStyle name="Separador de milhares 3 2 4 4 6 2 2 5" xfId="35921"/>
    <cellStyle name="Separador de milhares 3 2 4 4 6 2 3" xfId="25633"/>
    <cellStyle name="Separador de milhares 3 2 4 4 6 2 3 2" xfId="50700"/>
    <cellStyle name="Separador de milhares 3 2 4 4 6 2 4" xfId="19719"/>
    <cellStyle name="Separador de milhares 3 2 4 4 6 2 4 2" xfId="44786"/>
    <cellStyle name="Separador de milhares 3 2 4 4 6 2 5" xfId="13621"/>
    <cellStyle name="Separador de milhares 3 2 4 4 6 2 5 2" xfId="38875"/>
    <cellStyle name="Separador de milhares 3 2 4 4 6 2 6" xfId="32964"/>
    <cellStyle name="Separador de milhares 3 2 4 4 6 3" xfId="8908"/>
    <cellStyle name="Separador de milhares 3 2 4 4 6 3 2" xfId="27122"/>
    <cellStyle name="Separador de milhares 3 2 4 4 6 3 2 2" xfId="52189"/>
    <cellStyle name="Separador de milhares 3 2 4 4 6 3 3" xfId="21208"/>
    <cellStyle name="Separador de milhares 3 2 4 4 6 3 3 2" xfId="46275"/>
    <cellStyle name="Separador de milhares 3 2 4 4 6 3 4" xfId="15294"/>
    <cellStyle name="Separador de milhares 3 2 4 4 6 3 4 2" xfId="40361"/>
    <cellStyle name="Separador de milhares 3 2 4 4 6 3 5" xfId="34453"/>
    <cellStyle name="Separador de milhares 3 2 4 4 6 4" xfId="5533"/>
    <cellStyle name="Separador de milhares 3 2 4 4 6 4 2" xfId="24165"/>
    <cellStyle name="Separador de milhares 3 2 4 4 6 4 2 2" xfId="49232"/>
    <cellStyle name="Separador de milhares 3 2 4 4 6 4 3" xfId="31496"/>
    <cellStyle name="Separador de milhares 3 2 4 4 6 5" xfId="18251"/>
    <cellStyle name="Separador de milhares 3 2 4 4 6 5 2" xfId="43318"/>
    <cellStyle name="Separador de milhares 3 2 4 4 6 6" xfId="11920"/>
    <cellStyle name="Separador de milhares 3 2 4 4 6 6 2" xfId="37407"/>
    <cellStyle name="Separador de milhares 3 2 4 4 6 7" xfId="30026"/>
    <cellStyle name="Separador de milhares 3 2 4 4 7" xfId="3387"/>
    <cellStyle name="Separador de milhares 3 2 4 4 7 2" xfId="7379"/>
    <cellStyle name="Separador de milhares 3 2 4 4 7 2 2" xfId="10523"/>
    <cellStyle name="Separador de milhares 3 2 4 4 7 2 2 2" xfId="28737"/>
    <cellStyle name="Separador de milhares 3 2 4 4 7 2 2 2 2" xfId="53804"/>
    <cellStyle name="Separador de milhares 3 2 4 4 7 2 2 3" xfId="22823"/>
    <cellStyle name="Separador de milhares 3 2 4 4 7 2 2 3 2" xfId="47890"/>
    <cellStyle name="Separador de milhares 3 2 4 4 7 2 2 4" xfId="16909"/>
    <cellStyle name="Separador de milhares 3 2 4 4 7 2 2 4 2" xfId="41976"/>
    <cellStyle name="Separador de milhares 3 2 4 4 7 2 2 5" xfId="36068"/>
    <cellStyle name="Separador de milhares 3 2 4 4 7 2 3" xfId="25780"/>
    <cellStyle name="Separador de milhares 3 2 4 4 7 2 3 2" xfId="50847"/>
    <cellStyle name="Separador de milhares 3 2 4 4 7 2 4" xfId="19866"/>
    <cellStyle name="Separador de milhares 3 2 4 4 7 2 4 2" xfId="44933"/>
    <cellStyle name="Separador de milhares 3 2 4 4 7 2 5" xfId="13768"/>
    <cellStyle name="Separador de milhares 3 2 4 4 7 2 5 2" xfId="39022"/>
    <cellStyle name="Separador de milhares 3 2 4 4 7 2 6" xfId="33111"/>
    <cellStyle name="Separador de milhares 3 2 4 4 7 3" xfId="9055"/>
    <cellStyle name="Separador de milhares 3 2 4 4 7 3 2" xfId="27269"/>
    <cellStyle name="Separador de milhares 3 2 4 4 7 3 2 2" xfId="52336"/>
    <cellStyle name="Separador de milhares 3 2 4 4 7 3 3" xfId="21355"/>
    <cellStyle name="Separador de milhares 3 2 4 4 7 3 3 2" xfId="46422"/>
    <cellStyle name="Separador de milhares 3 2 4 4 7 3 4" xfId="15441"/>
    <cellStyle name="Separador de milhares 3 2 4 4 7 3 4 2" xfId="40508"/>
    <cellStyle name="Separador de milhares 3 2 4 4 7 3 5" xfId="34600"/>
    <cellStyle name="Separador de milhares 3 2 4 4 7 4" xfId="5680"/>
    <cellStyle name="Separador de milhares 3 2 4 4 7 4 2" xfId="24312"/>
    <cellStyle name="Separador de milhares 3 2 4 4 7 4 2 2" xfId="49379"/>
    <cellStyle name="Separador de milhares 3 2 4 4 7 4 3" xfId="31643"/>
    <cellStyle name="Separador de milhares 3 2 4 4 7 5" xfId="18398"/>
    <cellStyle name="Separador de milhares 3 2 4 4 7 5 2" xfId="43465"/>
    <cellStyle name="Separador de milhares 3 2 4 4 7 6" xfId="12067"/>
    <cellStyle name="Separador de milhares 3 2 4 4 7 6 2" xfId="37554"/>
    <cellStyle name="Separador de milhares 3 2 4 4 7 7" xfId="30173"/>
    <cellStyle name="Separador de milhares 3 2 4 4 8" xfId="3914"/>
    <cellStyle name="Separador de milhares 3 2 4 4 8 2" xfId="7526"/>
    <cellStyle name="Separador de milhares 3 2 4 4 8 2 2" xfId="10670"/>
    <cellStyle name="Separador de milhares 3 2 4 4 8 2 2 2" xfId="28884"/>
    <cellStyle name="Separador de milhares 3 2 4 4 8 2 2 2 2" xfId="53951"/>
    <cellStyle name="Separador de milhares 3 2 4 4 8 2 2 3" xfId="22970"/>
    <cellStyle name="Separador de milhares 3 2 4 4 8 2 2 3 2" xfId="48037"/>
    <cellStyle name="Separador de milhares 3 2 4 4 8 2 2 4" xfId="17056"/>
    <cellStyle name="Separador de milhares 3 2 4 4 8 2 2 4 2" xfId="42123"/>
    <cellStyle name="Separador de milhares 3 2 4 4 8 2 2 5" xfId="36215"/>
    <cellStyle name="Separador de milhares 3 2 4 4 8 2 3" xfId="25927"/>
    <cellStyle name="Separador de milhares 3 2 4 4 8 2 3 2" xfId="50994"/>
    <cellStyle name="Separador de milhares 3 2 4 4 8 2 4" xfId="20013"/>
    <cellStyle name="Separador de milhares 3 2 4 4 8 2 4 2" xfId="45080"/>
    <cellStyle name="Separador de milhares 3 2 4 4 8 2 5" xfId="13915"/>
    <cellStyle name="Separador de milhares 3 2 4 4 8 2 5 2" xfId="39169"/>
    <cellStyle name="Separador de milhares 3 2 4 4 8 2 6" xfId="33258"/>
    <cellStyle name="Separador de milhares 3 2 4 4 8 3" xfId="9202"/>
    <cellStyle name="Separador de milhares 3 2 4 4 8 3 2" xfId="27416"/>
    <cellStyle name="Separador de milhares 3 2 4 4 8 3 2 2" xfId="52483"/>
    <cellStyle name="Separador de milhares 3 2 4 4 8 3 3" xfId="21502"/>
    <cellStyle name="Separador de milhares 3 2 4 4 8 3 3 2" xfId="46569"/>
    <cellStyle name="Separador de milhares 3 2 4 4 8 3 4" xfId="15588"/>
    <cellStyle name="Separador de milhares 3 2 4 4 8 3 4 2" xfId="40655"/>
    <cellStyle name="Separador de milhares 3 2 4 4 8 3 5" xfId="34747"/>
    <cellStyle name="Separador de milhares 3 2 4 4 8 4" xfId="5827"/>
    <cellStyle name="Separador de milhares 3 2 4 4 8 4 2" xfId="24459"/>
    <cellStyle name="Separador de milhares 3 2 4 4 8 4 2 2" xfId="49526"/>
    <cellStyle name="Separador de milhares 3 2 4 4 8 4 3" xfId="31790"/>
    <cellStyle name="Separador de milhares 3 2 4 4 8 5" xfId="18545"/>
    <cellStyle name="Separador de milhares 3 2 4 4 8 5 2" xfId="43612"/>
    <cellStyle name="Separador de milhares 3 2 4 4 8 6" xfId="12214"/>
    <cellStyle name="Separador de milhares 3 2 4 4 8 6 2" xfId="37701"/>
    <cellStyle name="Separador de milhares 3 2 4 4 8 7" xfId="30320"/>
    <cellStyle name="Separador de milhares 3 2 4 4 9" xfId="685"/>
    <cellStyle name="Separador de milhares 3 2 4 4 9 2" xfId="6620"/>
    <cellStyle name="Separador de milhares 3 2 4 4 9 2 2" xfId="9767"/>
    <cellStyle name="Separador de milhares 3 2 4 4 9 2 2 2" xfId="27981"/>
    <cellStyle name="Separador de milhares 3 2 4 4 9 2 2 2 2" xfId="53048"/>
    <cellStyle name="Separador de milhares 3 2 4 4 9 2 2 3" xfId="22067"/>
    <cellStyle name="Separador de milhares 3 2 4 4 9 2 2 3 2" xfId="47134"/>
    <cellStyle name="Separador de milhares 3 2 4 4 9 2 2 4" xfId="16153"/>
    <cellStyle name="Separador de milhares 3 2 4 4 9 2 2 4 2" xfId="41220"/>
    <cellStyle name="Separador de milhares 3 2 4 4 9 2 2 5" xfId="35312"/>
    <cellStyle name="Separador de milhares 3 2 4 4 9 2 3" xfId="25024"/>
    <cellStyle name="Separador de milhares 3 2 4 4 9 2 3 2" xfId="50091"/>
    <cellStyle name="Separador de milhares 3 2 4 4 9 2 4" xfId="19110"/>
    <cellStyle name="Separador de milhares 3 2 4 4 9 2 4 2" xfId="44177"/>
    <cellStyle name="Separador de milhares 3 2 4 4 9 2 5" xfId="13009"/>
    <cellStyle name="Separador de milhares 3 2 4 4 9 2 5 2" xfId="38266"/>
    <cellStyle name="Separador de milhares 3 2 4 4 9 2 6" xfId="32355"/>
    <cellStyle name="Separador de milhares 3 2 4 4 9 3" xfId="8299"/>
    <cellStyle name="Separador de milhares 3 2 4 4 9 3 2" xfId="26513"/>
    <cellStyle name="Separador de milhares 3 2 4 4 9 3 2 2" xfId="51580"/>
    <cellStyle name="Separador de milhares 3 2 4 4 9 3 3" xfId="20599"/>
    <cellStyle name="Separador de milhares 3 2 4 4 9 3 3 2" xfId="45666"/>
    <cellStyle name="Separador de milhares 3 2 4 4 9 3 4" xfId="14685"/>
    <cellStyle name="Separador de milhares 3 2 4 4 9 3 4 2" xfId="39752"/>
    <cellStyle name="Separador de milhares 3 2 4 4 9 3 5" xfId="33844"/>
    <cellStyle name="Separador de milhares 3 2 4 4 9 4" xfId="4921"/>
    <cellStyle name="Separador de milhares 3 2 4 4 9 4 2" xfId="23556"/>
    <cellStyle name="Separador de milhares 3 2 4 4 9 4 2 2" xfId="48623"/>
    <cellStyle name="Separador de milhares 3 2 4 4 9 4 3" xfId="30887"/>
    <cellStyle name="Separador de milhares 3 2 4 4 9 5" xfId="17642"/>
    <cellStyle name="Separador de milhares 3 2 4 4 9 5 2" xfId="42709"/>
    <cellStyle name="Separador de milhares 3 2 4 4 9 6" xfId="11308"/>
    <cellStyle name="Separador de milhares 3 2 4 4 9 6 2" xfId="36798"/>
    <cellStyle name="Separador de milhares 3 2 4 4 9 7" xfId="29417"/>
    <cellStyle name="Separador de milhares 3 2 4 5" xfId="629"/>
    <cellStyle name="Separador de milhares 3 2 4 5 10" xfId="4885"/>
    <cellStyle name="Separador de milhares 3 2 4 5 10 2" xfId="23519"/>
    <cellStyle name="Separador de milhares 3 2 4 5 10 2 2" xfId="48586"/>
    <cellStyle name="Separador de milhares 3 2 4 5 10 3" xfId="30851"/>
    <cellStyle name="Separador de milhares 3 2 4 5 11" xfId="17605"/>
    <cellStyle name="Separador de milhares 3 2 4 5 11 2" xfId="42672"/>
    <cellStyle name="Separador de milhares 3 2 4 5 12" xfId="11274"/>
    <cellStyle name="Separador de milhares 3 2 4 5 12 2" xfId="36764"/>
    <cellStyle name="Separador de milhares 3 2 4 5 13" xfId="29380"/>
    <cellStyle name="Separador de milhares 3 2 4 5 2" xfId="1452"/>
    <cellStyle name="Separador de milhares 3 2 4 5 2 2" xfId="6837"/>
    <cellStyle name="Separador de milhares 3 2 4 5 2 2 2" xfId="9984"/>
    <cellStyle name="Separador de milhares 3 2 4 5 2 2 2 2" xfId="28198"/>
    <cellStyle name="Separador de milhares 3 2 4 5 2 2 2 2 2" xfId="53265"/>
    <cellStyle name="Separador de milhares 3 2 4 5 2 2 2 3" xfId="22284"/>
    <cellStyle name="Separador de milhares 3 2 4 5 2 2 2 3 2" xfId="47351"/>
    <cellStyle name="Separador de milhares 3 2 4 5 2 2 2 4" xfId="16370"/>
    <cellStyle name="Separador de milhares 3 2 4 5 2 2 2 4 2" xfId="41437"/>
    <cellStyle name="Separador de milhares 3 2 4 5 2 2 2 5" xfId="35529"/>
    <cellStyle name="Separador de milhares 3 2 4 5 2 2 3" xfId="25241"/>
    <cellStyle name="Separador de milhares 3 2 4 5 2 2 3 2" xfId="50308"/>
    <cellStyle name="Separador de milhares 3 2 4 5 2 2 4" xfId="19327"/>
    <cellStyle name="Separador de milhares 3 2 4 5 2 2 4 2" xfId="44394"/>
    <cellStyle name="Separador de milhares 3 2 4 5 2 2 5" xfId="13226"/>
    <cellStyle name="Separador de milhares 3 2 4 5 2 2 5 2" xfId="38483"/>
    <cellStyle name="Separador de milhares 3 2 4 5 2 2 6" xfId="32572"/>
    <cellStyle name="Separador de milhares 3 2 4 5 2 3" xfId="8516"/>
    <cellStyle name="Separador de milhares 3 2 4 5 2 3 2" xfId="26730"/>
    <cellStyle name="Separador de milhares 3 2 4 5 2 3 2 2" xfId="51797"/>
    <cellStyle name="Separador de milhares 3 2 4 5 2 3 3" xfId="20816"/>
    <cellStyle name="Separador de milhares 3 2 4 5 2 3 3 2" xfId="45883"/>
    <cellStyle name="Separador de milhares 3 2 4 5 2 3 4" xfId="14902"/>
    <cellStyle name="Separador de milhares 3 2 4 5 2 3 4 2" xfId="39969"/>
    <cellStyle name="Separador de milhares 3 2 4 5 2 3 5" xfId="34061"/>
    <cellStyle name="Separador de milhares 3 2 4 5 2 4" xfId="5138"/>
    <cellStyle name="Separador de milhares 3 2 4 5 2 4 2" xfId="23773"/>
    <cellStyle name="Separador de milhares 3 2 4 5 2 4 2 2" xfId="48840"/>
    <cellStyle name="Separador de milhares 3 2 4 5 2 4 3" xfId="31104"/>
    <cellStyle name="Separador de milhares 3 2 4 5 2 5" xfId="17859"/>
    <cellStyle name="Separador de milhares 3 2 4 5 2 5 2" xfId="42926"/>
    <cellStyle name="Separador de milhares 3 2 4 5 2 6" xfId="11525"/>
    <cellStyle name="Separador de milhares 3 2 4 5 2 6 2" xfId="37015"/>
    <cellStyle name="Separador de milhares 3 2 4 5 2 7" xfId="29634"/>
    <cellStyle name="Separador de milhares 3 2 4 5 3" xfId="1887"/>
    <cellStyle name="Separador de milhares 3 2 4 5 3 2" xfId="6956"/>
    <cellStyle name="Separador de milhares 3 2 4 5 3 2 2" xfId="10103"/>
    <cellStyle name="Separador de milhares 3 2 4 5 3 2 2 2" xfId="28317"/>
    <cellStyle name="Separador de milhares 3 2 4 5 3 2 2 2 2" xfId="53384"/>
    <cellStyle name="Separador de milhares 3 2 4 5 3 2 2 3" xfId="22403"/>
    <cellStyle name="Separador de milhares 3 2 4 5 3 2 2 3 2" xfId="47470"/>
    <cellStyle name="Separador de milhares 3 2 4 5 3 2 2 4" xfId="16489"/>
    <cellStyle name="Separador de milhares 3 2 4 5 3 2 2 4 2" xfId="41556"/>
    <cellStyle name="Separador de milhares 3 2 4 5 3 2 2 5" xfId="35648"/>
    <cellStyle name="Separador de milhares 3 2 4 5 3 2 3" xfId="25360"/>
    <cellStyle name="Separador de milhares 3 2 4 5 3 2 3 2" xfId="50427"/>
    <cellStyle name="Separador de milhares 3 2 4 5 3 2 4" xfId="19446"/>
    <cellStyle name="Separador de milhares 3 2 4 5 3 2 4 2" xfId="44513"/>
    <cellStyle name="Separador de milhares 3 2 4 5 3 2 5" xfId="13345"/>
    <cellStyle name="Separador de milhares 3 2 4 5 3 2 5 2" xfId="38602"/>
    <cellStyle name="Separador de milhares 3 2 4 5 3 2 6" xfId="32691"/>
    <cellStyle name="Separador de milhares 3 2 4 5 3 3" xfId="8635"/>
    <cellStyle name="Separador de milhares 3 2 4 5 3 3 2" xfId="26849"/>
    <cellStyle name="Separador de milhares 3 2 4 5 3 3 2 2" xfId="51916"/>
    <cellStyle name="Separador de milhares 3 2 4 5 3 3 3" xfId="20935"/>
    <cellStyle name="Separador de milhares 3 2 4 5 3 3 3 2" xfId="46002"/>
    <cellStyle name="Separador de milhares 3 2 4 5 3 3 4" xfId="15021"/>
    <cellStyle name="Separador de milhares 3 2 4 5 3 3 4 2" xfId="40088"/>
    <cellStyle name="Separador de milhares 3 2 4 5 3 3 5" xfId="34180"/>
    <cellStyle name="Separador de milhares 3 2 4 5 3 4" xfId="5257"/>
    <cellStyle name="Separador de milhares 3 2 4 5 3 4 2" xfId="23892"/>
    <cellStyle name="Separador de milhares 3 2 4 5 3 4 2 2" xfId="48959"/>
    <cellStyle name="Separador de milhares 3 2 4 5 3 4 3" xfId="31223"/>
    <cellStyle name="Separador de milhares 3 2 4 5 3 5" xfId="17978"/>
    <cellStyle name="Separador de milhares 3 2 4 5 3 5 2" xfId="43045"/>
    <cellStyle name="Separador de milhares 3 2 4 5 3 6" xfId="11644"/>
    <cellStyle name="Separador de milhares 3 2 4 5 3 6 2" xfId="37134"/>
    <cellStyle name="Separador de milhares 3 2 4 5 3 7" xfId="29753"/>
    <cellStyle name="Separador de milhares 3 2 4 5 4" xfId="2417"/>
    <cellStyle name="Separador de milhares 3 2 4 5 4 2" xfId="7106"/>
    <cellStyle name="Separador de milhares 3 2 4 5 4 2 2" xfId="10250"/>
    <cellStyle name="Separador de milhares 3 2 4 5 4 2 2 2" xfId="28464"/>
    <cellStyle name="Separador de milhares 3 2 4 5 4 2 2 2 2" xfId="53531"/>
    <cellStyle name="Separador de milhares 3 2 4 5 4 2 2 3" xfId="22550"/>
    <cellStyle name="Separador de milhares 3 2 4 5 4 2 2 3 2" xfId="47617"/>
    <cellStyle name="Separador de milhares 3 2 4 5 4 2 2 4" xfId="16636"/>
    <cellStyle name="Separador de milhares 3 2 4 5 4 2 2 4 2" xfId="41703"/>
    <cellStyle name="Separador de milhares 3 2 4 5 4 2 2 5" xfId="35795"/>
    <cellStyle name="Separador de milhares 3 2 4 5 4 2 3" xfId="25507"/>
    <cellStyle name="Separador de milhares 3 2 4 5 4 2 3 2" xfId="50574"/>
    <cellStyle name="Separador de milhares 3 2 4 5 4 2 4" xfId="19593"/>
    <cellStyle name="Separador de milhares 3 2 4 5 4 2 4 2" xfId="44660"/>
    <cellStyle name="Separador de milhares 3 2 4 5 4 2 5" xfId="13495"/>
    <cellStyle name="Separador de milhares 3 2 4 5 4 2 5 2" xfId="38749"/>
    <cellStyle name="Separador de milhares 3 2 4 5 4 2 6" xfId="32838"/>
    <cellStyle name="Separador de milhares 3 2 4 5 4 3" xfId="8782"/>
    <cellStyle name="Separador de milhares 3 2 4 5 4 3 2" xfId="26996"/>
    <cellStyle name="Separador de milhares 3 2 4 5 4 3 2 2" xfId="52063"/>
    <cellStyle name="Separador de milhares 3 2 4 5 4 3 3" xfId="21082"/>
    <cellStyle name="Separador de milhares 3 2 4 5 4 3 3 2" xfId="46149"/>
    <cellStyle name="Separador de milhares 3 2 4 5 4 3 4" xfId="15168"/>
    <cellStyle name="Separador de milhares 3 2 4 5 4 3 4 2" xfId="40235"/>
    <cellStyle name="Separador de milhares 3 2 4 5 4 3 5" xfId="34327"/>
    <cellStyle name="Separador de milhares 3 2 4 5 4 4" xfId="5407"/>
    <cellStyle name="Separador de milhares 3 2 4 5 4 4 2" xfId="24039"/>
    <cellStyle name="Separador de milhares 3 2 4 5 4 4 2 2" xfId="49106"/>
    <cellStyle name="Separador de milhares 3 2 4 5 4 4 3" xfId="31370"/>
    <cellStyle name="Separador de milhares 3 2 4 5 4 5" xfId="18125"/>
    <cellStyle name="Separador de milhares 3 2 4 5 4 5 2" xfId="43192"/>
    <cellStyle name="Separador de milhares 3 2 4 5 4 6" xfId="11794"/>
    <cellStyle name="Separador de milhares 3 2 4 5 4 6 2" xfId="37281"/>
    <cellStyle name="Separador de milhares 3 2 4 5 4 7" xfId="29900"/>
    <cellStyle name="Separador de milhares 3 2 4 5 5" xfId="2944"/>
    <cellStyle name="Separador de milhares 3 2 4 5 5 2" xfId="7253"/>
    <cellStyle name="Separador de milhares 3 2 4 5 5 2 2" xfId="10397"/>
    <cellStyle name="Separador de milhares 3 2 4 5 5 2 2 2" xfId="28611"/>
    <cellStyle name="Separador de milhares 3 2 4 5 5 2 2 2 2" xfId="53678"/>
    <cellStyle name="Separador de milhares 3 2 4 5 5 2 2 3" xfId="22697"/>
    <cellStyle name="Separador de milhares 3 2 4 5 5 2 2 3 2" xfId="47764"/>
    <cellStyle name="Separador de milhares 3 2 4 5 5 2 2 4" xfId="16783"/>
    <cellStyle name="Separador de milhares 3 2 4 5 5 2 2 4 2" xfId="41850"/>
    <cellStyle name="Separador de milhares 3 2 4 5 5 2 2 5" xfId="35942"/>
    <cellStyle name="Separador de milhares 3 2 4 5 5 2 3" xfId="25654"/>
    <cellStyle name="Separador de milhares 3 2 4 5 5 2 3 2" xfId="50721"/>
    <cellStyle name="Separador de milhares 3 2 4 5 5 2 4" xfId="19740"/>
    <cellStyle name="Separador de milhares 3 2 4 5 5 2 4 2" xfId="44807"/>
    <cellStyle name="Separador de milhares 3 2 4 5 5 2 5" xfId="13642"/>
    <cellStyle name="Separador de milhares 3 2 4 5 5 2 5 2" xfId="38896"/>
    <cellStyle name="Separador de milhares 3 2 4 5 5 2 6" xfId="32985"/>
    <cellStyle name="Separador de milhares 3 2 4 5 5 3" xfId="8929"/>
    <cellStyle name="Separador de milhares 3 2 4 5 5 3 2" xfId="27143"/>
    <cellStyle name="Separador de milhares 3 2 4 5 5 3 2 2" xfId="52210"/>
    <cellStyle name="Separador de milhares 3 2 4 5 5 3 3" xfId="21229"/>
    <cellStyle name="Separador de milhares 3 2 4 5 5 3 3 2" xfId="46296"/>
    <cellStyle name="Separador de milhares 3 2 4 5 5 3 4" xfId="15315"/>
    <cellStyle name="Separador de milhares 3 2 4 5 5 3 4 2" xfId="40382"/>
    <cellStyle name="Separador de milhares 3 2 4 5 5 3 5" xfId="34474"/>
    <cellStyle name="Separador de milhares 3 2 4 5 5 4" xfId="5554"/>
    <cellStyle name="Separador de milhares 3 2 4 5 5 4 2" xfId="24186"/>
    <cellStyle name="Separador de milhares 3 2 4 5 5 4 2 2" xfId="49253"/>
    <cellStyle name="Separador de milhares 3 2 4 5 5 4 3" xfId="31517"/>
    <cellStyle name="Separador de milhares 3 2 4 5 5 5" xfId="18272"/>
    <cellStyle name="Separador de milhares 3 2 4 5 5 5 2" xfId="43339"/>
    <cellStyle name="Separador de milhares 3 2 4 5 5 6" xfId="11941"/>
    <cellStyle name="Separador de milhares 3 2 4 5 5 6 2" xfId="37428"/>
    <cellStyle name="Separador de milhares 3 2 4 5 5 7" xfId="30047"/>
    <cellStyle name="Separador de milhares 3 2 4 5 6" xfId="3471"/>
    <cellStyle name="Separador de milhares 3 2 4 5 6 2" xfId="7400"/>
    <cellStyle name="Separador de milhares 3 2 4 5 6 2 2" xfId="10544"/>
    <cellStyle name="Separador de milhares 3 2 4 5 6 2 2 2" xfId="28758"/>
    <cellStyle name="Separador de milhares 3 2 4 5 6 2 2 2 2" xfId="53825"/>
    <cellStyle name="Separador de milhares 3 2 4 5 6 2 2 3" xfId="22844"/>
    <cellStyle name="Separador de milhares 3 2 4 5 6 2 2 3 2" xfId="47911"/>
    <cellStyle name="Separador de milhares 3 2 4 5 6 2 2 4" xfId="16930"/>
    <cellStyle name="Separador de milhares 3 2 4 5 6 2 2 4 2" xfId="41997"/>
    <cellStyle name="Separador de milhares 3 2 4 5 6 2 2 5" xfId="36089"/>
    <cellStyle name="Separador de milhares 3 2 4 5 6 2 3" xfId="25801"/>
    <cellStyle name="Separador de milhares 3 2 4 5 6 2 3 2" xfId="50868"/>
    <cellStyle name="Separador de milhares 3 2 4 5 6 2 4" xfId="19887"/>
    <cellStyle name="Separador de milhares 3 2 4 5 6 2 4 2" xfId="44954"/>
    <cellStyle name="Separador de milhares 3 2 4 5 6 2 5" xfId="13789"/>
    <cellStyle name="Separador de milhares 3 2 4 5 6 2 5 2" xfId="39043"/>
    <cellStyle name="Separador de milhares 3 2 4 5 6 2 6" xfId="33132"/>
    <cellStyle name="Separador de milhares 3 2 4 5 6 3" xfId="9076"/>
    <cellStyle name="Separador de milhares 3 2 4 5 6 3 2" xfId="27290"/>
    <cellStyle name="Separador de milhares 3 2 4 5 6 3 2 2" xfId="52357"/>
    <cellStyle name="Separador de milhares 3 2 4 5 6 3 3" xfId="21376"/>
    <cellStyle name="Separador de milhares 3 2 4 5 6 3 3 2" xfId="46443"/>
    <cellStyle name="Separador de milhares 3 2 4 5 6 3 4" xfId="15462"/>
    <cellStyle name="Separador de milhares 3 2 4 5 6 3 4 2" xfId="40529"/>
    <cellStyle name="Separador de milhares 3 2 4 5 6 3 5" xfId="34621"/>
    <cellStyle name="Separador de milhares 3 2 4 5 6 4" xfId="5701"/>
    <cellStyle name="Separador de milhares 3 2 4 5 6 4 2" xfId="24333"/>
    <cellStyle name="Separador de milhares 3 2 4 5 6 4 2 2" xfId="49400"/>
    <cellStyle name="Separador de milhares 3 2 4 5 6 4 3" xfId="31664"/>
    <cellStyle name="Separador de milhares 3 2 4 5 6 5" xfId="18419"/>
    <cellStyle name="Separador de milhares 3 2 4 5 6 5 2" xfId="43486"/>
    <cellStyle name="Separador de milhares 3 2 4 5 6 6" xfId="12088"/>
    <cellStyle name="Separador de milhares 3 2 4 5 6 6 2" xfId="37575"/>
    <cellStyle name="Separador de milhares 3 2 4 5 6 7" xfId="30194"/>
    <cellStyle name="Separador de milhares 3 2 4 5 7" xfId="3998"/>
    <cellStyle name="Separador de milhares 3 2 4 5 7 2" xfId="7547"/>
    <cellStyle name="Separador de milhares 3 2 4 5 7 2 2" xfId="10691"/>
    <cellStyle name="Separador de milhares 3 2 4 5 7 2 2 2" xfId="28905"/>
    <cellStyle name="Separador de milhares 3 2 4 5 7 2 2 2 2" xfId="53972"/>
    <cellStyle name="Separador de milhares 3 2 4 5 7 2 2 3" xfId="22991"/>
    <cellStyle name="Separador de milhares 3 2 4 5 7 2 2 3 2" xfId="48058"/>
    <cellStyle name="Separador de milhares 3 2 4 5 7 2 2 4" xfId="17077"/>
    <cellStyle name="Separador de milhares 3 2 4 5 7 2 2 4 2" xfId="42144"/>
    <cellStyle name="Separador de milhares 3 2 4 5 7 2 2 5" xfId="36236"/>
    <cellStyle name="Separador de milhares 3 2 4 5 7 2 3" xfId="25948"/>
    <cellStyle name="Separador de milhares 3 2 4 5 7 2 3 2" xfId="51015"/>
    <cellStyle name="Separador de milhares 3 2 4 5 7 2 4" xfId="20034"/>
    <cellStyle name="Separador de milhares 3 2 4 5 7 2 4 2" xfId="45101"/>
    <cellStyle name="Separador de milhares 3 2 4 5 7 2 5" xfId="13936"/>
    <cellStyle name="Separador de milhares 3 2 4 5 7 2 5 2" xfId="39190"/>
    <cellStyle name="Separador de milhares 3 2 4 5 7 2 6" xfId="33279"/>
    <cellStyle name="Separador de milhares 3 2 4 5 7 3" xfId="9223"/>
    <cellStyle name="Separador de milhares 3 2 4 5 7 3 2" xfId="27437"/>
    <cellStyle name="Separador de milhares 3 2 4 5 7 3 2 2" xfId="52504"/>
    <cellStyle name="Separador de milhares 3 2 4 5 7 3 3" xfId="21523"/>
    <cellStyle name="Separador de milhares 3 2 4 5 7 3 3 2" xfId="46590"/>
    <cellStyle name="Separador de milhares 3 2 4 5 7 3 4" xfId="15609"/>
    <cellStyle name="Separador de milhares 3 2 4 5 7 3 4 2" xfId="40676"/>
    <cellStyle name="Separador de milhares 3 2 4 5 7 3 5" xfId="34768"/>
    <cellStyle name="Separador de milhares 3 2 4 5 7 4" xfId="5848"/>
    <cellStyle name="Separador de milhares 3 2 4 5 7 4 2" xfId="24480"/>
    <cellStyle name="Separador de milhares 3 2 4 5 7 4 2 2" xfId="49547"/>
    <cellStyle name="Separador de milhares 3 2 4 5 7 4 3" xfId="31811"/>
    <cellStyle name="Separador de milhares 3 2 4 5 7 5" xfId="18566"/>
    <cellStyle name="Separador de milhares 3 2 4 5 7 5 2" xfId="43633"/>
    <cellStyle name="Separador de milhares 3 2 4 5 7 6" xfId="12235"/>
    <cellStyle name="Separador de milhares 3 2 4 5 7 6 2" xfId="37722"/>
    <cellStyle name="Separador de milhares 3 2 4 5 7 7" xfId="30341"/>
    <cellStyle name="Separador de milhares 3 2 4 5 8" xfId="6586"/>
    <cellStyle name="Separador de milhares 3 2 4 5 8 2" xfId="9733"/>
    <cellStyle name="Separador de milhares 3 2 4 5 8 2 2" xfId="27947"/>
    <cellStyle name="Separador de milhares 3 2 4 5 8 2 2 2" xfId="53014"/>
    <cellStyle name="Separador de milhares 3 2 4 5 8 2 3" xfId="22033"/>
    <cellStyle name="Separador de milhares 3 2 4 5 8 2 3 2" xfId="47100"/>
    <cellStyle name="Separador de milhares 3 2 4 5 8 2 4" xfId="16119"/>
    <cellStyle name="Separador de milhares 3 2 4 5 8 2 4 2" xfId="41186"/>
    <cellStyle name="Separador de milhares 3 2 4 5 8 2 5" xfId="35278"/>
    <cellStyle name="Separador de milhares 3 2 4 5 8 3" xfId="24990"/>
    <cellStyle name="Separador de milhares 3 2 4 5 8 3 2" xfId="50057"/>
    <cellStyle name="Separador de milhares 3 2 4 5 8 4" xfId="19076"/>
    <cellStyle name="Separador de milhares 3 2 4 5 8 4 2" xfId="44143"/>
    <cellStyle name="Separador de milhares 3 2 4 5 8 5" xfId="12975"/>
    <cellStyle name="Separador de milhares 3 2 4 5 8 5 2" xfId="38232"/>
    <cellStyle name="Separador de milhares 3 2 4 5 8 6" xfId="32321"/>
    <cellStyle name="Separador de milhares 3 2 4 5 9" xfId="8262"/>
    <cellStyle name="Separador de milhares 3 2 4 5 9 2" xfId="26476"/>
    <cellStyle name="Separador de milhares 3 2 4 5 9 2 2" xfId="51543"/>
    <cellStyle name="Separador de milhares 3 2 4 5 9 3" xfId="20562"/>
    <cellStyle name="Separador de milhares 3 2 4 5 9 3 2" xfId="45629"/>
    <cellStyle name="Separador de milhares 3 2 4 5 9 4" xfId="14651"/>
    <cellStyle name="Separador de milhares 3 2 4 5 9 4 2" xfId="39718"/>
    <cellStyle name="Separador de milhares 3 2 4 5 9 5" xfId="33807"/>
    <cellStyle name="Separador de milhares 3 2 4 6" xfId="750"/>
    <cellStyle name="Separador de milhares 3 2 4 6 2" xfId="4174"/>
    <cellStyle name="Separador de milhares 3 2 4 6 2 2" xfId="7596"/>
    <cellStyle name="Separador de milhares 3 2 4 6 2 2 2" xfId="10740"/>
    <cellStyle name="Separador de milhares 3 2 4 6 2 2 2 2" xfId="28954"/>
    <cellStyle name="Separador de milhares 3 2 4 6 2 2 2 2 2" xfId="54021"/>
    <cellStyle name="Separador de milhares 3 2 4 6 2 2 2 3" xfId="23040"/>
    <cellStyle name="Separador de milhares 3 2 4 6 2 2 2 3 2" xfId="48107"/>
    <cellStyle name="Separador de milhares 3 2 4 6 2 2 2 4" xfId="17126"/>
    <cellStyle name="Separador de milhares 3 2 4 6 2 2 2 4 2" xfId="42193"/>
    <cellStyle name="Separador de milhares 3 2 4 6 2 2 2 5" xfId="36285"/>
    <cellStyle name="Separador de milhares 3 2 4 6 2 2 3" xfId="25997"/>
    <cellStyle name="Separador de milhares 3 2 4 6 2 2 3 2" xfId="51064"/>
    <cellStyle name="Separador de milhares 3 2 4 6 2 2 4" xfId="20083"/>
    <cellStyle name="Separador de milhares 3 2 4 6 2 2 4 2" xfId="45150"/>
    <cellStyle name="Separador de milhares 3 2 4 6 2 2 5" xfId="13985"/>
    <cellStyle name="Separador de milhares 3 2 4 6 2 2 5 2" xfId="39239"/>
    <cellStyle name="Separador de milhares 3 2 4 6 2 2 6" xfId="33328"/>
    <cellStyle name="Separador de milhares 3 2 4 6 2 3" xfId="9272"/>
    <cellStyle name="Separador de milhares 3 2 4 6 2 3 2" xfId="27486"/>
    <cellStyle name="Separador de milhares 3 2 4 6 2 3 2 2" xfId="52553"/>
    <cellStyle name="Separador de milhares 3 2 4 6 2 3 3" xfId="21572"/>
    <cellStyle name="Separador de milhares 3 2 4 6 2 3 3 2" xfId="46639"/>
    <cellStyle name="Separador de milhares 3 2 4 6 2 3 4" xfId="15658"/>
    <cellStyle name="Separador de milhares 3 2 4 6 2 3 4 2" xfId="40725"/>
    <cellStyle name="Separador de milhares 3 2 4 6 2 3 5" xfId="34817"/>
    <cellStyle name="Separador de milhares 3 2 4 6 2 4" xfId="5897"/>
    <cellStyle name="Separador de milhares 3 2 4 6 2 4 2" xfId="24529"/>
    <cellStyle name="Separador de milhares 3 2 4 6 2 4 2 2" xfId="49596"/>
    <cellStyle name="Separador de milhares 3 2 4 6 2 4 3" xfId="31860"/>
    <cellStyle name="Separador de milhares 3 2 4 6 2 5" xfId="18615"/>
    <cellStyle name="Separador de milhares 3 2 4 6 2 5 2" xfId="43682"/>
    <cellStyle name="Separador de milhares 3 2 4 6 2 6" xfId="12284"/>
    <cellStyle name="Separador de milhares 3 2 4 6 2 6 2" xfId="37771"/>
    <cellStyle name="Separador de milhares 3 2 4 6 2 7" xfId="30390"/>
    <cellStyle name="Separador de milhares 3 2 4 6 3" xfId="6641"/>
    <cellStyle name="Separador de milhares 3 2 4 6 3 2" xfId="9788"/>
    <cellStyle name="Separador de milhares 3 2 4 6 3 2 2" xfId="28002"/>
    <cellStyle name="Separador de milhares 3 2 4 6 3 2 2 2" xfId="53069"/>
    <cellStyle name="Separador de milhares 3 2 4 6 3 2 3" xfId="22088"/>
    <cellStyle name="Separador de milhares 3 2 4 6 3 2 3 2" xfId="47155"/>
    <cellStyle name="Separador de milhares 3 2 4 6 3 2 4" xfId="16174"/>
    <cellStyle name="Separador de milhares 3 2 4 6 3 2 4 2" xfId="41241"/>
    <cellStyle name="Separador de milhares 3 2 4 6 3 2 5" xfId="35333"/>
    <cellStyle name="Separador de milhares 3 2 4 6 3 3" xfId="25045"/>
    <cellStyle name="Separador de milhares 3 2 4 6 3 3 2" xfId="50112"/>
    <cellStyle name="Separador de milhares 3 2 4 6 3 4" xfId="19131"/>
    <cellStyle name="Separador de milhares 3 2 4 6 3 4 2" xfId="44198"/>
    <cellStyle name="Separador de milhares 3 2 4 6 3 5" xfId="13030"/>
    <cellStyle name="Separador de milhares 3 2 4 6 3 5 2" xfId="38287"/>
    <cellStyle name="Separador de milhares 3 2 4 6 3 6" xfId="32376"/>
    <cellStyle name="Separador de milhares 3 2 4 6 4" xfId="8320"/>
    <cellStyle name="Separador de milhares 3 2 4 6 4 2" xfId="26534"/>
    <cellStyle name="Separador de milhares 3 2 4 6 4 2 2" xfId="51601"/>
    <cellStyle name="Separador de milhares 3 2 4 6 4 3" xfId="20620"/>
    <cellStyle name="Separador de milhares 3 2 4 6 4 3 2" xfId="45687"/>
    <cellStyle name="Separador de milhares 3 2 4 6 4 4" xfId="14706"/>
    <cellStyle name="Separador de milhares 3 2 4 6 4 4 2" xfId="39773"/>
    <cellStyle name="Separador de milhares 3 2 4 6 4 5" xfId="33865"/>
    <cellStyle name="Separador de milhares 3 2 4 6 5" xfId="4942"/>
    <cellStyle name="Separador de milhares 3 2 4 6 5 2" xfId="23577"/>
    <cellStyle name="Separador de milhares 3 2 4 6 5 2 2" xfId="48644"/>
    <cellStyle name="Separador de milhares 3 2 4 6 5 3" xfId="30908"/>
    <cellStyle name="Separador de milhares 3 2 4 6 6" xfId="17663"/>
    <cellStyle name="Separador de milhares 3 2 4 6 6 2" xfId="42730"/>
    <cellStyle name="Separador de milhares 3 2 4 6 7" xfId="11329"/>
    <cellStyle name="Separador de milhares 3 2 4 6 7 2" xfId="36819"/>
    <cellStyle name="Separador de milhares 3 2 4 6 8" xfId="29438"/>
    <cellStyle name="Separador de milhares 3 2 4 7" xfId="1101"/>
    <cellStyle name="Separador de milhares 3 2 4 7 2" xfId="6739"/>
    <cellStyle name="Separador de milhares 3 2 4 7 2 2" xfId="9886"/>
    <cellStyle name="Separador de milhares 3 2 4 7 2 2 2" xfId="28100"/>
    <cellStyle name="Separador de milhares 3 2 4 7 2 2 2 2" xfId="53167"/>
    <cellStyle name="Separador de milhares 3 2 4 7 2 2 3" xfId="22186"/>
    <cellStyle name="Separador de milhares 3 2 4 7 2 2 3 2" xfId="47253"/>
    <cellStyle name="Separador de milhares 3 2 4 7 2 2 4" xfId="16272"/>
    <cellStyle name="Separador de milhares 3 2 4 7 2 2 4 2" xfId="41339"/>
    <cellStyle name="Separador de milhares 3 2 4 7 2 2 5" xfId="35431"/>
    <cellStyle name="Separador de milhares 3 2 4 7 2 3" xfId="25143"/>
    <cellStyle name="Separador de milhares 3 2 4 7 2 3 2" xfId="50210"/>
    <cellStyle name="Separador de milhares 3 2 4 7 2 4" xfId="19229"/>
    <cellStyle name="Separador de milhares 3 2 4 7 2 4 2" xfId="44296"/>
    <cellStyle name="Separador de milhares 3 2 4 7 2 5" xfId="13128"/>
    <cellStyle name="Separador de milhares 3 2 4 7 2 5 2" xfId="38385"/>
    <cellStyle name="Separador de milhares 3 2 4 7 2 6" xfId="32474"/>
    <cellStyle name="Separador de milhares 3 2 4 7 3" xfId="8418"/>
    <cellStyle name="Separador de milhares 3 2 4 7 3 2" xfId="26632"/>
    <cellStyle name="Separador de milhares 3 2 4 7 3 2 2" xfId="51699"/>
    <cellStyle name="Separador de milhares 3 2 4 7 3 3" xfId="20718"/>
    <cellStyle name="Separador de milhares 3 2 4 7 3 3 2" xfId="45785"/>
    <cellStyle name="Separador de milhares 3 2 4 7 3 4" xfId="14804"/>
    <cellStyle name="Separador de milhares 3 2 4 7 3 4 2" xfId="39871"/>
    <cellStyle name="Separador de milhares 3 2 4 7 3 5" xfId="33963"/>
    <cellStyle name="Separador de milhares 3 2 4 7 4" xfId="5040"/>
    <cellStyle name="Separador de milhares 3 2 4 7 4 2" xfId="23675"/>
    <cellStyle name="Separador de milhares 3 2 4 7 4 2 2" xfId="48742"/>
    <cellStyle name="Separador de milhares 3 2 4 7 4 3" xfId="31006"/>
    <cellStyle name="Separador de milhares 3 2 4 7 5" xfId="17761"/>
    <cellStyle name="Separador de milhares 3 2 4 7 5 2" xfId="42828"/>
    <cellStyle name="Separador de milhares 3 2 4 7 6" xfId="11427"/>
    <cellStyle name="Separador de milhares 3 2 4 7 6 2" xfId="36917"/>
    <cellStyle name="Separador de milhares 3 2 4 7 7" xfId="29536"/>
    <cellStyle name="Separador de milhares 3 2 4 8" xfId="1536"/>
    <cellStyle name="Separador de milhares 3 2 4 8 2" xfId="6858"/>
    <cellStyle name="Separador de milhares 3 2 4 8 2 2" xfId="10005"/>
    <cellStyle name="Separador de milhares 3 2 4 8 2 2 2" xfId="28219"/>
    <cellStyle name="Separador de milhares 3 2 4 8 2 2 2 2" xfId="53286"/>
    <cellStyle name="Separador de milhares 3 2 4 8 2 2 3" xfId="22305"/>
    <cellStyle name="Separador de milhares 3 2 4 8 2 2 3 2" xfId="47372"/>
    <cellStyle name="Separador de milhares 3 2 4 8 2 2 4" xfId="16391"/>
    <cellStyle name="Separador de milhares 3 2 4 8 2 2 4 2" xfId="41458"/>
    <cellStyle name="Separador de milhares 3 2 4 8 2 2 5" xfId="35550"/>
    <cellStyle name="Separador de milhares 3 2 4 8 2 3" xfId="25262"/>
    <cellStyle name="Separador de milhares 3 2 4 8 2 3 2" xfId="50329"/>
    <cellStyle name="Separador de milhares 3 2 4 8 2 4" xfId="19348"/>
    <cellStyle name="Separador de milhares 3 2 4 8 2 4 2" xfId="44415"/>
    <cellStyle name="Separador de milhares 3 2 4 8 2 5" xfId="13247"/>
    <cellStyle name="Separador de milhares 3 2 4 8 2 5 2" xfId="38504"/>
    <cellStyle name="Separador de milhares 3 2 4 8 2 6" xfId="32593"/>
    <cellStyle name="Separador de milhares 3 2 4 8 3" xfId="8537"/>
    <cellStyle name="Separador de milhares 3 2 4 8 3 2" xfId="26751"/>
    <cellStyle name="Separador de milhares 3 2 4 8 3 2 2" xfId="51818"/>
    <cellStyle name="Separador de milhares 3 2 4 8 3 3" xfId="20837"/>
    <cellStyle name="Separador de milhares 3 2 4 8 3 3 2" xfId="45904"/>
    <cellStyle name="Separador de milhares 3 2 4 8 3 4" xfId="14923"/>
    <cellStyle name="Separador de milhares 3 2 4 8 3 4 2" xfId="39990"/>
    <cellStyle name="Separador de milhares 3 2 4 8 3 5" xfId="34082"/>
    <cellStyle name="Separador de milhares 3 2 4 8 4" xfId="5159"/>
    <cellStyle name="Separador de milhares 3 2 4 8 4 2" xfId="23794"/>
    <cellStyle name="Separador de milhares 3 2 4 8 4 2 2" xfId="48861"/>
    <cellStyle name="Separador de milhares 3 2 4 8 4 3" xfId="31125"/>
    <cellStyle name="Separador de milhares 3 2 4 8 5" xfId="17880"/>
    <cellStyle name="Separador de milhares 3 2 4 8 5 2" xfId="42947"/>
    <cellStyle name="Separador de milhares 3 2 4 8 6" xfId="11546"/>
    <cellStyle name="Separador de milhares 3 2 4 8 6 2" xfId="37036"/>
    <cellStyle name="Separador de milhares 3 2 4 8 7" xfId="29655"/>
    <cellStyle name="Separador de milhares 3 2 4 9" xfId="2066"/>
    <cellStyle name="Separador de milhares 3 2 4 9 2" xfId="7008"/>
    <cellStyle name="Separador de milhares 3 2 4 9 2 2" xfId="10152"/>
    <cellStyle name="Separador de milhares 3 2 4 9 2 2 2" xfId="28366"/>
    <cellStyle name="Separador de milhares 3 2 4 9 2 2 2 2" xfId="53433"/>
    <cellStyle name="Separador de milhares 3 2 4 9 2 2 3" xfId="22452"/>
    <cellStyle name="Separador de milhares 3 2 4 9 2 2 3 2" xfId="47519"/>
    <cellStyle name="Separador de milhares 3 2 4 9 2 2 4" xfId="16538"/>
    <cellStyle name="Separador de milhares 3 2 4 9 2 2 4 2" xfId="41605"/>
    <cellStyle name="Separador de milhares 3 2 4 9 2 2 5" xfId="35697"/>
    <cellStyle name="Separador de milhares 3 2 4 9 2 3" xfId="25409"/>
    <cellStyle name="Separador de milhares 3 2 4 9 2 3 2" xfId="50476"/>
    <cellStyle name="Separador de milhares 3 2 4 9 2 4" xfId="19495"/>
    <cellStyle name="Separador de milhares 3 2 4 9 2 4 2" xfId="44562"/>
    <cellStyle name="Separador de milhares 3 2 4 9 2 5" xfId="13397"/>
    <cellStyle name="Separador de milhares 3 2 4 9 2 5 2" xfId="38651"/>
    <cellStyle name="Separador de milhares 3 2 4 9 2 6" xfId="32740"/>
    <cellStyle name="Separador de milhares 3 2 4 9 3" xfId="8684"/>
    <cellStyle name="Separador de milhares 3 2 4 9 3 2" xfId="26898"/>
    <cellStyle name="Separador de milhares 3 2 4 9 3 2 2" xfId="51965"/>
    <cellStyle name="Separador de milhares 3 2 4 9 3 3" xfId="20984"/>
    <cellStyle name="Separador de milhares 3 2 4 9 3 3 2" xfId="46051"/>
    <cellStyle name="Separador de milhares 3 2 4 9 3 4" xfId="15070"/>
    <cellStyle name="Separador de milhares 3 2 4 9 3 4 2" xfId="40137"/>
    <cellStyle name="Separador de milhares 3 2 4 9 3 5" xfId="34229"/>
    <cellStyle name="Separador de milhares 3 2 4 9 4" xfId="5309"/>
    <cellStyle name="Separador de milhares 3 2 4 9 4 2" xfId="23941"/>
    <cellStyle name="Separador de milhares 3 2 4 9 4 2 2" xfId="49008"/>
    <cellStyle name="Separador de milhares 3 2 4 9 4 3" xfId="31272"/>
    <cellStyle name="Separador de milhares 3 2 4 9 5" xfId="18027"/>
    <cellStyle name="Separador de milhares 3 2 4 9 5 2" xfId="43094"/>
    <cellStyle name="Separador de milhares 3 2 4 9 6" xfId="11696"/>
    <cellStyle name="Separador de milhares 3 2 4 9 6 2" xfId="37183"/>
    <cellStyle name="Separador de milhares 3 2 4 9 7" xfId="29802"/>
    <cellStyle name="Separador de milhares 3 2 5" xfId="98"/>
    <cellStyle name="Separador de milhares 3 2 5 10" xfId="2601"/>
    <cellStyle name="Separador de milhares 3 2 5 10 2" xfId="7157"/>
    <cellStyle name="Separador de milhares 3 2 5 10 2 2" xfId="10301"/>
    <cellStyle name="Separador de milhares 3 2 5 10 2 2 2" xfId="28515"/>
    <cellStyle name="Separador de milhares 3 2 5 10 2 2 2 2" xfId="53582"/>
    <cellStyle name="Separador de milhares 3 2 5 10 2 2 3" xfId="22601"/>
    <cellStyle name="Separador de milhares 3 2 5 10 2 2 3 2" xfId="47668"/>
    <cellStyle name="Separador de milhares 3 2 5 10 2 2 4" xfId="16687"/>
    <cellStyle name="Separador de milhares 3 2 5 10 2 2 4 2" xfId="41754"/>
    <cellStyle name="Separador de milhares 3 2 5 10 2 2 5" xfId="35846"/>
    <cellStyle name="Separador de milhares 3 2 5 10 2 3" xfId="25558"/>
    <cellStyle name="Separador de milhares 3 2 5 10 2 3 2" xfId="50625"/>
    <cellStyle name="Separador de milhares 3 2 5 10 2 4" xfId="19644"/>
    <cellStyle name="Separador de milhares 3 2 5 10 2 4 2" xfId="44711"/>
    <cellStyle name="Separador de milhares 3 2 5 10 2 5" xfId="13546"/>
    <cellStyle name="Separador de milhares 3 2 5 10 2 5 2" xfId="38800"/>
    <cellStyle name="Separador de milhares 3 2 5 10 2 6" xfId="32889"/>
    <cellStyle name="Separador de milhares 3 2 5 10 3" xfId="8833"/>
    <cellStyle name="Separador de milhares 3 2 5 10 3 2" xfId="27047"/>
    <cellStyle name="Separador de milhares 3 2 5 10 3 2 2" xfId="52114"/>
    <cellStyle name="Separador de milhares 3 2 5 10 3 3" xfId="21133"/>
    <cellStyle name="Separador de milhares 3 2 5 10 3 3 2" xfId="46200"/>
    <cellStyle name="Separador de milhares 3 2 5 10 3 4" xfId="15219"/>
    <cellStyle name="Separador de milhares 3 2 5 10 3 4 2" xfId="40286"/>
    <cellStyle name="Separador de milhares 3 2 5 10 3 5" xfId="34378"/>
    <cellStyle name="Separador de milhares 3 2 5 10 4" xfId="5458"/>
    <cellStyle name="Separador de milhares 3 2 5 10 4 2" xfId="24090"/>
    <cellStyle name="Separador de milhares 3 2 5 10 4 2 2" xfId="49157"/>
    <cellStyle name="Separador de milhares 3 2 5 10 4 3" xfId="31421"/>
    <cellStyle name="Separador de milhares 3 2 5 10 5" xfId="18176"/>
    <cellStyle name="Separador de milhares 3 2 5 10 5 2" xfId="43243"/>
    <cellStyle name="Separador de milhares 3 2 5 10 6" xfId="11845"/>
    <cellStyle name="Separador de milhares 3 2 5 10 6 2" xfId="37332"/>
    <cellStyle name="Separador de milhares 3 2 5 10 7" xfId="29951"/>
    <cellStyle name="Separador de milhares 3 2 5 11" xfId="3128"/>
    <cellStyle name="Separador de milhares 3 2 5 11 2" xfId="7304"/>
    <cellStyle name="Separador de milhares 3 2 5 11 2 2" xfId="10448"/>
    <cellStyle name="Separador de milhares 3 2 5 11 2 2 2" xfId="28662"/>
    <cellStyle name="Separador de milhares 3 2 5 11 2 2 2 2" xfId="53729"/>
    <cellStyle name="Separador de milhares 3 2 5 11 2 2 3" xfId="22748"/>
    <cellStyle name="Separador de milhares 3 2 5 11 2 2 3 2" xfId="47815"/>
    <cellStyle name="Separador de milhares 3 2 5 11 2 2 4" xfId="16834"/>
    <cellStyle name="Separador de milhares 3 2 5 11 2 2 4 2" xfId="41901"/>
    <cellStyle name="Separador de milhares 3 2 5 11 2 2 5" xfId="35993"/>
    <cellStyle name="Separador de milhares 3 2 5 11 2 3" xfId="25705"/>
    <cellStyle name="Separador de milhares 3 2 5 11 2 3 2" xfId="50772"/>
    <cellStyle name="Separador de milhares 3 2 5 11 2 4" xfId="19791"/>
    <cellStyle name="Separador de milhares 3 2 5 11 2 4 2" xfId="44858"/>
    <cellStyle name="Separador de milhares 3 2 5 11 2 5" xfId="13693"/>
    <cellStyle name="Separador de milhares 3 2 5 11 2 5 2" xfId="38947"/>
    <cellStyle name="Separador de milhares 3 2 5 11 2 6" xfId="33036"/>
    <cellStyle name="Separador de milhares 3 2 5 11 3" xfId="8980"/>
    <cellStyle name="Separador de milhares 3 2 5 11 3 2" xfId="27194"/>
    <cellStyle name="Separador de milhares 3 2 5 11 3 2 2" xfId="52261"/>
    <cellStyle name="Separador de milhares 3 2 5 11 3 3" xfId="21280"/>
    <cellStyle name="Separador de milhares 3 2 5 11 3 3 2" xfId="46347"/>
    <cellStyle name="Separador de milhares 3 2 5 11 3 4" xfId="15366"/>
    <cellStyle name="Separador de milhares 3 2 5 11 3 4 2" xfId="40433"/>
    <cellStyle name="Separador de milhares 3 2 5 11 3 5" xfId="34525"/>
    <cellStyle name="Separador de milhares 3 2 5 11 4" xfId="5605"/>
    <cellStyle name="Separador de milhares 3 2 5 11 4 2" xfId="24237"/>
    <cellStyle name="Separador de milhares 3 2 5 11 4 2 2" xfId="49304"/>
    <cellStyle name="Separador de milhares 3 2 5 11 4 3" xfId="31568"/>
    <cellStyle name="Separador de milhares 3 2 5 11 5" xfId="18323"/>
    <cellStyle name="Separador de milhares 3 2 5 11 5 2" xfId="43390"/>
    <cellStyle name="Separador de milhares 3 2 5 11 6" xfId="11992"/>
    <cellStyle name="Separador de milhares 3 2 5 11 6 2" xfId="37479"/>
    <cellStyle name="Separador de milhares 3 2 5 11 7" xfId="30098"/>
    <cellStyle name="Separador de milhares 3 2 5 12" xfId="3655"/>
    <cellStyle name="Separador de milhares 3 2 5 12 2" xfId="7451"/>
    <cellStyle name="Separador de milhares 3 2 5 12 2 2" xfId="10595"/>
    <cellStyle name="Separador de milhares 3 2 5 12 2 2 2" xfId="28809"/>
    <cellStyle name="Separador de milhares 3 2 5 12 2 2 2 2" xfId="53876"/>
    <cellStyle name="Separador de milhares 3 2 5 12 2 2 3" xfId="22895"/>
    <cellStyle name="Separador de milhares 3 2 5 12 2 2 3 2" xfId="47962"/>
    <cellStyle name="Separador de milhares 3 2 5 12 2 2 4" xfId="16981"/>
    <cellStyle name="Separador de milhares 3 2 5 12 2 2 4 2" xfId="42048"/>
    <cellStyle name="Separador de milhares 3 2 5 12 2 2 5" xfId="36140"/>
    <cellStyle name="Separador de milhares 3 2 5 12 2 3" xfId="25852"/>
    <cellStyle name="Separador de milhares 3 2 5 12 2 3 2" xfId="50919"/>
    <cellStyle name="Separador de milhares 3 2 5 12 2 4" xfId="19938"/>
    <cellStyle name="Separador de milhares 3 2 5 12 2 4 2" xfId="45005"/>
    <cellStyle name="Separador de milhares 3 2 5 12 2 5" xfId="13840"/>
    <cellStyle name="Separador de milhares 3 2 5 12 2 5 2" xfId="39094"/>
    <cellStyle name="Separador de milhares 3 2 5 12 2 6" xfId="33183"/>
    <cellStyle name="Separador de milhares 3 2 5 12 3" xfId="9127"/>
    <cellStyle name="Separador de milhares 3 2 5 12 3 2" xfId="27341"/>
    <cellStyle name="Separador de milhares 3 2 5 12 3 2 2" xfId="52408"/>
    <cellStyle name="Separador de milhares 3 2 5 12 3 3" xfId="21427"/>
    <cellStyle name="Separador de milhares 3 2 5 12 3 3 2" xfId="46494"/>
    <cellStyle name="Separador de milhares 3 2 5 12 3 4" xfId="15513"/>
    <cellStyle name="Separador de milhares 3 2 5 12 3 4 2" xfId="40580"/>
    <cellStyle name="Separador de milhares 3 2 5 12 3 5" xfId="34672"/>
    <cellStyle name="Separador de milhares 3 2 5 12 4" xfId="5752"/>
    <cellStyle name="Separador de milhares 3 2 5 12 4 2" xfId="24384"/>
    <cellStyle name="Separador de milhares 3 2 5 12 4 2 2" xfId="49451"/>
    <cellStyle name="Separador de milhares 3 2 5 12 4 3" xfId="31715"/>
    <cellStyle name="Separador de milhares 3 2 5 12 5" xfId="18470"/>
    <cellStyle name="Separador de milhares 3 2 5 12 5 2" xfId="43537"/>
    <cellStyle name="Separador de milhares 3 2 5 12 6" xfId="12139"/>
    <cellStyle name="Separador de milhares 3 2 5 12 6 2" xfId="37626"/>
    <cellStyle name="Separador de milhares 3 2 5 12 7" xfId="30245"/>
    <cellStyle name="Separador de milhares 3 2 5 13" xfId="6435"/>
    <cellStyle name="Separador de milhares 3 2 5 13 2" xfId="9591"/>
    <cellStyle name="Separador de milhares 3 2 5 13 2 2" xfId="27805"/>
    <cellStyle name="Separador de milhares 3 2 5 13 2 2 2" xfId="52872"/>
    <cellStyle name="Separador de milhares 3 2 5 13 2 3" xfId="21891"/>
    <cellStyle name="Separador de milhares 3 2 5 13 2 3 2" xfId="46958"/>
    <cellStyle name="Separador de milhares 3 2 5 13 2 4" xfId="15977"/>
    <cellStyle name="Separador de milhares 3 2 5 13 2 4 2" xfId="41044"/>
    <cellStyle name="Separador de milhares 3 2 5 13 2 5" xfId="35136"/>
    <cellStyle name="Separador de milhares 3 2 5 13 3" xfId="24848"/>
    <cellStyle name="Separador de milhares 3 2 5 13 3 2" xfId="49915"/>
    <cellStyle name="Separador de milhares 3 2 5 13 4" xfId="18934"/>
    <cellStyle name="Separador de milhares 3 2 5 13 4 2" xfId="44001"/>
    <cellStyle name="Separador de milhares 3 2 5 13 5" xfId="12824"/>
    <cellStyle name="Separador de milhares 3 2 5 13 5 2" xfId="38090"/>
    <cellStyle name="Separador de milhares 3 2 5 13 6" xfId="32179"/>
    <cellStyle name="Separador de milhares 3 2 5 14" xfId="8120"/>
    <cellStyle name="Separador de milhares 3 2 5 14 2" xfId="26334"/>
    <cellStyle name="Separador de milhares 3 2 5 14 2 2" xfId="51401"/>
    <cellStyle name="Separador de milhares 3 2 5 14 3" xfId="20420"/>
    <cellStyle name="Separador de milhares 3 2 5 14 3 2" xfId="45487"/>
    <cellStyle name="Separador de milhares 3 2 5 14 4" xfId="14509"/>
    <cellStyle name="Separador de milhares 3 2 5 14 4 2" xfId="39576"/>
    <cellStyle name="Separador de milhares 3 2 5 14 5" xfId="33665"/>
    <cellStyle name="Separador de milhares 3 2 5 15" xfId="4733"/>
    <cellStyle name="Separador de milhares 3 2 5 15 2" xfId="23377"/>
    <cellStyle name="Separador de milhares 3 2 5 15 2 2" xfId="48444"/>
    <cellStyle name="Separador de milhares 3 2 5 15 3" xfId="30709"/>
    <cellStyle name="Separador de milhares 3 2 5 16" xfId="17463"/>
    <cellStyle name="Separador de milhares 3 2 5 16 2" xfId="42530"/>
    <cellStyle name="Separador de milhares 3 2 5 17" xfId="11123"/>
    <cellStyle name="Separador de milhares 3 2 5 17 2" xfId="36622"/>
    <cellStyle name="Separador de milhares 3 2 5 18" xfId="29237"/>
    <cellStyle name="Separador de milhares 3 2 5 2" xfId="192"/>
    <cellStyle name="Separador de milhares 3 2 5 2 10" xfId="6464"/>
    <cellStyle name="Separador de milhares 3 2 5 2 10 2" xfId="9618"/>
    <cellStyle name="Separador de milhares 3 2 5 2 10 2 2" xfId="27832"/>
    <cellStyle name="Separador de milhares 3 2 5 2 10 2 2 2" xfId="52899"/>
    <cellStyle name="Separador de milhares 3 2 5 2 10 2 3" xfId="21918"/>
    <cellStyle name="Separador de milhares 3 2 5 2 10 2 3 2" xfId="46985"/>
    <cellStyle name="Separador de milhares 3 2 5 2 10 2 4" xfId="16004"/>
    <cellStyle name="Separador de milhares 3 2 5 2 10 2 4 2" xfId="41071"/>
    <cellStyle name="Separador de milhares 3 2 5 2 10 2 5" xfId="35163"/>
    <cellStyle name="Separador de milhares 3 2 5 2 10 3" xfId="24875"/>
    <cellStyle name="Separador de milhares 3 2 5 2 10 3 2" xfId="49942"/>
    <cellStyle name="Separador de milhares 3 2 5 2 10 4" xfId="18961"/>
    <cellStyle name="Separador de milhares 3 2 5 2 10 4 2" xfId="44028"/>
    <cellStyle name="Separador de milhares 3 2 5 2 10 5" xfId="12853"/>
    <cellStyle name="Separador de milhares 3 2 5 2 10 5 2" xfId="38117"/>
    <cellStyle name="Separador de milhares 3 2 5 2 10 6" xfId="32206"/>
    <cellStyle name="Separador de milhares 3 2 5 2 11" xfId="8147"/>
    <cellStyle name="Separador de milhares 3 2 5 2 11 2" xfId="26361"/>
    <cellStyle name="Separador de milhares 3 2 5 2 11 2 2" xfId="51428"/>
    <cellStyle name="Separador de milhares 3 2 5 2 11 3" xfId="20447"/>
    <cellStyle name="Separador de milhares 3 2 5 2 11 3 2" xfId="45514"/>
    <cellStyle name="Separador de milhares 3 2 5 2 11 4" xfId="14536"/>
    <cellStyle name="Separador de milhares 3 2 5 2 11 4 2" xfId="39603"/>
    <cellStyle name="Separador de milhares 3 2 5 2 11 5" xfId="33692"/>
    <cellStyle name="Separador de milhares 3 2 5 2 12" xfId="4763"/>
    <cellStyle name="Separador de milhares 3 2 5 2 12 2" xfId="23404"/>
    <cellStyle name="Separador de milhares 3 2 5 2 12 2 2" xfId="48471"/>
    <cellStyle name="Separador de milhares 3 2 5 2 12 3" xfId="30736"/>
    <cellStyle name="Separador de milhares 3 2 5 2 13" xfId="17490"/>
    <cellStyle name="Separador de milhares 3 2 5 2 13 2" xfId="42557"/>
    <cellStyle name="Separador de milhares 3 2 5 2 14" xfId="11152"/>
    <cellStyle name="Separador de milhares 3 2 5 2 14 2" xfId="36649"/>
    <cellStyle name="Separador de milhares 3 2 5 2 15" xfId="29265"/>
    <cellStyle name="Separador de milhares 3 2 5 2 2" xfId="465"/>
    <cellStyle name="Separador de milhares 3 2 5 2 2 10" xfId="17564"/>
    <cellStyle name="Separador de milhares 3 2 5 2 2 10 2" xfId="42631"/>
    <cellStyle name="Separador de milhares 3 2 5 2 2 11" xfId="11233"/>
    <cellStyle name="Separador de milhares 3 2 5 2 2 11 2" xfId="36723"/>
    <cellStyle name="Separador de milhares 3 2 5 2 2 12" xfId="29339"/>
    <cellStyle name="Separador de milhares 3 2 5 2 2 2" xfId="1984"/>
    <cellStyle name="Separador de milhares 3 2 5 2 2 2 2" xfId="6983"/>
    <cellStyle name="Separador de milhares 3 2 5 2 2 2 2 2" xfId="10130"/>
    <cellStyle name="Separador de milhares 3 2 5 2 2 2 2 2 2" xfId="28344"/>
    <cellStyle name="Separador de milhares 3 2 5 2 2 2 2 2 2 2" xfId="53411"/>
    <cellStyle name="Separador de milhares 3 2 5 2 2 2 2 2 3" xfId="22430"/>
    <cellStyle name="Separador de milhares 3 2 5 2 2 2 2 2 3 2" xfId="47497"/>
    <cellStyle name="Separador de milhares 3 2 5 2 2 2 2 2 4" xfId="16516"/>
    <cellStyle name="Separador de milhares 3 2 5 2 2 2 2 2 4 2" xfId="41583"/>
    <cellStyle name="Separador de milhares 3 2 5 2 2 2 2 2 5" xfId="35675"/>
    <cellStyle name="Separador de milhares 3 2 5 2 2 2 2 3" xfId="25387"/>
    <cellStyle name="Separador de milhares 3 2 5 2 2 2 2 3 2" xfId="50454"/>
    <cellStyle name="Separador de milhares 3 2 5 2 2 2 2 4" xfId="19473"/>
    <cellStyle name="Separador de milhares 3 2 5 2 2 2 2 4 2" xfId="44540"/>
    <cellStyle name="Separador de milhares 3 2 5 2 2 2 2 5" xfId="13372"/>
    <cellStyle name="Separador de milhares 3 2 5 2 2 2 2 5 2" xfId="38629"/>
    <cellStyle name="Separador de milhares 3 2 5 2 2 2 2 6" xfId="32718"/>
    <cellStyle name="Separador de milhares 3 2 5 2 2 2 3" xfId="8662"/>
    <cellStyle name="Separador de milhares 3 2 5 2 2 2 3 2" xfId="26876"/>
    <cellStyle name="Separador de milhares 3 2 5 2 2 2 3 2 2" xfId="51943"/>
    <cellStyle name="Separador de milhares 3 2 5 2 2 2 3 3" xfId="20962"/>
    <cellStyle name="Separador de milhares 3 2 5 2 2 2 3 3 2" xfId="46029"/>
    <cellStyle name="Separador de milhares 3 2 5 2 2 2 3 4" xfId="15048"/>
    <cellStyle name="Separador de milhares 3 2 5 2 2 2 3 4 2" xfId="40115"/>
    <cellStyle name="Separador de milhares 3 2 5 2 2 2 3 5" xfId="34207"/>
    <cellStyle name="Separador de milhares 3 2 5 2 2 2 4" xfId="5284"/>
    <cellStyle name="Separador de milhares 3 2 5 2 2 2 4 2" xfId="23919"/>
    <cellStyle name="Separador de milhares 3 2 5 2 2 2 4 2 2" xfId="48986"/>
    <cellStyle name="Separador de milhares 3 2 5 2 2 2 4 3" xfId="31250"/>
    <cellStyle name="Separador de milhares 3 2 5 2 2 2 5" xfId="18005"/>
    <cellStyle name="Separador de milhares 3 2 5 2 2 2 5 2" xfId="43072"/>
    <cellStyle name="Separador de milhares 3 2 5 2 2 2 6" xfId="11671"/>
    <cellStyle name="Separador de milhares 3 2 5 2 2 2 6 2" xfId="37161"/>
    <cellStyle name="Separador de milhares 3 2 5 2 2 2 7" xfId="29780"/>
    <cellStyle name="Separador de milhares 3 2 5 2 2 3" xfId="2514"/>
    <cellStyle name="Separador de milhares 3 2 5 2 2 3 2" xfId="7133"/>
    <cellStyle name="Separador de milhares 3 2 5 2 2 3 2 2" xfId="10277"/>
    <cellStyle name="Separador de milhares 3 2 5 2 2 3 2 2 2" xfId="28491"/>
    <cellStyle name="Separador de milhares 3 2 5 2 2 3 2 2 2 2" xfId="53558"/>
    <cellStyle name="Separador de milhares 3 2 5 2 2 3 2 2 3" xfId="22577"/>
    <cellStyle name="Separador de milhares 3 2 5 2 2 3 2 2 3 2" xfId="47644"/>
    <cellStyle name="Separador de milhares 3 2 5 2 2 3 2 2 4" xfId="16663"/>
    <cellStyle name="Separador de milhares 3 2 5 2 2 3 2 2 4 2" xfId="41730"/>
    <cellStyle name="Separador de milhares 3 2 5 2 2 3 2 2 5" xfId="35822"/>
    <cellStyle name="Separador de milhares 3 2 5 2 2 3 2 3" xfId="25534"/>
    <cellStyle name="Separador de milhares 3 2 5 2 2 3 2 3 2" xfId="50601"/>
    <cellStyle name="Separador de milhares 3 2 5 2 2 3 2 4" xfId="19620"/>
    <cellStyle name="Separador de milhares 3 2 5 2 2 3 2 4 2" xfId="44687"/>
    <cellStyle name="Separador de milhares 3 2 5 2 2 3 2 5" xfId="13522"/>
    <cellStyle name="Separador de milhares 3 2 5 2 2 3 2 5 2" xfId="38776"/>
    <cellStyle name="Separador de milhares 3 2 5 2 2 3 2 6" xfId="32865"/>
    <cellStyle name="Separador de milhares 3 2 5 2 2 3 3" xfId="8809"/>
    <cellStyle name="Separador de milhares 3 2 5 2 2 3 3 2" xfId="27023"/>
    <cellStyle name="Separador de milhares 3 2 5 2 2 3 3 2 2" xfId="52090"/>
    <cellStyle name="Separador de milhares 3 2 5 2 2 3 3 3" xfId="21109"/>
    <cellStyle name="Separador de milhares 3 2 5 2 2 3 3 3 2" xfId="46176"/>
    <cellStyle name="Separador de milhares 3 2 5 2 2 3 3 4" xfId="15195"/>
    <cellStyle name="Separador de milhares 3 2 5 2 2 3 3 4 2" xfId="40262"/>
    <cellStyle name="Separador de milhares 3 2 5 2 2 3 3 5" xfId="34354"/>
    <cellStyle name="Separador de milhares 3 2 5 2 2 3 4" xfId="5434"/>
    <cellStyle name="Separador de milhares 3 2 5 2 2 3 4 2" xfId="24066"/>
    <cellStyle name="Separador de milhares 3 2 5 2 2 3 4 2 2" xfId="49133"/>
    <cellStyle name="Separador de milhares 3 2 5 2 2 3 4 3" xfId="31397"/>
    <cellStyle name="Separador de milhares 3 2 5 2 2 3 5" xfId="18152"/>
    <cellStyle name="Separador de milhares 3 2 5 2 2 3 5 2" xfId="43219"/>
    <cellStyle name="Separador de milhares 3 2 5 2 2 3 6" xfId="11821"/>
    <cellStyle name="Separador de milhares 3 2 5 2 2 3 6 2" xfId="37308"/>
    <cellStyle name="Separador de milhares 3 2 5 2 2 3 7" xfId="29927"/>
    <cellStyle name="Separador de milhares 3 2 5 2 2 4" xfId="3041"/>
    <cellStyle name="Separador de milhares 3 2 5 2 2 4 2" xfId="7280"/>
    <cellStyle name="Separador de milhares 3 2 5 2 2 4 2 2" xfId="10424"/>
    <cellStyle name="Separador de milhares 3 2 5 2 2 4 2 2 2" xfId="28638"/>
    <cellStyle name="Separador de milhares 3 2 5 2 2 4 2 2 2 2" xfId="53705"/>
    <cellStyle name="Separador de milhares 3 2 5 2 2 4 2 2 3" xfId="22724"/>
    <cellStyle name="Separador de milhares 3 2 5 2 2 4 2 2 3 2" xfId="47791"/>
    <cellStyle name="Separador de milhares 3 2 5 2 2 4 2 2 4" xfId="16810"/>
    <cellStyle name="Separador de milhares 3 2 5 2 2 4 2 2 4 2" xfId="41877"/>
    <cellStyle name="Separador de milhares 3 2 5 2 2 4 2 2 5" xfId="35969"/>
    <cellStyle name="Separador de milhares 3 2 5 2 2 4 2 3" xfId="25681"/>
    <cellStyle name="Separador de milhares 3 2 5 2 2 4 2 3 2" xfId="50748"/>
    <cellStyle name="Separador de milhares 3 2 5 2 2 4 2 4" xfId="19767"/>
    <cellStyle name="Separador de milhares 3 2 5 2 2 4 2 4 2" xfId="44834"/>
    <cellStyle name="Separador de milhares 3 2 5 2 2 4 2 5" xfId="13669"/>
    <cellStyle name="Separador de milhares 3 2 5 2 2 4 2 5 2" xfId="38923"/>
    <cellStyle name="Separador de milhares 3 2 5 2 2 4 2 6" xfId="33012"/>
    <cellStyle name="Separador de milhares 3 2 5 2 2 4 3" xfId="8956"/>
    <cellStyle name="Separador de milhares 3 2 5 2 2 4 3 2" xfId="27170"/>
    <cellStyle name="Separador de milhares 3 2 5 2 2 4 3 2 2" xfId="52237"/>
    <cellStyle name="Separador de milhares 3 2 5 2 2 4 3 3" xfId="21256"/>
    <cellStyle name="Separador de milhares 3 2 5 2 2 4 3 3 2" xfId="46323"/>
    <cellStyle name="Separador de milhares 3 2 5 2 2 4 3 4" xfId="15342"/>
    <cellStyle name="Separador de milhares 3 2 5 2 2 4 3 4 2" xfId="40409"/>
    <cellStyle name="Separador de milhares 3 2 5 2 2 4 3 5" xfId="34501"/>
    <cellStyle name="Separador de milhares 3 2 5 2 2 4 4" xfId="5581"/>
    <cellStyle name="Separador de milhares 3 2 5 2 2 4 4 2" xfId="24213"/>
    <cellStyle name="Separador de milhares 3 2 5 2 2 4 4 2 2" xfId="49280"/>
    <cellStyle name="Separador de milhares 3 2 5 2 2 4 4 3" xfId="31544"/>
    <cellStyle name="Separador de milhares 3 2 5 2 2 4 5" xfId="18299"/>
    <cellStyle name="Separador de milhares 3 2 5 2 2 4 5 2" xfId="43366"/>
    <cellStyle name="Separador de milhares 3 2 5 2 2 4 6" xfId="11968"/>
    <cellStyle name="Separador de milhares 3 2 5 2 2 4 6 2" xfId="37455"/>
    <cellStyle name="Separador de milhares 3 2 5 2 2 4 7" xfId="30074"/>
    <cellStyle name="Separador de milhares 3 2 5 2 2 5" xfId="3568"/>
    <cellStyle name="Separador de milhares 3 2 5 2 2 5 2" xfId="7427"/>
    <cellStyle name="Separador de milhares 3 2 5 2 2 5 2 2" xfId="10571"/>
    <cellStyle name="Separador de milhares 3 2 5 2 2 5 2 2 2" xfId="28785"/>
    <cellStyle name="Separador de milhares 3 2 5 2 2 5 2 2 2 2" xfId="53852"/>
    <cellStyle name="Separador de milhares 3 2 5 2 2 5 2 2 3" xfId="22871"/>
    <cellStyle name="Separador de milhares 3 2 5 2 2 5 2 2 3 2" xfId="47938"/>
    <cellStyle name="Separador de milhares 3 2 5 2 2 5 2 2 4" xfId="16957"/>
    <cellStyle name="Separador de milhares 3 2 5 2 2 5 2 2 4 2" xfId="42024"/>
    <cellStyle name="Separador de milhares 3 2 5 2 2 5 2 2 5" xfId="36116"/>
    <cellStyle name="Separador de milhares 3 2 5 2 2 5 2 3" xfId="25828"/>
    <cellStyle name="Separador de milhares 3 2 5 2 2 5 2 3 2" xfId="50895"/>
    <cellStyle name="Separador de milhares 3 2 5 2 2 5 2 4" xfId="19914"/>
    <cellStyle name="Separador de milhares 3 2 5 2 2 5 2 4 2" xfId="44981"/>
    <cellStyle name="Separador de milhares 3 2 5 2 2 5 2 5" xfId="13816"/>
    <cellStyle name="Separador de milhares 3 2 5 2 2 5 2 5 2" xfId="39070"/>
    <cellStyle name="Separador de milhares 3 2 5 2 2 5 2 6" xfId="33159"/>
    <cellStyle name="Separador de milhares 3 2 5 2 2 5 3" xfId="9103"/>
    <cellStyle name="Separador de milhares 3 2 5 2 2 5 3 2" xfId="27317"/>
    <cellStyle name="Separador de milhares 3 2 5 2 2 5 3 2 2" xfId="52384"/>
    <cellStyle name="Separador de milhares 3 2 5 2 2 5 3 3" xfId="21403"/>
    <cellStyle name="Separador de milhares 3 2 5 2 2 5 3 3 2" xfId="46470"/>
    <cellStyle name="Separador de milhares 3 2 5 2 2 5 3 4" xfId="15489"/>
    <cellStyle name="Separador de milhares 3 2 5 2 2 5 3 4 2" xfId="40556"/>
    <cellStyle name="Separador de milhares 3 2 5 2 2 5 3 5" xfId="34648"/>
    <cellStyle name="Separador de milhares 3 2 5 2 2 5 4" xfId="5728"/>
    <cellStyle name="Separador de milhares 3 2 5 2 2 5 4 2" xfId="24360"/>
    <cellStyle name="Separador de milhares 3 2 5 2 2 5 4 2 2" xfId="49427"/>
    <cellStyle name="Separador de milhares 3 2 5 2 2 5 4 3" xfId="31691"/>
    <cellStyle name="Separador de milhares 3 2 5 2 2 5 5" xfId="18446"/>
    <cellStyle name="Separador de milhares 3 2 5 2 2 5 5 2" xfId="43513"/>
    <cellStyle name="Separador de milhares 3 2 5 2 2 5 6" xfId="12115"/>
    <cellStyle name="Separador de milhares 3 2 5 2 2 5 6 2" xfId="37602"/>
    <cellStyle name="Separador de milhares 3 2 5 2 2 5 7" xfId="30221"/>
    <cellStyle name="Separador de milhares 3 2 5 2 2 6" xfId="4095"/>
    <cellStyle name="Separador de milhares 3 2 5 2 2 6 2" xfId="7574"/>
    <cellStyle name="Separador de milhares 3 2 5 2 2 6 2 2" xfId="10718"/>
    <cellStyle name="Separador de milhares 3 2 5 2 2 6 2 2 2" xfId="28932"/>
    <cellStyle name="Separador de milhares 3 2 5 2 2 6 2 2 2 2" xfId="53999"/>
    <cellStyle name="Separador de milhares 3 2 5 2 2 6 2 2 3" xfId="23018"/>
    <cellStyle name="Separador de milhares 3 2 5 2 2 6 2 2 3 2" xfId="48085"/>
    <cellStyle name="Separador de milhares 3 2 5 2 2 6 2 2 4" xfId="17104"/>
    <cellStyle name="Separador de milhares 3 2 5 2 2 6 2 2 4 2" xfId="42171"/>
    <cellStyle name="Separador de milhares 3 2 5 2 2 6 2 2 5" xfId="36263"/>
    <cellStyle name="Separador de milhares 3 2 5 2 2 6 2 3" xfId="25975"/>
    <cellStyle name="Separador de milhares 3 2 5 2 2 6 2 3 2" xfId="51042"/>
    <cellStyle name="Separador de milhares 3 2 5 2 2 6 2 4" xfId="20061"/>
    <cellStyle name="Separador de milhares 3 2 5 2 2 6 2 4 2" xfId="45128"/>
    <cellStyle name="Separador de milhares 3 2 5 2 2 6 2 5" xfId="13963"/>
    <cellStyle name="Separador de milhares 3 2 5 2 2 6 2 5 2" xfId="39217"/>
    <cellStyle name="Separador de milhares 3 2 5 2 2 6 2 6" xfId="33306"/>
    <cellStyle name="Separador de milhares 3 2 5 2 2 6 3" xfId="9250"/>
    <cellStyle name="Separador de milhares 3 2 5 2 2 6 3 2" xfId="27464"/>
    <cellStyle name="Separador de milhares 3 2 5 2 2 6 3 2 2" xfId="52531"/>
    <cellStyle name="Separador de milhares 3 2 5 2 2 6 3 3" xfId="21550"/>
    <cellStyle name="Separador de milhares 3 2 5 2 2 6 3 3 2" xfId="46617"/>
    <cellStyle name="Separador de milhares 3 2 5 2 2 6 3 4" xfId="15636"/>
    <cellStyle name="Separador de milhares 3 2 5 2 2 6 3 4 2" xfId="40703"/>
    <cellStyle name="Separador de milhares 3 2 5 2 2 6 3 5" xfId="34795"/>
    <cellStyle name="Separador de milhares 3 2 5 2 2 6 4" xfId="5875"/>
    <cellStyle name="Separador de milhares 3 2 5 2 2 6 4 2" xfId="24507"/>
    <cellStyle name="Separador de milhares 3 2 5 2 2 6 4 2 2" xfId="49574"/>
    <cellStyle name="Separador de milhares 3 2 5 2 2 6 4 3" xfId="31838"/>
    <cellStyle name="Separador de milhares 3 2 5 2 2 6 5" xfId="18593"/>
    <cellStyle name="Separador de milhares 3 2 5 2 2 6 5 2" xfId="43660"/>
    <cellStyle name="Separador de milhares 3 2 5 2 2 6 6" xfId="12262"/>
    <cellStyle name="Separador de milhares 3 2 5 2 2 6 6 2" xfId="37749"/>
    <cellStyle name="Separador de milhares 3 2 5 2 2 6 7" xfId="30368"/>
    <cellStyle name="Separador de milhares 3 2 5 2 2 7" xfId="6545"/>
    <cellStyle name="Separador de milhares 3 2 5 2 2 7 2" xfId="9692"/>
    <cellStyle name="Separador de milhares 3 2 5 2 2 7 2 2" xfId="27906"/>
    <cellStyle name="Separador de milhares 3 2 5 2 2 7 2 2 2" xfId="52973"/>
    <cellStyle name="Separador de milhares 3 2 5 2 2 7 2 3" xfId="21992"/>
    <cellStyle name="Separador de milhares 3 2 5 2 2 7 2 3 2" xfId="47059"/>
    <cellStyle name="Separador de milhares 3 2 5 2 2 7 2 4" xfId="16078"/>
    <cellStyle name="Separador de milhares 3 2 5 2 2 7 2 4 2" xfId="41145"/>
    <cellStyle name="Separador de milhares 3 2 5 2 2 7 2 5" xfId="35237"/>
    <cellStyle name="Separador de milhares 3 2 5 2 2 7 3" xfId="24949"/>
    <cellStyle name="Separador de milhares 3 2 5 2 2 7 3 2" xfId="50016"/>
    <cellStyle name="Separador de milhares 3 2 5 2 2 7 4" xfId="19035"/>
    <cellStyle name="Separador de milhares 3 2 5 2 2 7 4 2" xfId="44102"/>
    <cellStyle name="Separador de milhares 3 2 5 2 2 7 5" xfId="12934"/>
    <cellStyle name="Separador de milhares 3 2 5 2 2 7 5 2" xfId="38191"/>
    <cellStyle name="Separador de milhares 3 2 5 2 2 7 6" xfId="32280"/>
    <cellStyle name="Separador de milhares 3 2 5 2 2 8" xfId="8221"/>
    <cellStyle name="Separador de milhares 3 2 5 2 2 8 2" xfId="26435"/>
    <cellStyle name="Separador de milhares 3 2 5 2 2 8 2 2" xfId="51502"/>
    <cellStyle name="Separador de milhares 3 2 5 2 2 8 3" xfId="20521"/>
    <cellStyle name="Separador de milhares 3 2 5 2 2 8 3 2" xfId="45588"/>
    <cellStyle name="Separador de milhares 3 2 5 2 2 8 4" xfId="14610"/>
    <cellStyle name="Separador de milhares 3 2 5 2 2 8 4 2" xfId="39677"/>
    <cellStyle name="Separador de milhares 3 2 5 2 2 8 5" xfId="33766"/>
    <cellStyle name="Separador de milhares 3 2 5 2 2 9" xfId="4844"/>
    <cellStyle name="Separador de milhares 3 2 5 2 2 9 2" xfId="23478"/>
    <cellStyle name="Separador de milhares 3 2 5 2 2 9 2 2" xfId="48545"/>
    <cellStyle name="Separador de milhares 3 2 5 2 2 9 3" xfId="30810"/>
    <cellStyle name="Separador de milhares 3 2 5 2 3" xfId="938"/>
    <cellStyle name="Separador de milhares 3 2 5 2 3 2" xfId="6696"/>
    <cellStyle name="Separador de milhares 3 2 5 2 3 2 2" xfId="9843"/>
    <cellStyle name="Separador de milhares 3 2 5 2 3 2 2 2" xfId="28057"/>
    <cellStyle name="Separador de milhares 3 2 5 2 3 2 2 2 2" xfId="53124"/>
    <cellStyle name="Separador de milhares 3 2 5 2 3 2 2 3" xfId="22143"/>
    <cellStyle name="Separador de milhares 3 2 5 2 3 2 2 3 2" xfId="47210"/>
    <cellStyle name="Separador de milhares 3 2 5 2 3 2 2 4" xfId="16229"/>
    <cellStyle name="Separador de milhares 3 2 5 2 3 2 2 4 2" xfId="41296"/>
    <cellStyle name="Separador de milhares 3 2 5 2 3 2 2 5" xfId="35388"/>
    <cellStyle name="Separador de milhares 3 2 5 2 3 2 3" xfId="25100"/>
    <cellStyle name="Separador de milhares 3 2 5 2 3 2 3 2" xfId="50167"/>
    <cellStyle name="Separador de milhares 3 2 5 2 3 2 4" xfId="19186"/>
    <cellStyle name="Separador de milhares 3 2 5 2 3 2 4 2" xfId="44253"/>
    <cellStyle name="Separador de milhares 3 2 5 2 3 2 5" xfId="13085"/>
    <cellStyle name="Separador de milhares 3 2 5 2 3 2 5 2" xfId="38342"/>
    <cellStyle name="Separador de milhares 3 2 5 2 3 2 6" xfId="32431"/>
    <cellStyle name="Separador de milhares 3 2 5 2 3 3" xfId="8375"/>
    <cellStyle name="Separador de milhares 3 2 5 2 3 3 2" xfId="26589"/>
    <cellStyle name="Separador de milhares 3 2 5 2 3 3 2 2" xfId="51656"/>
    <cellStyle name="Separador de milhares 3 2 5 2 3 3 3" xfId="20675"/>
    <cellStyle name="Separador de milhares 3 2 5 2 3 3 3 2" xfId="45742"/>
    <cellStyle name="Separador de milhares 3 2 5 2 3 3 4" xfId="14761"/>
    <cellStyle name="Separador de milhares 3 2 5 2 3 3 4 2" xfId="39828"/>
    <cellStyle name="Separador de milhares 3 2 5 2 3 3 5" xfId="33920"/>
    <cellStyle name="Separador de milhares 3 2 5 2 3 4" xfId="4997"/>
    <cellStyle name="Separador de milhares 3 2 5 2 3 4 2" xfId="23632"/>
    <cellStyle name="Separador de milhares 3 2 5 2 3 4 2 2" xfId="48699"/>
    <cellStyle name="Separador de milhares 3 2 5 2 3 4 3" xfId="30963"/>
    <cellStyle name="Separador de milhares 3 2 5 2 3 5" xfId="17718"/>
    <cellStyle name="Separador de milhares 3 2 5 2 3 5 2" xfId="42785"/>
    <cellStyle name="Separador de milhares 3 2 5 2 3 6" xfId="11384"/>
    <cellStyle name="Separador de milhares 3 2 5 2 3 6 2" xfId="36874"/>
    <cellStyle name="Separador de milhares 3 2 5 2 3 7" xfId="29493"/>
    <cellStyle name="Separador de milhares 3 2 5 2 4" xfId="1289"/>
    <cellStyle name="Separador de milhares 3 2 5 2 4 2" xfId="6794"/>
    <cellStyle name="Separador de milhares 3 2 5 2 4 2 2" xfId="9941"/>
    <cellStyle name="Separador de milhares 3 2 5 2 4 2 2 2" xfId="28155"/>
    <cellStyle name="Separador de milhares 3 2 5 2 4 2 2 2 2" xfId="53222"/>
    <cellStyle name="Separador de milhares 3 2 5 2 4 2 2 3" xfId="22241"/>
    <cellStyle name="Separador de milhares 3 2 5 2 4 2 2 3 2" xfId="47308"/>
    <cellStyle name="Separador de milhares 3 2 5 2 4 2 2 4" xfId="16327"/>
    <cellStyle name="Separador de milhares 3 2 5 2 4 2 2 4 2" xfId="41394"/>
    <cellStyle name="Separador de milhares 3 2 5 2 4 2 2 5" xfId="35486"/>
    <cellStyle name="Separador de milhares 3 2 5 2 4 2 3" xfId="25198"/>
    <cellStyle name="Separador de milhares 3 2 5 2 4 2 3 2" xfId="50265"/>
    <cellStyle name="Separador de milhares 3 2 5 2 4 2 4" xfId="19284"/>
    <cellStyle name="Separador de milhares 3 2 5 2 4 2 4 2" xfId="44351"/>
    <cellStyle name="Separador de milhares 3 2 5 2 4 2 5" xfId="13183"/>
    <cellStyle name="Separador de milhares 3 2 5 2 4 2 5 2" xfId="38440"/>
    <cellStyle name="Separador de milhares 3 2 5 2 4 2 6" xfId="32529"/>
    <cellStyle name="Separador de milhares 3 2 5 2 4 3" xfId="8473"/>
    <cellStyle name="Separador de milhares 3 2 5 2 4 3 2" xfId="26687"/>
    <cellStyle name="Separador de milhares 3 2 5 2 4 3 2 2" xfId="51754"/>
    <cellStyle name="Separador de milhares 3 2 5 2 4 3 3" xfId="20773"/>
    <cellStyle name="Separador de milhares 3 2 5 2 4 3 3 2" xfId="45840"/>
    <cellStyle name="Separador de milhares 3 2 5 2 4 3 4" xfId="14859"/>
    <cellStyle name="Separador de milhares 3 2 5 2 4 3 4 2" xfId="39926"/>
    <cellStyle name="Separador de milhares 3 2 5 2 4 3 5" xfId="34018"/>
    <cellStyle name="Separador de milhares 3 2 5 2 4 4" xfId="5095"/>
    <cellStyle name="Separador de milhares 3 2 5 2 4 4 2" xfId="23730"/>
    <cellStyle name="Separador de milhares 3 2 5 2 4 4 2 2" xfId="48797"/>
    <cellStyle name="Separador de milhares 3 2 5 2 4 4 3" xfId="31061"/>
    <cellStyle name="Separador de milhares 3 2 5 2 4 5" xfId="17816"/>
    <cellStyle name="Separador de milhares 3 2 5 2 4 5 2" xfId="42883"/>
    <cellStyle name="Separador de milhares 3 2 5 2 4 6" xfId="11482"/>
    <cellStyle name="Separador de milhares 3 2 5 2 4 6 2" xfId="36972"/>
    <cellStyle name="Separador de milhares 3 2 5 2 4 7" xfId="29591"/>
    <cellStyle name="Separador de milhares 3 2 5 2 5" xfId="1724"/>
    <cellStyle name="Separador de milhares 3 2 5 2 5 2" xfId="6913"/>
    <cellStyle name="Separador de milhares 3 2 5 2 5 2 2" xfId="10060"/>
    <cellStyle name="Separador de milhares 3 2 5 2 5 2 2 2" xfId="28274"/>
    <cellStyle name="Separador de milhares 3 2 5 2 5 2 2 2 2" xfId="53341"/>
    <cellStyle name="Separador de milhares 3 2 5 2 5 2 2 3" xfId="22360"/>
    <cellStyle name="Separador de milhares 3 2 5 2 5 2 2 3 2" xfId="47427"/>
    <cellStyle name="Separador de milhares 3 2 5 2 5 2 2 4" xfId="16446"/>
    <cellStyle name="Separador de milhares 3 2 5 2 5 2 2 4 2" xfId="41513"/>
    <cellStyle name="Separador de milhares 3 2 5 2 5 2 2 5" xfId="35605"/>
    <cellStyle name="Separador de milhares 3 2 5 2 5 2 3" xfId="25317"/>
    <cellStyle name="Separador de milhares 3 2 5 2 5 2 3 2" xfId="50384"/>
    <cellStyle name="Separador de milhares 3 2 5 2 5 2 4" xfId="19403"/>
    <cellStyle name="Separador de milhares 3 2 5 2 5 2 4 2" xfId="44470"/>
    <cellStyle name="Separador de milhares 3 2 5 2 5 2 5" xfId="13302"/>
    <cellStyle name="Separador de milhares 3 2 5 2 5 2 5 2" xfId="38559"/>
    <cellStyle name="Separador de milhares 3 2 5 2 5 2 6" xfId="32648"/>
    <cellStyle name="Separador de milhares 3 2 5 2 5 3" xfId="8592"/>
    <cellStyle name="Separador de milhares 3 2 5 2 5 3 2" xfId="26806"/>
    <cellStyle name="Separador de milhares 3 2 5 2 5 3 2 2" xfId="51873"/>
    <cellStyle name="Separador de milhares 3 2 5 2 5 3 3" xfId="20892"/>
    <cellStyle name="Separador de milhares 3 2 5 2 5 3 3 2" xfId="45959"/>
    <cellStyle name="Separador de milhares 3 2 5 2 5 3 4" xfId="14978"/>
    <cellStyle name="Separador de milhares 3 2 5 2 5 3 4 2" xfId="40045"/>
    <cellStyle name="Separador de milhares 3 2 5 2 5 3 5" xfId="34137"/>
    <cellStyle name="Separador de milhares 3 2 5 2 5 4" xfId="5214"/>
    <cellStyle name="Separador de milhares 3 2 5 2 5 4 2" xfId="23849"/>
    <cellStyle name="Separador de milhares 3 2 5 2 5 4 2 2" xfId="48916"/>
    <cellStyle name="Separador de milhares 3 2 5 2 5 4 3" xfId="31180"/>
    <cellStyle name="Separador de milhares 3 2 5 2 5 5" xfId="17935"/>
    <cellStyle name="Separador de milhares 3 2 5 2 5 5 2" xfId="43002"/>
    <cellStyle name="Separador de milhares 3 2 5 2 5 6" xfId="11601"/>
    <cellStyle name="Separador de milhares 3 2 5 2 5 6 2" xfId="37091"/>
    <cellStyle name="Separador de milhares 3 2 5 2 5 7" xfId="29710"/>
    <cellStyle name="Separador de milhares 3 2 5 2 6" xfId="2254"/>
    <cellStyle name="Separador de milhares 3 2 5 2 6 2" xfId="7063"/>
    <cellStyle name="Separador de milhares 3 2 5 2 6 2 2" xfId="10207"/>
    <cellStyle name="Separador de milhares 3 2 5 2 6 2 2 2" xfId="28421"/>
    <cellStyle name="Separador de milhares 3 2 5 2 6 2 2 2 2" xfId="53488"/>
    <cellStyle name="Separador de milhares 3 2 5 2 6 2 2 3" xfId="22507"/>
    <cellStyle name="Separador de milhares 3 2 5 2 6 2 2 3 2" xfId="47574"/>
    <cellStyle name="Separador de milhares 3 2 5 2 6 2 2 4" xfId="16593"/>
    <cellStyle name="Separador de milhares 3 2 5 2 6 2 2 4 2" xfId="41660"/>
    <cellStyle name="Separador de milhares 3 2 5 2 6 2 2 5" xfId="35752"/>
    <cellStyle name="Separador de milhares 3 2 5 2 6 2 3" xfId="25464"/>
    <cellStyle name="Separador de milhares 3 2 5 2 6 2 3 2" xfId="50531"/>
    <cellStyle name="Separador de milhares 3 2 5 2 6 2 4" xfId="19550"/>
    <cellStyle name="Separador de milhares 3 2 5 2 6 2 4 2" xfId="44617"/>
    <cellStyle name="Separador de milhares 3 2 5 2 6 2 5" xfId="13452"/>
    <cellStyle name="Separador de milhares 3 2 5 2 6 2 5 2" xfId="38706"/>
    <cellStyle name="Separador de milhares 3 2 5 2 6 2 6" xfId="32795"/>
    <cellStyle name="Separador de milhares 3 2 5 2 6 3" xfId="8739"/>
    <cellStyle name="Separador de milhares 3 2 5 2 6 3 2" xfId="26953"/>
    <cellStyle name="Separador de milhares 3 2 5 2 6 3 2 2" xfId="52020"/>
    <cellStyle name="Separador de milhares 3 2 5 2 6 3 3" xfId="21039"/>
    <cellStyle name="Separador de milhares 3 2 5 2 6 3 3 2" xfId="46106"/>
    <cellStyle name="Separador de milhares 3 2 5 2 6 3 4" xfId="15125"/>
    <cellStyle name="Separador de milhares 3 2 5 2 6 3 4 2" xfId="40192"/>
    <cellStyle name="Separador de milhares 3 2 5 2 6 3 5" xfId="34284"/>
    <cellStyle name="Separador de milhares 3 2 5 2 6 4" xfId="5364"/>
    <cellStyle name="Separador de milhares 3 2 5 2 6 4 2" xfId="23996"/>
    <cellStyle name="Separador de milhares 3 2 5 2 6 4 2 2" xfId="49063"/>
    <cellStyle name="Separador de milhares 3 2 5 2 6 4 3" xfId="31327"/>
    <cellStyle name="Separador de milhares 3 2 5 2 6 5" xfId="18082"/>
    <cellStyle name="Separador de milhares 3 2 5 2 6 5 2" xfId="43149"/>
    <cellStyle name="Separador de milhares 3 2 5 2 6 6" xfId="11751"/>
    <cellStyle name="Separador de milhares 3 2 5 2 6 6 2" xfId="37238"/>
    <cellStyle name="Separador de milhares 3 2 5 2 6 7" xfId="29857"/>
    <cellStyle name="Separador de milhares 3 2 5 2 7" xfId="2781"/>
    <cellStyle name="Separador de milhares 3 2 5 2 7 2" xfId="7210"/>
    <cellStyle name="Separador de milhares 3 2 5 2 7 2 2" xfId="10354"/>
    <cellStyle name="Separador de milhares 3 2 5 2 7 2 2 2" xfId="28568"/>
    <cellStyle name="Separador de milhares 3 2 5 2 7 2 2 2 2" xfId="53635"/>
    <cellStyle name="Separador de milhares 3 2 5 2 7 2 2 3" xfId="22654"/>
    <cellStyle name="Separador de milhares 3 2 5 2 7 2 2 3 2" xfId="47721"/>
    <cellStyle name="Separador de milhares 3 2 5 2 7 2 2 4" xfId="16740"/>
    <cellStyle name="Separador de milhares 3 2 5 2 7 2 2 4 2" xfId="41807"/>
    <cellStyle name="Separador de milhares 3 2 5 2 7 2 2 5" xfId="35899"/>
    <cellStyle name="Separador de milhares 3 2 5 2 7 2 3" xfId="25611"/>
    <cellStyle name="Separador de milhares 3 2 5 2 7 2 3 2" xfId="50678"/>
    <cellStyle name="Separador de milhares 3 2 5 2 7 2 4" xfId="19697"/>
    <cellStyle name="Separador de milhares 3 2 5 2 7 2 4 2" xfId="44764"/>
    <cellStyle name="Separador de milhares 3 2 5 2 7 2 5" xfId="13599"/>
    <cellStyle name="Separador de milhares 3 2 5 2 7 2 5 2" xfId="38853"/>
    <cellStyle name="Separador de milhares 3 2 5 2 7 2 6" xfId="32942"/>
    <cellStyle name="Separador de milhares 3 2 5 2 7 3" xfId="8886"/>
    <cellStyle name="Separador de milhares 3 2 5 2 7 3 2" xfId="27100"/>
    <cellStyle name="Separador de milhares 3 2 5 2 7 3 2 2" xfId="52167"/>
    <cellStyle name="Separador de milhares 3 2 5 2 7 3 3" xfId="21186"/>
    <cellStyle name="Separador de milhares 3 2 5 2 7 3 3 2" xfId="46253"/>
    <cellStyle name="Separador de milhares 3 2 5 2 7 3 4" xfId="15272"/>
    <cellStyle name="Separador de milhares 3 2 5 2 7 3 4 2" xfId="40339"/>
    <cellStyle name="Separador de milhares 3 2 5 2 7 3 5" xfId="34431"/>
    <cellStyle name="Separador de milhares 3 2 5 2 7 4" xfId="5511"/>
    <cellStyle name="Separador de milhares 3 2 5 2 7 4 2" xfId="24143"/>
    <cellStyle name="Separador de milhares 3 2 5 2 7 4 2 2" xfId="49210"/>
    <cellStyle name="Separador de milhares 3 2 5 2 7 4 3" xfId="31474"/>
    <cellStyle name="Separador de milhares 3 2 5 2 7 5" xfId="18229"/>
    <cellStyle name="Separador de milhares 3 2 5 2 7 5 2" xfId="43296"/>
    <cellStyle name="Separador de milhares 3 2 5 2 7 6" xfId="11898"/>
    <cellStyle name="Separador de milhares 3 2 5 2 7 6 2" xfId="37385"/>
    <cellStyle name="Separador de milhares 3 2 5 2 7 7" xfId="30004"/>
    <cellStyle name="Separador de milhares 3 2 5 2 8" xfId="3308"/>
    <cellStyle name="Separador de milhares 3 2 5 2 8 2" xfId="7357"/>
    <cellStyle name="Separador de milhares 3 2 5 2 8 2 2" xfId="10501"/>
    <cellStyle name="Separador de milhares 3 2 5 2 8 2 2 2" xfId="28715"/>
    <cellStyle name="Separador de milhares 3 2 5 2 8 2 2 2 2" xfId="53782"/>
    <cellStyle name="Separador de milhares 3 2 5 2 8 2 2 3" xfId="22801"/>
    <cellStyle name="Separador de milhares 3 2 5 2 8 2 2 3 2" xfId="47868"/>
    <cellStyle name="Separador de milhares 3 2 5 2 8 2 2 4" xfId="16887"/>
    <cellStyle name="Separador de milhares 3 2 5 2 8 2 2 4 2" xfId="41954"/>
    <cellStyle name="Separador de milhares 3 2 5 2 8 2 2 5" xfId="36046"/>
    <cellStyle name="Separador de milhares 3 2 5 2 8 2 3" xfId="25758"/>
    <cellStyle name="Separador de milhares 3 2 5 2 8 2 3 2" xfId="50825"/>
    <cellStyle name="Separador de milhares 3 2 5 2 8 2 4" xfId="19844"/>
    <cellStyle name="Separador de milhares 3 2 5 2 8 2 4 2" xfId="44911"/>
    <cellStyle name="Separador de milhares 3 2 5 2 8 2 5" xfId="13746"/>
    <cellStyle name="Separador de milhares 3 2 5 2 8 2 5 2" xfId="39000"/>
    <cellStyle name="Separador de milhares 3 2 5 2 8 2 6" xfId="33089"/>
    <cellStyle name="Separador de milhares 3 2 5 2 8 3" xfId="9033"/>
    <cellStyle name="Separador de milhares 3 2 5 2 8 3 2" xfId="27247"/>
    <cellStyle name="Separador de milhares 3 2 5 2 8 3 2 2" xfId="52314"/>
    <cellStyle name="Separador de milhares 3 2 5 2 8 3 3" xfId="21333"/>
    <cellStyle name="Separador de milhares 3 2 5 2 8 3 3 2" xfId="46400"/>
    <cellStyle name="Separador de milhares 3 2 5 2 8 3 4" xfId="15419"/>
    <cellStyle name="Separador de milhares 3 2 5 2 8 3 4 2" xfId="40486"/>
    <cellStyle name="Separador de milhares 3 2 5 2 8 3 5" xfId="34578"/>
    <cellStyle name="Separador de milhares 3 2 5 2 8 4" xfId="5658"/>
    <cellStyle name="Separador de milhares 3 2 5 2 8 4 2" xfId="24290"/>
    <cellStyle name="Separador de milhares 3 2 5 2 8 4 2 2" xfId="49357"/>
    <cellStyle name="Separador de milhares 3 2 5 2 8 4 3" xfId="31621"/>
    <cellStyle name="Separador de milhares 3 2 5 2 8 5" xfId="18376"/>
    <cellStyle name="Separador de milhares 3 2 5 2 8 5 2" xfId="43443"/>
    <cellStyle name="Separador de milhares 3 2 5 2 8 6" xfId="12045"/>
    <cellStyle name="Separador de milhares 3 2 5 2 8 6 2" xfId="37532"/>
    <cellStyle name="Separador de milhares 3 2 5 2 8 7" xfId="30151"/>
    <cellStyle name="Separador de milhares 3 2 5 2 9" xfId="3835"/>
    <cellStyle name="Separador de milhares 3 2 5 2 9 2" xfId="7504"/>
    <cellStyle name="Separador de milhares 3 2 5 2 9 2 2" xfId="10648"/>
    <cellStyle name="Separador de milhares 3 2 5 2 9 2 2 2" xfId="28862"/>
    <cellStyle name="Separador de milhares 3 2 5 2 9 2 2 2 2" xfId="53929"/>
    <cellStyle name="Separador de milhares 3 2 5 2 9 2 2 3" xfId="22948"/>
    <cellStyle name="Separador de milhares 3 2 5 2 9 2 2 3 2" xfId="48015"/>
    <cellStyle name="Separador de milhares 3 2 5 2 9 2 2 4" xfId="17034"/>
    <cellStyle name="Separador de milhares 3 2 5 2 9 2 2 4 2" xfId="42101"/>
    <cellStyle name="Separador de milhares 3 2 5 2 9 2 2 5" xfId="36193"/>
    <cellStyle name="Separador de milhares 3 2 5 2 9 2 3" xfId="25905"/>
    <cellStyle name="Separador de milhares 3 2 5 2 9 2 3 2" xfId="50972"/>
    <cellStyle name="Separador de milhares 3 2 5 2 9 2 4" xfId="19991"/>
    <cellStyle name="Separador de milhares 3 2 5 2 9 2 4 2" xfId="45058"/>
    <cellStyle name="Separador de milhares 3 2 5 2 9 2 5" xfId="13893"/>
    <cellStyle name="Separador de milhares 3 2 5 2 9 2 5 2" xfId="39147"/>
    <cellStyle name="Separador de milhares 3 2 5 2 9 2 6" xfId="33236"/>
    <cellStyle name="Separador de milhares 3 2 5 2 9 3" xfId="9180"/>
    <cellStyle name="Separador de milhares 3 2 5 2 9 3 2" xfId="27394"/>
    <cellStyle name="Separador de milhares 3 2 5 2 9 3 2 2" xfId="52461"/>
    <cellStyle name="Separador de milhares 3 2 5 2 9 3 3" xfId="21480"/>
    <cellStyle name="Separador de milhares 3 2 5 2 9 3 3 2" xfId="46547"/>
    <cellStyle name="Separador de milhares 3 2 5 2 9 3 4" xfId="15566"/>
    <cellStyle name="Separador de milhares 3 2 5 2 9 3 4 2" xfId="40633"/>
    <cellStyle name="Separador de milhares 3 2 5 2 9 3 5" xfId="34725"/>
    <cellStyle name="Separador de milhares 3 2 5 2 9 4" xfId="5805"/>
    <cellStyle name="Separador de milhares 3 2 5 2 9 4 2" xfId="24437"/>
    <cellStyle name="Separador de milhares 3 2 5 2 9 4 2 2" xfId="49504"/>
    <cellStyle name="Separador de milhares 3 2 5 2 9 4 3" xfId="31768"/>
    <cellStyle name="Separador de milhares 3 2 5 2 9 5" xfId="18523"/>
    <cellStyle name="Separador de milhares 3 2 5 2 9 5 2" xfId="43590"/>
    <cellStyle name="Separador de milhares 3 2 5 2 9 6" xfId="12192"/>
    <cellStyle name="Separador de milhares 3 2 5 2 9 6 2" xfId="37679"/>
    <cellStyle name="Separador de milhares 3 2 5 2 9 7" xfId="30298"/>
    <cellStyle name="Separador de milhares 3 2 5 3" xfId="287"/>
    <cellStyle name="Separador de milhares 3 2 5 3 10" xfId="6495"/>
    <cellStyle name="Separador de milhares 3 2 5 3 10 2" xfId="9646"/>
    <cellStyle name="Separador de milhares 3 2 5 3 10 2 2" xfId="27860"/>
    <cellStyle name="Separador de milhares 3 2 5 3 10 2 2 2" xfId="52927"/>
    <cellStyle name="Separador de milhares 3 2 5 3 10 2 3" xfId="21946"/>
    <cellStyle name="Separador de milhares 3 2 5 3 10 2 3 2" xfId="47013"/>
    <cellStyle name="Separador de milhares 3 2 5 3 10 2 4" xfId="16032"/>
    <cellStyle name="Separador de milhares 3 2 5 3 10 2 4 2" xfId="41099"/>
    <cellStyle name="Separador de milhares 3 2 5 3 10 2 5" xfId="35191"/>
    <cellStyle name="Separador de milhares 3 2 5 3 10 3" xfId="24903"/>
    <cellStyle name="Separador de milhares 3 2 5 3 10 3 2" xfId="49970"/>
    <cellStyle name="Separador de milhares 3 2 5 3 10 4" xfId="18989"/>
    <cellStyle name="Separador de milhares 3 2 5 3 10 4 2" xfId="44056"/>
    <cellStyle name="Separador de milhares 3 2 5 3 10 5" xfId="12884"/>
    <cellStyle name="Separador de milhares 3 2 5 3 10 5 2" xfId="38145"/>
    <cellStyle name="Separador de milhares 3 2 5 3 10 6" xfId="32234"/>
    <cellStyle name="Separador de milhares 3 2 5 3 11" xfId="8175"/>
    <cellStyle name="Separador de milhares 3 2 5 3 11 2" xfId="26389"/>
    <cellStyle name="Separador de milhares 3 2 5 3 11 2 2" xfId="51456"/>
    <cellStyle name="Separador de milhares 3 2 5 3 11 3" xfId="20475"/>
    <cellStyle name="Separador de milhares 3 2 5 3 11 3 2" xfId="45542"/>
    <cellStyle name="Separador de milhares 3 2 5 3 11 4" xfId="14564"/>
    <cellStyle name="Separador de milhares 3 2 5 3 11 4 2" xfId="39631"/>
    <cellStyle name="Separador de milhares 3 2 5 3 11 5" xfId="33720"/>
    <cellStyle name="Separador de milhares 3 2 5 3 12" xfId="4794"/>
    <cellStyle name="Separador de milhares 3 2 5 3 12 2" xfId="23432"/>
    <cellStyle name="Separador de milhares 3 2 5 3 12 2 2" xfId="48499"/>
    <cellStyle name="Separador de milhares 3 2 5 3 12 3" xfId="30764"/>
    <cellStyle name="Separador de milhares 3 2 5 3 13" xfId="17518"/>
    <cellStyle name="Separador de milhares 3 2 5 3 13 2" xfId="42585"/>
    <cellStyle name="Separador de milhares 3 2 5 3 14" xfId="11183"/>
    <cellStyle name="Separador de milhares 3 2 5 3 14 2" xfId="36677"/>
    <cellStyle name="Separador de milhares 3 2 5 3 15" xfId="29293"/>
    <cellStyle name="Separador de milhares 3 2 5 3 2" xfId="550"/>
    <cellStyle name="Separador de milhares 3 2 5 3 2 2" xfId="6566"/>
    <cellStyle name="Separador de milhares 3 2 5 3 2 2 2" xfId="9713"/>
    <cellStyle name="Separador de milhares 3 2 5 3 2 2 2 2" xfId="27927"/>
    <cellStyle name="Separador de milhares 3 2 5 3 2 2 2 2 2" xfId="52994"/>
    <cellStyle name="Separador de milhares 3 2 5 3 2 2 2 3" xfId="22013"/>
    <cellStyle name="Separador de milhares 3 2 5 3 2 2 2 3 2" xfId="47080"/>
    <cellStyle name="Separador de milhares 3 2 5 3 2 2 2 4" xfId="16099"/>
    <cellStyle name="Separador de milhares 3 2 5 3 2 2 2 4 2" xfId="41166"/>
    <cellStyle name="Separador de milhares 3 2 5 3 2 2 2 5" xfId="35258"/>
    <cellStyle name="Separador de milhares 3 2 5 3 2 2 3" xfId="24970"/>
    <cellStyle name="Separador de milhares 3 2 5 3 2 2 3 2" xfId="50037"/>
    <cellStyle name="Separador de milhares 3 2 5 3 2 2 4" xfId="19056"/>
    <cellStyle name="Separador de milhares 3 2 5 3 2 2 4 2" xfId="44123"/>
    <cellStyle name="Separador de milhares 3 2 5 3 2 2 5" xfId="12955"/>
    <cellStyle name="Separador de milhares 3 2 5 3 2 2 5 2" xfId="38212"/>
    <cellStyle name="Separador de milhares 3 2 5 3 2 2 6" xfId="32301"/>
    <cellStyle name="Separador de milhares 3 2 5 3 2 3" xfId="8242"/>
    <cellStyle name="Separador de milhares 3 2 5 3 2 3 2" xfId="26456"/>
    <cellStyle name="Separador de milhares 3 2 5 3 2 3 2 2" xfId="51523"/>
    <cellStyle name="Separador de milhares 3 2 5 3 2 3 3" xfId="20542"/>
    <cellStyle name="Separador de milhares 3 2 5 3 2 3 3 2" xfId="45609"/>
    <cellStyle name="Separador de milhares 3 2 5 3 2 3 4" xfId="14631"/>
    <cellStyle name="Separador de milhares 3 2 5 3 2 3 4 2" xfId="39698"/>
    <cellStyle name="Separador de milhares 3 2 5 3 2 3 5" xfId="33787"/>
    <cellStyle name="Separador de milhares 3 2 5 3 2 4" xfId="4865"/>
    <cellStyle name="Separador de milhares 3 2 5 3 2 4 2" xfId="23499"/>
    <cellStyle name="Separador de milhares 3 2 5 3 2 4 2 2" xfId="48566"/>
    <cellStyle name="Separador de milhares 3 2 5 3 2 4 3" xfId="30831"/>
    <cellStyle name="Separador de milhares 3 2 5 3 2 5" xfId="17585"/>
    <cellStyle name="Separador de milhares 3 2 5 3 2 5 2" xfId="42652"/>
    <cellStyle name="Separador de milhares 3 2 5 3 2 6" xfId="11254"/>
    <cellStyle name="Separador de milhares 3 2 5 3 2 6 2" xfId="36744"/>
    <cellStyle name="Separador de milhares 3 2 5 3 2 7" xfId="29360"/>
    <cellStyle name="Separador de milhares 3 2 5 3 3" xfId="847"/>
    <cellStyle name="Separador de milhares 3 2 5 3 3 2" xfId="6668"/>
    <cellStyle name="Separador de milhares 3 2 5 3 3 2 2" xfId="9815"/>
    <cellStyle name="Separador de milhares 3 2 5 3 3 2 2 2" xfId="28029"/>
    <cellStyle name="Separador de milhares 3 2 5 3 3 2 2 2 2" xfId="53096"/>
    <cellStyle name="Separador de milhares 3 2 5 3 3 2 2 3" xfId="22115"/>
    <cellStyle name="Separador de milhares 3 2 5 3 3 2 2 3 2" xfId="47182"/>
    <cellStyle name="Separador de milhares 3 2 5 3 3 2 2 4" xfId="16201"/>
    <cellStyle name="Separador de milhares 3 2 5 3 3 2 2 4 2" xfId="41268"/>
    <cellStyle name="Separador de milhares 3 2 5 3 3 2 2 5" xfId="35360"/>
    <cellStyle name="Separador de milhares 3 2 5 3 3 2 3" xfId="25072"/>
    <cellStyle name="Separador de milhares 3 2 5 3 3 2 3 2" xfId="50139"/>
    <cellStyle name="Separador de milhares 3 2 5 3 3 2 4" xfId="19158"/>
    <cellStyle name="Separador de milhares 3 2 5 3 3 2 4 2" xfId="44225"/>
    <cellStyle name="Separador de milhares 3 2 5 3 3 2 5" xfId="13057"/>
    <cellStyle name="Separador de milhares 3 2 5 3 3 2 5 2" xfId="38314"/>
    <cellStyle name="Separador de milhares 3 2 5 3 3 2 6" xfId="32403"/>
    <cellStyle name="Separador de milhares 3 2 5 3 3 3" xfId="8347"/>
    <cellStyle name="Separador de milhares 3 2 5 3 3 3 2" xfId="26561"/>
    <cellStyle name="Separador de milhares 3 2 5 3 3 3 2 2" xfId="51628"/>
    <cellStyle name="Separador de milhares 3 2 5 3 3 3 3" xfId="20647"/>
    <cellStyle name="Separador de milhares 3 2 5 3 3 3 3 2" xfId="45714"/>
    <cellStyle name="Separador de milhares 3 2 5 3 3 3 4" xfId="14733"/>
    <cellStyle name="Separador de milhares 3 2 5 3 3 3 4 2" xfId="39800"/>
    <cellStyle name="Separador de milhares 3 2 5 3 3 3 5" xfId="33892"/>
    <cellStyle name="Separador de milhares 3 2 5 3 3 4" xfId="4969"/>
    <cellStyle name="Separador de milhares 3 2 5 3 3 4 2" xfId="23604"/>
    <cellStyle name="Separador de milhares 3 2 5 3 3 4 2 2" xfId="48671"/>
    <cellStyle name="Separador de milhares 3 2 5 3 3 4 3" xfId="30935"/>
    <cellStyle name="Separador de milhares 3 2 5 3 3 5" xfId="17690"/>
    <cellStyle name="Separador de milhares 3 2 5 3 3 5 2" xfId="42757"/>
    <cellStyle name="Separador de milhares 3 2 5 3 3 6" xfId="11356"/>
    <cellStyle name="Separador de milhares 3 2 5 3 3 6 2" xfId="36846"/>
    <cellStyle name="Separador de milhares 3 2 5 3 3 7" xfId="29465"/>
    <cellStyle name="Separador de milhares 3 2 5 3 4" xfId="1198"/>
    <cellStyle name="Separador de milhares 3 2 5 3 4 2" xfId="6766"/>
    <cellStyle name="Separador de milhares 3 2 5 3 4 2 2" xfId="9913"/>
    <cellStyle name="Separador de milhares 3 2 5 3 4 2 2 2" xfId="28127"/>
    <cellStyle name="Separador de milhares 3 2 5 3 4 2 2 2 2" xfId="53194"/>
    <cellStyle name="Separador de milhares 3 2 5 3 4 2 2 3" xfId="22213"/>
    <cellStyle name="Separador de milhares 3 2 5 3 4 2 2 3 2" xfId="47280"/>
    <cellStyle name="Separador de milhares 3 2 5 3 4 2 2 4" xfId="16299"/>
    <cellStyle name="Separador de milhares 3 2 5 3 4 2 2 4 2" xfId="41366"/>
    <cellStyle name="Separador de milhares 3 2 5 3 4 2 2 5" xfId="35458"/>
    <cellStyle name="Separador de milhares 3 2 5 3 4 2 3" xfId="25170"/>
    <cellStyle name="Separador de milhares 3 2 5 3 4 2 3 2" xfId="50237"/>
    <cellStyle name="Separador de milhares 3 2 5 3 4 2 4" xfId="19256"/>
    <cellStyle name="Separador de milhares 3 2 5 3 4 2 4 2" xfId="44323"/>
    <cellStyle name="Separador de milhares 3 2 5 3 4 2 5" xfId="13155"/>
    <cellStyle name="Separador de milhares 3 2 5 3 4 2 5 2" xfId="38412"/>
    <cellStyle name="Separador de milhares 3 2 5 3 4 2 6" xfId="32501"/>
    <cellStyle name="Separador de milhares 3 2 5 3 4 3" xfId="8445"/>
    <cellStyle name="Separador de milhares 3 2 5 3 4 3 2" xfId="26659"/>
    <cellStyle name="Separador de milhares 3 2 5 3 4 3 2 2" xfId="51726"/>
    <cellStyle name="Separador de milhares 3 2 5 3 4 3 3" xfId="20745"/>
    <cellStyle name="Separador de milhares 3 2 5 3 4 3 3 2" xfId="45812"/>
    <cellStyle name="Separador de milhares 3 2 5 3 4 3 4" xfId="14831"/>
    <cellStyle name="Separador de milhares 3 2 5 3 4 3 4 2" xfId="39898"/>
    <cellStyle name="Separador de milhares 3 2 5 3 4 3 5" xfId="33990"/>
    <cellStyle name="Separador de milhares 3 2 5 3 4 4" xfId="5067"/>
    <cellStyle name="Separador de milhares 3 2 5 3 4 4 2" xfId="23702"/>
    <cellStyle name="Separador de milhares 3 2 5 3 4 4 2 2" xfId="48769"/>
    <cellStyle name="Separador de milhares 3 2 5 3 4 4 3" xfId="31033"/>
    <cellStyle name="Separador de milhares 3 2 5 3 4 5" xfId="17788"/>
    <cellStyle name="Separador de milhares 3 2 5 3 4 5 2" xfId="42855"/>
    <cellStyle name="Separador de milhares 3 2 5 3 4 6" xfId="11454"/>
    <cellStyle name="Separador de milhares 3 2 5 3 4 6 2" xfId="36944"/>
    <cellStyle name="Separador de milhares 3 2 5 3 4 7" xfId="29563"/>
    <cellStyle name="Separador de milhares 3 2 5 3 5" xfId="1633"/>
    <cellStyle name="Separador de milhares 3 2 5 3 5 2" xfId="6885"/>
    <cellStyle name="Separador de milhares 3 2 5 3 5 2 2" xfId="10032"/>
    <cellStyle name="Separador de milhares 3 2 5 3 5 2 2 2" xfId="28246"/>
    <cellStyle name="Separador de milhares 3 2 5 3 5 2 2 2 2" xfId="53313"/>
    <cellStyle name="Separador de milhares 3 2 5 3 5 2 2 3" xfId="22332"/>
    <cellStyle name="Separador de milhares 3 2 5 3 5 2 2 3 2" xfId="47399"/>
    <cellStyle name="Separador de milhares 3 2 5 3 5 2 2 4" xfId="16418"/>
    <cellStyle name="Separador de milhares 3 2 5 3 5 2 2 4 2" xfId="41485"/>
    <cellStyle name="Separador de milhares 3 2 5 3 5 2 2 5" xfId="35577"/>
    <cellStyle name="Separador de milhares 3 2 5 3 5 2 3" xfId="25289"/>
    <cellStyle name="Separador de milhares 3 2 5 3 5 2 3 2" xfId="50356"/>
    <cellStyle name="Separador de milhares 3 2 5 3 5 2 4" xfId="19375"/>
    <cellStyle name="Separador de milhares 3 2 5 3 5 2 4 2" xfId="44442"/>
    <cellStyle name="Separador de milhares 3 2 5 3 5 2 5" xfId="13274"/>
    <cellStyle name="Separador de milhares 3 2 5 3 5 2 5 2" xfId="38531"/>
    <cellStyle name="Separador de milhares 3 2 5 3 5 2 6" xfId="32620"/>
    <cellStyle name="Separador de milhares 3 2 5 3 5 3" xfId="8564"/>
    <cellStyle name="Separador de milhares 3 2 5 3 5 3 2" xfId="26778"/>
    <cellStyle name="Separador de milhares 3 2 5 3 5 3 2 2" xfId="51845"/>
    <cellStyle name="Separador de milhares 3 2 5 3 5 3 3" xfId="20864"/>
    <cellStyle name="Separador de milhares 3 2 5 3 5 3 3 2" xfId="45931"/>
    <cellStyle name="Separador de milhares 3 2 5 3 5 3 4" xfId="14950"/>
    <cellStyle name="Separador de milhares 3 2 5 3 5 3 4 2" xfId="40017"/>
    <cellStyle name="Separador de milhares 3 2 5 3 5 3 5" xfId="34109"/>
    <cellStyle name="Separador de milhares 3 2 5 3 5 4" xfId="5186"/>
    <cellStyle name="Separador de milhares 3 2 5 3 5 4 2" xfId="23821"/>
    <cellStyle name="Separador de milhares 3 2 5 3 5 4 2 2" xfId="48888"/>
    <cellStyle name="Separador de milhares 3 2 5 3 5 4 3" xfId="31152"/>
    <cellStyle name="Separador de milhares 3 2 5 3 5 5" xfId="17907"/>
    <cellStyle name="Separador de milhares 3 2 5 3 5 5 2" xfId="42974"/>
    <cellStyle name="Separador de milhares 3 2 5 3 5 6" xfId="11573"/>
    <cellStyle name="Separador de milhares 3 2 5 3 5 6 2" xfId="37063"/>
    <cellStyle name="Separador de milhares 3 2 5 3 5 7" xfId="29682"/>
    <cellStyle name="Separador de milhares 3 2 5 3 6" xfId="2163"/>
    <cellStyle name="Separador de milhares 3 2 5 3 6 2" xfId="7035"/>
    <cellStyle name="Separador de milhares 3 2 5 3 6 2 2" xfId="10179"/>
    <cellStyle name="Separador de milhares 3 2 5 3 6 2 2 2" xfId="28393"/>
    <cellStyle name="Separador de milhares 3 2 5 3 6 2 2 2 2" xfId="53460"/>
    <cellStyle name="Separador de milhares 3 2 5 3 6 2 2 3" xfId="22479"/>
    <cellStyle name="Separador de milhares 3 2 5 3 6 2 2 3 2" xfId="47546"/>
    <cellStyle name="Separador de milhares 3 2 5 3 6 2 2 4" xfId="16565"/>
    <cellStyle name="Separador de milhares 3 2 5 3 6 2 2 4 2" xfId="41632"/>
    <cellStyle name="Separador de milhares 3 2 5 3 6 2 2 5" xfId="35724"/>
    <cellStyle name="Separador de milhares 3 2 5 3 6 2 3" xfId="25436"/>
    <cellStyle name="Separador de milhares 3 2 5 3 6 2 3 2" xfId="50503"/>
    <cellStyle name="Separador de milhares 3 2 5 3 6 2 4" xfId="19522"/>
    <cellStyle name="Separador de milhares 3 2 5 3 6 2 4 2" xfId="44589"/>
    <cellStyle name="Separador de milhares 3 2 5 3 6 2 5" xfId="13424"/>
    <cellStyle name="Separador de milhares 3 2 5 3 6 2 5 2" xfId="38678"/>
    <cellStyle name="Separador de milhares 3 2 5 3 6 2 6" xfId="32767"/>
    <cellStyle name="Separador de milhares 3 2 5 3 6 3" xfId="8711"/>
    <cellStyle name="Separador de milhares 3 2 5 3 6 3 2" xfId="26925"/>
    <cellStyle name="Separador de milhares 3 2 5 3 6 3 2 2" xfId="51992"/>
    <cellStyle name="Separador de milhares 3 2 5 3 6 3 3" xfId="21011"/>
    <cellStyle name="Separador de milhares 3 2 5 3 6 3 3 2" xfId="46078"/>
    <cellStyle name="Separador de milhares 3 2 5 3 6 3 4" xfId="15097"/>
    <cellStyle name="Separador de milhares 3 2 5 3 6 3 4 2" xfId="40164"/>
    <cellStyle name="Separador de milhares 3 2 5 3 6 3 5" xfId="34256"/>
    <cellStyle name="Separador de milhares 3 2 5 3 6 4" xfId="5336"/>
    <cellStyle name="Separador de milhares 3 2 5 3 6 4 2" xfId="23968"/>
    <cellStyle name="Separador de milhares 3 2 5 3 6 4 2 2" xfId="49035"/>
    <cellStyle name="Separador de milhares 3 2 5 3 6 4 3" xfId="31299"/>
    <cellStyle name="Separador de milhares 3 2 5 3 6 5" xfId="18054"/>
    <cellStyle name="Separador de milhares 3 2 5 3 6 5 2" xfId="43121"/>
    <cellStyle name="Separador de milhares 3 2 5 3 6 6" xfId="11723"/>
    <cellStyle name="Separador de milhares 3 2 5 3 6 6 2" xfId="37210"/>
    <cellStyle name="Separador de milhares 3 2 5 3 6 7" xfId="29829"/>
    <cellStyle name="Separador de milhares 3 2 5 3 7" xfId="2690"/>
    <cellStyle name="Separador de milhares 3 2 5 3 7 2" xfId="7182"/>
    <cellStyle name="Separador de milhares 3 2 5 3 7 2 2" xfId="10326"/>
    <cellStyle name="Separador de milhares 3 2 5 3 7 2 2 2" xfId="28540"/>
    <cellStyle name="Separador de milhares 3 2 5 3 7 2 2 2 2" xfId="53607"/>
    <cellStyle name="Separador de milhares 3 2 5 3 7 2 2 3" xfId="22626"/>
    <cellStyle name="Separador de milhares 3 2 5 3 7 2 2 3 2" xfId="47693"/>
    <cellStyle name="Separador de milhares 3 2 5 3 7 2 2 4" xfId="16712"/>
    <cellStyle name="Separador de milhares 3 2 5 3 7 2 2 4 2" xfId="41779"/>
    <cellStyle name="Separador de milhares 3 2 5 3 7 2 2 5" xfId="35871"/>
    <cellStyle name="Separador de milhares 3 2 5 3 7 2 3" xfId="25583"/>
    <cellStyle name="Separador de milhares 3 2 5 3 7 2 3 2" xfId="50650"/>
    <cellStyle name="Separador de milhares 3 2 5 3 7 2 4" xfId="19669"/>
    <cellStyle name="Separador de milhares 3 2 5 3 7 2 4 2" xfId="44736"/>
    <cellStyle name="Separador de milhares 3 2 5 3 7 2 5" xfId="13571"/>
    <cellStyle name="Separador de milhares 3 2 5 3 7 2 5 2" xfId="38825"/>
    <cellStyle name="Separador de milhares 3 2 5 3 7 2 6" xfId="32914"/>
    <cellStyle name="Separador de milhares 3 2 5 3 7 3" xfId="8858"/>
    <cellStyle name="Separador de milhares 3 2 5 3 7 3 2" xfId="27072"/>
    <cellStyle name="Separador de milhares 3 2 5 3 7 3 2 2" xfId="52139"/>
    <cellStyle name="Separador de milhares 3 2 5 3 7 3 3" xfId="21158"/>
    <cellStyle name="Separador de milhares 3 2 5 3 7 3 3 2" xfId="46225"/>
    <cellStyle name="Separador de milhares 3 2 5 3 7 3 4" xfId="15244"/>
    <cellStyle name="Separador de milhares 3 2 5 3 7 3 4 2" xfId="40311"/>
    <cellStyle name="Separador de milhares 3 2 5 3 7 3 5" xfId="34403"/>
    <cellStyle name="Separador de milhares 3 2 5 3 7 4" xfId="5483"/>
    <cellStyle name="Separador de milhares 3 2 5 3 7 4 2" xfId="24115"/>
    <cellStyle name="Separador de milhares 3 2 5 3 7 4 2 2" xfId="49182"/>
    <cellStyle name="Separador de milhares 3 2 5 3 7 4 3" xfId="31446"/>
    <cellStyle name="Separador de milhares 3 2 5 3 7 5" xfId="18201"/>
    <cellStyle name="Separador de milhares 3 2 5 3 7 5 2" xfId="43268"/>
    <cellStyle name="Separador de milhares 3 2 5 3 7 6" xfId="11870"/>
    <cellStyle name="Separador de milhares 3 2 5 3 7 6 2" xfId="37357"/>
    <cellStyle name="Separador de milhares 3 2 5 3 7 7" xfId="29976"/>
    <cellStyle name="Separador de milhares 3 2 5 3 8" xfId="3217"/>
    <cellStyle name="Separador de milhares 3 2 5 3 8 2" xfId="7329"/>
    <cellStyle name="Separador de milhares 3 2 5 3 8 2 2" xfId="10473"/>
    <cellStyle name="Separador de milhares 3 2 5 3 8 2 2 2" xfId="28687"/>
    <cellStyle name="Separador de milhares 3 2 5 3 8 2 2 2 2" xfId="53754"/>
    <cellStyle name="Separador de milhares 3 2 5 3 8 2 2 3" xfId="22773"/>
    <cellStyle name="Separador de milhares 3 2 5 3 8 2 2 3 2" xfId="47840"/>
    <cellStyle name="Separador de milhares 3 2 5 3 8 2 2 4" xfId="16859"/>
    <cellStyle name="Separador de milhares 3 2 5 3 8 2 2 4 2" xfId="41926"/>
    <cellStyle name="Separador de milhares 3 2 5 3 8 2 2 5" xfId="36018"/>
    <cellStyle name="Separador de milhares 3 2 5 3 8 2 3" xfId="25730"/>
    <cellStyle name="Separador de milhares 3 2 5 3 8 2 3 2" xfId="50797"/>
    <cellStyle name="Separador de milhares 3 2 5 3 8 2 4" xfId="19816"/>
    <cellStyle name="Separador de milhares 3 2 5 3 8 2 4 2" xfId="44883"/>
    <cellStyle name="Separador de milhares 3 2 5 3 8 2 5" xfId="13718"/>
    <cellStyle name="Separador de milhares 3 2 5 3 8 2 5 2" xfId="38972"/>
    <cellStyle name="Separador de milhares 3 2 5 3 8 2 6" xfId="33061"/>
    <cellStyle name="Separador de milhares 3 2 5 3 8 3" xfId="9005"/>
    <cellStyle name="Separador de milhares 3 2 5 3 8 3 2" xfId="27219"/>
    <cellStyle name="Separador de milhares 3 2 5 3 8 3 2 2" xfId="52286"/>
    <cellStyle name="Separador de milhares 3 2 5 3 8 3 3" xfId="21305"/>
    <cellStyle name="Separador de milhares 3 2 5 3 8 3 3 2" xfId="46372"/>
    <cellStyle name="Separador de milhares 3 2 5 3 8 3 4" xfId="15391"/>
    <cellStyle name="Separador de milhares 3 2 5 3 8 3 4 2" xfId="40458"/>
    <cellStyle name="Separador de milhares 3 2 5 3 8 3 5" xfId="34550"/>
    <cellStyle name="Separador de milhares 3 2 5 3 8 4" xfId="5630"/>
    <cellStyle name="Separador de milhares 3 2 5 3 8 4 2" xfId="24262"/>
    <cellStyle name="Separador de milhares 3 2 5 3 8 4 2 2" xfId="49329"/>
    <cellStyle name="Separador de milhares 3 2 5 3 8 4 3" xfId="31593"/>
    <cellStyle name="Separador de milhares 3 2 5 3 8 5" xfId="18348"/>
    <cellStyle name="Separador de milhares 3 2 5 3 8 5 2" xfId="43415"/>
    <cellStyle name="Separador de milhares 3 2 5 3 8 6" xfId="12017"/>
    <cellStyle name="Separador de milhares 3 2 5 3 8 6 2" xfId="37504"/>
    <cellStyle name="Separador de milhares 3 2 5 3 8 7" xfId="30123"/>
    <cellStyle name="Separador de milhares 3 2 5 3 9" xfId="3744"/>
    <cellStyle name="Separador de milhares 3 2 5 3 9 2" xfId="7476"/>
    <cellStyle name="Separador de milhares 3 2 5 3 9 2 2" xfId="10620"/>
    <cellStyle name="Separador de milhares 3 2 5 3 9 2 2 2" xfId="28834"/>
    <cellStyle name="Separador de milhares 3 2 5 3 9 2 2 2 2" xfId="53901"/>
    <cellStyle name="Separador de milhares 3 2 5 3 9 2 2 3" xfId="22920"/>
    <cellStyle name="Separador de milhares 3 2 5 3 9 2 2 3 2" xfId="47987"/>
    <cellStyle name="Separador de milhares 3 2 5 3 9 2 2 4" xfId="17006"/>
    <cellStyle name="Separador de milhares 3 2 5 3 9 2 2 4 2" xfId="42073"/>
    <cellStyle name="Separador de milhares 3 2 5 3 9 2 2 5" xfId="36165"/>
    <cellStyle name="Separador de milhares 3 2 5 3 9 2 3" xfId="25877"/>
    <cellStyle name="Separador de milhares 3 2 5 3 9 2 3 2" xfId="50944"/>
    <cellStyle name="Separador de milhares 3 2 5 3 9 2 4" xfId="19963"/>
    <cellStyle name="Separador de milhares 3 2 5 3 9 2 4 2" xfId="45030"/>
    <cellStyle name="Separador de milhares 3 2 5 3 9 2 5" xfId="13865"/>
    <cellStyle name="Separador de milhares 3 2 5 3 9 2 5 2" xfId="39119"/>
    <cellStyle name="Separador de milhares 3 2 5 3 9 2 6" xfId="33208"/>
    <cellStyle name="Separador de milhares 3 2 5 3 9 3" xfId="9152"/>
    <cellStyle name="Separador de milhares 3 2 5 3 9 3 2" xfId="27366"/>
    <cellStyle name="Separador de milhares 3 2 5 3 9 3 2 2" xfId="52433"/>
    <cellStyle name="Separador de milhares 3 2 5 3 9 3 3" xfId="21452"/>
    <cellStyle name="Separador de milhares 3 2 5 3 9 3 3 2" xfId="46519"/>
    <cellStyle name="Separador de milhares 3 2 5 3 9 3 4" xfId="15538"/>
    <cellStyle name="Separador de milhares 3 2 5 3 9 3 4 2" xfId="40605"/>
    <cellStyle name="Separador de milhares 3 2 5 3 9 3 5" xfId="34697"/>
    <cellStyle name="Separador de milhares 3 2 5 3 9 4" xfId="5777"/>
    <cellStyle name="Separador de milhares 3 2 5 3 9 4 2" xfId="24409"/>
    <cellStyle name="Separador de milhares 3 2 5 3 9 4 2 2" xfId="49476"/>
    <cellStyle name="Separador de milhares 3 2 5 3 9 4 3" xfId="31740"/>
    <cellStyle name="Separador de milhares 3 2 5 3 9 5" xfId="18495"/>
    <cellStyle name="Separador de milhares 3 2 5 3 9 5 2" xfId="43562"/>
    <cellStyle name="Separador de milhares 3 2 5 3 9 6" xfId="12164"/>
    <cellStyle name="Separador de milhares 3 2 5 3 9 6 2" xfId="37651"/>
    <cellStyle name="Separador de milhares 3 2 5 3 9 7" xfId="30270"/>
    <cellStyle name="Separador de milhares 3 2 5 4" xfId="380"/>
    <cellStyle name="Separador de milhares 3 2 5 4 10" xfId="6523"/>
    <cellStyle name="Separador de milhares 3 2 5 4 10 2" xfId="9671"/>
    <cellStyle name="Separador de milhares 3 2 5 4 10 2 2" xfId="27885"/>
    <cellStyle name="Separador de milhares 3 2 5 4 10 2 2 2" xfId="52952"/>
    <cellStyle name="Separador de milhares 3 2 5 4 10 2 3" xfId="21971"/>
    <cellStyle name="Separador de milhares 3 2 5 4 10 2 3 2" xfId="47038"/>
    <cellStyle name="Separador de milhares 3 2 5 4 10 2 4" xfId="16057"/>
    <cellStyle name="Separador de milhares 3 2 5 4 10 2 4 2" xfId="41124"/>
    <cellStyle name="Separador de milhares 3 2 5 4 10 2 5" xfId="35216"/>
    <cellStyle name="Separador de milhares 3 2 5 4 10 3" xfId="24928"/>
    <cellStyle name="Separador de milhares 3 2 5 4 10 3 2" xfId="49995"/>
    <cellStyle name="Separador de milhares 3 2 5 4 10 4" xfId="19014"/>
    <cellStyle name="Separador de milhares 3 2 5 4 10 4 2" xfId="44081"/>
    <cellStyle name="Separador de milhares 3 2 5 4 10 5" xfId="12912"/>
    <cellStyle name="Separador de milhares 3 2 5 4 10 5 2" xfId="38170"/>
    <cellStyle name="Separador de milhares 3 2 5 4 10 6" xfId="32259"/>
    <cellStyle name="Separador de milhares 3 2 5 4 11" xfId="8200"/>
    <cellStyle name="Separador de milhares 3 2 5 4 11 2" xfId="26414"/>
    <cellStyle name="Separador de milhares 3 2 5 4 11 2 2" xfId="51481"/>
    <cellStyle name="Separador de milhares 3 2 5 4 11 3" xfId="20500"/>
    <cellStyle name="Separador de milhares 3 2 5 4 11 3 2" xfId="45567"/>
    <cellStyle name="Separador de milhares 3 2 5 4 11 4" xfId="14589"/>
    <cellStyle name="Separador de milhares 3 2 5 4 11 4 2" xfId="39656"/>
    <cellStyle name="Separador de milhares 3 2 5 4 11 5" xfId="33745"/>
    <cellStyle name="Separador de milhares 3 2 5 4 12" xfId="4822"/>
    <cellStyle name="Separador de milhares 3 2 5 4 12 2" xfId="23457"/>
    <cellStyle name="Separador de milhares 3 2 5 4 12 2 2" xfId="48524"/>
    <cellStyle name="Separador de milhares 3 2 5 4 12 3" xfId="30789"/>
    <cellStyle name="Separador de milhares 3 2 5 4 13" xfId="17543"/>
    <cellStyle name="Separador de milhares 3 2 5 4 13 2" xfId="42610"/>
    <cellStyle name="Separador de milhares 3 2 5 4 14" xfId="11211"/>
    <cellStyle name="Separador de milhares 3 2 5 4 14 2" xfId="36702"/>
    <cellStyle name="Separador de milhares 3 2 5 4 15" xfId="29318"/>
    <cellStyle name="Separador de milhares 3 2 5 4 2" xfId="1025"/>
    <cellStyle name="Separador de milhares 3 2 5 4 2 2" xfId="6720"/>
    <cellStyle name="Separador de milhares 3 2 5 4 2 2 2" xfId="9867"/>
    <cellStyle name="Separador de milhares 3 2 5 4 2 2 2 2" xfId="28081"/>
    <cellStyle name="Separador de milhares 3 2 5 4 2 2 2 2 2" xfId="53148"/>
    <cellStyle name="Separador de milhares 3 2 5 4 2 2 2 3" xfId="22167"/>
    <cellStyle name="Separador de milhares 3 2 5 4 2 2 2 3 2" xfId="47234"/>
    <cellStyle name="Separador de milhares 3 2 5 4 2 2 2 4" xfId="16253"/>
    <cellStyle name="Separador de milhares 3 2 5 4 2 2 2 4 2" xfId="41320"/>
    <cellStyle name="Separador de milhares 3 2 5 4 2 2 2 5" xfId="35412"/>
    <cellStyle name="Separador de milhares 3 2 5 4 2 2 3" xfId="25124"/>
    <cellStyle name="Separador de milhares 3 2 5 4 2 2 3 2" xfId="50191"/>
    <cellStyle name="Separador de milhares 3 2 5 4 2 2 4" xfId="19210"/>
    <cellStyle name="Separador de milhares 3 2 5 4 2 2 4 2" xfId="44277"/>
    <cellStyle name="Separador de milhares 3 2 5 4 2 2 5" xfId="13109"/>
    <cellStyle name="Separador de milhares 3 2 5 4 2 2 5 2" xfId="38366"/>
    <cellStyle name="Separador de milhares 3 2 5 4 2 2 6" xfId="32455"/>
    <cellStyle name="Separador de milhares 3 2 5 4 2 3" xfId="8399"/>
    <cellStyle name="Separador de milhares 3 2 5 4 2 3 2" xfId="26613"/>
    <cellStyle name="Separador de milhares 3 2 5 4 2 3 2 2" xfId="51680"/>
    <cellStyle name="Separador de milhares 3 2 5 4 2 3 3" xfId="20699"/>
    <cellStyle name="Separador de milhares 3 2 5 4 2 3 3 2" xfId="45766"/>
    <cellStyle name="Separador de milhares 3 2 5 4 2 3 4" xfId="14785"/>
    <cellStyle name="Separador de milhares 3 2 5 4 2 3 4 2" xfId="39852"/>
    <cellStyle name="Separador de milhares 3 2 5 4 2 3 5" xfId="33944"/>
    <cellStyle name="Separador de milhares 3 2 5 4 2 4" xfId="5021"/>
    <cellStyle name="Separador de milhares 3 2 5 4 2 4 2" xfId="23656"/>
    <cellStyle name="Separador de milhares 3 2 5 4 2 4 2 2" xfId="48723"/>
    <cellStyle name="Separador de milhares 3 2 5 4 2 4 3" xfId="30987"/>
    <cellStyle name="Separador de milhares 3 2 5 4 2 5" xfId="17742"/>
    <cellStyle name="Separador de milhares 3 2 5 4 2 5 2" xfId="42809"/>
    <cellStyle name="Separador de milhares 3 2 5 4 2 6" xfId="11408"/>
    <cellStyle name="Separador de milhares 3 2 5 4 2 6 2" xfId="36898"/>
    <cellStyle name="Separador de milhares 3 2 5 4 2 7" xfId="29517"/>
    <cellStyle name="Separador de milhares 3 2 5 4 3" xfId="1376"/>
    <cellStyle name="Separador de milhares 3 2 5 4 3 2" xfId="6818"/>
    <cellStyle name="Separador de milhares 3 2 5 4 3 2 2" xfId="9965"/>
    <cellStyle name="Separador de milhares 3 2 5 4 3 2 2 2" xfId="28179"/>
    <cellStyle name="Separador de milhares 3 2 5 4 3 2 2 2 2" xfId="53246"/>
    <cellStyle name="Separador de milhares 3 2 5 4 3 2 2 3" xfId="22265"/>
    <cellStyle name="Separador de milhares 3 2 5 4 3 2 2 3 2" xfId="47332"/>
    <cellStyle name="Separador de milhares 3 2 5 4 3 2 2 4" xfId="16351"/>
    <cellStyle name="Separador de milhares 3 2 5 4 3 2 2 4 2" xfId="41418"/>
    <cellStyle name="Separador de milhares 3 2 5 4 3 2 2 5" xfId="35510"/>
    <cellStyle name="Separador de milhares 3 2 5 4 3 2 3" xfId="25222"/>
    <cellStyle name="Separador de milhares 3 2 5 4 3 2 3 2" xfId="50289"/>
    <cellStyle name="Separador de milhares 3 2 5 4 3 2 4" xfId="19308"/>
    <cellStyle name="Separador de milhares 3 2 5 4 3 2 4 2" xfId="44375"/>
    <cellStyle name="Separador de milhares 3 2 5 4 3 2 5" xfId="13207"/>
    <cellStyle name="Separador de milhares 3 2 5 4 3 2 5 2" xfId="38464"/>
    <cellStyle name="Separador de milhares 3 2 5 4 3 2 6" xfId="32553"/>
    <cellStyle name="Separador de milhares 3 2 5 4 3 3" xfId="8497"/>
    <cellStyle name="Separador de milhares 3 2 5 4 3 3 2" xfId="26711"/>
    <cellStyle name="Separador de milhares 3 2 5 4 3 3 2 2" xfId="51778"/>
    <cellStyle name="Separador de milhares 3 2 5 4 3 3 3" xfId="20797"/>
    <cellStyle name="Separador de milhares 3 2 5 4 3 3 3 2" xfId="45864"/>
    <cellStyle name="Separador de milhares 3 2 5 4 3 3 4" xfId="14883"/>
    <cellStyle name="Separador de milhares 3 2 5 4 3 3 4 2" xfId="39950"/>
    <cellStyle name="Separador de milhares 3 2 5 4 3 3 5" xfId="34042"/>
    <cellStyle name="Separador de milhares 3 2 5 4 3 4" xfId="5119"/>
    <cellStyle name="Separador de milhares 3 2 5 4 3 4 2" xfId="23754"/>
    <cellStyle name="Separador de milhares 3 2 5 4 3 4 2 2" xfId="48821"/>
    <cellStyle name="Separador de milhares 3 2 5 4 3 4 3" xfId="31085"/>
    <cellStyle name="Separador de milhares 3 2 5 4 3 5" xfId="17840"/>
    <cellStyle name="Separador de milhares 3 2 5 4 3 5 2" xfId="42907"/>
    <cellStyle name="Separador de milhares 3 2 5 4 3 6" xfId="11506"/>
    <cellStyle name="Separador de milhares 3 2 5 4 3 6 2" xfId="36996"/>
    <cellStyle name="Separador de milhares 3 2 5 4 3 7" xfId="29615"/>
    <cellStyle name="Separador de milhares 3 2 5 4 4" xfId="1811"/>
    <cellStyle name="Separador de milhares 3 2 5 4 4 2" xfId="6937"/>
    <cellStyle name="Separador de milhares 3 2 5 4 4 2 2" xfId="10084"/>
    <cellStyle name="Separador de milhares 3 2 5 4 4 2 2 2" xfId="28298"/>
    <cellStyle name="Separador de milhares 3 2 5 4 4 2 2 2 2" xfId="53365"/>
    <cellStyle name="Separador de milhares 3 2 5 4 4 2 2 3" xfId="22384"/>
    <cellStyle name="Separador de milhares 3 2 5 4 4 2 2 3 2" xfId="47451"/>
    <cellStyle name="Separador de milhares 3 2 5 4 4 2 2 4" xfId="16470"/>
    <cellStyle name="Separador de milhares 3 2 5 4 4 2 2 4 2" xfId="41537"/>
    <cellStyle name="Separador de milhares 3 2 5 4 4 2 2 5" xfId="35629"/>
    <cellStyle name="Separador de milhares 3 2 5 4 4 2 3" xfId="25341"/>
    <cellStyle name="Separador de milhares 3 2 5 4 4 2 3 2" xfId="50408"/>
    <cellStyle name="Separador de milhares 3 2 5 4 4 2 4" xfId="19427"/>
    <cellStyle name="Separador de milhares 3 2 5 4 4 2 4 2" xfId="44494"/>
    <cellStyle name="Separador de milhares 3 2 5 4 4 2 5" xfId="13326"/>
    <cellStyle name="Separador de milhares 3 2 5 4 4 2 5 2" xfId="38583"/>
    <cellStyle name="Separador de milhares 3 2 5 4 4 2 6" xfId="32672"/>
    <cellStyle name="Separador de milhares 3 2 5 4 4 3" xfId="8616"/>
    <cellStyle name="Separador de milhares 3 2 5 4 4 3 2" xfId="26830"/>
    <cellStyle name="Separador de milhares 3 2 5 4 4 3 2 2" xfId="51897"/>
    <cellStyle name="Separador de milhares 3 2 5 4 4 3 3" xfId="20916"/>
    <cellStyle name="Separador de milhares 3 2 5 4 4 3 3 2" xfId="45983"/>
    <cellStyle name="Separador de milhares 3 2 5 4 4 3 4" xfId="15002"/>
    <cellStyle name="Separador de milhares 3 2 5 4 4 3 4 2" xfId="40069"/>
    <cellStyle name="Separador de milhares 3 2 5 4 4 3 5" xfId="34161"/>
    <cellStyle name="Separador de milhares 3 2 5 4 4 4" xfId="5238"/>
    <cellStyle name="Separador de milhares 3 2 5 4 4 4 2" xfId="23873"/>
    <cellStyle name="Separador de milhares 3 2 5 4 4 4 2 2" xfId="48940"/>
    <cellStyle name="Separador de milhares 3 2 5 4 4 4 3" xfId="31204"/>
    <cellStyle name="Separador de milhares 3 2 5 4 4 5" xfId="17959"/>
    <cellStyle name="Separador de milhares 3 2 5 4 4 5 2" xfId="43026"/>
    <cellStyle name="Separador de milhares 3 2 5 4 4 6" xfId="11625"/>
    <cellStyle name="Separador de milhares 3 2 5 4 4 6 2" xfId="37115"/>
    <cellStyle name="Separador de milhares 3 2 5 4 4 7" xfId="29734"/>
    <cellStyle name="Separador de milhares 3 2 5 4 5" xfId="2341"/>
    <cellStyle name="Separador de milhares 3 2 5 4 5 2" xfId="7087"/>
    <cellStyle name="Separador de milhares 3 2 5 4 5 2 2" xfId="10231"/>
    <cellStyle name="Separador de milhares 3 2 5 4 5 2 2 2" xfId="28445"/>
    <cellStyle name="Separador de milhares 3 2 5 4 5 2 2 2 2" xfId="53512"/>
    <cellStyle name="Separador de milhares 3 2 5 4 5 2 2 3" xfId="22531"/>
    <cellStyle name="Separador de milhares 3 2 5 4 5 2 2 3 2" xfId="47598"/>
    <cellStyle name="Separador de milhares 3 2 5 4 5 2 2 4" xfId="16617"/>
    <cellStyle name="Separador de milhares 3 2 5 4 5 2 2 4 2" xfId="41684"/>
    <cellStyle name="Separador de milhares 3 2 5 4 5 2 2 5" xfId="35776"/>
    <cellStyle name="Separador de milhares 3 2 5 4 5 2 3" xfId="25488"/>
    <cellStyle name="Separador de milhares 3 2 5 4 5 2 3 2" xfId="50555"/>
    <cellStyle name="Separador de milhares 3 2 5 4 5 2 4" xfId="19574"/>
    <cellStyle name="Separador de milhares 3 2 5 4 5 2 4 2" xfId="44641"/>
    <cellStyle name="Separador de milhares 3 2 5 4 5 2 5" xfId="13476"/>
    <cellStyle name="Separador de milhares 3 2 5 4 5 2 5 2" xfId="38730"/>
    <cellStyle name="Separador de milhares 3 2 5 4 5 2 6" xfId="32819"/>
    <cellStyle name="Separador de milhares 3 2 5 4 5 3" xfId="8763"/>
    <cellStyle name="Separador de milhares 3 2 5 4 5 3 2" xfId="26977"/>
    <cellStyle name="Separador de milhares 3 2 5 4 5 3 2 2" xfId="52044"/>
    <cellStyle name="Separador de milhares 3 2 5 4 5 3 3" xfId="21063"/>
    <cellStyle name="Separador de milhares 3 2 5 4 5 3 3 2" xfId="46130"/>
    <cellStyle name="Separador de milhares 3 2 5 4 5 3 4" xfId="15149"/>
    <cellStyle name="Separador de milhares 3 2 5 4 5 3 4 2" xfId="40216"/>
    <cellStyle name="Separador de milhares 3 2 5 4 5 3 5" xfId="34308"/>
    <cellStyle name="Separador de milhares 3 2 5 4 5 4" xfId="5388"/>
    <cellStyle name="Separador de milhares 3 2 5 4 5 4 2" xfId="24020"/>
    <cellStyle name="Separador de milhares 3 2 5 4 5 4 2 2" xfId="49087"/>
    <cellStyle name="Separador de milhares 3 2 5 4 5 4 3" xfId="31351"/>
    <cellStyle name="Separador de milhares 3 2 5 4 5 5" xfId="18106"/>
    <cellStyle name="Separador de milhares 3 2 5 4 5 5 2" xfId="43173"/>
    <cellStyle name="Separador de milhares 3 2 5 4 5 6" xfId="11775"/>
    <cellStyle name="Separador de milhares 3 2 5 4 5 6 2" xfId="37262"/>
    <cellStyle name="Separador de milhares 3 2 5 4 5 7" xfId="29881"/>
    <cellStyle name="Separador de milhares 3 2 5 4 6" xfId="2868"/>
    <cellStyle name="Separador de milhares 3 2 5 4 6 2" xfId="7234"/>
    <cellStyle name="Separador de milhares 3 2 5 4 6 2 2" xfId="10378"/>
    <cellStyle name="Separador de milhares 3 2 5 4 6 2 2 2" xfId="28592"/>
    <cellStyle name="Separador de milhares 3 2 5 4 6 2 2 2 2" xfId="53659"/>
    <cellStyle name="Separador de milhares 3 2 5 4 6 2 2 3" xfId="22678"/>
    <cellStyle name="Separador de milhares 3 2 5 4 6 2 2 3 2" xfId="47745"/>
    <cellStyle name="Separador de milhares 3 2 5 4 6 2 2 4" xfId="16764"/>
    <cellStyle name="Separador de milhares 3 2 5 4 6 2 2 4 2" xfId="41831"/>
    <cellStyle name="Separador de milhares 3 2 5 4 6 2 2 5" xfId="35923"/>
    <cellStyle name="Separador de milhares 3 2 5 4 6 2 3" xfId="25635"/>
    <cellStyle name="Separador de milhares 3 2 5 4 6 2 3 2" xfId="50702"/>
    <cellStyle name="Separador de milhares 3 2 5 4 6 2 4" xfId="19721"/>
    <cellStyle name="Separador de milhares 3 2 5 4 6 2 4 2" xfId="44788"/>
    <cellStyle name="Separador de milhares 3 2 5 4 6 2 5" xfId="13623"/>
    <cellStyle name="Separador de milhares 3 2 5 4 6 2 5 2" xfId="38877"/>
    <cellStyle name="Separador de milhares 3 2 5 4 6 2 6" xfId="32966"/>
    <cellStyle name="Separador de milhares 3 2 5 4 6 3" xfId="8910"/>
    <cellStyle name="Separador de milhares 3 2 5 4 6 3 2" xfId="27124"/>
    <cellStyle name="Separador de milhares 3 2 5 4 6 3 2 2" xfId="52191"/>
    <cellStyle name="Separador de milhares 3 2 5 4 6 3 3" xfId="21210"/>
    <cellStyle name="Separador de milhares 3 2 5 4 6 3 3 2" xfId="46277"/>
    <cellStyle name="Separador de milhares 3 2 5 4 6 3 4" xfId="15296"/>
    <cellStyle name="Separador de milhares 3 2 5 4 6 3 4 2" xfId="40363"/>
    <cellStyle name="Separador de milhares 3 2 5 4 6 3 5" xfId="34455"/>
    <cellStyle name="Separador de milhares 3 2 5 4 6 4" xfId="5535"/>
    <cellStyle name="Separador de milhares 3 2 5 4 6 4 2" xfId="24167"/>
    <cellStyle name="Separador de milhares 3 2 5 4 6 4 2 2" xfId="49234"/>
    <cellStyle name="Separador de milhares 3 2 5 4 6 4 3" xfId="31498"/>
    <cellStyle name="Separador de milhares 3 2 5 4 6 5" xfId="18253"/>
    <cellStyle name="Separador de milhares 3 2 5 4 6 5 2" xfId="43320"/>
    <cellStyle name="Separador de milhares 3 2 5 4 6 6" xfId="11922"/>
    <cellStyle name="Separador de milhares 3 2 5 4 6 6 2" xfId="37409"/>
    <cellStyle name="Separador de milhares 3 2 5 4 6 7" xfId="30028"/>
    <cellStyle name="Separador de milhares 3 2 5 4 7" xfId="3395"/>
    <cellStyle name="Separador de milhares 3 2 5 4 7 2" xfId="7381"/>
    <cellStyle name="Separador de milhares 3 2 5 4 7 2 2" xfId="10525"/>
    <cellStyle name="Separador de milhares 3 2 5 4 7 2 2 2" xfId="28739"/>
    <cellStyle name="Separador de milhares 3 2 5 4 7 2 2 2 2" xfId="53806"/>
    <cellStyle name="Separador de milhares 3 2 5 4 7 2 2 3" xfId="22825"/>
    <cellStyle name="Separador de milhares 3 2 5 4 7 2 2 3 2" xfId="47892"/>
    <cellStyle name="Separador de milhares 3 2 5 4 7 2 2 4" xfId="16911"/>
    <cellStyle name="Separador de milhares 3 2 5 4 7 2 2 4 2" xfId="41978"/>
    <cellStyle name="Separador de milhares 3 2 5 4 7 2 2 5" xfId="36070"/>
    <cellStyle name="Separador de milhares 3 2 5 4 7 2 3" xfId="25782"/>
    <cellStyle name="Separador de milhares 3 2 5 4 7 2 3 2" xfId="50849"/>
    <cellStyle name="Separador de milhares 3 2 5 4 7 2 4" xfId="19868"/>
    <cellStyle name="Separador de milhares 3 2 5 4 7 2 4 2" xfId="44935"/>
    <cellStyle name="Separador de milhares 3 2 5 4 7 2 5" xfId="13770"/>
    <cellStyle name="Separador de milhares 3 2 5 4 7 2 5 2" xfId="39024"/>
    <cellStyle name="Separador de milhares 3 2 5 4 7 2 6" xfId="33113"/>
    <cellStyle name="Separador de milhares 3 2 5 4 7 3" xfId="9057"/>
    <cellStyle name="Separador de milhares 3 2 5 4 7 3 2" xfId="27271"/>
    <cellStyle name="Separador de milhares 3 2 5 4 7 3 2 2" xfId="52338"/>
    <cellStyle name="Separador de milhares 3 2 5 4 7 3 3" xfId="21357"/>
    <cellStyle name="Separador de milhares 3 2 5 4 7 3 3 2" xfId="46424"/>
    <cellStyle name="Separador de milhares 3 2 5 4 7 3 4" xfId="15443"/>
    <cellStyle name="Separador de milhares 3 2 5 4 7 3 4 2" xfId="40510"/>
    <cellStyle name="Separador de milhares 3 2 5 4 7 3 5" xfId="34602"/>
    <cellStyle name="Separador de milhares 3 2 5 4 7 4" xfId="5682"/>
    <cellStyle name="Separador de milhares 3 2 5 4 7 4 2" xfId="24314"/>
    <cellStyle name="Separador de milhares 3 2 5 4 7 4 2 2" xfId="49381"/>
    <cellStyle name="Separador de milhares 3 2 5 4 7 4 3" xfId="31645"/>
    <cellStyle name="Separador de milhares 3 2 5 4 7 5" xfId="18400"/>
    <cellStyle name="Separador de milhares 3 2 5 4 7 5 2" xfId="43467"/>
    <cellStyle name="Separador de milhares 3 2 5 4 7 6" xfId="12069"/>
    <cellStyle name="Separador de milhares 3 2 5 4 7 6 2" xfId="37556"/>
    <cellStyle name="Separador de milhares 3 2 5 4 7 7" xfId="30175"/>
    <cellStyle name="Separador de milhares 3 2 5 4 8" xfId="3922"/>
    <cellStyle name="Separador de milhares 3 2 5 4 8 2" xfId="7528"/>
    <cellStyle name="Separador de milhares 3 2 5 4 8 2 2" xfId="10672"/>
    <cellStyle name="Separador de milhares 3 2 5 4 8 2 2 2" xfId="28886"/>
    <cellStyle name="Separador de milhares 3 2 5 4 8 2 2 2 2" xfId="53953"/>
    <cellStyle name="Separador de milhares 3 2 5 4 8 2 2 3" xfId="22972"/>
    <cellStyle name="Separador de milhares 3 2 5 4 8 2 2 3 2" xfId="48039"/>
    <cellStyle name="Separador de milhares 3 2 5 4 8 2 2 4" xfId="17058"/>
    <cellStyle name="Separador de milhares 3 2 5 4 8 2 2 4 2" xfId="42125"/>
    <cellStyle name="Separador de milhares 3 2 5 4 8 2 2 5" xfId="36217"/>
    <cellStyle name="Separador de milhares 3 2 5 4 8 2 3" xfId="25929"/>
    <cellStyle name="Separador de milhares 3 2 5 4 8 2 3 2" xfId="50996"/>
    <cellStyle name="Separador de milhares 3 2 5 4 8 2 4" xfId="20015"/>
    <cellStyle name="Separador de milhares 3 2 5 4 8 2 4 2" xfId="45082"/>
    <cellStyle name="Separador de milhares 3 2 5 4 8 2 5" xfId="13917"/>
    <cellStyle name="Separador de milhares 3 2 5 4 8 2 5 2" xfId="39171"/>
    <cellStyle name="Separador de milhares 3 2 5 4 8 2 6" xfId="33260"/>
    <cellStyle name="Separador de milhares 3 2 5 4 8 3" xfId="9204"/>
    <cellStyle name="Separador de milhares 3 2 5 4 8 3 2" xfId="27418"/>
    <cellStyle name="Separador de milhares 3 2 5 4 8 3 2 2" xfId="52485"/>
    <cellStyle name="Separador de milhares 3 2 5 4 8 3 3" xfId="21504"/>
    <cellStyle name="Separador de milhares 3 2 5 4 8 3 3 2" xfId="46571"/>
    <cellStyle name="Separador de milhares 3 2 5 4 8 3 4" xfId="15590"/>
    <cellStyle name="Separador de milhares 3 2 5 4 8 3 4 2" xfId="40657"/>
    <cellStyle name="Separador de milhares 3 2 5 4 8 3 5" xfId="34749"/>
    <cellStyle name="Separador de milhares 3 2 5 4 8 4" xfId="5829"/>
    <cellStyle name="Separador de milhares 3 2 5 4 8 4 2" xfId="24461"/>
    <cellStyle name="Separador de milhares 3 2 5 4 8 4 2 2" xfId="49528"/>
    <cellStyle name="Separador de milhares 3 2 5 4 8 4 3" xfId="31792"/>
    <cellStyle name="Separador de milhares 3 2 5 4 8 5" xfId="18547"/>
    <cellStyle name="Separador de milhares 3 2 5 4 8 5 2" xfId="43614"/>
    <cellStyle name="Separador de milhares 3 2 5 4 8 6" xfId="12216"/>
    <cellStyle name="Separador de milhares 3 2 5 4 8 6 2" xfId="37703"/>
    <cellStyle name="Separador de milhares 3 2 5 4 8 7" xfId="30322"/>
    <cellStyle name="Separador de milhares 3 2 5 4 9" xfId="687"/>
    <cellStyle name="Separador de milhares 3 2 5 4 9 2" xfId="6622"/>
    <cellStyle name="Separador de milhares 3 2 5 4 9 2 2" xfId="9769"/>
    <cellStyle name="Separador de milhares 3 2 5 4 9 2 2 2" xfId="27983"/>
    <cellStyle name="Separador de milhares 3 2 5 4 9 2 2 2 2" xfId="53050"/>
    <cellStyle name="Separador de milhares 3 2 5 4 9 2 2 3" xfId="22069"/>
    <cellStyle name="Separador de milhares 3 2 5 4 9 2 2 3 2" xfId="47136"/>
    <cellStyle name="Separador de milhares 3 2 5 4 9 2 2 4" xfId="16155"/>
    <cellStyle name="Separador de milhares 3 2 5 4 9 2 2 4 2" xfId="41222"/>
    <cellStyle name="Separador de milhares 3 2 5 4 9 2 2 5" xfId="35314"/>
    <cellStyle name="Separador de milhares 3 2 5 4 9 2 3" xfId="25026"/>
    <cellStyle name="Separador de milhares 3 2 5 4 9 2 3 2" xfId="50093"/>
    <cellStyle name="Separador de milhares 3 2 5 4 9 2 4" xfId="19112"/>
    <cellStyle name="Separador de milhares 3 2 5 4 9 2 4 2" xfId="44179"/>
    <cellStyle name="Separador de milhares 3 2 5 4 9 2 5" xfId="13011"/>
    <cellStyle name="Separador de milhares 3 2 5 4 9 2 5 2" xfId="38268"/>
    <cellStyle name="Separador de milhares 3 2 5 4 9 2 6" xfId="32357"/>
    <cellStyle name="Separador de milhares 3 2 5 4 9 3" xfId="8301"/>
    <cellStyle name="Separador de milhares 3 2 5 4 9 3 2" xfId="26515"/>
    <cellStyle name="Separador de milhares 3 2 5 4 9 3 2 2" xfId="51582"/>
    <cellStyle name="Separador de milhares 3 2 5 4 9 3 3" xfId="20601"/>
    <cellStyle name="Separador de milhares 3 2 5 4 9 3 3 2" xfId="45668"/>
    <cellStyle name="Separador de milhares 3 2 5 4 9 3 4" xfId="14687"/>
    <cellStyle name="Separador de milhares 3 2 5 4 9 3 4 2" xfId="39754"/>
    <cellStyle name="Separador de milhares 3 2 5 4 9 3 5" xfId="33846"/>
    <cellStyle name="Separador de milhares 3 2 5 4 9 4" xfId="4923"/>
    <cellStyle name="Separador de milhares 3 2 5 4 9 4 2" xfId="23558"/>
    <cellStyle name="Separador de milhares 3 2 5 4 9 4 2 2" xfId="48625"/>
    <cellStyle name="Separador de milhares 3 2 5 4 9 4 3" xfId="30889"/>
    <cellStyle name="Separador de milhares 3 2 5 4 9 5" xfId="17644"/>
    <cellStyle name="Separador de milhares 3 2 5 4 9 5 2" xfId="42711"/>
    <cellStyle name="Separador de milhares 3 2 5 4 9 6" xfId="11310"/>
    <cellStyle name="Separador de milhares 3 2 5 4 9 6 2" xfId="36800"/>
    <cellStyle name="Separador de milhares 3 2 5 4 9 7" xfId="29419"/>
    <cellStyle name="Separador de milhares 3 2 5 5" xfId="637"/>
    <cellStyle name="Separador de milhares 3 2 5 5 10" xfId="4887"/>
    <cellStyle name="Separador de milhares 3 2 5 5 10 2" xfId="23521"/>
    <cellStyle name="Separador de milhares 3 2 5 5 10 2 2" xfId="48588"/>
    <cellStyle name="Separador de milhares 3 2 5 5 10 3" xfId="30853"/>
    <cellStyle name="Separador de milhares 3 2 5 5 11" xfId="17607"/>
    <cellStyle name="Separador de milhares 3 2 5 5 11 2" xfId="42674"/>
    <cellStyle name="Separador de milhares 3 2 5 5 12" xfId="11276"/>
    <cellStyle name="Separador de milhares 3 2 5 5 12 2" xfId="36766"/>
    <cellStyle name="Separador de milhares 3 2 5 5 13" xfId="29382"/>
    <cellStyle name="Separador de milhares 3 2 5 5 2" xfId="1460"/>
    <cellStyle name="Separador de milhares 3 2 5 5 2 2" xfId="6839"/>
    <cellStyle name="Separador de milhares 3 2 5 5 2 2 2" xfId="9986"/>
    <cellStyle name="Separador de milhares 3 2 5 5 2 2 2 2" xfId="28200"/>
    <cellStyle name="Separador de milhares 3 2 5 5 2 2 2 2 2" xfId="53267"/>
    <cellStyle name="Separador de milhares 3 2 5 5 2 2 2 3" xfId="22286"/>
    <cellStyle name="Separador de milhares 3 2 5 5 2 2 2 3 2" xfId="47353"/>
    <cellStyle name="Separador de milhares 3 2 5 5 2 2 2 4" xfId="16372"/>
    <cellStyle name="Separador de milhares 3 2 5 5 2 2 2 4 2" xfId="41439"/>
    <cellStyle name="Separador de milhares 3 2 5 5 2 2 2 5" xfId="35531"/>
    <cellStyle name="Separador de milhares 3 2 5 5 2 2 3" xfId="25243"/>
    <cellStyle name="Separador de milhares 3 2 5 5 2 2 3 2" xfId="50310"/>
    <cellStyle name="Separador de milhares 3 2 5 5 2 2 4" xfId="19329"/>
    <cellStyle name="Separador de milhares 3 2 5 5 2 2 4 2" xfId="44396"/>
    <cellStyle name="Separador de milhares 3 2 5 5 2 2 5" xfId="13228"/>
    <cellStyle name="Separador de milhares 3 2 5 5 2 2 5 2" xfId="38485"/>
    <cellStyle name="Separador de milhares 3 2 5 5 2 2 6" xfId="32574"/>
    <cellStyle name="Separador de milhares 3 2 5 5 2 3" xfId="8518"/>
    <cellStyle name="Separador de milhares 3 2 5 5 2 3 2" xfId="26732"/>
    <cellStyle name="Separador de milhares 3 2 5 5 2 3 2 2" xfId="51799"/>
    <cellStyle name="Separador de milhares 3 2 5 5 2 3 3" xfId="20818"/>
    <cellStyle name="Separador de milhares 3 2 5 5 2 3 3 2" xfId="45885"/>
    <cellStyle name="Separador de milhares 3 2 5 5 2 3 4" xfId="14904"/>
    <cellStyle name="Separador de milhares 3 2 5 5 2 3 4 2" xfId="39971"/>
    <cellStyle name="Separador de milhares 3 2 5 5 2 3 5" xfId="34063"/>
    <cellStyle name="Separador de milhares 3 2 5 5 2 4" xfId="5140"/>
    <cellStyle name="Separador de milhares 3 2 5 5 2 4 2" xfId="23775"/>
    <cellStyle name="Separador de milhares 3 2 5 5 2 4 2 2" xfId="48842"/>
    <cellStyle name="Separador de milhares 3 2 5 5 2 4 3" xfId="31106"/>
    <cellStyle name="Separador de milhares 3 2 5 5 2 5" xfId="17861"/>
    <cellStyle name="Separador de milhares 3 2 5 5 2 5 2" xfId="42928"/>
    <cellStyle name="Separador de milhares 3 2 5 5 2 6" xfId="11527"/>
    <cellStyle name="Separador de milhares 3 2 5 5 2 6 2" xfId="37017"/>
    <cellStyle name="Separador de milhares 3 2 5 5 2 7" xfId="29636"/>
    <cellStyle name="Separador de milhares 3 2 5 5 3" xfId="1895"/>
    <cellStyle name="Separador de milhares 3 2 5 5 3 2" xfId="6958"/>
    <cellStyle name="Separador de milhares 3 2 5 5 3 2 2" xfId="10105"/>
    <cellStyle name="Separador de milhares 3 2 5 5 3 2 2 2" xfId="28319"/>
    <cellStyle name="Separador de milhares 3 2 5 5 3 2 2 2 2" xfId="53386"/>
    <cellStyle name="Separador de milhares 3 2 5 5 3 2 2 3" xfId="22405"/>
    <cellStyle name="Separador de milhares 3 2 5 5 3 2 2 3 2" xfId="47472"/>
    <cellStyle name="Separador de milhares 3 2 5 5 3 2 2 4" xfId="16491"/>
    <cellStyle name="Separador de milhares 3 2 5 5 3 2 2 4 2" xfId="41558"/>
    <cellStyle name="Separador de milhares 3 2 5 5 3 2 2 5" xfId="35650"/>
    <cellStyle name="Separador de milhares 3 2 5 5 3 2 3" xfId="25362"/>
    <cellStyle name="Separador de milhares 3 2 5 5 3 2 3 2" xfId="50429"/>
    <cellStyle name="Separador de milhares 3 2 5 5 3 2 4" xfId="19448"/>
    <cellStyle name="Separador de milhares 3 2 5 5 3 2 4 2" xfId="44515"/>
    <cellStyle name="Separador de milhares 3 2 5 5 3 2 5" xfId="13347"/>
    <cellStyle name="Separador de milhares 3 2 5 5 3 2 5 2" xfId="38604"/>
    <cellStyle name="Separador de milhares 3 2 5 5 3 2 6" xfId="32693"/>
    <cellStyle name="Separador de milhares 3 2 5 5 3 3" xfId="8637"/>
    <cellStyle name="Separador de milhares 3 2 5 5 3 3 2" xfId="26851"/>
    <cellStyle name="Separador de milhares 3 2 5 5 3 3 2 2" xfId="51918"/>
    <cellStyle name="Separador de milhares 3 2 5 5 3 3 3" xfId="20937"/>
    <cellStyle name="Separador de milhares 3 2 5 5 3 3 3 2" xfId="46004"/>
    <cellStyle name="Separador de milhares 3 2 5 5 3 3 4" xfId="15023"/>
    <cellStyle name="Separador de milhares 3 2 5 5 3 3 4 2" xfId="40090"/>
    <cellStyle name="Separador de milhares 3 2 5 5 3 3 5" xfId="34182"/>
    <cellStyle name="Separador de milhares 3 2 5 5 3 4" xfId="5259"/>
    <cellStyle name="Separador de milhares 3 2 5 5 3 4 2" xfId="23894"/>
    <cellStyle name="Separador de milhares 3 2 5 5 3 4 2 2" xfId="48961"/>
    <cellStyle name="Separador de milhares 3 2 5 5 3 4 3" xfId="31225"/>
    <cellStyle name="Separador de milhares 3 2 5 5 3 5" xfId="17980"/>
    <cellStyle name="Separador de milhares 3 2 5 5 3 5 2" xfId="43047"/>
    <cellStyle name="Separador de milhares 3 2 5 5 3 6" xfId="11646"/>
    <cellStyle name="Separador de milhares 3 2 5 5 3 6 2" xfId="37136"/>
    <cellStyle name="Separador de milhares 3 2 5 5 3 7" xfId="29755"/>
    <cellStyle name="Separador de milhares 3 2 5 5 4" xfId="2425"/>
    <cellStyle name="Separador de milhares 3 2 5 5 4 2" xfId="7108"/>
    <cellStyle name="Separador de milhares 3 2 5 5 4 2 2" xfId="10252"/>
    <cellStyle name="Separador de milhares 3 2 5 5 4 2 2 2" xfId="28466"/>
    <cellStyle name="Separador de milhares 3 2 5 5 4 2 2 2 2" xfId="53533"/>
    <cellStyle name="Separador de milhares 3 2 5 5 4 2 2 3" xfId="22552"/>
    <cellStyle name="Separador de milhares 3 2 5 5 4 2 2 3 2" xfId="47619"/>
    <cellStyle name="Separador de milhares 3 2 5 5 4 2 2 4" xfId="16638"/>
    <cellStyle name="Separador de milhares 3 2 5 5 4 2 2 4 2" xfId="41705"/>
    <cellStyle name="Separador de milhares 3 2 5 5 4 2 2 5" xfId="35797"/>
    <cellStyle name="Separador de milhares 3 2 5 5 4 2 3" xfId="25509"/>
    <cellStyle name="Separador de milhares 3 2 5 5 4 2 3 2" xfId="50576"/>
    <cellStyle name="Separador de milhares 3 2 5 5 4 2 4" xfId="19595"/>
    <cellStyle name="Separador de milhares 3 2 5 5 4 2 4 2" xfId="44662"/>
    <cellStyle name="Separador de milhares 3 2 5 5 4 2 5" xfId="13497"/>
    <cellStyle name="Separador de milhares 3 2 5 5 4 2 5 2" xfId="38751"/>
    <cellStyle name="Separador de milhares 3 2 5 5 4 2 6" xfId="32840"/>
    <cellStyle name="Separador de milhares 3 2 5 5 4 3" xfId="8784"/>
    <cellStyle name="Separador de milhares 3 2 5 5 4 3 2" xfId="26998"/>
    <cellStyle name="Separador de milhares 3 2 5 5 4 3 2 2" xfId="52065"/>
    <cellStyle name="Separador de milhares 3 2 5 5 4 3 3" xfId="21084"/>
    <cellStyle name="Separador de milhares 3 2 5 5 4 3 3 2" xfId="46151"/>
    <cellStyle name="Separador de milhares 3 2 5 5 4 3 4" xfId="15170"/>
    <cellStyle name="Separador de milhares 3 2 5 5 4 3 4 2" xfId="40237"/>
    <cellStyle name="Separador de milhares 3 2 5 5 4 3 5" xfId="34329"/>
    <cellStyle name="Separador de milhares 3 2 5 5 4 4" xfId="5409"/>
    <cellStyle name="Separador de milhares 3 2 5 5 4 4 2" xfId="24041"/>
    <cellStyle name="Separador de milhares 3 2 5 5 4 4 2 2" xfId="49108"/>
    <cellStyle name="Separador de milhares 3 2 5 5 4 4 3" xfId="31372"/>
    <cellStyle name="Separador de milhares 3 2 5 5 4 5" xfId="18127"/>
    <cellStyle name="Separador de milhares 3 2 5 5 4 5 2" xfId="43194"/>
    <cellStyle name="Separador de milhares 3 2 5 5 4 6" xfId="11796"/>
    <cellStyle name="Separador de milhares 3 2 5 5 4 6 2" xfId="37283"/>
    <cellStyle name="Separador de milhares 3 2 5 5 4 7" xfId="29902"/>
    <cellStyle name="Separador de milhares 3 2 5 5 5" xfId="2952"/>
    <cellStyle name="Separador de milhares 3 2 5 5 5 2" xfId="7255"/>
    <cellStyle name="Separador de milhares 3 2 5 5 5 2 2" xfId="10399"/>
    <cellStyle name="Separador de milhares 3 2 5 5 5 2 2 2" xfId="28613"/>
    <cellStyle name="Separador de milhares 3 2 5 5 5 2 2 2 2" xfId="53680"/>
    <cellStyle name="Separador de milhares 3 2 5 5 5 2 2 3" xfId="22699"/>
    <cellStyle name="Separador de milhares 3 2 5 5 5 2 2 3 2" xfId="47766"/>
    <cellStyle name="Separador de milhares 3 2 5 5 5 2 2 4" xfId="16785"/>
    <cellStyle name="Separador de milhares 3 2 5 5 5 2 2 4 2" xfId="41852"/>
    <cellStyle name="Separador de milhares 3 2 5 5 5 2 2 5" xfId="35944"/>
    <cellStyle name="Separador de milhares 3 2 5 5 5 2 3" xfId="25656"/>
    <cellStyle name="Separador de milhares 3 2 5 5 5 2 3 2" xfId="50723"/>
    <cellStyle name="Separador de milhares 3 2 5 5 5 2 4" xfId="19742"/>
    <cellStyle name="Separador de milhares 3 2 5 5 5 2 4 2" xfId="44809"/>
    <cellStyle name="Separador de milhares 3 2 5 5 5 2 5" xfId="13644"/>
    <cellStyle name="Separador de milhares 3 2 5 5 5 2 5 2" xfId="38898"/>
    <cellStyle name="Separador de milhares 3 2 5 5 5 2 6" xfId="32987"/>
    <cellStyle name="Separador de milhares 3 2 5 5 5 3" xfId="8931"/>
    <cellStyle name="Separador de milhares 3 2 5 5 5 3 2" xfId="27145"/>
    <cellStyle name="Separador de milhares 3 2 5 5 5 3 2 2" xfId="52212"/>
    <cellStyle name="Separador de milhares 3 2 5 5 5 3 3" xfId="21231"/>
    <cellStyle name="Separador de milhares 3 2 5 5 5 3 3 2" xfId="46298"/>
    <cellStyle name="Separador de milhares 3 2 5 5 5 3 4" xfId="15317"/>
    <cellStyle name="Separador de milhares 3 2 5 5 5 3 4 2" xfId="40384"/>
    <cellStyle name="Separador de milhares 3 2 5 5 5 3 5" xfId="34476"/>
    <cellStyle name="Separador de milhares 3 2 5 5 5 4" xfId="5556"/>
    <cellStyle name="Separador de milhares 3 2 5 5 5 4 2" xfId="24188"/>
    <cellStyle name="Separador de milhares 3 2 5 5 5 4 2 2" xfId="49255"/>
    <cellStyle name="Separador de milhares 3 2 5 5 5 4 3" xfId="31519"/>
    <cellStyle name="Separador de milhares 3 2 5 5 5 5" xfId="18274"/>
    <cellStyle name="Separador de milhares 3 2 5 5 5 5 2" xfId="43341"/>
    <cellStyle name="Separador de milhares 3 2 5 5 5 6" xfId="11943"/>
    <cellStyle name="Separador de milhares 3 2 5 5 5 6 2" xfId="37430"/>
    <cellStyle name="Separador de milhares 3 2 5 5 5 7" xfId="30049"/>
    <cellStyle name="Separador de milhares 3 2 5 5 6" xfId="3479"/>
    <cellStyle name="Separador de milhares 3 2 5 5 6 2" xfId="7402"/>
    <cellStyle name="Separador de milhares 3 2 5 5 6 2 2" xfId="10546"/>
    <cellStyle name="Separador de milhares 3 2 5 5 6 2 2 2" xfId="28760"/>
    <cellStyle name="Separador de milhares 3 2 5 5 6 2 2 2 2" xfId="53827"/>
    <cellStyle name="Separador de milhares 3 2 5 5 6 2 2 3" xfId="22846"/>
    <cellStyle name="Separador de milhares 3 2 5 5 6 2 2 3 2" xfId="47913"/>
    <cellStyle name="Separador de milhares 3 2 5 5 6 2 2 4" xfId="16932"/>
    <cellStyle name="Separador de milhares 3 2 5 5 6 2 2 4 2" xfId="41999"/>
    <cellStyle name="Separador de milhares 3 2 5 5 6 2 2 5" xfId="36091"/>
    <cellStyle name="Separador de milhares 3 2 5 5 6 2 3" xfId="25803"/>
    <cellStyle name="Separador de milhares 3 2 5 5 6 2 3 2" xfId="50870"/>
    <cellStyle name="Separador de milhares 3 2 5 5 6 2 4" xfId="19889"/>
    <cellStyle name="Separador de milhares 3 2 5 5 6 2 4 2" xfId="44956"/>
    <cellStyle name="Separador de milhares 3 2 5 5 6 2 5" xfId="13791"/>
    <cellStyle name="Separador de milhares 3 2 5 5 6 2 5 2" xfId="39045"/>
    <cellStyle name="Separador de milhares 3 2 5 5 6 2 6" xfId="33134"/>
    <cellStyle name="Separador de milhares 3 2 5 5 6 3" xfId="9078"/>
    <cellStyle name="Separador de milhares 3 2 5 5 6 3 2" xfId="27292"/>
    <cellStyle name="Separador de milhares 3 2 5 5 6 3 2 2" xfId="52359"/>
    <cellStyle name="Separador de milhares 3 2 5 5 6 3 3" xfId="21378"/>
    <cellStyle name="Separador de milhares 3 2 5 5 6 3 3 2" xfId="46445"/>
    <cellStyle name="Separador de milhares 3 2 5 5 6 3 4" xfId="15464"/>
    <cellStyle name="Separador de milhares 3 2 5 5 6 3 4 2" xfId="40531"/>
    <cellStyle name="Separador de milhares 3 2 5 5 6 3 5" xfId="34623"/>
    <cellStyle name="Separador de milhares 3 2 5 5 6 4" xfId="5703"/>
    <cellStyle name="Separador de milhares 3 2 5 5 6 4 2" xfId="24335"/>
    <cellStyle name="Separador de milhares 3 2 5 5 6 4 2 2" xfId="49402"/>
    <cellStyle name="Separador de milhares 3 2 5 5 6 4 3" xfId="31666"/>
    <cellStyle name="Separador de milhares 3 2 5 5 6 5" xfId="18421"/>
    <cellStyle name="Separador de milhares 3 2 5 5 6 5 2" xfId="43488"/>
    <cellStyle name="Separador de milhares 3 2 5 5 6 6" xfId="12090"/>
    <cellStyle name="Separador de milhares 3 2 5 5 6 6 2" xfId="37577"/>
    <cellStyle name="Separador de milhares 3 2 5 5 6 7" xfId="30196"/>
    <cellStyle name="Separador de milhares 3 2 5 5 7" xfId="4006"/>
    <cellStyle name="Separador de milhares 3 2 5 5 7 2" xfId="7549"/>
    <cellStyle name="Separador de milhares 3 2 5 5 7 2 2" xfId="10693"/>
    <cellStyle name="Separador de milhares 3 2 5 5 7 2 2 2" xfId="28907"/>
    <cellStyle name="Separador de milhares 3 2 5 5 7 2 2 2 2" xfId="53974"/>
    <cellStyle name="Separador de milhares 3 2 5 5 7 2 2 3" xfId="22993"/>
    <cellStyle name="Separador de milhares 3 2 5 5 7 2 2 3 2" xfId="48060"/>
    <cellStyle name="Separador de milhares 3 2 5 5 7 2 2 4" xfId="17079"/>
    <cellStyle name="Separador de milhares 3 2 5 5 7 2 2 4 2" xfId="42146"/>
    <cellStyle name="Separador de milhares 3 2 5 5 7 2 2 5" xfId="36238"/>
    <cellStyle name="Separador de milhares 3 2 5 5 7 2 3" xfId="25950"/>
    <cellStyle name="Separador de milhares 3 2 5 5 7 2 3 2" xfId="51017"/>
    <cellStyle name="Separador de milhares 3 2 5 5 7 2 4" xfId="20036"/>
    <cellStyle name="Separador de milhares 3 2 5 5 7 2 4 2" xfId="45103"/>
    <cellStyle name="Separador de milhares 3 2 5 5 7 2 5" xfId="13938"/>
    <cellStyle name="Separador de milhares 3 2 5 5 7 2 5 2" xfId="39192"/>
    <cellStyle name="Separador de milhares 3 2 5 5 7 2 6" xfId="33281"/>
    <cellStyle name="Separador de milhares 3 2 5 5 7 3" xfId="9225"/>
    <cellStyle name="Separador de milhares 3 2 5 5 7 3 2" xfId="27439"/>
    <cellStyle name="Separador de milhares 3 2 5 5 7 3 2 2" xfId="52506"/>
    <cellStyle name="Separador de milhares 3 2 5 5 7 3 3" xfId="21525"/>
    <cellStyle name="Separador de milhares 3 2 5 5 7 3 3 2" xfId="46592"/>
    <cellStyle name="Separador de milhares 3 2 5 5 7 3 4" xfId="15611"/>
    <cellStyle name="Separador de milhares 3 2 5 5 7 3 4 2" xfId="40678"/>
    <cellStyle name="Separador de milhares 3 2 5 5 7 3 5" xfId="34770"/>
    <cellStyle name="Separador de milhares 3 2 5 5 7 4" xfId="5850"/>
    <cellStyle name="Separador de milhares 3 2 5 5 7 4 2" xfId="24482"/>
    <cellStyle name="Separador de milhares 3 2 5 5 7 4 2 2" xfId="49549"/>
    <cellStyle name="Separador de milhares 3 2 5 5 7 4 3" xfId="31813"/>
    <cellStyle name="Separador de milhares 3 2 5 5 7 5" xfId="18568"/>
    <cellStyle name="Separador de milhares 3 2 5 5 7 5 2" xfId="43635"/>
    <cellStyle name="Separador de milhares 3 2 5 5 7 6" xfId="12237"/>
    <cellStyle name="Separador de milhares 3 2 5 5 7 6 2" xfId="37724"/>
    <cellStyle name="Separador de milhares 3 2 5 5 7 7" xfId="30343"/>
    <cellStyle name="Separador de milhares 3 2 5 5 8" xfId="6588"/>
    <cellStyle name="Separador de milhares 3 2 5 5 8 2" xfId="9735"/>
    <cellStyle name="Separador de milhares 3 2 5 5 8 2 2" xfId="27949"/>
    <cellStyle name="Separador de milhares 3 2 5 5 8 2 2 2" xfId="53016"/>
    <cellStyle name="Separador de milhares 3 2 5 5 8 2 3" xfId="22035"/>
    <cellStyle name="Separador de milhares 3 2 5 5 8 2 3 2" xfId="47102"/>
    <cellStyle name="Separador de milhares 3 2 5 5 8 2 4" xfId="16121"/>
    <cellStyle name="Separador de milhares 3 2 5 5 8 2 4 2" xfId="41188"/>
    <cellStyle name="Separador de milhares 3 2 5 5 8 2 5" xfId="35280"/>
    <cellStyle name="Separador de milhares 3 2 5 5 8 3" xfId="24992"/>
    <cellStyle name="Separador de milhares 3 2 5 5 8 3 2" xfId="50059"/>
    <cellStyle name="Separador de milhares 3 2 5 5 8 4" xfId="19078"/>
    <cellStyle name="Separador de milhares 3 2 5 5 8 4 2" xfId="44145"/>
    <cellStyle name="Separador de milhares 3 2 5 5 8 5" xfId="12977"/>
    <cellStyle name="Separador de milhares 3 2 5 5 8 5 2" xfId="38234"/>
    <cellStyle name="Separador de milhares 3 2 5 5 8 6" xfId="32323"/>
    <cellStyle name="Separador de milhares 3 2 5 5 9" xfId="8264"/>
    <cellStyle name="Separador de milhares 3 2 5 5 9 2" xfId="26478"/>
    <cellStyle name="Separador de milhares 3 2 5 5 9 2 2" xfId="51545"/>
    <cellStyle name="Separador de milhares 3 2 5 5 9 3" xfId="20564"/>
    <cellStyle name="Separador de milhares 3 2 5 5 9 3 2" xfId="45631"/>
    <cellStyle name="Separador de milhares 3 2 5 5 9 4" xfId="14653"/>
    <cellStyle name="Separador de milhares 3 2 5 5 9 4 2" xfId="39720"/>
    <cellStyle name="Separador de milhares 3 2 5 5 9 5" xfId="33809"/>
    <cellStyle name="Separador de milhares 3 2 5 6" xfId="758"/>
    <cellStyle name="Separador de milhares 3 2 5 6 2" xfId="4182"/>
    <cellStyle name="Separador de milhares 3 2 5 6 2 2" xfId="7598"/>
    <cellStyle name="Separador de milhares 3 2 5 6 2 2 2" xfId="10742"/>
    <cellStyle name="Separador de milhares 3 2 5 6 2 2 2 2" xfId="28956"/>
    <cellStyle name="Separador de milhares 3 2 5 6 2 2 2 2 2" xfId="54023"/>
    <cellStyle name="Separador de milhares 3 2 5 6 2 2 2 3" xfId="23042"/>
    <cellStyle name="Separador de milhares 3 2 5 6 2 2 2 3 2" xfId="48109"/>
    <cellStyle name="Separador de milhares 3 2 5 6 2 2 2 4" xfId="17128"/>
    <cellStyle name="Separador de milhares 3 2 5 6 2 2 2 4 2" xfId="42195"/>
    <cellStyle name="Separador de milhares 3 2 5 6 2 2 2 5" xfId="36287"/>
    <cellStyle name="Separador de milhares 3 2 5 6 2 2 3" xfId="25999"/>
    <cellStyle name="Separador de milhares 3 2 5 6 2 2 3 2" xfId="51066"/>
    <cellStyle name="Separador de milhares 3 2 5 6 2 2 4" xfId="20085"/>
    <cellStyle name="Separador de milhares 3 2 5 6 2 2 4 2" xfId="45152"/>
    <cellStyle name="Separador de milhares 3 2 5 6 2 2 5" xfId="13987"/>
    <cellStyle name="Separador de milhares 3 2 5 6 2 2 5 2" xfId="39241"/>
    <cellStyle name="Separador de milhares 3 2 5 6 2 2 6" xfId="33330"/>
    <cellStyle name="Separador de milhares 3 2 5 6 2 3" xfId="9274"/>
    <cellStyle name="Separador de milhares 3 2 5 6 2 3 2" xfId="27488"/>
    <cellStyle name="Separador de milhares 3 2 5 6 2 3 2 2" xfId="52555"/>
    <cellStyle name="Separador de milhares 3 2 5 6 2 3 3" xfId="21574"/>
    <cellStyle name="Separador de milhares 3 2 5 6 2 3 3 2" xfId="46641"/>
    <cellStyle name="Separador de milhares 3 2 5 6 2 3 4" xfId="15660"/>
    <cellStyle name="Separador de milhares 3 2 5 6 2 3 4 2" xfId="40727"/>
    <cellStyle name="Separador de milhares 3 2 5 6 2 3 5" xfId="34819"/>
    <cellStyle name="Separador de milhares 3 2 5 6 2 4" xfId="5899"/>
    <cellStyle name="Separador de milhares 3 2 5 6 2 4 2" xfId="24531"/>
    <cellStyle name="Separador de milhares 3 2 5 6 2 4 2 2" xfId="49598"/>
    <cellStyle name="Separador de milhares 3 2 5 6 2 4 3" xfId="31862"/>
    <cellStyle name="Separador de milhares 3 2 5 6 2 5" xfId="18617"/>
    <cellStyle name="Separador de milhares 3 2 5 6 2 5 2" xfId="43684"/>
    <cellStyle name="Separador de milhares 3 2 5 6 2 6" xfId="12286"/>
    <cellStyle name="Separador de milhares 3 2 5 6 2 6 2" xfId="37773"/>
    <cellStyle name="Separador de milhares 3 2 5 6 2 7" xfId="30392"/>
    <cellStyle name="Separador de milhares 3 2 5 6 3" xfId="6643"/>
    <cellStyle name="Separador de milhares 3 2 5 6 3 2" xfId="9790"/>
    <cellStyle name="Separador de milhares 3 2 5 6 3 2 2" xfId="28004"/>
    <cellStyle name="Separador de milhares 3 2 5 6 3 2 2 2" xfId="53071"/>
    <cellStyle name="Separador de milhares 3 2 5 6 3 2 3" xfId="22090"/>
    <cellStyle name="Separador de milhares 3 2 5 6 3 2 3 2" xfId="47157"/>
    <cellStyle name="Separador de milhares 3 2 5 6 3 2 4" xfId="16176"/>
    <cellStyle name="Separador de milhares 3 2 5 6 3 2 4 2" xfId="41243"/>
    <cellStyle name="Separador de milhares 3 2 5 6 3 2 5" xfId="35335"/>
    <cellStyle name="Separador de milhares 3 2 5 6 3 3" xfId="25047"/>
    <cellStyle name="Separador de milhares 3 2 5 6 3 3 2" xfId="50114"/>
    <cellStyle name="Separador de milhares 3 2 5 6 3 4" xfId="19133"/>
    <cellStyle name="Separador de milhares 3 2 5 6 3 4 2" xfId="44200"/>
    <cellStyle name="Separador de milhares 3 2 5 6 3 5" xfId="13032"/>
    <cellStyle name="Separador de milhares 3 2 5 6 3 5 2" xfId="38289"/>
    <cellStyle name="Separador de milhares 3 2 5 6 3 6" xfId="32378"/>
    <cellStyle name="Separador de milhares 3 2 5 6 4" xfId="8322"/>
    <cellStyle name="Separador de milhares 3 2 5 6 4 2" xfId="26536"/>
    <cellStyle name="Separador de milhares 3 2 5 6 4 2 2" xfId="51603"/>
    <cellStyle name="Separador de milhares 3 2 5 6 4 3" xfId="20622"/>
    <cellStyle name="Separador de milhares 3 2 5 6 4 3 2" xfId="45689"/>
    <cellStyle name="Separador de milhares 3 2 5 6 4 4" xfId="14708"/>
    <cellStyle name="Separador de milhares 3 2 5 6 4 4 2" xfId="39775"/>
    <cellStyle name="Separador de milhares 3 2 5 6 4 5" xfId="33867"/>
    <cellStyle name="Separador de milhares 3 2 5 6 5" xfId="4944"/>
    <cellStyle name="Separador de milhares 3 2 5 6 5 2" xfId="23579"/>
    <cellStyle name="Separador de milhares 3 2 5 6 5 2 2" xfId="48646"/>
    <cellStyle name="Separador de milhares 3 2 5 6 5 3" xfId="30910"/>
    <cellStyle name="Separador de milhares 3 2 5 6 6" xfId="17665"/>
    <cellStyle name="Separador de milhares 3 2 5 6 6 2" xfId="42732"/>
    <cellStyle name="Separador de milhares 3 2 5 6 7" xfId="11331"/>
    <cellStyle name="Separador de milhares 3 2 5 6 7 2" xfId="36821"/>
    <cellStyle name="Separador de milhares 3 2 5 6 8" xfId="29440"/>
    <cellStyle name="Separador de milhares 3 2 5 7" xfId="1109"/>
    <cellStyle name="Separador de milhares 3 2 5 7 2" xfId="6741"/>
    <cellStyle name="Separador de milhares 3 2 5 7 2 2" xfId="9888"/>
    <cellStyle name="Separador de milhares 3 2 5 7 2 2 2" xfId="28102"/>
    <cellStyle name="Separador de milhares 3 2 5 7 2 2 2 2" xfId="53169"/>
    <cellStyle name="Separador de milhares 3 2 5 7 2 2 3" xfId="22188"/>
    <cellStyle name="Separador de milhares 3 2 5 7 2 2 3 2" xfId="47255"/>
    <cellStyle name="Separador de milhares 3 2 5 7 2 2 4" xfId="16274"/>
    <cellStyle name="Separador de milhares 3 2 5 7 2 2 4 2" xfId="41341"/>
    <cellStyle name="Separador de milhares 3 2 5 7 2 2 5" xfId="35433"/>
    <cellStyle name="Separador de milhares 3 2 5 7 2 3" xfId="25145"/>
    <cellStyle name="Separador de milhares 3 2 5 7 2 3 2" xfId="50212"/>
    <cellStyle name="Separador de milhares 3 2 5 7 2 4" xfId="19231"/>
    <cellStyle name="Separador de milhares 3 2 5 7 2 4 2" xfId="44298"/>
    <cellStyle name="Separador de milhares 3 2 5 7 2 5" xfId="13130"/>
    <cellStyle name="Separador de milhares 3 2 5 7 2 5 2" xfId="38387"/>
    <cellStyle name="Separador de milhares 3 2 5 7 2 6" xfId="32476"/>
    <cellStyle name="Separador de milhares 3 2 5 7 3" xfId="8420"/>
    <cellStyle name="Separador de milhares 3 2 5 7 3 2" xfId="26634"/>
    <cellStyle name="Separador de milhares 3 2 5 7 3 2 2" xfId="51701"/>
    <cellStyle name="Separador de milhares 3 2 5 7 3 3" xfId="20720"/>
    <cellStyle name="Separador de milhares 3 2 5 7 3 3 2" xfId="45787"/>
    <cellStyle name="Separador de milhares 3 2 5 7 3 4" xfId="14806"/>
    <cellStyle name="Separador de milhares 3 2 5 7 3 4 2" xfId="39873"/>
    <cellStyle name="Separador de milhares 3 2 5 7 3 5" xfId="33965"/>
    <cellStyle name="Separador de milhares 3 2 5 7 4" xfId="5042"/>
    <cellStyle name="Separador de milhares 3 2 5 7 4 2" xfId="23677"/>
    <cellStyle name="Separador de milhares 3 2 5 7 4 2 2" xfId="48744"/>
    <cellStyle name="Separador de milhares 3 2 5 7 4 3" xfId="31008"/>
    <cellStyle name="Separador de milhares 3 2 5 7 5" xfId="17763"/>
    <cellStyle name="Separador de milhares 3 2 5 7 5 2" xfId="42830"/>
    <cellStyle name="Separador de milhares 3 2 5 7 6" xfId="11429"/>
    <cellStyle name="Separador de milhares 3 2 5 7 6 2" xfId="36919"/>
    <cellStyle name="Separador de milhares 3 2 5 7 7" xfId="29538"/>
    <cellStyle name="Separador de milhares 3 2 5 8" xfId="1544"/>
    <cellStyle name="Separador de milhares 3 2 5 8 2" xfId="6860"/>
    <cellStyle name="Separador de milhares 3 2 5 8 2 2" xfId="10007"/>
    <cellStyle name="Separador de milhares 3 2 5 8 2 2 2" xfId="28221"/>
    <cellStyle name="Separador de milhares 3 2 5 8 2 2 2 2" xfId="53288"/>
    <cellStyle name="Separador de milhares 3 2 5 8 2 2 3" xfId="22307"/>
    <cellStyle name="Separador de milhares 3 2 5 8 2 2 3 2" xfId="47374"/>
    <cellStyle name="Separador de milhares 3 2 5 8 2 2 4" xfId="16393"/>
    <cellStyle name="Separador de milhares 3 2 5 8 2 2 4 2" xfId="41460"/>
    <cellStyle name="Separador de milhares 3 2 5 8 2 2 5" xfId="35552"/>
    <cellStyle name="Separador de milhares 3 2 5 8 2 3" xfId="25264"/>
    <cellStyle name="Separador de milhares 3 2 5 8 2 3 2" xfId="50331"/>
    <cellStyle name="Separador de milhares 3 2 5 8 2 4" xfId="19350"/>
    <cellStyle name="Separador de milhares 3 2 5 8 2 4 2" xfId="44417"/>
    <cellStyle name="Separador de milhares 3 2 5 8 2 5" xfId="13249"/>
    <cellStyle name="Separador de milhares 3 2 5 8 2 5 2" xfId="38506"/>
    <cellStyle name="Separador de milhares 3 2 5 8 2 6" xfId="32595"/>
    <cellStyle name="Separador de milhares 3 2 5 8 3" xfId="8539"/>
    <cellStyle name="Separador de milhares 3 2 5 8 3 2" xfId="26753"/>
    <cellStyle name="Separador de milhares 3 2 5 8 3 2 2" xfId="51820"/>
    <cellStyle name="Separador de milhares 3 2 5 8 3 3" xfId="20839"/>
    <cellStyle name="Separador de milhares 3 2 5 8 3 3 2" xfId="45906"/>
    <cellStyle name="Separador de milhares 3 2 5 8 3 4" xfId="14925"/>
    <cellStyle name="Separador de milhares 3 2 5 8 3 4 2" xfId="39992"/>
    <cellStyle name="Separador de milhares 3 2 5 8 3 5" xfId="34084"/>
    <cellStyle name="Separador de milhares 3 2 5 8 4" xfId="5161"/>
    <cellStyle name="Separador de milhares 3 2 5 8 4 2" xfId="23796"/>
    <cellStyle name="Separador de milhares 3 2 5 8 4 2 2" xfId="48863"/>
    <cellStyle name="Separador de milhares 3 2 5 8 4 3" xfId="31127"/>
    <cellStyle name="Separador de milhares 3 2 5 8 5" xfId="17882"/>
    <cellStyle name="Separador de milhares 3 2 5 8 5 2" xfId="42949"/>
    <cellStyle name="Separador de milhares 3 2 5 8 6" xfId="11548"/>
    <cellStyle name="Separador de milhares 3 2 5 8 6 2" xfId="37038"/>
    <cellStyle name="Separador de milhares 3 2 5 8 7" xfId="29657"/>
    <cellStyle name="Separador de milhares 3 2 5 9" xfId="2074"/>
    <cellStyle name="Separador de milhares 3 2 5 9 2" xfId="7010"/>
    <cellStyle name="Separador de milhares 3 2 5 9 2 2" xfId="10154"/>
    <cellStyle name="Separador de milhares 3 2 5 9 2 2 2" xfId="28368"/>
    <cellStyle name="Separador de milhares 3 2 5 9 2 2 2 2" xfId="53435"/>
    <cellStyle name="Separador de milhares 3 2 5 9 2 2 3" xfId="22454"/>
    <cellStyle name="Separador de milhares 3 2 5 9 2 2 3 2" xfId="47521"/>
    <cellStyle name="Separador de milhares 3 2 5 9 2 2 4" xfId="16540"/>
    <cellStyle name="Separador de milhares 3 2 5 9 2 2 4 2" xfId="41607"/>
    <cellStyle name="Separador de milhares 3 2 5 9 2 2 5" xfId="35699"/>
    <cellStyle name="Separador de milhares 3 2 5 9 2 3" xfId="25411"/>
    <cellStyle name="Separador de milhares 3 2 5 9 2 3 2" xfId="50478"/>
    <cellStyle name="Separador de milhares 3 2 5 9 2 4" xfId="19497"/>
    <cellStyle name="Separador de milhares 3 2 5 9 2 4 2" xfId="44564"/>
    <cellStyle name="Separador de milhares 3 2 5 9 2 5" xfId="13399"/>
    <cellStyle name="Separador de milhares 3 2 5 9 2 5 2" xfId="38653"/>
    <cellStyle name="Separador de milhares 3 2 5 9 2 6" xfId="32742"/>
    <cellStyle name="Separador de milhares 3 2 5 9 3" xfId="8686"/>
    <cellStyle name="Separador de milhares 3 2 5 9 3 2" xfId="26900"/>
    <cellStyle name="Separador de milhares 3 2 5 9 3 2 2" xfId="51967"/>
    <cellStyle name="Separador de milhares 3 2 5 9 3 3" xfId="20986"/>
    <cellStyle name="Separador de milhares 3 2 5 9 3 3 2" xfId="46053"/>
    <cellStyle name="Separador de milhares 3 2 5 9 3 4" xfId="15072"/>
    <cellStyle name="Separador de milhares 3 2 5 9 3 4 2" xfId="40139"/>
    <cellStyle name="Separador de milhares 3 2 5 9 3 5" xfId="34231"/>
    <cellStyle name="Separador de milhares 3 2 5 9 4" xfId="5311"/>
    <cellStyle name="Separador de milhares 3 2 5 9 4 2" xfId="23943"/>
    <cellStyle name="Separador de milhares 3 2 5 9 4 2 2" xfId="49010"/>
    <cellStyle name="Separador de milhares 3 2 5 9 4 3" xfId="31274"/>
    <cellStyle name="Separador de milhares 3 2 5 9 5" xfId="18029"/>
    <cellStyle name="Separador de milhares 3 2 5 9 5 2" xfId="43096"/>
    <cellStyle name="Separador de milhares 3 2 5 9 6" xfId="11698"/>
    <cellStyle name="Separador de milhares 3 2 5 9 6 2" xfId="37185"/>
    <cellStyle name="Separador de milhares 3 2 5 9 7" xfId="29804"/>
    <cellStyle name="Separador de milhares 3 2 6" xfId="106"/>
    <cellStyle name="Separador de milhares 3 2 6 10" xfId="2609"/>
    <cellStyle name="Separador de milhares 3 2 6 10 2" xfId="7159"/>
    <cellStyle name="Separador de milhares 3 2 6 10 2 2" xfId="10303"/>
    <cellStyle name="Separador de milhares 3 2 6 10 2 2 2" xfId="28517"/>
    <cellStyle name="Separador de milhares 3 2 6 10 2 2 2 2" xfId="53584"/>
    <cellStyle name="Separador de milhares 3 2 6 10 2 2 3" xfId="22603"/>
    <cellStyle name="Separador de milhares 3 2 6 10 2 2 3 2" xfId="47670"/>
    <cellStyle name="Separador de milhares 3 2 6 10 2 2 4" xfId="16689"/>
    <cellStyle name="Separador de milhares 3 2 6 10 2 2 4 2" xfId="41756"/>
    <cellStyle name="Separador de milhares 3 2 6 10 2 2 5" xfId="35848"/>
    <cellStyle name="Separador de milhares 3 2 6 10 2 3" xfId="25560"/>
    <cellStyle name="Separador de milhares 3 2 6 10 2 3 2" xfId="50627"/>
    <cellStyle name="Separador de milhares 3 2 6 10 2 4" xfId="19646"/>
    <cellStyle name="Separador de milhares 3 2 6 10 2 4 2" xfId="44713"/>
    <cellStyle name="Separador de milhares 3 2 6 10 2 5" xfId="13548"/>
    <cellStyle name="Separador de milhares 3 2 6 10 2 5 2" xfId="38802"/>
    <cellStyle name="Separador de milhares 3 2 6 10 2 6" xfId="32891"/>
    <cellStyle name="Separador de milhares 3 2 6 10 3" xfId="8835"/>
    <cellStyle name="Separador de milhares 3 2 6 10 3 2" xfId="27049"/>
    <cellStyle name="Separador de milhares 3 2 6 10 3 2 2" xfId="52116"/>
    <cellStyle name="Separador de milhares 3 2 6 10 3 3" xfId="21135"/>
    <cellStyle name="Separador de milhares 3 2 6 10 3 3 2" xfId="46202"/>
    <cellStyle name="Separador de milhares 3 2 6 10 3 4" xfId="15221"/>
    <cellStyle name="Separador de milhares 3 2 6 10 3 4 2" xfId="40288"/>
    <cellStyle name="Separador de milhares 3 2 6 10 3 5" xfId="34380"/>
    <cellStyle name="Separador de milhares 3 2 6 10 4" xfId="5460"/>
    <cellStyle name="Separador de milhares 3 2 6 10 4 2" xfId="24092"/>
    <cellStyle name="Separador de milhares 3 2 6 10 4 2 2" xfId="49159"/>
    <cellStyle name="Separador de milhares 3 2 6 10 4 3" xfId="31423"/>
    <cellStyle name="Separador de milhares 3 2 6 10 5" xfId="18178"/>
    <cellStyle name="Separador de milhares 3 2 6 10 5 2" xfId="43245"/>
    <cellStyle name="Separador de milhares 3 2 6 10 6" xfId="11847"/>
    <cellStyle name="Separador de milhares 3 2 6 10 6 2" xfId="37334"/>
    <cellStyle name="Separador de milhares 3 2 6 10 7" xfId="29953"/>
    <cellStyle name="Separador de milhares 3 2 6 11" xfId="3136"/>
    <cellStyle name="Separador de milhares 3 2 6 11 2" xfId="7306"/>
    <cellStyle name="Separador de milhares 3 2 6 11 2 2" xfId="10450"/>
    <cellStyle name="Separador de milhares 3 2 6 11 2 2 2" xfId="28664"/>
    <cellStyle name="Separador de milhares 3 2 6 11 2 2 2 2" xfId="53731"/>
    <cellStyle name="Separador de milhares 3 2 6 11 2 2 3" xfId="22750"/>
    <cellStyle name="Separador de milhares 3 2 6 11 2 2 3 2" xfId="47817"/>
    <cellStyle name="Separador de milhares 3 2 6 11 2 2 4" xfId="16836"/>
    <cellStyle name="Separador de milhares 3 2 6 11 2 2 4 2" xfId="41903"/>
    <cellStyle name="Separador de milhares 3 2 6 11 2 2 5" xfId="35995"/>
    <cellStyle name="Separador de milhares 3 2 6 11 2 3" xfId="25707"/>
    <cellStyle name="Separador de milhares 3 2 6 11 2 3 2" xfId="50774"/>
    <cellStyle name="Separador de milhares 3 2 6 11 2 4" xfId="19793"/>
    <cellStyle name="Separador de milhares 3 2 6 11 2 4 2" xfId="44860"/>
    <cellStyle name="Separador de milhares 3 2 6 11 2 5" xfId="13695"/>
    <cellStyle name="Separador de milhares 3 2 6 11 2 5 2" xfId="38949"/>
    <cellStyle name="Separador de milhares 3 2 6 11 2 6" xfId="33038"/>
    <cellStyle name="Separador de milhares 3 2 6 11 3" xfId="8982"/>
    <cellStyle name="Separador de milhares 3 2 6 11 3 2" xfId="27196"/>
    <cellStyle name="Separador de milhares 3 2 6 11 3 2 2" xfId="52263"/>
    <cellStyle name="Separador de milhares 3 2 6 11 3 3" xfId="21282"/>
    <cellStyle name="Separador de milhares 3 2 6 11 3 3 2" xfId="46349"/>
    <cellStyle name="Separador de milhares 3 2 6 11 3 4" xfId="15368"/>
    <cellStyle name="Separador de milhares 3 2 6 11 3 4 2" xfId="40435"/>
    <cellStyle name="Separador de milhares 3 2 6 11 3 5" xfId="34527"/>
    <cellStyle name="Separador de milhares 3 2 6 11 4" xfId="5607"/>
    <cellStyle name="Separador de milhares 3 2 6 11 4 2" xfId="24239"/>
    <cellStyle name="Separador de milhares 3 2 6 11 4 2 2" xfId="49306"/>
    <cellStyle name="Separador de milhares 3 2 6 11 4 3" xfId="31570"/>
    <cellStyle name="Separador de milhares 3 2 6 11 5" xfId="18325"/>
    <cellStyle name="Separador de milhares 3 2 6 11 5 2" xfId="43392"/>
    <cellStyle name="Separador de milhares 3 2 6 11 6" xfId="11994"/>
    <cellStyle name="Separador de milhares 3 2 6 11 6 2" xfId="37481"/>
    <cellStyle name="Separador de milhares 3 2 6 11 7" xfId="30100"/>
    <cellStyle name="Separador de milhares 3 2 6 12" xfId="3663"/>
    <cellStyle name="Separador de milhares 3 2 6 12 2" xfId="7453"/>
    <cellStyle name="Separador de milhares 3 2 6 12 2 2" xfId="10597"/>
    <cellStyle name="Separador de milhares 3 2 6 12 2 2 2" xfId="28811"/>
    <cellStyle name="Separador de milhares 3 2 6 12 2 2 2 2" xfId="53878"/>
    <cellStyle name="Separador de milhares 3 2 6 12 2 2 3" xfId="22897"/>
    <cellStyle name="Separador de milhares 3 2 6 12 2 2 3 2" xfId="47964"/>
    <cellStyle name="Separador de milhares 3 2 6 12 2 2 4" xfId="16983"/>
    <cellStyle name="Separador de milhares 3 2 6 12 2 2 4 2" xfId="42050"/>
    <cellStyle name="Separador de milhares 3 2 6 12 2 2 5" xfId="36142"/>
    <cellStyle name="Separador de milhares 3 2 6 12 2 3" xfId="25854"/>
    <cellStyle name="Separador de milhares 3 2 6 12 2 3 2" xfId="50921"/>
    <cellStyle name="Separador de milhares 3 2 6 12 2 4" xfId="19940"/>
    <cellStyle name="Separador de milhares 3 2 6 12 2 4 2" xfId="45007"/>
    <cellStyle name="Separador de milhares 3 2 6 12 2 5" xfId="13842"/>
    <cellStyle name="Separador de milhares 3 2 6 12 2 5 2" xfId="39096"/>
    <cellStyle name="Separador de milhares 3 2 6 12 2 6" xfId="33185"/>
    <cellStyle name="Separador de milhares 3 2 6 12 3" xfId="9129"/>
    <cellStyle name="Separador de milhares 3 2 6 12 3 2" xfId="27343"/>
    <cellStyle name="Separador de milhares 3 2 6 12 3 2 2" xfId="52410"/>
    <cellStyle name="Separador de milhares 3 2 6 12 3 3" xfId="21429"/>
    <cellStyle name="Separador de milhares 3 2 6 12 3 3 2" xfId="46496"/>
    <cellStyle name="Separador de milhares 3 2 6 12 3 4" xfId="15515"/>
    <cellStyle name="Separador de milhares 3 2 6 12 3 4 2" xfId="40582"/>
    <cellStyle name="Separador de milhares 3 2 6 12 3 5" xfId="34674"/>
    <cellStyle name="Separador de milhares 3 2 6 12 4" xfId="5754"/>
    <cellStyle name="Separador de milhares 3 2 6 12 4 2" xfId="24386"/>
    <cellStyle name="Separador de milhares 3 2 6 12 4 2 2" xfId="49453"/>
    <cellStyle name="Separador de milhares 3 2 6 12 4 3" xfId="31717"/>
    <cellStyle name="Separador de milhares 3 2 6 12 5" xfId="18472"/>
    <cellStyle name="Separador de milhares 3 2 6 12 5 2" xfId="43539"/>
    <cellStyle name="Separador de milhares 3 2 6 12 6" xfId="12141"/>
    <cellStyle name="Separador de milhares 3 2 6 12 6 2" xfId="37628"/>
    <cellStyle name="Separador de milhares 3 2 6 12 7" xfId="30247"/>
    <cellStyle name="Separador de milhares 3 2 6 13" xfId="6437"/>
    <cellStyle name="Separador de milhares 3 2 6 13 2" xfId="9593"/>
    <cellStyle name="Separador de milhares 3 2 6 13 2 2" xfId="27807"/>
    <cellStyle name="Separador de milhares 3 2 6 13 2 2 2" xfId="52874"/>
    <cellStyle name="Separador de milhares 3 2 6 13 2 3" xfId="21893"/>
    <cellStyle name="Separador de milhares 3 2 6 13 2 3 2" xfId="46960"/>
    <cellStyle name="Separador de milhares 3 2 6 13 2 4" xfId="15979"/>
    <cellStyle name="Separador de milhares 3 2 6 13 2 4 2" xfId="41046"/>
    <cellStyle name="Separador de milhares 3 2 6 13 2 5" xfId="35138"/>
    <cellStyle name="Separador de milhares 3 2 6 13 3" xfId="24850"/>
    <cellStyle name="Separador de milhares 3 2 6 13 3 2" xfId="49917"/>
    <cellStyle name="Separador de milhares 3 2 6 13 4" xfId="18936"/>
    <cellStyle name="Separador de milhares 3 2 6 13 4 2" xfId="44003"/>
    <cellStyle name="Separador de milhares 3 2 6 13 5" xfId="12826"/>
    <cellStyle name="Separador de milhares 3 2 6 13 5 2" xfId="38092"/>
    <cellStyle name="Separador de milhares 3 2 6 13 6" xfId="32181"/>
    <cellStyle name="Separador de milhares 3 2 6 14" xfId="8122"/>
    <cellStyle name="Separador de milhares 3 2 6 14 2" xfId="26336"/>
    <cellStyle name="Separador de milhares 3 2 6 14 2 2" xfId="51403"/>
    <cellStyle name="Separador de milhares 3 2 6 14 3" xfId="20422"/>
    <cellStyle name="Separador de milhares 3 2 6 14 3 2" xfId="45489"/>
    <cellStyle name="Separador de milhares 3 2 6 14 4" xfId="14511"/>
    <cellStyle name="Separador de milhares 3 2 6 14 4 2" xfId="39578"/>
    <cellStyle name="Separador de milhares 3 2 6 14 5" xfId="33667"/>
    <cellStyle name="Separador de milhares 3 2 6 15" xfId="4735"/>
    <cellStyle name="Separador de milhares 3 2 6 15 2" xfId="23379"/>
    <cellStyle name="Separador de milhares 3 2 6 15 2 2" xfId="48446"/>
    <cellStyle name="Separador de milhares 3 2 6 15 3" xfId="30711"/>
    <cellStyle name="Separador de milhares 3 2 6 16" xfId="17465"/>
    <cellStyle name="Separador de milhares 3 2 6 16 2" xfId="42532"/>
    <cellStyle name="Separador de milhares 3 2 6 17" xfId="11125"/>
    <cellStyle name="Separador de milhares 3 2 6 17 2" xfId="36624"/>
    <cellStyle name="Separador de milhares 3 2 6 18" xfId="29239"/>
    <cellStyle name="Separador de milhares 3 2 6 2" xfId="200"/>
    <cellStyle name="Separador de milhares 3 2 6 2 10" xfId="6466"/>
    <cellStyle name="Separador de milhares 3 2 6 2 10 2" xfId="9620"/>
    <cellStyle name="Separador de milhares 3 2 6 2 10 2 2" xfId="27834"/>
    <cellStyle name="Separador de milhares 3 2 6 2 10 2 2 2" xfId="52901"/>
    <cellStyle name="Separador de milhares 3 2 6 2 10 2 3" xfId="21920"/>
    <cellStyle name="Separador de milhares 3 2 6 2 10 2 3 2" xfId="46987"/>
    <cellStyle name="Separador de milhares 3 2 6 2 10 2 4" xfId="16006"/>
    <cellStyle name="Separador de milhares 3 2 6 2 10 2 4 2" xfId="41073"/>
    <cellStyle name="Separador de milhares 3 2 6 2 10 2 5" xfId="35165"/>
    <cellStyle name="Separador de milhares 3 2 6 2 10 3" xfId="24877"/>
    <cellStyle name="Separador de milhares 3 2 6 2 10 3 2" xfId="49944"/>
    <cellStyle name="Separador de milhares 3 2 6 2 10 4" xfId="18963"/>
    <cellStyle name="Separador de milhares 3 2 6 2 10 4 2" xfId="44030"/>
    <cellStyle name="Separador de milhares 3 2 6 2 10 5" xfId="12855"/>
    <cellStyle name="Separador de milhares 3 2 6 2 10 5 2" xfId="38119"/>
    <cellStyle name="Separador de milhares 3 2 6 2 10 6" xfId="32208"/>
    <cellStyle name="Separador de milhares 3 2 6 2 11" xfId="8149"/>
    <cellStyle name="Separador de milhares 3 2 6 2 11 2" xfId="26363"/>
    <cellStyle name="Separador de milhares 3 2 6 2 11 2 2" xfId="51430"/>
    <cellStyle name="Separador de milhares 3 2 6 2 11 3" xfId="20449"/>
    <cellStyle name="Separador de milhares 3 2 6 2 11 3 2" xfId="45516"/>
    <cellStyle name="Separador de milhares 3 2 6 2 11 4" xfId="14538"/>
    <cellStyle name="Separador de milhares 3 2 6 2 11 4 2" xfId="39605"/>
    <cellStyle name="Separador de milhares 3 2 6 2 11 5" xfId="33694"/>
    <cellStyle name="Separador de milhares 3 2 6 2 12" xfId="4765"/>
    <cellStyle name="Separador de milhares 3 2 6 2 12 2" xfId="23406"/>
    <cellStyle name="Separador de milhares 3 2 6 2 12 2 2" xfId="48473"/>
    <cellStyle name="Separador de milhares 3 2 6 2 12 3" xfId="30738"/>
    <cellStyle name="Separador de milhares 3 2 6 2 13" xfId="17492"/>
    <cellStyle name="Separador de milhares 3 2 6 2 13 2" xfId="42559"/>
    <cellStyle name="Separador de milhares 3 2 6 2 14" xfId="11154"/>
    <cellStyle name="Separador de milhares 3 2 6 2 14 2" xfId="36651"/>
    <cellStyle name="Separador de milhares 3 2 6 2 15" xfId="29267"/>
    <cellStyle name="Separador de milhares 3 2 6 2 2" xfId="473"/>
    <cellStyle name="Separador de milhares 3 2 6 2 2 10" xfId="17566"/>
    <cellStyle name="Separador de milhares 3 2 6 2 2 10 2" xfId="42633"/>
    <cellStyle name="Separador de milhares 3 2 6 2 2 11" xfId="11235"/>
    <cellStyle name="Separador de milhares 3 2 6 2 2 11 2" xfId="36725"/>
    <cellStyle name="Separador de milhares 3 2 6 2 2 12" xfId="29341"/>
    <cellStyle name="Separador de milhares 3 2 6 2 2 2" xfId="1992"/>
    <cellStyle name="Separador de milhares 3 2 6 2 2 2 2" xfId="6985"/>
    <cellStyle name="Separador de milhares 3 2 6 2 2 2 2 2" xfId="10132"/>
    <cellStyle name="Separador de milhares 3 2 6 2 2 2 2 2 2" xfId="28346"/>
    <cellStyle name="Separador de milhares 3 2 6 2 2 2 2 2 2 2" xfId="53413"/>
    <cellStyle name="Separador de milhares 3 2 6 2 2 2 2 2 3" xfId="22432"/>
    <cellStyle name="Separador de milhares 3 2 6 2 2 2 2 2 3 2" xfId="47499"/>
    <cellStyle name="Separador de milhares 3 2 6 2 2 2 2 2 4" xfId="16518"/>
    <cellStyle name="Separador de milhares 3 2 6 2 2 2 2 2 4 2" xfId="41585"/>
    <cellStyle name="Separador de milhares 3 2 6 2 2 2 2 2 5" xfId="35677"/>
    <cellStyle name="Separador de milhares 3 2 6 2 2 2 2 3" xfId="25389"/>
    <cellStyle name="Separador de milhares 3 2 6 2 2 2 2 3 2" xfId="50456"/>
    <cellStyle name="Separador de milhares 3 2 6 2 2 2 2 4" xfId="19475"/>
    <cellStyle name="Separador de milhares 3 2 6 2 2 2 2 4 2" xfId="44542"/>
    <cellStyle name="Separador de milhares 3 2 6 2 2 2 2 5" xfId="13374"/>
    <cellStyle name="Separador de milhares 3 2 6 2 2 2 2 5 2" xfId="38631"/>
    <cellStyle name="Separador de milhares 3 2 6 2 2 2 2 6" xfId="32720"/>
    <cellStyle name="Separador de milhares 3 2 6 2 2 2 3" xfId="8664"/>
    <cellStyle name="Separador de milhares 3 2 6 2 2 2 3 2" xfId="26878"/>
    <cellStyle name="Separador de milhares 3 2 6 2 2 2 3 2 2" xfId="51945"/>
    <cellStyle name="Separador de milhares 3 2 6 2 2 2 3 3" xfId="20964"/>
    <cellStyle name="Separador de milhares 3 2 6 2 2 2 3 3 2" xfId="46031"/>
    <cellStyle name="Separador de milhares 3 2 6 2 2 2 3 4" xfId="15050"/>
    <cellStyle name="Separador de milhares 3 2 6 2 2 2 3 4 2" xfId="40117"/>
    <cellStyle name="Separador de milhares 3 2 6 2 2 2 3 5" xfId="34209"/>
    <cellStyle name="Separador de milhares 3 2 6 2 2 2 4" xfId="5286"/>
    <cellStyle name="Separador de milhares 3 2 6 2 2 2 4 2" xfId="23921"/>
    <cellStyle name="Separador de milhares 3 2 6 2 2 2 4 2 2" xfId="48988"/>
    <cellStyle name="Separador de milhares 3 2 6 2 2 2 4 3" xfId="31252"/>
    <cellStyle name="Separador de milhares 3 2 6 2 2 2 5" xfId="18007"/>
    <cellStyle name="Separador de milhares 3 2 6 2 2 2 5 2" xfId="43074"/>
    <cellStyle name="Separador de milhares 3 2 6 2 2 2 6" xfId="11673"/>
    <cellStyle name="Separador de milhares 3 2 6 2 2 2 6 2" xfId="37163"/>
    <cellStyle name="Separador de milhares 3 2 6 2 2 2 7" xfId="29782"/>
    <cellStyle name="Separador de milhares 3 2 6 2 2 3" xfId="2522"/>
    <cellStyle name="Separador de milhares 3 2 6 2 2 3 2" xfId="7135"/>
    <cellStyle name="Separador de milhares 3 2 6 2 2 3 2 2" xfId="10279"/>
    <cellStyle name="Separador de milhares 3 2 6 2 2 3 2 2 2" xfId="28493"/>
    <cellStyle name="Separador de milhares 3 2 6 2 2 3 2 2 2 2" xfId="53560"/>
    <cellStyle name="Separador de milhares 3 2 6 2 2 3 2 2 3" xfId="22579"/>
    <cellStyle name="Separador de milhares 3 2 6 2 2 3 2 2 3 2" xfId="47646"/>
    <cellStyle name="Separador de milhares 3 2 6 2 2 3 2 2 4" xfId="16665"/>
    <cellStyle name="Separador de milhares 3 2 6 2 2 3 2 2 4 2" xfId="41732"/>
    <cellStyle name="Separador de milhares 3 2 6 2 2 3 2 2 5" xfId="35824"/>
    <cellStyle name="Separador de milhares 3 2 6 2 2 3 2 3" xfId="25536"/>
    <cellStyle name="Separador de milhares 3 2 6 2 2 3 2 3 2" xfId="50603"/>
    <cellStyle name="Separador de milhares 3 2 6 2 2 3 2 4" xfId="19622"/>
    <cellStyle name="Separador de milhares 3 2 6 2 2 3 2 4 2" xfId="44689"/>
    <cellStyle name="Separador de milhares 3 2 6 2 2 3 2 5" xfId="13524"/>
    <cellStyle name="Separador de milhares 3 2 6 2 2 3 2 5 2" xfId="38778"/>
    <cellStyle name="Separador de milhares 3 2 6 2 2 3 2 6" xfId="32867"/>
    <cellStyle name="Separador de milhares 3 2 6 2 2 3 3" xfId="8811"/>
    <cellStyle name="Separador de milhares 3 2 6 2 2 3 3 2" xfId="27025"/>
    <cellStyle name="Separador de milhares 3 2 6 2 2 3 3 2 2" xfId="52092"/>
    <cellStyle name="Separador de milhares 3 2 6 2 2 3 3 3" xfId="21111"/>
    <cellStyle name="Separador de milhares 3 2 6 2 2 3 3 3 2" xfId="46178"/>
    <cellStyle name="Separador de milhares 3 2 6 2 2 3 3 4" xfId="15197"/>
    <cellStyle name="Separador de milhares 3 2 6 2 2 3 3 4 2" xfId="40264"/>
    <cellStyle name="Separador de milhares 3 2 6 2 2 3 3 5" xfId="34356"/>
    <cellStyle name="Separador de milhares 3 2 6 2 2 3 4" xfId="5436"/>
    <cellStyle name="Separador de milhares 3 2 6 2 2 3 4 2" xfId="24068"/>
    <cellStyle name="Separador de milhares 3 2 6 2 2 3 4 2 2" xfId="49135"/>
    <cellStyle name="Separador de milhares 3 2 6 2 2 3 4 3" xfId="31399"/>
    <cellStyle name="Separador de milhares 3 2 6 2 2 3 5" xfId="18154"/>
    <cellStyle name="Separador de milhares 3 2 6 2 2 3 5 2" xfId="43221"/>
    <cellStyle name="Separador de milhares 3 2 6 2 2 3 6" xfId="11823"/>
    <cellStyle name="Separador de milhares 3 2 6 2 2 3 6 2" xfId="37310"/>
    <cellStyle name="Separador de milhares 3 2 6 2 2 3 7" xfId="29929"/>
    <cellStyle name="Separador de milhares 3 2 6 2 2 4" xfId="3049"/>
    <cellStyle name="Separador de milhares 3 2 6 2 2 4 2" xfId="7282"/>
    <cellStyle name="Separador de milhares 3 2 6 2 2 4 2 2" xfId="10426"/>
    <cellStyle name="Separador de milhares 3 2 6 2 2 4 2 2 2" xfId="28640"/>
    <cellStyle name="Separador de milhares 3 2 6 2 2 4 2 2 2 2" xfId="53707"/>
    <cellStyle name="Separador de milhares 3 2 6 2 2 4 2 2 3" xfId="22726"/>
    <cellStyle name="Separador de milhares 3 2 6 2 2 4 2 2 3 2" xfId="47793"/>
    <cellStyle name="Separador de milhares 3 2 6 2 2 4 2 2 4" xfId="16812"/>
    <cellStyle name="Separador de milhares 3 2 6 2 2 4 2 2 4 2" xfId="41879"/>
    <cellStyle name="Separador de milhares 3 2 6 2 2 4 2 2 5" xfId="35971"/>
    <cellStyle name="Separador de milhares 3 2 6 2 2 4 2 3" xfId="25683"/>
    <cellStyle name="Separador de milhares 3 2 6 2 2 4 2 3 2" xfId="50750"/>
    <cellStyle name="Separador de milhares 3 2 6 2 2 4 2 4" xfId="19769"/>
    <cellStyle name="Separador de milhares 3 2 6 2 2 4 2 4 2" xfId="44836"/>
    <cellStyle name="Separador de milhares 3 2 6 2 2 4 2 5" xfId="13671"/>
    <cellStyle name="Separador de milhares 3 2 6 2 2 4 2 5 2" xfId="38925"/>
    <cellStyle name="Separador de milhares 3 2 6 2 2 4 2 6" xfId="33014"/>
    <cellStyle name="Separador de milhares 3 2 6 2 2 4 3" xfId="8958"/>
    <cellStyle name="Separador de milhares 3 2 6 2 2 4 3 2" xfId="27172"/>
    <cellStyle name="Separador de milhares 3 2 6 2 2 4 3 2 2" xfId="52239"/>
    <cellStyle name="Separador de milhares 3 2 6 2 2 4 3 3" xfId="21258"/>
    <cellStyle name="Separador de milhares 3 2 6 2 2 4 3 3 2" xfId="46325"/>
    <cellStyle name="Separador de milhares 3 2 6 2 2 4 3 4" xfId="15344"/>
    <cellStyle name="Separador de milhares 3 2 6 2 2 4 3 4 2" xfId="40411"/>
    <cellStyle name="Separador de milhares 3 2 6 2 2 4 3 5" xfId="34503"/>
    <cellStyle name="Separador de milhares 3 2 6 2 2 4 4" xfId="5583"/>
    <cellStyle name="Separador de milhares 3 2 6 2 2 4 4 2" xfId="24215"/>
    <cellStyle name="Separador de milhares 3 2 6 2 2 4 4 2 2" xfId="49282"/>
    <cellStyle name="Separador de milhares 3 2 6 2 2 4 4 3" xfId="31546"/>
    <cellStyle name="Separador de milhares 3 2 6 2 2 4 5" xfId="18301"/>
    <cellStyle name="Separador de milhares 3 2 6 2 2 4 5 2" xfId="43368"/>
    <cellStyle name="Separador de milhares 3 2 6 2 2 4 6" xfId="11970"/>
    <cellStyle name="Separador de milhares 3 2 6 2 2 4 6 2" xfId="37457"/>
    <cellStyle name="Separador de milhares 3 2 6 2 2 4 7" xfId="30076"/>
    <cellStyle name="Separador de milhares 3 2 6 2 2 5" xfId="3576"/>
    <cellStyle name="Separador de milhares 3 2 6 2 2 5 2" xfId="7429"/>
    <cellStyle name="Separador de milhares 3 2 6 2 2 5 2 2" xfId="10573"/>
    <cellStyle name="Separador de milhares 3 2 6 2 2 5 2 2 2" xfId="28787"/>
    <cellStyle name="Separador de milhares 3 2 6 2 2 5 2 2 2 2" xfId="53854"/>
    <cellStyle name="Separador de milhares 3 2 6 2 2 5 2 2 3" xfId="22873"/>
    <cellStyle name="Separador de milhares 3 2 6 2 2 5 2 2 3 2" xfId="47940"/>
    <cellStyle name="Separador de milhares 3 2 6 2 2 5 2 2 4" xfId="16959"/>
    <cellStyle name="Separador de milhares 3 2 6 2 2 5 2 2 4 2" xfId="42026"/>
    <cellStyle name="Separador de milhares 3 2 6 2 2 5 2 2 5" xfId="36118"/>
    <cellStyle name="Separador de milhares 3 2 6 2 2 5 2 3" xfId="25830"/>
    <cellStyle name="Separador de milhares 3 2 6 2 2 5 2 3 2" xfId="50897"/>
    <cellStyle name="Separador de milhares 3 2 6 2 2 5 2 4" xfId="19916"/>
    <cellStyle name="Separador de milhares 3 2 6 2 2 5 2 4 2" xfId="44983"/>
    <cellStyle name="Separador de milhares 3 2 6 2 2 5 2 5" xfId="13818"/>
    <cellStyle name="Separador de milhares 3 2 6 2 2 5 2 5 2" xfId="39072"/>
    <cellStyle name="Separador de milhares 3 2 6 2 2 5 2 6" xfId="33161"/>
    <cellStyle name="Separador de milhares 3 2 6 2 2 5 3" xfId="9105"/>
    <cellStyle name="Separador de milhares 3 2 6 2 2 5 3 2" xfId="27319"/>
    <cellStyle name="Separador de milhares 3 2 6 2 2 5 3 2 2" xfId="52386"/>
    <cellStyle name="Separador de milhares 3 2 6 2 2 5 3 3" xfId="21405"/>
    <cellStyle name="Separador de milhares 3 2 6 2 2 5 3 3 2" xfId="46472"/>
    <cellStyle name="Separador de milhares 3 2 6 2 2 5 3 4" xfId="15491"/>
    <cellStyle name="Separador de milhares 3 2 6 2 2 5 3 4 2" xfId="40558"/>
    <cellStyle name="Separador de milhares 3 2 6 2 2 5 3 5" xfId="34650"/>
    <cellStyle name="Separador de milhares 3 2 6 2 2 5 4" xfId="5730"/>
    <cellStyle name="Separador de milhares 3 2 6 2 2 5 4 2" xfId="24362"/>
    <cellStyle name="Separador de milhares 3 2 6 2 2 5 4 2 2" xfId="49429"/>
    <cellStyle name="Separador de milhares 3 2 6 2 2 5 4 3" xfId="31693"/>
    <cellStyle name="Separador de milhares 3 2 6 2 2 5 5" xfId="18448"/>
    <cellStyle name="Separador de milhares 3 2 6 2 2 5 5 2" xfId="43515"/>
    <cellStyle name="Separador de milhares 3 2 6 2 2 5 6" xfId="12117"/>
    <cellStyle name="Separador de milhares 3 2 6 2 2 5 6 2" xfId="37604"/>
    <cellStyle name="Separador de milhares 3 2 6 2 2 5 7" xfId="30223"/>
    <cellStyle name="Separador de milhares 3 2 6 2 2 6" xfId="4103"/>
    <cellStyle name="Separador de milhares 3 2 6 2 2 6 2" xfId="7576"/>
    <cellStyle name="Separador de milhares 3 2 6 2 2 6 2 2" xfId="10720"/>
    <cellStyle name="Separador de milhares 3 2 6 2 2 6 2 2 2" xfId="28934"/>
    <cellStyle name="Separador de milhares 3 2 6 2 2 6 2 2 2 2" xfId="54001"/>
    <cellStyle name="Separador de milhares 3 2 6 2 2 6 2 2 3" xfId="23020"/>
    <cellStyle name="Separador de milhares 3 2 6 2 2 6 2 2 3 2" xfId="48087"/>
    <cellStyle name="Separador de milhares 3 2 6 2 2 6 2 2 4" xfId="17106"/>
    <cellStyle name="Separador de milhares 3 2 6 2 2 6 2 2 4 2" xfId="42173"/>
    <cellStyle name="Separador de milhares 3 2 6 2 2 6 2 2 5" xfId="36265"/>
    <cellStyle name="Separador de milhares 3 2 6 2 2 6 2 3" xfId="25977"/>
    <cellStyle name="Separador de milhares 3 2 6 2 2 6 2 3 2" xfId="51044"/>
    <cellStyle name="Separador de milhares 3 2 6 2 2 6 2 4" xfId="20063"/>
    <cellStyle name="Separador de milhares 3 2 6 2 2 6 2 4 2" xfId="45130"/>
    <cellStyle name="Separador de milhares 3 2 6 2 2 6 2 5" xfId="13965"/>
    <cellStyle name="Separador de milhares 3 2 6 2 2 6 2 5 2" xfId="39219"/>
    <cellStyle name="Separador de milhares 3 2 6 2 2 6 2 6" xfId="33308"/>
    <cellStyle name="Separador de milhares 3 2 6 2 2 6 3" xfId="9252"/>
    <cellStyle name="Separador de milhares 3 2 6 2 2 6 3 2" xfId="27466"/>
    <cellStyle name="Separador de milhares 3 2 6 2 2 6 3 2 2" xfId="52533"/>
    <cellStyle name="Separador de milhares 3 2 6 2 2 6 3 3" xfId="21552"/>
    <cellStyle name="Separador de milhares 3 2 6 2 2 6 3 3 2" xfId="46619"/>
    <cellStyle name="Separador de milhares 3 2 6 2 2 6 3 4" xfId="15638"/>
    <cellStyle name="Separador de milhares 3 2 6 2 2 6 3 4 2" xfId="40705"/>
    <cellStyle name="Separador de milhares 3 2 6 2 2 6 3 5" xfId="34797"/>
    <cellStyle name="Separador de milhares 3 2 6 2 2 6 4" xfId="5877"/>
    <cellStyle name="Separador de milhares 3 2 6 2 2 6 4 2" xfId="24509"/>
    <cellStyle name="Separador de milhares 3 2 6 2 2 6 4 2 2" xfId="49576"/>
    <cellStyle name="Separador de milhares 3 2 6 2 2 6 4 3" xfId="31840"/>
    <cellStyle name="Separador de milhares 3 2 6 2 2 6 5" xfId="18595"/>
    <cellStyle name="Separador de milhares 3 2 6 2 2 6 5 2" xfId="43662"/>
    <cellStyle name="Separador de milhares 3 2 6 2 2 6 6" xfId="12264"/>
    <cellStyle name="Separador de milhares 3 2 6 2 2 6 6 2" xfId="37751"/>
    <cellStyle name="Separador de milhares 3 2 6 2 2 6 7" xfId="30370"/>
    <cellStyle name="Separador de milhares 3 2 6 2 2 7" xfId="6547"/>
    <cellStyle name="Separador de milhares 3 2 6 2 2 7 2" xfId="9694"/>
    <cellStyle name="Separador de milhares 3 2 6 2 2 7 2 2" xfId="27908"/>
    <cellStyle name="Separador de milhares 3 2 6 2 2 7 2 2 2" xfId="52975"/>
    <cellStyle name="Separador de milhares 3 2 6 2 2 7 2 3" xfId="21994"/>
    <cellStyle name="Separador de milhares 3 2 6 2 2 7 2 3 2" xfId="47061"/>
    <cellStyle name="Separador de milhares 3 2 6 2 2 7 2 4" xfId="16080"/>
    <cellStyle name="Separador de milhares 3 2 6 2 2 7 2 4 2" xfId="41147"/>
    <cellStyle name="Separador de milhares 3 2 6 2 2 7 2 5" xfId="35239"/>
    <cellStyle name="Separador de milhares 3 2 6 2 2 7 3" xfId="24951"/>
    <cellStyle name="Separador de milhares 3 2 6 2 2 7 3 2" xfId="50018"/>
    <cellStyle name="Separador de milhares 3 2 6 2 2 7 4" xfId="19037"/>
    <cellStyle name="Separador de milhares 3 2 6 2 2 7 4 2" xfId="44104"/>
    <cellStyle name="Separador de milhares 3 2 6 2 2 7 5" xfId="12936"/>
    <cellStyle name="Separador de milhares 3 2 6 2 2 7 5 2" xfId="38193"/>
    <cellStyle name="Separador de milhares 3 2 6 2 2 7 6" xfId="32282"/>
    <cellStyle name="Separador de milhares 3 2 6 2 2 8" xfId="8223"/>
    <cellStyle name="Separador de milhares 3 2 6 2 2 8 2" xfId="26437"/>
    <cellStyle name="Separador de milhares 3 2 6 2 2 8 2 2" xfId="51504"/>
    <cellStyle name="Separador de milhares 3 2 6 2 2 8 3" xfId="20523"/>
    <cellStyle name="Separador de milhares 3 2 6 2 2 8 3 2" xfId="45590"/>
    <cellStyle name="Separador de milhares 3 2 6 2 2 8 4" xfId="14612"/>
    <cellStyle name="Separador de milhares 3 2 6 2 2 8 4 2" xfId="39679"/>
    <cellStyle name="Separador de milhares 3 2 6 2 2 8 5" xfId="33768"/>
    <cellStyle name="Separador de milhares 3 2 6 2 2 9" xfId="4846"/>
    <cellStyle name="Separador de milhares 3 2 6 2 2 9 2" xfId="23480"/>
    <cellStyle name="Separador de milhares 3 2 6 2 2 9 2 2" xfId="48547"/>
    <cellStyle name="Separador de milhares 3 2 6 2 2 9 3" xfId="30812"/>
    <cellStyle name="Separador de milhares 3 2 6 2 3" xfId="946"/>
    <cellStyle name="Separador de milhares 3 2 6 2 3 2" xfId="6698"/>
    <cellStyle name="Separador de milhares 3 2 6 2 3 2 2" xfId="9845"/>
    <cellStyle name="Separador de milhares 3 2 6 2 3 2 2 2" xfId="28059"/>
    <cellStyle name="Separador de milhares 3 2 6 2 3 2 2 2 2" xfId="53126"/>
    <cellStyle name="Separador de milhares 3 2 6 2 3 2 2 3" xfId="22145"/>
    <cellStyle name="Separador de milhares 3 2 6 2 3 2 2 3 2" xfId="47212"/>
    <cellStyle name="Separador de milhares 3 2 6 2 3 2 2 4" xfId="16231"/>
    <cellStyle name="Separador de milhares 3 2 6 2 3 2 2 4 2" xfId="41298"/>
    <cellStyle name="Separador de milhares 3 2 6 2 3 2 2 5" xfId="35390"/>
    <cellStyle name="Separador de milhares 3 2 6 2 3 2 3" xfId="25102"/>
    <cellStyle name="Separador de milhares 3 2 6 2 3 2 3 2" xfId="50169"/>
    <cellStyle name="Separador de milhares 3 2 6 2 3 2 4" xfId="19188"/>
    <cellStyle name="Separador de milhares 3 2 6 2 3 2 4 2" xfId="44255"/>
    <cellStyle name="Separador de milhares 3 2 6 2 3 2 5" xfId="13087"/>
    <cellStyle name="Separador de milhares 3 2 6 2 3 2 5 2" xfId="38344"/>
    <cellStyle name="Separador de milhares 3 2 6 2 3 2 6" xfId="32433"/>
    <cellStyle name="Separador de milhares 3 2 6 2 3 3" xfId="8377"/>
    <cellStyle name="Separador de milhares 3 2 6 2 3 3 2" xfId="26591"/>
    <cellStyle name="Separador de milhares 3 2 6 2 3 3 2 2" xfId="51658"/>
    <cellStyle name="Separador de milhares 3 2 6 2 3 3 3" xfId="20677"/>
    <cellStyle name="Separador de milhares 3 2 6 2 3 3 3 2" xfId="45744"/>
    <cellStyle name="Separador de milhares 3 2 6 2 3 3 4" xfId="14763"/>
    <cellStyle name="Separador de milhares 3 2 6 2 3 3 4 2" xfId="39830"/>
    <cellStyle name="Separador de milhares 3 2 6 2 3 3 5" xfId="33922"/>
    <cellStyle name="Separador de milhares 3 2 6 2 3 4" xfId="4999"/>
    <cellStyle name="Separador de milhares 3 2 6 2 3 4 2" xfId="23634"/>
    <cellStyle name="Separador de milhares 3 2 6 2 3 4 2 2" xfId="48701"/>
    <cellStyle name="Separador de milhares 3 2 6 2 3 4 3" xfId="30965"/>
    <cellStyle name="Separador de milhares 3 2 6 2 3 5" xfId="17720"/>
    <cellStyle name="Separador de milhares 3 2 6 2 3 5 2" xfId="42787"/>
    <cellStyle name="Separador de milhares 3 2 6 2 3 6" xfId="11386"/>
    <cellStyle name="Separador de milhares 3 2 6 2 3 6 2" xfId="36876"/>
    <cellStyle name="Separador de milhares 3 2 6 2 3 7" xfId="29495"/>
    <cellStyle name="Separador de milhares 3 2 6 2 4" xfId="1297"/>
    <cellStyle name="Separador de milhares 3 2 6 2 4 2" xfId="6796"/>
    <cellStyle name="Separador de milhares 3 2 6 2 4 2 2" xfId="9943"/>
    <cellStyle name="Separador de milhares 3 2 6 2 4 2 2 2" xfId="28157"/>
    <cellStyle name="Separador de milhares 3 2 6 2 4 2 2 2 2" xfId="53224"/>
    <cellStyle name="Separador de milhares 3 2 6 2 4 2 2 3" xfId="22243"/>
    <cellStyle name="Separador de milhares 3 2 6 2 4 2 2 3 2" xfId="47310"/>
    <cellStyle name="Separador de milhares 3 2 6 2 4 2 2 4" xfId="16329"/>
    <cellStyle name="Separador de milhares 3 2 6 2 4 2 2 4 2" xfId="41396"/>
    <cellStyle name="Separador de milhares 3 2 6 2 4 2 2 5" xfId="35488"/>
    <cellStyle name="Separador de milhares 3 2 6 2 4 2 3" xfId="25200"/>
    <cellStyle name="Separador de milhares 3 2 6 2 4 2 3 2" xfId="50267"/>
    <cellStyle name="Separador de milhares 3 2 6 2 4 2 4" xfId="19286"/>
    <cellStyle name="Separador de milhares 3 2 6 2 4 2 4 2" xfId="44353"/>
    <cellStyle name="Separador de milhares 3 2 6 2 4 2 5" xfId="13185"/>
    <cellStyle name="Separador de milhares 3 2 6 2 4 2 5 2" xfId="38442"/>
    <cellStyle name="Separador de milhares 3 2 6 2 4 2 6" xfId="32531"/>
    <cellStyle name="Separador de milhares 3 2 6 2 4 3" xfId="8475"/>
    <cellStyle name="Separador de milhares 3 2 6 2 4 3 2" xfId="26689"/>
    <cellStyle name="Separador de milhares 3 2 6 2 4 3 2 2" xfId="51756"/>
    <cellStyle name="Separador de milhares 3 2 6 2 4 3 3" xfId="20775"/>
    <cellStyle name="Separador de milhares 3 2 6 2 4 3 3 2" xfId="45842"/>
    <cellStyle name="Separador de milhares 3 2 6 2 4 3 4" xfId="14861"/>
    <cellStyle name="Separador de milhares 3 2 6 2 4 3 4 2" xfId="39928"/>
    <cellStyle name="Separador de milhares 3 2 6 2 4 3 5" xfId="34020"/>
    <cellStyle name="Separador de milhares 3 2 6 2 4 4" xfId="5097"/>
    <cellStyle name="Separador de milhares 3 2 6 2 4 4 2" xfId="23732"/>
    <cellStyle name="Separador de milhares 3 2 6 2 4 4 2 2" xfId="48799"/>
    <cellStyle name="Separador de milhares 3 2 6 2 4 4 3" xfId="31063"/>
    <cellStyle name="Separador de milhares 3 2 6 2 4 5" xfId="17818"/>
    <cellStyle name="Separador de milhares 3 2 6 2 4 5 2" xfId="42885"/>
    <cellStyle name="Separador de milhares 3 2 6 2 4 6" xfId="11484"/>
    <cellStyle name="Separador de milhares 3 2 6 2 4 6 2" xfId="36974"/>
    <cellStyle name="Separador de milhares 3 2 6 2 4 7" xfId="29593"/>
    <cellStyle name="Separador de milhares 3 2 6 2 5" xfId="1732"/>
    <cellStyle name="Separador de milhares 3 2 6 2 5 2" xfId="6915"/>
    <cellStyle name="Separador de milhares 3 2 6 2 5 2 2" xfId="10062"/>
    <cellStyle name="Separador de milhares 3 2 6 2 5 2 2 2" xfId="28276"/>
    <cellStyle name="Separador de milhares 3 2 6 2 5 2 2 2 2" xfId="53343"/>
    <cellStyle name="Separador de milhares 3 2 6 2 5 2 2 3" xfId="22362"/>
    <cellStyle name="Separador de milhares 3 2 6 2 5 2 2 3 2" xfId="47429"/>
    <cellStyle name="Separador de milhares 3 2 6 2 5 2 2 4" xfId="16448"/>
    <cellStyle name="Separador de milhares 3 2 6 2 5 2 2 4 2" xfId="41515"/>
    <cellStyle name="Separador de milhares 3 2 6 2 5 2 2 5" xfId="35607"/>
    <cellStyle name="Separador de milhares 3 2 6 2 5 2 3" xfId="25319"/>
    <cellStyle name="Separador de milhares 3 2 6 2 5 2 3 2" xfId="50386"/>
    <cellStyle name="Separador de milhares 3 2 6 2 5 2 4" xfId="19405"/>
    <cellStyle name="Separador de milhares 3 2 6 2 5 2 4 2" xfId="44472"/>
    <cellStyle name="Separador de milhares 3 2 6 2 5 2 5" xfId="13304"/>
    <cellStyle name="Separador de milhares 3 2 6 2 5 2 5 2" xfId="38561"/>
    <cellStyle name="Separador de milhares 3 2 6 2 5 2 6" xfId="32650"/>
    <cellStyle name="Separador de milhares 3 2 6 2 5 3" xfId="8594"/>
    <cellStyle name="Separador de milhares 3 2 6 2 5 3 2" xfId="26808"/>
    <cellStyle name="Separador de milhares 3 2 6 2 5 3 2 2" xfId="51875"/>
    <cellStyle name="Separador de milhares 3 2 6 2 5 3 3" xfId="20894"/>
    <cellStyle name="Separador de milhares 3 2 6 2 5 3 3 2" xfId="45961"/>
    <cellStyle name="Separador de milhares 3 2 6 2 5 3 4" xfId="14980"/>
    <cellStyle name="Separador de milhares 3 2 6 2 5 3 4 2" xfId="40047"/>
    <cellStyle name="Separador de milhares 3 2 6 2 5 3 5" xfId="34139"/>
    <cellStyle name="Separador de milhares 3 2 6 2 5 4" xfId="5216"/>
    <cellStyle name="Separador de milhares 3 2 6 2 5 4 2" xfId="23851"/>
    <cellStyle name="Separador de milhares 3 2 6 2 5 4 2 2" xfId="48918"/>
    <cellStyle name="Separador de milhares 3 2 6 2 5 4 3" xfId="31182"/>
    <cellStyle name="Separador de milhares 3 2 6 2 5 5" xfId="17937"/>
    <cellStyle name="Separador de milhares 3 2 6 2 5 5 2" xfId="43004"/>
    <cellStyle name="Separador de milhares 3 2 6 2 5 6" xfId="11603"/>
    <cellStyle name="Separador de milhares 3 2 6 2 5 6 2" xfId="37093"/>
    <cellStyle name="Separador de milhares 3 2 6 2 5 7" xfId="29712"/>
    <cellStyle name="Separador de milhares 3 2 6 2 6" xfId="2262"/>
    <cellStyle name="Separador de milhares 3 2 6 2 6 2" xfId="7065"/>
    <cellStyle name="Separador de milhares 3 2 6 2 6 2 2" xfId="10209"/>
    <cellStyle name="Separador de milhares 3 2 6 2 6 2 2 2" xfId="28423"/>
    <cellStyle name="Separador de milhares 3 2 6 2 6 2 2 2 2" xfId="53490"/>
    <cellStyle name="Separador de milhares 3 2 6 2 6 2 2 3" xfId="22509"/>
    <cellStyle name="Separador de milhares 3 2 6 2 6 2 2 3 2" xfId="47576"/>
    <cellStyle name="Separador de milhares 3 2 6 2 6 2 2 4" xfId="16595"/>
    <cellStyle name="Separador de milhares 3 2 6 2 6 2 2 4 2" xfId="41662"/>
    <cellStyle name="Separador de milhares 3 2 6 2 6 2 2 5" xfId="35754"/>
    <cellStyle name="Separador de milhares 3 2 6 2 6 2 3" xfId="25466"/>
    <cellStyle name="Separador de milhares 3 2 6 2 6 2 3 2" xfId="50533"/>
    <cellStyle name="Separador de milhares 3 2 6 2 6 2 4" xfId="19552"/>
    <cellStyle name="Separador de milhares 3 2 6 2 6 2 4 2" xfId="44619"/>
    <cellStyle name="Separador de milhares 3 2 6 2 6 2 5" xfId="13454"/>
    <cellStyle name="Separador de milhares 3 2 6 2 6 2 5 2" xfId="38708"/>
    <cellStyle name="Separador de milhares 3 2 6 2 6 2 6" xfId="32797"/>
    <cellStyle name="Separador de milhares 3 2 6 2 6 3" xfId="8741"/>
    <cellStyle name="Separador de milhares 3 2 6 2 6 3 2" xfId="26955"/>
    <cellStyle name="Separador de milhares 3 2 6 2 6 3 2 2" xfId="52022"/>
    <cellStyle name="Separador de milhares 3 2 6 2 6 3 3" xfId="21041"/>
    <cellStyle name="Separador de milhares 3 2 6 2 6 3 3 2" xfId="46108"/>
    <cellStyle name="Separador de milhares 3 2 6 2 6 3 4" xfId="15127"/>
    <cellStyle name="Separador de milhares 3 2 6 2 6 3 4 2" xfId="40194"/>
    <cellStyle name="Separador de milhares 3 2 6 2 6 3 5" xfId="34286"/>
    <cellStyle name="Separador de milhares 3 2 6 2 6 4" xfId="5366"/>
    <cellStyle name="Separador de milhares 3 2 6 2 6 4 2" xfId="23998"/>
    <cellStyle name="Separador de milhares 3 2 6 2 6 4 2 2" xfId="49065"/>
    <cellStyle name="Separador de milhares 3 2 6 2 6 4 3" xfId="31329"/>
    <cellStyle name="Separador de milhares 3 2 6 2 6 5" xfId="18084"/>
    <cellStyle name="Separador de milhares 3 2 6 2 6 5 2" xfId="43151"/>
    <cellStyle name="Separador de milhares 3 2 6 2 6 6" xfId="11753"/>
    <cellStyle name="Separador de milhares 3 2 6 2 6 6 2" xfId="37240"/>
    <cellStyle name="Separador de milhares 3 2 6 2 6 7" xfId="29859"/>
    <cellStyle name="Separador de milhares 3 2 6 2 7" xfId="2789"/>
    <cellStyle name="Separador de milhares 3 2 6 2 7 2" xfId="7212"/>
    <cellStyle name="Separador de milhares 3 2 6 2 7 2 2" xfId="10356"/>
    <cellStyle name="Separador de milhares 3 2 6 2 7 2 2 2" xfId="28570"/>
    <cellStyle name="Separador de milhares 3 2 6 2 7 2 2 2 2" xfId="53637"/>
    <cellStyle name="Separador de milhares 3 2 6 2 7 2 2 3" xfId="22656"/>
    <cellStyle name="Separador de milhares 3 2 6 2 7 2 2 3 2" xfId="47723"/>
    <cellStyle name="Separador de milhares 3 2 6 2 7 2 2 4" xfId="16742"/>
    <cellStyle name="Separador de milhares 3 2 6 2 7 2 2 4 2" xfId="41809"/>
    <cellStyle name="Separador de milhares 3 2 6 2 7 2 2 5" xfId="35901"/>
    <cellStyle name="Separador de milhares 3 2 6 2 7 2 3" xfId="25613"/>
    <cellStyle name="Separador de milhares 3 2 6 2 7 2 3 2" xfId="50680"/>
    <cellStyle name="Separador de milhares 3 2 6 2 7 2 4" xfId="19699"/>
    <cellStyle name="Separador de milhares 3 2 6 2 7 2 4 2" xfId="44766"/>
    <cellStyle name="Separador de milhares 3 2 6 2 7 2 5" xfId="13601"/>
    <cellStyle name="Separador de milhares 3 2 6 2 7 2 5 2" xfId="38855"/>
    <cellStyle name="Separador de milhares 3 2 6 2 7 2 6" xfId="32944"/>
    <cellStyle name="Separador de milhares 3 2 6 2 7 3" xfId="8888"/>
    <cellStyle name="Separador de milhares 3 2 6 2 7 3 2" xfId="27102"/>
    <cellStyle name="Separador de milhares 3 2 6 2 7 3 2 2" xfId="52169"/>
    <cellStyle name="Separador de milhares 3 2 6 2 7 3 3" xfId="21188"/>
    <cellStyle name="Separador de milhares 3 2 6 2 7 3 3 2" xfId="46255"/>
    <cellStyle name="Separador de milhares 3 2 6 2 7 3 4" xfId="15274"/>
    <cellStyle name="Separador de milhares 3 2 6 2 7 3 4 2" xfId="40341"/>
    <cellStyle name="Separador de milhares 3 2 6 2 7 3 5" xfId="34433"/>
    <cellStyle name="Separador de milhares 3 2 6 2 7 4" xfId="5513"/>
    <cellStyle name="Separador de milhares 3 2 6 2 7 4 2" xfId="24145"/>
    <cellStyle name="Separador de milhares 3 2 6 2 7 4 2 2" xfId="49212"/>
    <cellStyle name="Separador de milhares 3 2 6 2 7 4 3" xfId="31476"/>
    <cellStyle name="Separador de milhares 3 2 6 2 7 5" xfId="18231"/>
    <cellStyle name="Separador de milhares 3 2 6 2 7 5 2" xfId="43298"/>
    <cellStyle name="Separador de milhares 3 2 6 2 7 6" xfId="11900"/>
    <cellStyle name="Separador de milhares 3 2 6 2 7 6 2" xfId="37387"/>
    <cellStyle name="Separador de milhares 3 2 6 2 7 7" xfId="30006"/>
    <cellStyle name="Separador de milhares 3 2 6 2 8" xfId="3316"/>
    <cellStyle name="Separador de milhares 3 2 6 2 8 2" xfId="7359"/>
    <cellStyle name="Separador de milhares 3 2 6 2 8 2 2" xfId="10503"/>
    <cellStyle name="Separador de milhares 3 2 6 2 8 2 2 2" xfId="28717"/>
    <cellStyle name="Separador de milhares 3 2 6 2 8 2 2 2 2" xfId="53784"/>
    <cellStyle name="Separador de milhares 3 2 6 2 8 2 2 3" xfId="22803"/>
    <cellStyle name="Separador de milhares 3 2 6 2 8 2 2 3 2" xfId="47870"/>
    <cellStyle name="Separador de milhares 3 2 6 2 8 2 2 4" xfId="16889"/>
    <cellStyle name="Separador de milhares 3 2 6 2 8 2 2 4 2" xfId="41956"/>
    <cellStyle name="Separador de milhares 3 2 6 2 8 2 2 5" xfId="36048"/>
    <cellStyle name="Separador de milhares 3 2 6 2 8 2 3" xfId="25760"/>
    <cellStyle name="Separador de milhares 3 2 6 2 8 2 3 2" xfId="50827"/>
    <cellStyle name="Separador de milhares 3 2 6 2 8 2 4" xfId="19846"/>
    <cellStyle name="Separador de milhares 3 2 6 2 8 2 4 2" xfId="44913"/>
    <cellStyle name="Separador de milhares 3 2 6 2 8 2 5" xfId="13748"/>
    <cellStyle name="Separador de milhares 3 2 6 2 8 2 5 2" xfId="39002"/>
    <cellStyle name="Separador de milhares 3 2 6 2 8 2 6" xfId="33091"/>
    <cellStyle name="Separador de milhares 3 2 6 2 8 3" xfId="9035"/>
    <cellStyle name="Separador de milhares 3 2 6 2 8 3 2" xfId="27249"/>
    <cellStyle name="Separador de milhares 3 2 6 2 8 3 2 2" xfId="52316"/>
    <cellStyle name="Separador de milhares 3 2 6 2 8 3 3" xfId="21335"/>
    <cellStyle name="Separador de milhares 3 2 6 2 8 3 3 2" xfId="46402"/>
    <cellStyle name="Separador de milhares 3 2 6 2 8 3 4" xfId="15421"/>
    <cellStyle name="Separador de milhares 3 2 6 2 8 3 4 2" xfId="40488"/>
    <cellStyle name="Separador de milhares 3 2 6 2 8 3 5" xfId="34580"/>
    <cellStyle name="Separador de milhares 3 2 6 2 8 4" xfId="5660"/>
    <cellStyle name="Separador de milhares 3 2 6 2 8 4 2" xfId="24292"/>
    <cellStyle name="Separador de milhares 3 2 6 2 8 4 2 2" xfId="49359"/>
    <cellStyle name="Separador de milhares 3 2 6 2 8 4 3" xfId="31623"/>
    <cellStyle name="Separador de milhares 3 2 6 2 8 5" xfId="18378"/>
    <cellStyle name="Separador de milhares 3 2 6 2 8 5 2" xfId="43445"/>
    <cellStyle name="Separador de milhares 3 2 6 2 8 6" xfId="12047"/>
    <cellStyle name="Separador de milhares 3 2 6 2 8 6 2" xfId="37534"/>
    <cellStyle name="Separador de milhares 3 2 6 2 8 7" xfId="30153"/>
    <cellStyle name="Separador de milhares 3 2 6 2 9" xfId="3843"/>
    <cellStyle name="Separador de milhares 3 2 6 2 9 2" xfId="7506"/>
    <cellStyle name="Separador de milhares 3 2 6 2 9 2 2" xfId="10650"/>
    <cellStyle name="Separador de milhares 3 2 6 2 9 2 2 2" xfId="28864"/>
    <cellStyle name="Separador de milhares 3 2 6 2 9 2 2 2 2" xfId="53931"/>
    <cellStyle name="Separador de milhares 3 2 6 2 9 2 2 3" xfId="22950"/>
    <cellStyle name="Separador de milhares 3 2 6 2 9 2 2 3 2" xfId="48017"/>
    <cellStyle name="Separador de milhares 3 2 6 2 9 2 2 4" xfId="17036"/>
    <cellStyle name="Separador de milhares 3 2 6 2 9 2 2 4 2" xfId="42103"/>
    <cellStyle name="Separador de milhares 3 2 6 2 9 2 2 5" xfId="36195"/>
    <cellStyle name="Separador de milhares 3 2 6 2 9 2 3" xfId="25907"/>
    <cellStyle name="Separador de milhares 3 2 6 2 9 2 3 2" xfId="50974"/>
    <cellStyle name="Separador de milhares 3 2 6 2 9 2 4" xfId="19993"/>
    <cellStyle name="Separador de milhares 3 2 6 2 9 2 4 2" xfId="45060"/>
    <cellStyle name="Separador de milhares 3 2 6 2 9 2 5" xfId="13895"/>
    <cellStyle name="Separador de milhares 3 2 6 2 9 2 5 2" xfId="39149"/>
    <cellStyle name="Separador de milhares 3 2 6 2 9 2 6" xfId="33238"/>
    <cellStyle name="Separador de milhares 3 2 6 2 9 3" xfId="9182"/>
    <cellStyle name="Separador de milhares 3 2 6 2 9 3 2" xfId="27396"/>
    <cellStyle name="Separador de milhares 3 2 6 2 9 3 2 2" xfId="52463"/>
    <cellStyle name="Separador de milhares 3 2 6 2 9 3 3" xfId="21482"/>
    <cellStyle name="Separador de milhares 3 2 6 2 9 3 3 2" xfId="46549"/>
    <cellStyle name="Separador de milhares 3 2 6 2 9 3 4" xfId="15568"/>
    <cellStyle name="Separador de milhares 3 2 6 2 9 3 4 2" xfId="40635"/>
    <cellStyle name="Separador de milhares 3 2 6 2 9 3 5" xfId="34727"/>
    <cellStyle name="Separador de milhares 3 2 6 2 9 4" xfId="5807"/>
    <cellStyle name="Separador de milhares 3 2 6 2 9 4 2" xfId="24439"/>
    <cellStyle name="Separador de milhares 3 2 6 2 9 4 2 2" xfId="49506"/>
    <cellStyle name="Separador de milhares 3 2 6 2 9 4 3" xfId="31770"/>
    <cellStyle name="Separador de milhares 3 2 6 2 9 5" xfId="18525"/>
    <cellStyle name="Separador de milhares 3 2 6 2 9 5 2" xfId="43592"/>
    <cellStyle name="Separador de milhares 3 2 6 2 9 6" xfId="12194"/>
    <cellStyle name="Separador de milhares 3 2 6 2 9 6 2" xfId="37681"/>
    <cellStyle name="Separador de milhares 3 2 6 2 9 7" xfId="30300"/>
    <cellStyle name="Separador de milhares 3 2 6 3" xfId="295"/>
    <cellStyle name="Separador de milhares 3 2 6 3 10" xfId="6497"/>
    <cellStyle name="Separador de milhares 3 2 6 3 10 2" xfId="9648"/>
    <cellStyle name="Separador de milhares 3 2 6 3 10 2 2" xfId="27862"/>
    <cellStyle name="Separador de milhares 3 2 6 3 10 2 2 2" xfId="52929"/>
    <cellStyle name="Separador de milhares 3 2 6 3 10 2 3" xfId="21948"/>
    <cellStyle name="Separador de milhares 3 2 6 3 10 2 3 2" xfId="47015"/>
    <cellStyle name="Separador de milhares 3 2 6 3 10 2 4" xfId="16034"/>
    <cellStyle name="Separador de milhares 3 2 6 3 10 2 4 2" xfId="41101"/>
    <cellStyle name="Separador de milhares 3 2 6 3 10 2 5" xfId="35193"/>
    <cellStyle name="Separador de milhares 3 2 6 3 10 3" xfId="24905"/>
    <cellStyle name="Separador de milhares 3 2 6 3 10 3 2" xfId="49972"/>
    <cellStyle name="Separador de milhares 3 2 6 3 10 4" xfId="18991"/>
    <cellStyle name="Separador de milhares 3 2 6 3 10 4 2" xfId="44058"/>
    <cellStyle name="Separador de milhares 3 2 6 3 10 5" xfId="12886"/>
    <cellStyle name="Separador de milhares 3 2 6 3 10 5 2" xfId="38147"/>
    <cellStyle name="Separador de milhares 3 2 6 3 10 6" xfId="32236"/>
    <cellStyle name="Separador de milhares 3 2 6 3 11" xfId="8177"/>
    <cellStyle name="Separador de milhares 3 2 6 3 11 2" xfId="26391"/>
    <cellStyle name="Separador de milhares 3 2 6 3 11 2 2" xfId="51458"/>
    <cellStyle name="Separador de milhares 3 2 6 3 11 3" xfId="20477"/>
    <cellStyle name="Separador de milhares 3 2 6 3 11 3 2" xfId="45544"/>
    <cellStyle name="Separador de milhares 3 2 6 3 11 4" xfId="14566"/>
    <cellStyle name="Separador de milhares 3 2 6 3 11 4 2" xfId="39633"/>
    <cellStyle name="Separador de milhares 3 2 6 3 11 5" xfId="33722"/>
    <cellStyle name="Separador de milhares 3 2 6 3 12" xfId="4796"/>
    <cellStyle name="Separador de milhares 3 2 6 3 12 2" xfId="23434"/>
    <cellStyle name="Separador de milhares 3 2 6 3 12 2 2" xfId="48501"/>
    <cellStyle name="Separador de milhares 3 2 6 3 12 3" xfId="30766"/>
    <cellStyle name="Separador de milhares 3 2 6 3 13" xfId="17520"/>
    <cellStyle name="Separador de milhares 3 2 6 3 13 2" xfId="42587"/>
    <cellStyle name="Separador de milhares 3 2 6 3 14" xfId="11185"/>
    <cellStyle name="Separador de milhares 3 2 6 3 14 2" xfId="36679"/>
    <cellStyle name="Separador de milhares 3 2 6 3 15" xfId="29295"/>
    <cellStyle name="Separador de milhares 3 2 6 3 2" xfId="558"/>
    <cellStyle name="Separador de milhares 3 2 6 3 2 2" xfId="6568"/>
    <cellStyle name="Separador de milhares 3 2 6 3 2 2 2" xfId="9715"/>
    <cellStyle name="Separador de milhares 3 2 6 3 2 2 2 2" xfId="27929"/>
    <cellStyle name="Separador de milhares 3 2 6 3 2 2 2 2 2" xfId="52996"/>
    <cellStyle name="Separador de milhares 3 2 6 3 2 2 2 3" xfId="22015"/>
    <cellStyle name="Separador de milhares 3 2 6 3 2 2 2 3 2" xfId="47082"/>
    <cellStyle name="Separador de milhares 3 2 6 3 2 2 2 4" xfId="16101"/>
    <cellStyle name="Separador de milhares 3 2 6 3 2 2 2 4 2" xfId="41168"/>
    <cellStyle name="Separador de milhares 3 2 6 3 2 2 2 5" xfId="35260"/>
    <cellStyle name="Separador de milhares 3 2 6 3 2 2 3" xfId="24972"/>
    <cellStyle name="Separador de milhares 3 2 6 3 2 2 3 2" xfId="50039"/>
    <cellStyle name="Separador de milhares 3 2 6 3 2 2 4" xfId="19058"/>
    <cellStyle name="Separador de milhares 3 2 6 3 2 2 4 2" xfId="44125"/>
    <cellStyle name="Separador de milhares 3 2 6 3 2 2 5" xfId="12957"/>
    <cellStyle name="Separador de milhares 3 2 6 3 2 2 5 2" xfId="38214"/>
    <cellStyle name="Separador de milhares 3 2 6 3 2 2 6" xfId="32303"/>
    <cellStyle name="Separador de milhares 3 2 6 3 2 3" xfId="8244"/>
    <cellStyle name="Separador de milhares 3 2 6 3 2 3 2" xfId="26458"/>
    <cellStyle name="Separador de milhares 3 2 6 3 2 3 2 2" xfId="51525"/>
    <cellStyle name="Separador de milhares 3 2 6 3 2 3 3" xfId="20544"/>
    <cellStyle name="Separador de milhares 3 2 6 3 2 3 3 2" xfId="45611"/>
    <cellStyle name="Separador de milhares 3 2 6 3 2 3 4" xfId="14633"/>
    <cellStyle name="Separador de milhares 3 2 6 3 2 3 4 2" xfId="39700"/>
    <cellStyle name="Separador de milhares 3 2 6 3 2 3 5" xfId="33789"/>
    <cellStyle name="Separador de milhares 3 2 6 3 2 4" xfId="4867"/>
    <cellStyle name="Separador de milhares 3 2 6 3 2 4 2" xfId="23501"/>
    <cellStyle name="Separador de milhares 3 2 6 3 2 4 2 2" xfId="48568"/>
    <cellStyle name="Separador de milhares 3 2 6 3 2 4 3" xfId="30833"/>
    <cellStyle name="Separador de milhares 3 2 6 3 2 5" xfId="17587"/>
    <cellStyle name="Separador de milhares 3 2 6 3 2 5 2" xfId="42654"/>
    <cellStyle name="Separador de milhares 3 2 6 3 2 6" xfId="11256"/>
    <cellStyle name="Separador de milhares 3 2 6 3 2 6 2" xfId="36746"/>
    <cellStyle name="Separador de milhares 3 2 6 3 2 7" xfId="29362"/>
    <cellStyle name="Separador de milhares 3 2 6 3 3" xfId="855"/>
    <cellStyle name="Separador de milhares 3 2 6 3 3 2" xfId="6670"/>
    <cellStyle name="Separador de milhares 3 2 6 3 3 2 2" xfId="9817"/>
    <cellStyle name="Separador de milhares 3 2 6 3 3 2 2 2" xfId="28031"/>
    <cellStyle name="Separador de milhares 3 2 6 3 3 2 2 2 2" xfId="53098"/>
    <cellStyle name="Separador de milhares 3 2 6 3 3 2 2 3" xfId="22117"/>
    <cellStyle name="Separador de milhares 3 2 6 3 3 2 2 3 2" xfId="47184"/>
    <cellStyle name="Separador de milhares 3 2 6 3 3 2 2 4" xfId="16203"/>
    <cellStyle name="Separador de milhares 3 2 6 3 3 2 2 4 2" xfId="41270"/>
    <cellStyle name="Separador de milhares 3 2 6 3 3 2 2 5" xfId="35362"/>
    <cellStyle name="Separador de milhares 3 2 6 3 3 2 3" xfId="25074"/>
    <cellStyle name="Separador de milhares 3 2 6 3 3 2 3 2" xfId="50141"/>
    <cellStyle name="Separador de milhares 3 2 6 3 3 2 4" xfId="19160"/>
    <cellStyle name="Separador de milhares 3 2 6 3 3 2 4 2" xfId="44227"/>
    <cellStyle name="Separador de milhares 3 2 6 3 3 2 5" xfId="13059"/>
    <cellStyle name="Separador de milhares 3 2 6 3 3 2 5 2" xfId="38316"/>
    <cellStyle name="Separador de milhares 3 2 6 3 3 2 6" xfId="32405"/>
    <cellStyle name="Separador de milhares 3 2 6 3 3 3" xfId="8349"/>
    <cellStyle name="Separador de milhares 3 2 6 3 3 3 2" xfId="26563"/>
    <cellStyle name="Separador de milhares 3 2 6 3 3 3 2 2" xfId="51630"/>
    <cellStyle name="Separador de milhares 3 2 6 3 3 3 3" xfId="20649"/>
    <cellStyle name="Separador de milhares 3 2 6 3 3 3 3 2" xfId="45716"/>
    <cellStyle name="Separador de milhares 3 2 6 3 3 3 4" xfId="14735"/>
    <cellStyle name="Separador de milhares 3 2 6 3 3 3 4 2" xfId="39802"/>
    <cellStyle name="Separador de milhares 3 2 6 3 3 3 5" xfId="33894"/>
    <cellStyle name="Separador de milhares 3 2 6 3 3 4" xfId="4971"/>
    <cellStyle name="Separador de milhares 3 2 6 3 3 4 2" xfId="23606"/>
    <cellStyle name="Separador de milhares 3 2 6 3 3 4 2 2" xfId="48673"/>
    <cellStyle name="Separador de milhares 3 2 6 3 3 4 3" xfId="30937"/>
    <cellStyle name="Separador de milhares 3 2 6 3 3 5" xfId="17692"/>
    <cellStyle name="Separador de milhares 3 2 6 3 3 5 2" xfId="42759"/>
    <cellStyle name="Separador de milhares 3 2 6 3 3 6" xfId="11358"/>
    <cellStyle name="Separador de milhares 3 2 6 3 3 6 2" xfId="36848"/>
    <cellStyle name="Separador de milhares 3 2 6 3 3 7" xfId="29467"/>
    <cellStyle name="Separador de milhares 3 2 6 3 4" xfId="1206"/>
    <cellStyle name="Separador de milhares 3 2 6 3 4 2" xfId="6768"/>
    <cellStyle name="Separador de milhares 3 2 6 3 4 2 2" xfId="9915"/>
    <cellStyle name="Separador de milhares 3 2 6 3 4 2 2 2" xfId="28129"/>
    <cellStyle name="Separador de milhares 3 2 6 3 4 2 2 2 2" xfId="53196"/>
    <cellStyle name="Separador de milhares 3 2 6 3 4 2 2 3" xfId="22215"/>
    <cellStyle name="Separador de milhares 3 2 6 3 4 2 2 3 2" xfId="47282"/>
    <cellStyle name="Separador de milhares 3 2 6 3 4 2 2 4" xfId="16301"/>
    <cellStyle name="Separador de milhares 3 2 6 3 4 2 2 4 2" xfId="41368"/>
    <cellStyle name="Separador de milhares 3 2 6 3 4 2 2 5" xfId="35460"/>
    <cellStyle name="Separador de milhares 3 2 6 3 4 2 3" xfId="25172"/>
    <cellStyle name="Separador de milhares 3 2 6 3 4 2 3 2" xfId="50239"/>
    <cellStyle name="Separador de milhares 3 2 6 3 4 2 4" xfId="19258"/>
    <cellStyle name="Separador de milhares 3 2 6 3 4 2 4 2" xfId="44325"/>
    <cellStyle name="Separador de milhares 3 2 6 3 4 2 5" xfId="13157"/>
    <cellStyle name="Separador de milhares 3 2 6 3 4 2 5 2" xfId="38414"/>
    <cellStyle name="Separador de milhares 3 2 6 3 4 2 6" xfId="32503"/>
    <cellStyle name="Separador de milhares 3 2 6 3 4 3" xfId="8447"/>
    <cellStyle name="Separador de milhares 3 2 6 3 4 3 2" xfId="26661"/>
    <cellStyle name="Separador de milhares 3 2 6 3 4 3 2 2" xfId="51728"/>
    <cellStyle name="Separador de milhares 3 2 6 3 4 3 3" xfId="20747"/>
    <cellStyle name="Separador de milhares 3 2 6 3 4 3 3 2" xfId="45814"/>
    <cellStyle name="Separador de milhares 3 2 6 3 4 3 4" xfId="14833"/>
    <cellStyle name="Separador de milhares 3 2 6 3 4 3 4 2" xfId="39900"/>
    <cellStyle name="Separador de milhares 3 2 6 3 4 3 5" xfId="33992"/>
    <cellStyle name="Separador de milhares 3 2 6 3 4 4" xfId="5069"/>
    <cellStyle name="Separador de milhares 3 2 6 3 4 4 2" xfId="23704"/>
    <cellStyle name="Separador de milhares 3 2 6 3 4 4 2 2" xfId="48771"/>
    <cellStyle name="Separador de milhares 3 2 6 3 4 4 3" xfId="31035"/>
    <cellStyle name="Separador de milhares 3 2 6 3 4 5" xfId="17790"/>
    <cellStyle name="Separador de milhares 3 2 6 3 4 5 2" xfId="42857"/>
    <cellStyle name="Separador de milhares 3 2 6 3 4 6" xfId="11456"/>
    <cellStyle name="Separador de milhares 3 2 6 3 4 6 2" xfId="36946"/>
    <cellStyle name="Separador de milhares 3 2 6 3 4 7" xfId="29565"/>
    <cellStyle name="Separador de milhares 3 2 6 3 5" xfId="1641"/>
    <cellStyle name="Separador de milhares 3 2 6 3 5 2" xfId="6887"/>
    <cellStyle name="Separador de milhares 3 2 6 3 5 2 2" xfId="10034"/>
    <cellStyle name="Separador de milhares 3 2 6 3 5 2 2 2" xfId="28248"/>
    <cellStyle name="Separador de milhares 3 2 6 3 5 2 2 2 2" xfId="53315"/>
    <cellStyle name="Separador de milhares 3 2 6 3 5 2 2 3" xfId="22334"/>
    <cellStyle name="Separador de milhares 3 2 6 3 5 2 2 3 2" xfId="47401"/>
    <cellStyle name="Separador de milhares 3 2 6 3 5 2 2 4" xfId="16420"/>
    <cellStyle name="Separador de milhares 3 2 6 3 5 2 2 4 2" xfId="41487"/>
    <cellStyle name="Separador de milhares 3 2 6 3 5 2 2 5" xfId="35579"/>
    <cellStyle name="Separador de milhares 3 2 6 3 5 2 3" xfId="25291"/>
    <cellStyle name="Separador de milhares 3 2 6 3 5 2 3 2" xfId="50358"/>
    <cellStyle name="Separador de milhares 3 2 6 3 5 2 4" xfId="19377"/>
    <cellStyle name="Separador de milhares 3 2 6 3 5 2 4 2" xfId="44444"/>
    <cellStyle name="Separador de milhares 3 2 6 3 5 2 5" xfId="13276"/>
    <cellStyle name="Separador de milhares 3 2 6 3 5 2 5 2" xfId="38533"/>
    <cellStyle name="Separador de milhares 3 2 6 3 5 2 6" xfId="32622"/>
    <cellStyle name="Separador de milhares 3 2 6 3 5 3" xfId="8566"/>
    <cellStyle name="Separador de milhares 3 2 6 3 5 3 2" xfId="26780"/>
    <cellStyle name="Separador de milhares 3 2 6 3 5 3 2 2" xfId="51847"/>
    <cellStyle name="Separador de milhares 3 2 6 3 5 3 3" xfId="20866"/>
    <cellStyle name="Separador de milhares 3 2 6 3 5 3 3 2" xfId="45933"/>
    <cellStyle name="Separador de milhares 3 2 6 3 5 3 4" xfId="14952"/>
    <cellStyle name="Separador de milhares 3 2 6 3 5 3 4 2" xfId="40019"/>
    <cellStyle name="Separador de milhares 3 2 6 3 5 3 5" xfId="34111"/>
    <cellStyle name="Separador de milhares 3 2 6 3 5 4" xfId="5188"/>
    <cellStyle name="Separador de milhares 3 2 6 3 5 4 2" xfId="23823"/>
    <cellStyle name="Separador de milhares 3 2 6 3 5 4 2 2" xfId="48890"/>
    <cellStyle name="Separador de milhares 3 2 6 3 5 4 3" xfId="31154"/>
    <cellStyle name="Separador de milhares 3 2 6 3 5 5" xfId="17909"/>
    <cellStyle name="Separador de milhares 3 2 6 3 5 5 2" xfId="42976"/>
    <cellStyle name="Separador de milhares 3 2 6 3 5 6" xfId="11575"/>
    <cellStyle name="Separador de milhares 3 2 6 3 5 6 2" xfId="37065"/>
    <cellStyle name="Separador de milhares 3 2 6 3 5 7" xfId="29684"/>
    <cellStyle name="Separador de milhares 3 2 6 3 6" xfId="2171"/>
    <cellStyle name="Separador de milhares 3 2 6 3 6 2" xfId="7037"/>
    <cellStyle name="Separador de milhares 3 2 6 3 6 2 2" xfId="10181"/>
    <cellStyle name="Separador de milhares 3 2 6 3 6 2 2 2" xfId="28395"/>
    <cellStyle name="Separador de milhares 3 2 6 3 6 2 2 2 2" xfId="53462"/>
    <cellStyle name="Separador de milhares 3 2 6 3 6 2 2 3" xfId="22481"/>
    <cellStyle name="Separador de milhares 3 2 6 3 6 2 2 3 2" xfId="47548"/>
    <cellStyle name="Separador de milhares 3 2 6 3 6 2 2 4" xfId="16567"/>
    <cellStyle name="Separador de milhares 3 2 6 3 6 2 2 4 2" xfId="41634"/>
    <cellStyle name="Separador de milhares 3 2 6 3 6 2 2 5" xfId="35726"/>
    <cellStyle name="Separador de milhares 3 2 6 3 6 2 3" xfId="25438"/>
    <cellStyle name="Separador de milhares 3 2 6 3 6 2 3 2" xfId="50505"/>
    <cellStyle name="Separador de milhares 3 2 6 3 6 2 4" xfId="19524"/>
    <cellStyle name="Separador de milhares 3 2 6 3 6 2 4 2" xfId="44591"/>
    <cellStyle name="Separador de milhares 3 2 6 3 6 2 5" xfId="13426"/>
    <cellStyle name="Separador de milhares 3 2 6 3 6 2 5 2" xfId="38680"/>
    <cellStyle name="Separador de milhares 3 2 6 3 6 2 6" xfId="32769"/>
    <cellStyle name="Separador de milhares 3 2 6 3 6 3" xfId="8713"/>
    <cellStyle name="Separador de milhares 3 2 6 3 6 3 2" xfId="26927"/>
    <cellStyle name="Separador de milhares 3 2 6 3 6 3 2 2" xfId="51994"/>
    <cellStyle name="Separador de milhares 3 2 6 3 6 3 3" xfId="21013"/>
    <cellStyle name="Separador de milhares 3 2 6 3 6 3 3 2" xfId="46080"/>
    <cellStyle name="Separador de milhares 3 2 6 3 6 3 4" xfId="15099"/>
    <cellStyle name="Separador de milhares 3 2 6 3 6 3 4 2" xfId="40166"/>
    <cellStyle name="Separador de milhares 3 2 6 3 6 3 5" xfId="34258"/>
    <cellStyle name="Separador de milhares 3 2 6 3 6 4" xfId="5338"/>
    <cellStyle name="Separador de milhares 3 2 6 3 6 4 2" xfId="23970"/>
    <cellStyle name="Separador de milhares 3 2 6 3 6 4 2 2" xfId="49037"/>
    <cellStyle name="Separador de milhares 3 2 6 3 6 4 3" xfId="31301"/>
    <cellStyle name="Separador de milhares 3 2 6 3 6 5" xfId="18056"/>
    <cellStyle name="Separador de milhares 3 2 6 3 6 5 2" xfId="43123"/>
    <cellStyle name="Separador de milhares 3 2 6 3 6 6" xfId="11725"/>
    <cellStyle name="Separador de milhares 3 2 6 3 6 6 2" xfId="37212"/>
    <cellStyle name="Separador de milhares 3 2 6 3 6 7" xfId="29831"/>
    <cellStyle name="Separador de milhares 3 2 6 3 7" xfId="2698"/>
    <cellStyle name="Separador de milhares 3 2 6 3 7 2" xfId="7184"/>
    <cellStyle name="Separador de milhares 3 2 6 3 7 2 2" xfId="10328"/>
    <cellStyle name="Separador de milhares 3 2 6 3 7 2 2 2" xfId="28542"/>
    <cellStyle name="Separador de milhares 3 2 6 3 7 2 2 2 2" xfId="53609"/>
    <cellStyle name="Separador de milhares 3 2 6 3 7 2 2 3" xfId="22628"/>
    <cellStyle name="Separador de milhares 3 2 6 3 7 2 2 3 2" xfId="47695"/>
    <cellStyle name="Separador de milhares 3 2 6 3 7 2 2 4" xfId="16714"/>
    <cellStyle name="Separador de milhares 3 2 6 3 7 2 2 4 2" xfId="41781"/>
    <cellStyle name="Separador de milhares 3 2 6 3 7 2 2 5" xfId="35873"/>
    <cellStyle name="Separador de milhares 3 2 6 3 7 2 3" xfId="25585"/>
    <cellStyle name="Separador de milhares 3 2 6 3 7 2 3 2" xfId="50652"/>
    <cellStyle name="Separador de milhares 3 2 6 3 7 2 4" xfId="19671"/>
    <cellStyle name="Separador de milhares 3 2 6 3 7 2 4 2" xfId="44738"/>
    <cellStyle name="Separador de milhares 3 2 6 3 7 2 5" xfId="13573"/>
    <cellStyle name="Separador de milhares 3 2 6 3 7 2 5 2" xfId="38827"/>
    <cellStyle name="Separador de milhares 3 2 6 3 7 2 6" xfId="32916"/>
    <cellStyle name="Separador de milhares 3 2 6 3 7 3" xfId="8860"/>
    <cellStyle name="Separador de milhares 3 2 6 3 7 3 2" xfId="27074"/>
    <cellStyle name="Separador de milhares 3 2 6 3 7 3 2 2" xfId="52141"/>
    <cellStyle name="Separador de milhares 3 2 6 3 7 3 3" xfId="21160"/>
    <cellStyle name="Separador de milhares 3 2 6 3 7 3 3 2" xfId="46227"/>
    <cellStyle name="Separador de milhares 3 2 6 3 7 3 4" xfId="15246"/>
    <cellStyle name="Separador de milhares 3 2 6 3 7 3 4 2" xfId="40313"/>
    <cellStyle name="Separador de milhares 3 2 6 3 7 3 5" xfId="34405"/>
    <cellStyle name="Separador de milhares 3 2 6 3 7 4" xfId="5485"/>
    <cellStyle name="Separador de milhares 3 2 6 3 7 4 2" xfId="24117"/>
    <cellStyle name="Separador de milhares 3 2 6 3 7 4 2 2" xfId="49184"/>
    <cellStyle name="Separador de milhares 3 2 6 3 7 4 3" xfId="31448"/>
    <cellStyle name="Separador de milhares 3 2 6 3 7 5" xfId="18203"/>
    <cellStyle name="Separador de milhares 3 2 6 3 7 5 2" xfId="43270"/>
    <cellStyle name="Separador de milhares 3 2 6 3 7 6" xfId="11872"/>
    <cellStyle name="Separador de milhares 3 2 6 3 7 6 2" xfId="37359"/>
    <cellStyle name="Separador de milhares 3 2 6 3 7 7" xfId="29978"/>
    <cellStyle name="Separador de milhares 3 2 6 3 8" xfId="3225"/>
    <cellStyle name="Separador de milhares 3 2 6 3 8 2" xfId="7331"/>
    <cellStyle name="Separador de milhares 3 2 6 3 8 2 2" xfId="10475"/>
    <cellStyle name="Separador de milhares 3 2 6 3 8 2 2 2" xfId="28689"/>
    <cellStyle name="Separador de milhares 3 2 6 3 8 2 2 2 2" xfId="53756"/>
    <cellStyle name="Separador de milhares 3 2 6 3 8 2 2 3" xfId="22775"/>
    <cellStyle name="Separador de milhares 3 2 6 3 8 2 2 3 2" xfId="47842"/>
    <cellStyle name="Separador de milhares 3 2 6 3 8 2 2 4" xfId="16861"/>
    <cellStyle name="Separador de milhares 3 2 6 3 8 2 2 4 2" xfId="41928"/>
    <cellStyle name="Separador de milhares 3 2 6 3 8 2 2 5" xfId="36020"/>
    <cellStyle name="Separador de milhares 3 2 6 3 8 2 3" xfId="25732"/>
    <cellStyle name="Separador de milhares 3 2 6 3 8 2 3 2" xfId="50799"/>
    <cellStyle name="Separador de milhares 3 2 6 3 8 2 4" xfId="19818"/>
    <cellStyle name="Separador de milhares 3 2 6 3 8 2 4 2" xfId="44885"/>
    <cellStyle name="Separador de milhares 3 2 6 3 8 2 5" xfId="13720"/>
    <cellStyle name="Separador de milhares 3 2 6 3 8 2 5 2" xfId="38974"/>
    <cellStyle name="Separador de milhares 3 2 6 3 8 2 6" xfId="33063"/>
    <cellStyle name="Separador de milhares 3 2 6 3 8 3" xfId="9007"/>
    <cellStyle name="Separador de milhares 3 2 6 3 8 3 2" xfId="27221"/>
    <cellStyle name="Separador de milhares 3 2 6 3 8 3 2 2" xfId="52288"/>
    <cellStyle name="Separador de milhares 3 2 6 3 8 3 3" xfId="21307"/>
    <cellStyle name="Separador de milhares 3 2 6 3 8 3 3 2" xfId="46374"/>
    <cellStyle name="Separador de milhares 3 2 6 3 8 3 4" xfId="15393"/>
    <cellStyle name="Separador de milhares 3 2 6 3 8 3 4 2" xfId="40460"/>
    <cellStyle name="Separador de milhares 3 2 6 3 8 3 5" xfId="34552"/>
    <cellStyle name="Separador de milhares 3 2 6 3 8 4" xfId="5632"/>
    <cellStyle name="Separador de milhares 3 2 6 3 8 4 2" xfId="24264"/>
    <cellStyle name="Separador de milhares 3 2 6 3 8 4 2 2" xfId="49331"/>
    <cellStyle name="Separador de milhares 3 2 6 3 8 4 3" xfId="31595"/>
    <cellStyle name="Separador de milhares 3 2 6 3 8 5" xfId="18350"/>
    <cellStyle name="Separador de milhares 3 2 6 3 8 5 2" xfId="43417"/>
    <cellStyle name="Separador de milhares 3 2 6 3 8 6" xfId="12019"/>
    <cellStyle name="Separador de milhares 3 2 6 3 8 6 2" xfId="37506"/>
    <cellStyle name="Separador de milhares 3 2 6 3 8 7" xfId="30125"/>
    <cellStyle name="Separador de milhares 3 2 6 3 9" xfId="3752"/>
    <cellStyle name="Separador de milhares 3 2 6 3 9 2" xfId="7478"/>
    <cellStyle name="Separador de milhares 3 2 6 3 9 2 2" xfId="10622"/>
    <cellStyle name="Separador de milhares 3 2 6 3 9 2 2 2" xfId="28836"/>
    <cellStyle name="Separador de milhares 3 2 6 3 9 2 2 2 2" xfId="53903"/>
    <cellStyle name="Separador de milhares 3 2 6 3 9 2 2 3" xfId="22922"/>
    <cellStyle name="Separador de milhares 3 2 6 3 9 2 2 3 2" xfId="47989"/>
    <cellStyle name="Separador de milhares 3 2 6 3 9 2 2 4" xfId="17008"/>
    <cellStyle name="Separador de milhares 3 2 6 3 9 2 2 4 2" xfId="42075"/>
    <cellStyle name="Separador de milhares 3 2 6 3 9 2 2 5" xfId="36167"/>
    <cellStyle name="Separador de milhares 3 2 6 3 9 2 3" xfId="25879"/>
    <cellStyle name="Separador de milhares 3 2 6 3 9 2 3 2" xfId="50946"/>
    <cellStyle name="Separador de milhares 3 2 6 3 9 2 4" xfId="19965"/>
    <cellStyle name="Separador de milhares 3 2 6 3 9 2 4 2" xfId="45032"/>
    <cellStyle name="Separador de milhares 3 2 6 3 9 2 5" xfId="13867"/>
    <cellStyle name="Separador de milhares 3 2 6 3 9 2 5 2" xfId="39121"/>
    <cellStyle name="Separador de milhares 3 2 6 3 9 2 6" xfId="33210"/>
    <cellStyle name="Separador de milhares 3 2 6 3 9 3" xfId="9154"/>
    <cellStyle name="Separador de milhares 3 2 6 3 9 3 2" xfId="27368"/>
    <cellStyle name="Separador de milhares 3 2 6 3 9 3 2 2" xfId="52435"/>
    <cellStyle name="Separador de milhares 3 2 6 3 9 3 3" xfId="21454"/>
    <cellStyle name="Separador de milhares 3 2 6 3 9 3 3 2" xfId="46521"/>
    <cellStyle name="Separador de milhares 3 2 6 3 9 3 4" xfId="15540"/>
    <cellStyle name="Separador de milhares 3 2 6 3 9 3 4 2" xfId="40607"/>
    <cellStyle name="Separador de milhares 3 2 6 3 9 3 5" xfId="34699"/>
    <cellStyle name="Separador de milhares 3 2 6 3 9 4" xfId="5779"/>
    <cellStyle name="Separador de milhares 3 2 6 3 9 4 2" xfId="24411"/>
    <cellStyle name="Separador de milhares 3 2 6 3 9 4 2 2" xfId="49478"/>
    <cellStyle name="Separador de milhares 3 2 6 3 9 4 3" xfId="31742"/>
    <cellStyle name="Separador de milhares 3 2 6 3 9 5" xfId="18497"/>
    <cellStyle name="Separador de milhares 3 2 6 3 9 5 2" xfId="43564"/>
    <cellStyle name="Separador de milhares 3 2 6 3 9 6" xfId="12166"/>
    <cellStyle name="Separador de milhares 3 2 6 3 9 6 2" xfId="37653"/>
    <cellStyle name="Separador de milhares 3 2 6 3 9 7" xfId="30272"/>
    <cellStyle name="Separador de milhares 3 2 6 4" xfId="388"/>
    <cellStyle name="Separador de milhares 3 2 6 4 10" xfId="6525"/>
    <cellStyle name="Separador de milhares 3 2 6 4 10 2" xfId="9673"/>
    <cellStyle name="Separador de milhares 3 2 6 4 10 2 2" xfId="27887"/>
    <cellStyle name="Separador de milhares 3 2 6 4 10 2 2 2" xfId="52954"/>
    <cellStyle name="Separador de milhares 3 2 6 4 10 2 3" xfId="21973"/>
    <cellStyle name="Separador de milhares 3 2 6 4 10 2 3 2" xfId="47040"/>
    <cellStyle name="Separador de milhares 3 2 6 4 10 2 4" xfId="16059"/>
    <cellStyle name="Separador de milhares 3 2 6 4 10 2 4 2" xfId="41126"/>
    <cellStyle name="Separador de milhares 3 2 6 4 10 2 5" xfId="35218"/>
    <cellStyle name="Separador de milhares 3 2 6 4 10 3" xfId="24930"/>
    <cellStyle name="Separador de milhares 3 2 6 4 10 3 2" xfId="49997"/>
    <cellStyle name="Separador de milhares 3 2 6 4 10 4" xfId="19016"/>
    <cellStyle name="Separador de milhares 3 2 6 4 10 4 2" xfId="44083"/>
    <cellStyle name="Separador de milhares 3 2 6 4 10 5" xfId="12914"/>
    <cellStyle name="Separador de milhares 3 2 6 4 10 5 2" xfId="38172"/>
    <cellStyle name="Separador de milhares 3 2 6 4 10 6" xfId="32261"/>
    <cellStyle name="Separador de milhares 3 2 6 4 11" xfId="8202"/>
    <cellStyle name="Separador de milhares 3 2 6 4 11 2" xfId="26416"/>
    <cellStyle name="Separador de milhares 3 2 6 4 11 2 2" xfId="51483"/>
    <cellStyle name="Separador de milhares 3 2 6 4 11 3" xfId="20502"/>
    <cellStyle name="Separador de milhares 3 2 6 4 11 3 2" xfId="45569"/>
    <cellStyle name="Separador de milhares 3 2 6 4 11 4" xfId="14591"/>
    <cellStyle name="Separador de milhares 3 2 6 4 11 4 2" xfId="39658"/>
    <cellStyle name="Separador de milhares 3 2 6 4 11 5" xfId="33747"/>
    <cellStyle name="Separador de milhares 3 2 6 4 12" xfId="4824"/>
    <cellStyle name="Separador de milhares 3 2 6 4 12 2" xfId="23459"/>
    <cellStyle name="Separador de milhares 3 2 6 4 12 2 2" xfId="48526"/>
    <cellStyle name="Separador de milhares 3 2 6 4 12 3" xfId="30791"/>
    <cellStyle name="Separador de milhares 3 2 6 4 13" xfId="17545"/>
    <cellStyle name="Separador de milhares 3 2 6 4 13 2" xfId="42612"/>
    <cellStyle name="Separador de milhares 3 2 6 4 14" xfId="11213"/>
    <cellStyle name="Separador de milhares 3 2 6 4 14 2" xfId="36704"/>
    <cellStyle name="Separador de milhares 3 2 6 4 15" xfId="29320"/>
    <cellStyle name="Separador de milhares 3 2 6 4 2" xfId="1033"/>
    <cellStyle name="Separador de milhares 3 2 6 4 2 2" xfId="6722"/>
    <cellStyle name="Separador de milhares 3 2 6 4 2 2 2" xfId="9869"/>
    <cellStyle name="Separador de milhares 3 2 6 4 2 2 2 2" xfId="28083"/>
    <cellStyle name="Separador de milhares 3 2 6 4 2 2 2 2 2" xfId="53150"/>
    <cellStyle name="Separador de milhares 3 2 6 4 2 2 2 3" xfId="22169"/>
    <cellStyle name="Separador de milhares 3 2 6 4 2 2 2 3 2" xfId="47236"/>
    <cellStyle name="Separador de milhares 3 2 6 4 2 2 2 4" xfId="16255"/>
    <cellStyle name="Separador de milhares 3 2 6 4 2 2 2 4 2" xfId="41322"/>
    <cellStyle name="Separador de milhares 3 2 6 4 2 2 2 5" xfId="35414"/>
    <cellStyle name="Separador de milhares 3 2 6 4 2 2 3" xfId="25126"/>
    <cellStyle name="Separador de milhares 3 2 6 4 2 2 3 2" xfId="50193"/>
    <cellStyle name="Separador de milhares 3 2 6 4 2 2 4" xfId="19212"/>
    <cellStyle name="Separador de milhares 3 2 6 4 2 2 4 2" xfId="44279"/>
    <cellStyle name="Separador de milhares 3 2 6 4 2 2 5" xfId="13111"/>
    <cellStyle name="Separador de milhares 3 2 6 4 2 2 5 2" xfId="38368"/>
    <cellStyle name="Separador de milhares 3 2 6 4 2 2 6" xfId="32457"/>
    <cellStyle name="Separador de milhares 3 2 6 4 2 3" xfId="8401"/>
    <cellStyle name="Separador de milhares 3 2 6 4 2 3 2" xfId="26615"/>
    <cellStyle name="Separador de milhares 3 2 6 4 2 3 2 2" xfId="51682"/>
    <cellStyle name="Separador de milhares 3 2 6 4 2 3 3" xfId="20701"/>
    <cellStyle name="Separador de milhares 3 2 6 4 2 3 3 2" xfId="45768"/>
    <cellStyle name="Separador de milhares 3 2 6 4 2 3 4" xfId="14787"/>
    <cellStyle name="Separador de milhares 3 2 6 4 2 3 4 2" xfId="39854"/>
    <cellStyle name="Separador de milhares 3 2 6 4 2 3 5" xfId="33946"/>
    <cellStyle name="Separador de milhares 3 2 6 4 2 4" xfId="5023"/>
    <cellStyle name="Separador de milhares 3 2 6 4 2 4 2" xfId="23658"/>
    <cellStyle name="Separador de milhares 3 2 6 4 2 4 2 2" xfId="48725"/>
    <cellStyle name="Separador de milhares 3 2 6 4 2 4 3" xfId="30989"/>
    <cellStyle name="Separador de milhares 3 2 6 4 2 5" xfId="17744"/>
    <cellStyle name="Separador de milhares 3 2 6 4 2 5 2" xfId="42811"/>
    <cellStyle name="Separador de milhares 3 2 6 4 2 6" xfId="11410"/>
    <cellStyle name="Separador de milhares 3 2 6 4 2 6 2" xfId="36900"/>
    <cellStyle name="Separador de milhares 3 2 6 4 2 7" xfId="29519"/>
    <cellStyle name="Separador de milhares 3 2 6 4 3" xfId="1384"/>
    <cellStyle name="Separador de milhares 3 2 6 4 3 2" xfId="6820"/>
    <cellStyle name="Separador de milhares 3 2 6 4 3 2 2" xfId="9967"/>
    <cellStyle name="Separador de milhares 3 2 6 4 3 2 2 2" xfId="28181"/>
    <cellStyle name="Separador de milhares 3 2 6 4 3 2 2 2 2" xfId="53248"/>
    <cellStyle name="Separador de milhares 3 2 6 4 3 2 2 3" xfId="22267"/>
    <cellStyle name="Separador de milhares 3 2 6 4 3 2 2 3 2" xfId="47334"/>
    <cellStyle name="Separador de milhares 3 2 6 4 3 2 2 4" xfId="16353"/>
    <cellStyle name="Separador de milhares 3 2 6 4 3 2 2 4 2" xfId="41420"/>
    <cellStyle name="Separador de milhares 3 2 6 4 3 2 2 5" xfId="35512"/>
    <cellStyle name="Separador de milhares 3 2 6 4 3 2 3" xfId="25224"/>
    <cellStyle name="Separador de milhares 3 2 6 4 3 2 3 2" xfId="50291"/>
    <cellStyle name="Separador de milhares 3 2 6 4 3 2 4" xfId="19310"/>
    <cellStyle name="Separador de milhares 3 2 6 4 3 2 4 2" xfId="44377"/>
    <cellStyle name="Separador de milhares 3 2 6 4 3 2 5" xfId="13209"/>
    <cellStyle name="Separador de milhares 3 2 6 4 3 2 5 2" xfId="38466"/>
    <cellStyle name="Separador de milhares 3 2 6 4 3 2 6" xfId="32555"/>
    <cellStyle name="Separador de milhares 3 2 6 4 3 3" xfId="8499"/>
    <cellStyle name="Separador de milhares 3 2 6 4 3 3 2" xfId="26713"/>
    <cellStyle name="Separador de milhares 3 2 6 4 3 3 2 2" xfId="51780"/>
    <cellStyle name="Separador de milhares 3 2 6 4 3 3 3" xfId="20799"/>
    <cellStyle name="Separador de milhares 3 2 6 4 3 3 3 2" xfId="45866"/>
    <cellStyle name="Separador de milhares 3 2 6 4 3 3 4" xfId="14885"/>
    <cellStyle name="Separador de milhares 3 2 6 4 3 3 4 2" xfId="39952"/>
    <cellStyle name="Separador de milhares 3 2 6 4 3 3 5" xfId="34044"/>
    <cellStyle name="Separador de milhares 3 2 6 4 3 4" xfId="5121"/>
    <cellStyle name="Separador de milhares 3 2 6 4 3 4 2" xfId="23756"/>
    <cellStyle name="Separador de milhares 3 2 6 4 3 4 2 2" xfId="48823"/>
    <cellStyle name="Separador de milhares 3 2 6 4 3 4 3" xfId="31087"/>
    <cellStyle name="Separador de milhares 3 2 6 4 3 5" xfId="17842"/>
    <cellStyle name="Separador de milhares 3 2 6 4 3 5 2" xfId="42909"/>
    <cellStyle name="Separador de milhares 3 2 6 4 3 6" xfId="11508"/>
    <cellStyle name="Separador de milhares 3 2 6 4 3 6 2" xfId="36998"/>
    <cellStyle name="Separador de milhares 3 2 6 4 3 7" xfId="29617"/>
    <cellStyle name="Separador de milhares 3 2 6 4 4" xfId="1819"/>
    <cellStyle name="Separador de milhares 3 2 6 4 4 2" xfId="6939"/>
    <cellStyle name="Separador de milhares 3 2 6 4 4 2 2" xfId="10086"/>
    <cellStyle name="Separador de milhares 3 2 6 4 4 2 2 2" xfId="28300"/>
    <cellStyle name="Separador de milhares 3 2 6 4 4 2 2 2 2" xfId="53367"/>
    <cellStyle name="Separador de milhares 3 2 6 4 4 2 2 3" xfId="22386"/>
    <cellStyle name="Separador de milhares 3 2 6 4 4 2 2 3 2" xfId="47453"/>
    <cellStyle name="Separador de milhares 3 2 6 4 4 2 2 4" xfId="16472"/>
    <cellStyle name="Separador de milhares 3 2 6 4 4 2 2 4 2" xfId="41539"/>
    <cellStyle name="Separador de milhares 3 2 6 4 4 2 2 5" xfId="35631"/>
    <cellStyle name="Separador de milhares 3 2 6 4 4 2 3" xfId="25343"/>
    <cellStyle name="Separador de milhares 3 2 6 4 4 2 3 2" xfId="50410"/>
    <cellStyle name="Separador de milhares 3 2 6 4 4 2 4" xfId="19429"/>
    <cellStyle name="Separador de milhares 3 2 6 4 4 2 4 2" xfId="44496"/>
    <cellStyle name="Separador de milhares 3 2 6 4 4 2 5" xfId="13328"/>
    <cellStyle name="Separador de milhares 3 2 6 4 4 2 5 2" xfId="38585"/>
    <cellStyle name="Separador de milhares 3 2 6 4 4 2 6" xfId="32674"/>
    <cellStyle name="Separador de milhares 3 2 6 4 4 3" xfId="8618"/>
    <cellStyle name="Separador de milhares 3 2 6 4 4 3 2" xfId="26832"/>
    <cellStyle name="Separador de milhares 3 2 6 4 4 3 2 2" xfId="51899"/>
    <cellStyle name="Separador de milhares 3 2 6 4 4 3 3" xfId="20918"/>
    <cellStyle name="Separador de milhares 3 2 6 4 4 3 3 2" xfId="45985"/>
    <cellStyle name="Separador de milhares 3 2 6 4 4 3 4" xfId="15004"/>
    <cellStyle name="Separador de milhares 3 2 6 4 4 3 4 2" xfId="40071"/>
    <cellStyle name="Separador de milhares 3 2 6 4 4 3 5" xfId="34163"/>
    <cellStyle name="Separador de milhares 3 2 6 4 4 4" xfId="5240"/>
    <cellStyle name="Separador de milhares 3 2 6 4 4 4 2" xfId="23875"/>
    <cellStyle name="Separador de milhares 3 2 6 4 4 4 2 2" xfId="48942"/>
    <cellStyle name="Separador de milhares 3 2 6 4 4 4 3" xfId="31206"/>
    <cellStyle name="Separador de milhares 3 2 6 4 4 5" xfId="17961"/>
    <cellStyle name="Separador de milhares 3 2 6 4 4 5 2" xfId="43028"/>
    <cellStyle name="Separador de milhares 3 2 6 4 4 6" xfId="11627"/>
    <cellStyle name="Separador de milhares 3 2 6 4 4 6 2" xfId="37117"/>
    <cellStyle name="Separador de milhares 3 2 6 4 4 7" xfId="29736"/>
    <cellStyle name="Separador de milhares 3 2 6 4 5" xfId="2349"/>
    <cellStyle name="Separador de milhares 3 2 6 4 5 2" xfId="7089"/>
    <cellStyle name="Separador de milhares 3 2 6 4 5 2 2" xfId="10233"/>
    <cellStyle name="Separador de milhares 3 2 6 4 5 2 2 2" xfId="28447"/>
    <cellStyle name="Separador de milhares 3 2 6 4 5 2 2 2 2" xfId="53514"/>
    <cellStyle name="Separador de milhares 3 2 6 4 5 2 2 3" xfId="22533"/>
    <cellStyle name="Separador de milhares 3 2 6 4 5 2 2 3 2" xfId="47600"/>
    <cellStyle name="Separador de milhares 3 2 6 4 5 2 2 4" xfId="16619"/>
    <cellStyle name="Separador de milhares 3 2 6 4 5 2 2 4 2" xfId="41686"/>
    <cellStyle name="Separador de milhares 3 2 6 4 5 2 2 5" xfId="35778"/>
    <cellStyle name="Separador de milhares 3 2 6 4 5 2 3" xfId="25490"/>
    <cellStyle name="Separador de milhares 3 2 6 4 5 2 3 2" xfId="50557"/>
    <cellStyle name="Separador de milhares 3 2 6 4 5 2 4" xfId="19576"/>
    <cellStyle name="Separador de milhares 3 2 6 4 5 2 4 2" xfId="44643"/>
    <cellStyle name="Separador de milhares 3 2 6 4 5 2 5" xfId="13478"/>
    <cellStyle name="Separador de milhares 3 2 6 4 5 2 5 2" xfId="38732"/>
    <cellStyle name="Separador de milhares 3 2 6 4 5 2 6" xfId="32821"/>
    <cellStyle name="Separador de milhares 3 2 6 4 5 3" xfId="8765"/>
    <cellStyle name="Separador de milhares 3 2 6 4 5 3 2" xfId="26979"/>
    <cellStyle name="Separador de milhares 3 2 6 4 5 3 2 2" xfId="52046"/>
    <cellStyle name="Separador de milhares 3 2 6 4 5 3 3" xfId="21065"/>
    <cellStyle name="Separador de milhares 3 2 6 4 5 3 3 2" xfId="46132"/>
    <cellStyle name="Separador de milhares 3 2 6 4 5 3 4" xfId="15151"/>
    <cellStyle name="Separador de milhares 3 2 6 4 5 3 4 2" xfId="40218"/>
    <cellStyle name="Separador de milhares 3 2 6 4 5 3 5" xfId="34310"/>
    <cellStyle name="Separador de milhares 3 2 6 4 5 4" xfId="5390"/>
    <cellStyle name="Separador de milhares 3 2 6 4 5 4 2" xfId="24022"/>
    <cellStyle name="Separador de milhares 3 2 6 4 5 4 2 2" xfId="49089"/>
    <cellStyle name="Separador de milhares 3 2 6 4 5 4 3" xfId="31353"/>
    <cellStyle name="Separador de milhares 3 2 6 4 5 5" xfId="18108"/>
    <cellStyle name="Separador de milhares 3 2 6 4 5 5 2" xfId="43175"/>
    <cellStyle name="Separador de milhares 3 2 6 4 5 6" xfId="11777"/>
    <cellStyle name="Separador de milhares 3 2 6 4 5 6 2" xfId="37264"/>
    <cellStyle name="Separador de milhares 3 2 6 4 5 7" xfId="29883"/>
    <cellStyle name="Separador de milhares 3 2 6 4 6" xfId="2876"/>
    <cellStyle name="Separador de milhares 3 2 6 4 6 2" xfId="7236"/>
    <cellStyle name="Separador de milhares 3 2 6 4 6 2 2" xfId="10380"/>
    <cellStyle name="Separador de milhares 3 2 6 4 6 2 2 2" xfId="28594"/>
    <cellStyle name="Separador de milhares 3 2 6 4 6 2 2 2 2" xfId="53661"/>
    <cellStyle name="Separador de milhares 3 2 6 4 6 2 2 3" xfId="22680"/>
    <cellStyle name="Separador de milhares 3 2 6 4 6 2 2 3 2" xfId="47747"/>
    <cellStyle name="Separador de milhares 3 2 6 4 6 2 2 4" xfId="16766"/>
    <cellStyle name="Separador de milhares 3 2 6 4 6 2 2 4 2" xfId="41833"/>
    <cellStyle name="Separador de milhares 3 2 6 4 6 2 2 5" xfId="35925"/>
    <cellStyle name="Separador de milhares 3 2 6 4 6 2 3" xfId="25637"/>
    <cellStyle name="Separador de milhares 3 2 6 4 6 2 3 2" xfId="50704"/>
    <cellStyle name="Separador de milhares 3 2 6 4 6 2 4" xfId="19723"/>
    <cellStyle name="Separador de milhares 3 2 6 4 6 2 4 2" xfId="44790"/>
    <cellStyle name="Separador de milhares 3 2 6 4 6 2 5" xfId="13625"/>
    <cellStyle name="Separador de milhares 3 2 6 4 6 2 5 2" xfId="38879"/>
    <cellStyle name="Separador de milhares 3 2 6 4 6 2 6" xfId="32968"/>
    <cellStyle name="Separador de milhares 3 2 6 4 6 3" xfId="8912"/>
    <cellStyle name="Separador de milhares 3 2 6 4 6 3 2" xfId="27126"/>
    <cellStyle name="Separador de milhares 3 2 6 4 6 3 2 2" xfId="52193"/>
    <cellStyle name="Separador de milhares 3 2 6 4 6 3 3" xfId="21212"/>
    <cellStyle name="Separador de milhares 3 2 6 4 6 3 3 2" xfId="46279"/>
    <cellStyle name="Separador de milhares 3 2 6 4 6 3 4" xfId="15298"/>
    <cellStyle name="Separador de milhares 3 2 6 4 6 3 4 2" xfId="40365"/>
    <cellStyle name="Separador de milhares 3 2 6 4 6 3 5" xfId="34457"/>
    <cellStyle name="Separador de milhares 3 2 6 4 6 4" xfId="5537"/>
    <cellStyle name="Separador de milhares 3 2 6 4 6 4 2" xfId="24169"/>
    <cellStyle name="Separador de milhares 3 2 6 4 6 4 2 2" xfId="49236"/>
    <cellStyle name="Separador de milhares 3 2 6 4 6 4 3" xfId="31500"/>
    <cellStyle name="Separador de milhares 3 2 6 4 6 5" xfId="18255"/>
    <cellStyle name="Separador de milhares 3 2 6 4 6 5 2" xfId="43322"/>
    <cellStyle name="Separador de milhares 3 2 6 4 6 6" xfId="11924"/>
    <cellStyle name="Separador de milhares 3 2 6 4 6 6 2" xfId="37411"/>
    <cellStyle name="Separador de milhares 3 2 6 4 6 7" xfId="30030"/>
    <cellStyle name="Separador de milhares 3 2 6 4 7" xfId="3403"/>
    <cellStyle name="Separador de milhares 3 2 6 4 7 2" xfId="7383"/>
    <cellStyle name="Separador de milhares 3 2 6 4 7 2 2" xfId="10527"/>
    <cellStyle name="Separador de milhares 3 2 6 4 7 2 2 2" xfId="28741"/>
    <cellStyle name="Separador de milhares 3 2 6 4 7 2 2 2 2" xfId="53808"/>
    <cellStyle name="Separador de milhares 3 2 6 4 7 2 2 3" xfId="22827"/>
    <cellStyle name="Separador de milhares 3 2 6 4 7 2 2 3 2" xfId="47894"/>
    <cellStyle name="Separador de milhares 3 2 6 4 7 2 2 4" xfId="16913"/>
    <cellStyle name="Separador de milhares 3 2 6 4 7 2 2 4 2" xfId="41980"/>
    <cellStyle name="Separador de milhares 3 2 6 4 7 2 2 5" xfId="36072"/>
    <cellStyle name="Separador de milhares 3 2 6 4 7 2 3" xfId="25784"/>
    <cellStyle name="Separador de milhares 3 2 6 4 7 2 3 2" xfId="50851"/>
    <cellStyle name="Separador de milhares 3 2 6 4 7 2 4" xfId="19870"/>
    <cellStyle name="Separador de milhares 3 2 6 4 7 2 4 2" xfId="44937"/>
    <cellStyle name="Separador de milhares 3 2 6 4 7 2 5" xfId="13772"/>
    <cellStyle name="Separador de milhares 3 2 6 4 7 2 5 2" xfId="39026"/>
    <cellStyle name="Separador de milhares 3 2 6 4 7 2 6" xfId="33115"/>
    <cellStyle name="Separador de milhares 3 2 6 4 7 3" xfId="9059"/>
    <cellStyle name="Separador de milhares 3 2 6 4 7 3 2" xfId="27273"/>
    <cellStyle name="Separador de milhares 3 2 6 4 7 3 2 2" xfId="52340"/>
    <cellStyle name="Separador de milhares 3 2 6 4 7 3 3" xfId="21359"/>
    <cellStyle name="Separador de milhares 3 2 6 4 7 3 3 2" xfId="46426"/>
    <cellStyle name="Separador de milhares 3 2 6 4 7 3 4" xfId="15445"/>
    <cellStyle name="Separador de milhares 3 2 6 4 7 3 4 2" xfId="40512"/>
    <cellStyle name="Separador de milhares 3 2 6 4 7 3 5" xfId="34604"/>
    <cellStyle name="Separador de milhares 3 2 6 4 7 4" xfId="5684"/>
    <cellStyle name="Separador de milhares 3 2 6 4 7 4 2" xfId="24316"/>
    <cellStyle name="Separador de milhares 3 2 6 4 7 4 2 2" xfId="49383"/>
    <cellStyle name="Separador de milhares 3 2 6 4 7 4 3" xfId="31647"/>
    <cellStyle name="Separador de milhares 3 2 6 4 7 5" xfId="18402"/>
    <cellStyle name="Separador de milhares 3 2 6 4 7 5 2" xfId="43469"/>
    <cellStyle name="Separador de milhares 3 2 6 4 7 6" xfId="12071"/>
    <cellStyle name="Separador de milhares 3 2 6 4 7 6 2" xfId="37558"/>
    <cellStyle name="Separador de milhares 3 2 6 4 7 7" xfId="30177"/>
    <cellStyle name="Separador de milhares 3 2 6 4 8" xfId="3930"/>
    <cellStyle name="Separador de milhares 3 2 6 4 8 2" xfId="7530"/>
    <cellStyle name="Separador de milhares 3 2 6 4 8 2 2" xfId="10674"/>
    <cellStyle name="Separador de milhares 3 2 6 4 8 2 2 2" xfId="28888"/>
    <cellStyle name="Separador de milhares 3 2 6 4 8 2 2 2 2" xfId="53955"/>
    <cellStyle name="Separador de milhares 3 2 6 4 8 2 2 3" xfId="22974"/>
    <cellStyle name="Separador de milhares 3 2 6 4 8 2 2 3 2" xfId="48041"/>
    <cellStyle name="Separador de milhares 3 2 6 4 8 2 2 4" xfId="17060"/>
    <cellStyle name="Separador de milhares 3 2 6 4 8 2 2 4 2" xfId="42127"/>
    <cellStyle name="Separador de milhares 3 2 6 4 8 2 2 5" xfId="36219"/>
    <cellStyle name="Separador de milhares 3 2 6 4 8 2 3" xfId="25931"/>
    <cellStyle name="Separador de milhares 3 2 6 4 8 2 3 2" xfId="50998"/>
    <cellStyle name="Separador de milhares 3 2 6 4 8 2 4" xfId="20017"/>
    <cellStyle name="Separador de milhares 3 2 6 4 8 2 4 2" xfId="45084"/>
    <cellStyle name="Separador de milhares 3 2 6 4 8 2 5" xfId="13919"/>
    <cellStyle name="Separador de milhares 3 2 6 4 8 2 5 2" xfId="39173"/>
    <cellStyle name="Separador de milhares 3 2 6 4 8 2 6" xfId="33262"/>
    <cellStyle name="Separador de milhares 3 2 6 4 8 3" xfId="9206"/>
    <cellStyle name="Separador de milhares 3 2 6 4 8 3 2" xfId="27420"/>
    <cellStyle name="Separador de milhares 3 2 6 4 8 3 2 2" xfId="52487"/>
    <cellStyle name="Separador de milhares 3 2 6 4 8 3 3" xfId="21506"/>
    <cellStyle name="Separador de milhares 3 2 6 4 8 3 3 2" xfId="46573"/>
    <cellStyle name="Separador de milhares 3 2 6 4 8 3 4" xfId="15592"/>
    <cellStyle name="Separador de milhares 3 2 6 4 8 3 4 2" xfId="40659"/>
    <cellStyle name="Separador de milhares 3 2 6 4 8 3 5" xfId="34751"/>
    <cellStyle name="Separador de milhares 3 2 6 4 8 4" xfId="5831"/>
    <cellStyle name="Separador de milhares 3 2 6 4 8 4 2" xfId="24463"/>
    <cellStyle name="Separador de milhares 3 2 6 4 8 4 2 2" xfId="49530"/>
    <cellStyle name="Separador de milhares 3 2 6 4 8 4 3" xfId="31794"/>
    <cellStyle name="Separador de milhares 3 2 6 4 8 5" xfId="18549"/>
    <cellStyle name="Separador de milhares 3 2 6 4 8 5 2" xfId="43616"/>
    <cellStyle name="Separador de milhares 3 2 6 4 8 6" xfId="12218"/>
    <cellStyle name="Separador de milhares 3 2 6 4 8 6 2" xfId="37705"/>
    <cellStyle name="Separador de milhares 3 2 6 4 8 7" xfId="30324"/>
    <cellStyle name="Separador de milhares 3 2 6 4 9" xfId="689"/>
    <cellStyle name="Separador de milhares 3 2 6 4 9 2" xfId="6624"/>
    <cellStyle name="Separador de milhares 3 2 6 4 9 2 2" xfId="9771"/>
    <cellStyle name="Separador de milhares 3 2 6 4 9 2 2 2" xfId="27985"/>
    <cellStyle name="Separador de milhares 3 2 6 4 9 2 2 2 2" xfId="53052"/>
    <cellStyle name="Separador de milhares 3 2 6 4 9 2 2 3" xfId="22071"/>
    <cellStyle name="Separador de milhares 3 2 6 4 9 2 2 3 2" xfId="47138"/>
    <cellStyle name="Separador de milhares 3 2 6 4 9 2 2 4" xfId="16157"/>
    <cellStyle name="Separador de milhares 3 2 6 4 9 2 2 4 2" xfId="41224"/>
    <cellStyle name="Separador de milhares 3 2 6 4 9 2 2 5" xfId="35316"/>
    <cellStyle name="Separador de milhares 3 2 6 4 9 2 3" xfId="25028"/>
    <cellStyle name="Separador de milhares 3 2 6 4 9 2 3 2" xfId="50095"/>
    <cellStyle name="Separador de milhares 3 2 6 4 9 2 4" xfId="19114"/>
    <cellStyle name="Separador de milhares 3 2 6 4 9 2 4 2" xfId="44181"/>
    <cellStyle name="Separador de milhares 3 2 6 4 9 2 5" xfId="13013"/>
    <cellStyle name="Separador de milhares 3 2 6 4 9 2 5 2" xfId="38270"/>
    <cellStyle name="Separador de milhares 3 2 6 4 9 2 6" xfId="32359"/>
    <cellStyle name="Separador de milhares 3 2 6 4 9 3" xfId="8303"/>
    <cellStyle name="Separador de milhares 3 2 6 4 9 3 2" xfId="26517"/>
    <cellStyle name="Separador de milhares 3 2 6 4 9 3 2 2" xfId="51584"/>
    <cellStyle name="Separador de milhares 3 2 6 4 9 3 3" xfId="20603"/>
    <cellStyle name="Separador de milhares 3 2 6 4 9 3 3 2" xfId="45670"/>
    <cellStyle name="Separador de milhares 3 2 6 4 9 3 4" xfId="14689"/>
    <cellStyle name="Separador de milhares 3 2 6 4 9 3 4 2" xfId="39756"/>
    <cellStyle name="Separador de milhares 3 2 6 4 9 3 5" xfId="33848"/>
    <cellStyle name="Separador de milhares 3 2 6 4 9 4" xfId="4925"/>
    <cellStyle name="Separador de milhares 3 2 6 4 9 4 2" xfId="23560"/>
    <cellStyle name="Separador de milhares 3 2 6 4 9 4 2 2" xfId="48627"/>
    <cellStyle name="Separador de milhares 3 2 6 4 9 4 3" xfId="30891"/>
    <cellStyle name="Separador de milhares 3 2 6 4 9 5" xfId="17646"/>
    <cellStyle name="Separador de milhares 3 2 6 4 9 5 2" xfId="42713"/>
    <cellStyle name="Separador de milhares 3 2 6 4 9 6" xfId="11312"/>
    <cellStyle name="Separador de milhares 3 2 6 4 9 6 2" xfId="36802"/>
    <cellStyle name="Separador de milhares 3 2 6 4 9 7" xfId="29421"/>
    <cellStyle name="Separador de milhares 3 2 6 5" xfId="645"/>
    <cellStyle name="Separador de milhares 3 2 6 5 10" xfId="4889"/>
    <cellStyle name="Separador de milhares 3 2 6 5 10 2" xfId="23523"/>
    <cellStyle name="Separador de milhares 3 2 6 5 10 2 2" xfId="48590"/>
    <cellStyle name="Separador de milhares 3 2 6 5 10 3" xfId="30855"/>
    <cellStyle name="Separador de milhares 3 2 6 5 11" xfId="17609"/>
    <cellStyle name="Separador de milhares 3 2 6 5 11 2" xfId="42676"/>
    <cellStyle name="Separador de milhares 3 2 6 5 12" xfId="11278"/>
    <cellStyle name="Separador de milhares 3 2 6 5 12 2" xfId="36768"/>
    <cellStyle name="Separador de milhares 3 2 6 5 13" xfId="29384"/>
    <cellStyle name="Separador de milhares 3 2 6 5 2" xfId="1468"/>
    <cellStyle name="Separador de milhares 3 2 6 5 2 2" xfId="6841"/>
    <cellStyle name="Separador de milhares 3 2 6 5 2 2 2" xfId="9988"/>
    <cellStyle name="Separador de milhares 3 2 6 5 2 2 2 2" xfId="28202"/>
    <cellStyle name="Separador de milhares 3 2 6 5 2 2 2 2 2" xfId="53269"/>
    <cellStyle name="Separador de milhares 3 2 6 5 2 2 2 3" xfId="22288"/>
    <cellStyle name="Separador de milhares 3 2 6 5 2 2 2 3 2" xfId="47355"/>
    <cellStyle name="Separador de milhares 3 2 6 5 2 2 2 4" xfId="16374"/>
    <cellStyle name="Separador de milhares 3 2 6 5 2 2 2 4 2" xfId="41441"/>
    <cellStyle name="Separador de milhares 3 2 6 5 2 2 2 5" xfId="35533"/>
    <cellStyle name="Separador de milhares 3 2 6 5 2 2 3" xfId="25245"/>
    <cellStyle name="Separador de milhares 3 2 6 5 2 2 3 2" xfId="50312"/>
    <cellStyle name="Separador de milhares 3 2 6 5 2 2 4" xfId="19331"/>
    <cellStyle name="Separador de milhares 3 2 6 5 2 2 4 2" xfId="44398"/>
    <cellStyle name="Separador de milhares 3 2 6 5 2 2 5" xfId="13230"/>
    <cellStyle name="Separador de milhares 3 2 6 5 2 2 5 2" xfId="38487"/>
    <cellStyle name="Separador de milhares 3 2 6 5 2 2 6" xfId="32576"/>
    <cellStyle name="Separador de milhares 3 2 6 5 2 3" xfId="8520"/>
    <cellStyle name="Separador de milhares 3 2 6 5 2 3 2" xfId="26734"/>
    <cellStyle name="Separador de milhares 3 2 6 5 2 3 2 2" xfId="51801"/>
    <cellStyle name="Separador de milhares 3 2 6 5 2 3 3" xfId="20820"/>
    <cellStyle name="Separador de milhares 3 2 6 5 2 3 3 2" xfId="45887"/>
    <cellStyle name="Separador de milhares 3 2 6 5 2 3 4" xfId="14906"/>
    <cellStyle name="Separador de milhares 3 2 6 5 2 3 4 2" xfId="39973"/>
    <cellStyle name="Separador de milhares 3 2 6 5 2 3 5" xfId="34065"/>
    <cellStyle name="Separador de milhares 3 2 6 5 2 4" xfId="5142"/>
    <cellStyle name="Separador de milhares 3 2 6 5 2 4 2" xfId="23777"/>
    <cellStyle name="Separador de milhares 3 2 6 5 2 4 2 2" xfId="48844"/>
    <cellStyle name="Separador de milhares 3 2 6 5 2 4 3" xfId="31108"/>
    <cellStyle name="Separador de milhares 3 2 6 5 2 5" xfId="17863"/>
    <cellStyle name="Separador de milhares 3 2 6 5 2 5 2" xfId="42930"/>
    <cellStyle name="Separador de milhares 3 2 6 5 2 6" xfId="11529"/>
    <cellStyle name="Separador de milhares 3 2 6 5 2 6 2" xfId="37019"/>
    <cellStyle name="Separador de milhares 3 2 6 5 2 7" xfId="29638"/>
    <cellStyle name="Separador de milhares 3 2 6 5 3" xfId="1903"/>
    <cellStyle name="Separador de milhares 3 2 6 5 3 2" xfId="6960"/>
    <cellStyle name="Separador de milhares 3 2 6 5 3 2 2" xfId="10107"/>
    <cellStyle name="Separador de milhares 3 2 6 5 3 2 2 2" xfId="28321"/>
    <cellStyle name="Separador de milhares 3 2 6 5 3 2 2 2 2" xfId="53388"/>
    <cellStyle name="Separador de milhares 3 2 6 5 3 2 2 3" xfId="22407"/>
    <cellStyle name="Separador de milhares 3 2 6 5 3 2 2 3 2" xfId="47474"/>
    <cellStyle name="Separador de milhares 3 2 6 5 3 2 2 4" xfId="16493"/>
    <cellStyle name="Separador de milhares 3 2 6 5 3 2 2 4 2" xfId="41560"/>
    <cellStyle name="Separador de milhares 3 2 6 5 3 2 2 5" xfId="35652"/>
    <cellStyle name="Separador de milhares 3 2 6 5 3 2 3" xfId="25364"/>
    <cellStyle name="Separador de milhares 3 2 6 5 3 2 3 2" xfId="50431"/>
    <cellStyle name="Separador de milhares 3 2 6 5 3 2 4" xfId="19450"/>
    <cellStyle name="Separador de milhares 3 2 6 5 3 2 4 2" xfId="44517"/>
    <cellStyle name="Separador de milhares 3 2 6 5 3 2 5" xfId="13349"/>
    <cellStyle name="Separador de milhares 3 2 6 5 3 2 5 2" xfId="38606"/>
    <cellStyle name="Separador de milhares 3 2 6 5 3 2 6" xfId="32695"/>
    <cellStyle name="Separador de milhares 3 2 6 5 3 3" xfId="8639"/>
    <cellStyle name="Separador de milhares 3 2 6 5 3 3 2" xfId="26853"/>
    <cellStyle name="Separador de milhares 3 2 6 5 3 3 2 2" xfId="51920"/>
    <cellStyle name="Separador de milhares 3 2 6 5 3 3 3" xfId="20939"/>
    <cellStyle name="Separador de milhares 3 2 6 5 3 3 3 2" xfId="46006"/>
    <cellStyle name="Separador de milhares 3 2 6 5 3 3 4" xfId="15025"/>
    <cellStyle name="Separador de milhares 3 2 6 5 3 3 4 2" xfId="40092"/>
    <cellStyle name="Separador de milhares 3 2 6 5 3 3 5" xfId="34184"/>
    <cellStyle name="Separador de milhares 3 2 6 5 3 4" xfId="5261"/>
    <cellStyle name="Separador de milhares 3 2 6 5 3 4 2" xfId="23896"/>
    <cellStyle name="Separador de milhares 3 2 6 5 3 4 2 2" xfId="48963"/>
    <cellStyle name="Separador de milhares 3 2 6 5 3 4 3" xfId="31227"/>
    <cellStyle name="Separador de milhares 3 2 6 5 3 5" xfId="17982"/>
    <cellStyle name="Separador de milhares 3 2 6 5 3 5 2" xfId="43049"/>
    <cellStyle name="Separador de milhares 3 2 6 5 3 6" xfId="11648"/>
    <cellStyle name="Separador de milhares 3 2 6 5 3 6 2" xfId="37138"/>
    <cellStyle name="Separador de milhares 3 2 6 5 3 7" xfId="29757"/>
    <cellStyle name="Separador de milhares 3 2 6 5 4" xfId="2433"/>
    <cellStyle name="Separador de milhares 3 2 6 5 4 2" xfId="7110"/>
    <cellStyle name="Separador de milhares 3 2 6 5 4 2 2" xfId="10254"/>
    <cellStyle name="Separador de milhares 3 2 6 5 4 2 2 2" xfId="28468"/>
    <cellStyle name="Separador de milhares 3 2 6 5 4 2 2 2 2" xfId="53535"/>
    <cellStyle name="Separador de milhares 3 2 6 5 4 2 2 3" xfId="22554"/>
    <cellStyle name="Separador de milhares 3 2 6 5 4 2 2 3 2" xfId="47621"/>
    <cellStyle name="Separador de milhares 3 2 6 5 4 2 2 4" xfId="16640"/>
    <cellStyle name="Separador de milhares 3 2 6 5 4 2 2 4 2" xfId="41707"/>
    <cellStyle name="Separador de milhares 3 2 6 5 4 2 2 5" xfId="35799"/>
    <cellStyle name="Separador de milhares 3 2 6 5 4 2 3" xfId="25511"/>
    <cellStyle name="Separador de milhares 3 2 6 5 4 2 3 2" xfId="50578"/>
    <cellStyle name="Separador de milhares 3 2 6 5 4 2 4" xfId="19597"/>
    <cellStyle name="Separador de milhares 3 2 6 5 4 2 4 2" xfId="44664"/>
    <cellStyle name="Separador de milhares 3 2 6 5 4 2 5" xfId="13499"/>
    <cellStyle name="Separador de milhares 3 2 6 5 4 2 5 2" xfId="38753"/>
    <cellStyle name="Separador de milhares 3 2 6 5 4 2 6" xfId="32842"/>
    <cellStyle name="Separador de milhares 3 2 6 5 4 3" xfId="8786"/>
    <cellStyle name="Separador de milhares 3 2 6 5 4 3 2" xfId="27000"/>
    <cellStyle name="Separador de milhares 3 2 6 5 4 3 2 2" xfId="52067"/>
    <cellStyle name="Separador de milhares 3 2 6 5 4 3 3" xfId="21086"/>
    <cellStyle name="Separador de milhares 3 2 6 5 4 3 3 2" xfId="46153"/>
    <cellStyle name="Separador de milhares 3 2 6 5 4 3 4" xfId="15172"/>
    <cellStyle name="Separador de milhares 3 2 6 5 4 3 4 2" xfId="40239"/>
    <cellStyle name="Separador de milhares 3 2 6 5 4 3 5" xfId="34331"/>
    <cellStyle name="Separador de milhares 3 2 6 5 4 4" xfId="5411"/>
    <cellStyle name="Separador de milhares 3 2 6 5 4 4 2" xfId="24043"/>
    <cellStyle name="Separador de milhares 3 2 6 5 4 4 2 2" xfId="49110"/>
    <cellStyle name="Separador de milhares 3 2 6 5 4 4 3" xfId="31374"/>
    <cellStyle name="Separador de milhares 3 2 6 5 4 5" xfId="18129"/>
    <cellStyle name="Separador de milhares 3 2 6 5 4 5 2" xfId="43196"/>
    <cellStyle name="Separador de milhares 3 2 6 5 4 6" xfId="11798"/>
    <cellStyle name="Separador de milhares 3 2 6 5 4 6 2" xfId="37285"/>
    <cellStyle name="Separador de milhares 3 2 6 5 4 7" xfId="29904"/>
    <cellStyle name="Separador de milhares 3 2 6 5 5" xfId="2960"/>
    <cellStyle name="Separador de milhares 3 2 6 5 5 2" xfId="7257"/>
    <cellStyle name="Separador de milhares 3 2 6 5 5 2 2" xfId="10401"/>
    <cellStyle name="Separador de milhares 3 2 6 5 5 2 2 2" xfId="28615"/>
    <cellStyle name="Separador de milhares 3 2 6 5 5 2 2 2 2" xfId="53682"/>
    <cellStyle name="Separador de milhares 3 2 6 5 5 2 2 3" xfId="22701"/>
    <cellStyle name="Separador de milhares 3 2 6 5 5 2 2 3 2" xfId="47768"/>
    <cellStyle name="Separador de milhares 3 2 6 5 5 2 2 4" xfId="16787"/>
    <cellStyle name="Separador de milhares 3 2 6 5 5 2 2 4 2" xfId="41854"/>
    <cellStyle name="Separador de milhares 3 2 6 5 5 2 2 5" xfId="35946"/>
    <cellStyle name="Separador de milhares 3 2 6 5 5 2 3" xfId="25658"/>
    <cellStyle name="Separador de milhares 3 2 6 5 5 2 3 2" xfId="50725"/>
    <cellStyle name="Separador de milhares 3 2 6 5 5 2 4" xfId="19744"/>
    <cellStyle name="Separador de milhares 3 2 6 5 5 2 4 2" xfId="44811"/>
    <cellStyle name="Separador de milhares 3 2 6 5 5 2 5" xfId="13646"/>
    <cellStyle name="Separador de milhares 3 2 6 5 5 2 5 2" xfId="38900"/>
    <cellStyle name="Separador de milhares 3 2 6 5 5 2 6" xfId="32989"/>
    <cellStyle name="Separador de milhares 3 2 6 5 5 3" xfId="8933"/>
    <cellStyle name="Separador de milhares 3 2 6 5 5 3 2" xfId="27147"/>
    <cellStyle name="Separador de milhares 3 2 6 5 5 3 2 2" xfId="52214"/>
    <cellStyle name="Separador de milhares 3 2 6 5 5 3 3" xfId="21233"/>
    <cellStyle name="Separador de milhares 3 2 6 5 5 3 3 2" xfId="46300"/>
    <cellStyle name="Separador de milhares 3 2 6 5 5 3 4" xfId="15319"/>
    <cellStyle name="Separador de milhares 3 2 6 5 5 3 4 2" xfId="40386"/>
    <cellStyle name="Separador de milhares 3 2 6 5 5 3 5" xfId="34478"/>
    <cellStyle name="Separador de milhares 3 2 6 5 5 4" xfId="5558"/>
    <cellStyle name="Separador de milhares 3 2 6 5 5 4 2" xfId="24190"/>
    <cellStyle name="Separador de milhares 3 2 6 5 5 4 2 2" xfId="49257"/>
    <cellStyle name="Separador de milhares 3 2 6 5 5 4 3" xfId="31521"/>
    <cellStyle name="Separador de milhares 3 2 6 5 5 5" xfId="18276"/>
    <cellStyle name="Separador de milhares 3 2 6 5 5 5 2" xfId="43343"/>
    <cellStyle name="Separador de milhares 3 2 6 5 5 6" xfId="11945"/>
    <cellStyle name="Separador de milhares 3 2 6 5 5 6 2" xfId="37432"/>
    <cellStyle name="Separador de milhares 3 2 6 5 5 7" xfId="30051"/>
    <cellStyle name="Separador de milhares 3 2 6 5 6" xfId="3487"/>
    <cellStyle name="Separador de milhares 3 2 6 5 6 2" xfId="7404"/>
    <cellStyle name="Separador de milhares 3 2 6 5 6 2 2" xfId="10548"/>
    <cellStyle name="Separador de milhares 3 2 6 5 6 2 2 2" xfId="28762"/>
    <cellStyle name="Separador de milhares 3 2 6 5 6 2 2 2 2" xfId="53829"/>
    <cellStyle name="Separador de milhares 3 2 6 5 6 2 2 3" xfId="22848"/>
    <cellStyle name="Separador de milhares 3 2 6 5 6 2 2 3 2" xfId="47915"/>
    <cellStyle name="Separador de milhares 3 2 6 5 6 2 2 4" xfId="16934"/>
    <cellStyle name="Separador de milhares 3 2 6 5 6 2 2 4 2" xfId="42001"/>
    <cellStyle name="Separador de milhares 3 2 6 5 6 2 2 5" xfId="36093"/>
    <cellStyle name="Separador de milhares 3 2 6 5 6 2 3" xfId="25805"/>
    <cellStyle name="Separador de milhares 3 2 6 5 6 2 3 2" xfId="50872"/>
    <cellStyle name="Separador de milhares 3 2 6 5 6 2 4" xfId="19891"/>
    <cellStyle name="Separador de milhares 3 2 6 5 6 2 4 2" xfId="44958"/>
    <cellStyle name="Separador de milhares 3 2 6 5 6 2 5" xfId="13793"/>
    <cellStyle name="Separador de milhares 3 2 6 5 6 2 5 2" xfId="39047"/>
    <cellStyle name="Separador de milhares 3 2 6 5 6 2 6" xfId="33136"/>
    <cellStyle name="Separador de milhares 3 2 6 5 6 3" xfId="9080"/>
    <cellStyle name="Separador de milhares 3 2 6 5 6 3 2" xfId="27294"/>
    <cellStyle name="Separador de milhares 3 2 6 5 6 3 2 2" xfId="52361"/>
    <cellStyle name="Separador de milhares 3 2 6 5 6 3 3" xfId="21380"/>
    <cellStyle name="Separador de milhares 3 2 6 5 6 3 3 2" xfId="46447"/>
    <cellStyle name="Separador de milhares 3 2 6 5 6 3 4" xfId="15466"/>
    <cellStyle name="Separador de milhares 3 2 6 5 6 3 4 2" xfId="40533"/>
    <cellStyle name="Separador de milhares 3 2 6 5 6 3 5" xfId="34625"/>
    <cellStyle name="Separador de milhares 3 2 6 5 6 4" xfId="5705"/>
    <cellStyle name="Separador de milhares 3 2 6 5 6 4 2" xfId="24337"/>
    <cellStyle name="Separador de milhares 3 2 6 5 6 4 2 2" xfId="49404"/>
    <cellStyle name="Separador de milhares 3 2 6 5 6 4 3" xfId="31668"/>
    <cellStyle name="Separador de milhares 3 2 6 5 6 5" xfId="18423"/>
    <cellStyle name="Separador de milhares 3 2 6 5 6 5 2" xfId="43490"/>
    <cellStyle name="Separador de milhares 3 2 6 5 6 6" xfId="12092"/>
    <cellStyle name="Separador de milhares 3 2 6 5 6 6 2" xfId="37579"/>
    <cellStyle name="Separador de milhares 3 2 6 5 6 7" xfId="30198"/>
    <cellStyle name="Separador de milhares 3 2 6 5 7" xfId="4014"/>
    <cellStyle name="Separador de milhares 3 2 6 5 7 2" xfId="7551"/>
    <cellStyle name="Separador de milhares 3 2 6 5 7 2 2" xfId="10695"/>
    <cellStyle name="Separador de milhares 3 2 6 5 7 2 2 2" xfId="28909"/>
    <cellStyle name="Separador de milhares 3 2 6 5 7 2 2 2 2" xfId="53976"/>
    <cellStyle name="Separador de milhares 3 2 6 5 7 2 2 3" xfId="22995"/>
    <cellStyle name="Separador de milhares 3 2 6 5 7 2 2 3 2" xfId="48062"/>
    <cellStyle name="Separador de milhares 3 2 6 5 7 2 2 4" xfId="17081"/>
    <cellStyle name="Separador de milhares 3 2 6 5 7 2 2 4 2" xfId="42148"/>
    <cellStyle name="Separador de milhares 3 2 6 5 7 2 2 5" xfId="36240"/>
    <cellStyle name="Separador de milhares 3 2 6 5 7 2 3" xfId="25952"/>
    <cellStyle name="Separador de milhares 3 2 6 5 7 2 3 2" xfId="51019"/>
    <cellStyle name="Separador de milhares 3 2 6 5 7 2 4" xfId="20038"/>
    <cellStyle name="Separador de milhares 3 2 6 5 7 2 4 2" xfId="45105"/>
    <cellStyle name="Separador de milhares 3 2 6 5 7 2 5" xfId="13940"/>
    <cellStyle name="Separador de milhares 3 2 6 5 7 2 5 2" xfId="39194"/>
    <cellStyle name="Separador de milhares 3 2 6 5 7 2 6" xfId="33283"/>
    <cellStyle name="Separador de milhares 3 2 6 5 7 3" xfId="9227"/>
    <cellStyle name="Separador de milhares 3 2 6 5 7 3 2" xfId="27441"/>
    <cellStyle name="Separador de milhares 3 2 6 5 7 3 2 2" xfId="52508"/>
    <cellStyle name="Separador de milhares 3 2 6 5 7 3 3" xfId="21527"/>
    <cellStyle name="Separador de milhares 3 2 6 5 7 3 3 2" xfId="46594"/>
    <cellStyle name="Separador de milhares 3 2 6 5 7 3 4" xfId="15613"/>
    <cellStyle name="Separador de milhares 3 2 6 5 7 3 4 2" xfId="40680"/>
    <cellStyle name="Separador de milhares 3 2 6 5 7 3 5" xfId="34772"/>
    <cellStyle name="Separador de milhares 3 2 6 5 7 4" xfId="5852"/>
    <cellStyle name="Separador de milhares 3 2 6 5 7 4 2" xfId="24484"/>
    <cellStyle name="Separador de milhares 3 2 6 5 7 4 2 2" xfId="49551"/>
    <cellStyle name="Separador de milhares 3 2 6 5 7 4 3" xfId="31815"/>
    <cellStyle name="Separador de milhares 3 2 6 5 7 5" xfId="18570"/>
    <cellStyle name="Separador de milhares 3 2 6 5 7 5 2" xfId="43637"/>
    <cellStyle name="Separador de milhares 3 2 6 5 7 6" xfId="12239"/>
    <cellStyle name="Separador de milhares 3 2 6 5 7 6 2" xfId="37726"/>
    <cellStyle name="Separador de milhares 3 2 6 5 7 7" xfId="30345"/>
    <cellStyle name="Separador de milhares 3 2 6 5 8" xfId="6590"/>
    <cellStyle name="Separador de milhares 3 2 6 5 8 2" xfId="9737"/>
    <cellStyle name="Separador de milhares 3 2 6 5 8 2 2" xfId="27951"/>
    <cellStyle name="Separador de milhares 3 2 6 5 8 2 2 2" xfId="53018"/>
    <cellStyle name="Separador de milhares 3 2 6 5 8 2 3" xfId="22037"/>
    <cellStyle name="Separador de milhares 3 2 6 5 8 2 3 2" xfId="47104"/>
    <cellStyle name="Separador de milhares 3 2 6 5 8 2 4" xfId="16123"/>
    <cellStyle name="Separador de milhares 3 2 6 5 8 2 4 2" xfId="41190"/>
    <cellStyle name="Separador de milhares 3 2 6 5 8 2 5" xfId="35282"/>
    <cellStyle name="Separador de milhares 3 2 6 5 8 3" xfId="24994"/>
    <cellStyle name="Separador de milhares 3 2 6 5 8 3 2" xfId="50061"/>
    <cellStyle name="Separador de milhares 3 2 6 5 8 4" xfId="19080"/>
    <cellStyle name="Separador de milhares 3 2 6 5 8 4 2" xfId="44147"/>
    <cellStyle name="Separador de milhares 3 2 6 5 8 5" xfId="12979"/>
    <cellStyle name="Separador de milhares 3 2 6 5 8 5 2" xfId="38236"/>
    <cellStyle name="Separador de milhares 3 2 6 5 8 6" xfId="32325"/>
    <cellStyle name="Separador de milhares 3 2 6 5 9" xfId="8266"/>
    <cellStyle name="Separador de milhares 3 2 6 5 9 2" xfId="26480"/>
    <cellStyle name="Separador de milhares 3 2 6 5 9 2 2" xfId="51547"/>
    <cellStyle name="Separador de milhares 3 2 6 5 9 3" xfId="20566"/>
    <cellStyle name="Separador de milhares 3 2 6 5 9 3 2" xfId="45633"/>
    <cellStyle name="Separador de milhares 3 2 6 5 9 4" xfId="14655"/>
    <cellStyle name="Separador de milhares 3 2 6 5 9 4 2" xfId="39722"/>
    <cellStyle name="Separador de milhares 3 2 6 5 9 5" xfId="33811"/>
    <cellStyle name="Separador de milhares 3 2 6 6" xfId="766"/>
    <cellStyle name="Separador de milhares 3 2 6 6 2" xfId="4190"/>
    <cellStyle name="Separador de milhares 3 2 6 6 2 2" xfId="7600"/>
    <cellStyle name="Separador de milhares 3 2 6 6 2 2 2" xfId="10744"/>
    <cellStyle name="Separador de milhares 3 2 6 6 2 2 2 2" xfId="28958"/>
    <cellStyle name="Separador de milhares 3 2 6 6 2 2 2 2 2" xfId="54025"/>
    <cellStyle name="Separador de milhares 3 2 6 6 2 2 2 3" xfId="23044"/>
    <cellStyle name="Separador de milhares 3 2 6 6 2 2 2 3 2" xfId="48111"/>
    <cellStyle name="Separador de milhares 3 2 6 6 2 2 2 4" xfId="17130"/>
    <cellStyle name="Separador de milhares 3 2 6 6 2 2 2 4 2" xfId="42197"/>
    <cellStyle name="Separador de milhares 3 2 6 6 2 2 2 5" xfId="36289"/>
    <cellStyle name="Separador de milhares 3 2 6 6 2 2 3" xfId="26001"/>
    <cellStyle name="Separador de milhares 3 2 6 6 2 2 3 2" xfId="51068"/>
    <cellStyle name="Separador de milhares 3 2 6 6 2 2 4" xfId="20087"/>
    <cellStyle name="Separador de milhares 3 2 6 6 2 2 4 2" xfId="45154"/>
    <cellStyle name="Separador de milhares 3 2 6 6 2 2 5" xfId="13989"/>
    <cellStyle name="Separador de milhares 3 2 6 6 2 2 5 2" xfId="39243"/>
    <cellStyle name="Separador de milhares 3 2 6 6 2 2 6" xfId="33332"/>
    <cellStyle name="Separador de milhares 3 2 6 6 2 3" xfId="9276"/>
    <cellStyle name="Separador de milhares 3 2 6 6 2 3 2" xfId="27490"/>
    <cellStyle name="Separador de milhares 3 2 6 6 2 3 2 2" xfId="52557"/>
    <cellStyle name="Separador de milhares 3 2 6 6 2 3 3" xfId="21576"/>
    <cellStyle name="Separador de milhares 3 2 6 6 2 3 3 2" xfId="46643"/>
    <cellStyle name="Separador de milhares 3 2 6 6 2 3 4" xfId="15662"/>
    <cellStyle name="Separador de milhares 3 2 6 6 2 3 4 2" xfId="40729"/>
    <cellStyle name="Separador de milhares 3 2 6 6 2 3 5" xfId="34821"/>
    <cellStyle name="Separador de milhares 3 2 6 6 2 4" xfId="5901"/>
    <cellStyle name="Separador de milhares 3 2 6 6 2 4 2" xfId="24533"/>
    <cellStyle name="Separador de milhares 3 2 6 6 2 4 2 2" xfId="49600"/>
    <cellStyle name="Separador de milhares 3 2 6 6 2 4 3" xfId="31864"/>
    <cellStyle name="Separador de milhares 3 2 6 6 2 5" xfId="18619"/>
    <cellStyle name="Separador de milhares 3 2 6 6 2 5 2" xfId="43686"/>
    <cellStyle name="Separador de milhares 3 2 6 6 2 6" xfId="12288"/>
    <cellStyle name="Separador de milhares 3 2 6 6 2 6 2" xfId="37775"/>
    <cellStyle name="Separador de milhares 3 2 6 6 2 7" xfId="30394"/>
    <cellStyle name="Separador de milhares 3 2 6 6 3" xfId="6645"/>
    <cellStyle name="Separador de milhares 3 2 6 6 3 2" xfId="9792"/>
    <cellStyle name="Separador de milhares 3 2 6 6 3 2 2" xfId="28006"/>
    <cellStyle name="Separador de milhares 3 2 6 6 3 2 2 2" xfId="53073"/>
    <cellStyle name="Separador de milhares 3 2 6 6 3 2 3" xfId="22092"/>
    <cellStyle name="Separador de milhares 3 2 6 6 3 2 3 2" xfId="47159"/>
    <cellStyle name="Separador de milhares 3 2 6 6 3 2 4" xfId="16178"/>
    <cellStyle name="Separador de milhares 3 2 6 6 3 2 4 2" xfId="41245"/>
    <cellStyle name="Separador de milhares 3 2 6 6 3 2 5" xfId="35337"/>
    <cellStyle name="Separador de milhares 3 2 6 6 3 3" xfId="25049"/>
    <cellStyle name="Separador de milhares 3 2 6 6 3 3 2" xfId="50116"/>
    <cellStyle name="Separador de milhares 3 2 6 6 3 4" xfId="19135"/>
    <cellStyle name="Separador de milhares 3 2 6 6 3 4 2" xfId="44202"/>
    <cellStyle name="Separador de milhares 3 2 6 6 3 5" xfId="13034"/>
    <cellStyle name="Separador de milhares 3 2 6 6 3 5 2" xfId="38291"/>
    <cellStyle name="Separador de milhares 3 2 6 6 3 6" xfId="32380"/>
    <cellStyle name="Separador de milhares 3 2 6 6 4" xfId="8324"/>
    <cellStyle name="Separador de milhares 3 2 6 6 4 2" xfId="26538"/>
    <cellStyle name="Separador de milhares 3 2 6 6 4 2 2" xfId="51605"/>
    <cellStyle name="Separador de milhares 3 2 6 6 4 3" xfId="20624"/>
    <cellStyle name="Separador de milhares 3 2 6 6 4 3 2" xfId="45691"/>
    <cellStyle name="Separador de milhares 3 2 6 6 4 4" xfId="14710"/>
    <cellStyle name="Separador de milhares 3 2 6 6 4 4 2" xfId="39777"/>
    <cellStyle name="Separador de milhares 3 2 6 6 4 5" xfId="33869"/>
    <cellStyle name="Separador de milhares 3 2 6 6 5" xfId="4946"/>
    <cellStyle name="Separador de milhares 3 2 6 6 5 2" xfId="23581"/>
    <cellStyle name="Separador de milhares 3 2 6 6 5 2 2" xfId="48648"/>
    <cellStyle name="Separador de milhares 3 2 6 6 5 3" xfId="30912"/>
    <cellStyle name="Separador de milhares 3 2 6 6 6" xfId="17667"/>
    <cellStyle name="Separador de milhares 3 2 6 6 6 2" xfId="42734"/>
    <cellStyle name="Separador de milhares 3 2 6 6 7" xfId="11333"/>
    <cellStyle name="Separador de milhares 3 2 6 6 7 2" xfId="36823"/>
    <cellStyle name="Separador de milhares 3 2 6 6 8" xfId="29442"/>
    <cellStyle name="Separador de milhares 3 2 6 7" xfId="1117"/>
    <cellStyle name="Separador de milhares 3 2 6 7 2" xfId="6743"/>
    <cellStyle name="Separador de milhares 3 2 6 7 2 2" xfId="9890"/>
    <cellStyle name="Separador de milhares 3 2 6 7 2 2 2" xfId="28104"/>
    <cellStyle name="Separador de milhares 3 2 6 7 2 2 2 2" xfId="53171"/>
    <cellStyle name="Separador de milhares 3 2 6 7 2 2 3" xfId="22190"/>
    <cellStyle name="Separador de milhares 3 2 6 7 2 2 3 2" xfId="47257"/>
    <cellStyle name="Separador de milhares 3 2 6 7 2 2 4" xfId="16276"/>
    <cellStyle name="Separador de milhares 3 2 6 7 2 2 4 2" xfId="41343"/>
    <cellStyle name="Separador de milhares 3 2 6 7 2 2 5" xfId="35435"/>
    <cellStyle name="Separador de milhares 3 2 6 7 2 3" xfId="25147"/>
    <cellStyle name="Separador de milhares 3 2 6 7 2 3 2" xfId="50214"/>
    <cellStyle name="Separador de milhares 3 2 6 7 2 4" xfId="19233"/>
    <cellStyle name="Separador de milhares 3 2 6 7 2 4 2" xfId="44300"/>
    <cellStyle name="Separador de milhares 3 2 6 7 2 5" xfId="13132"/>
    <cellStyle name="Separador de milhares 3 2 6 7 2 5 2" xfId="38389"/>
    <cellStyle name="Separador de milhares 3 2 6 7 2 6" xfId="32478"/>
    <cellStyle name="Separador de milhares 3 2 6 7 3" xfId="8422"/>
    <cellStyle name="Separador de milhares 3 2 6 7 3 2" xfId="26636"/>
    <cellStyle name="Separador de milhares 3 2 6 7 3 2 2" xfId="51703"/>
    <cellStyle name="Separador de milhares 3 2 6 7 3 3" xfId="20722"/>
    <cellStyle name="Separador de milhares 3 2 6 7 3 3 2" xfId="45789"/>
    <cellStyle name="Separador de milhares 3 2 6 7 3 4" xfId="14808"/>
    <cellStyle name="Separador de milhares 3 2 6 7 3 4 2" xfId="39875"/>
    <cellStyle name="Separador de milhares 3 2 6 7 3 5" xfId="33967"/>
    <cellStyle name="Separador de milhares 3 2 6 7 4" xfId="5044"/>
    <cellStyle name="Separador de milhares 3 2 6 7 4 2" xfId="23679"/>
    <cellStyle name="Separador de milhares 3 2 6 7 4 2 2" xfId="48746"/>
    <cellStyle name="Separador de milhares 3 2 6 7 4 3" xfId="31010"/>
    <cellStyle name="Separador de milhares 3 2 6 7 5" xfId="17765"/>
    <cellStyle name="Separador de milhares 3 2 6 7 5 2" xfId="42832"/>
    <cellStyle name="Separador de milhares 3 2 6 7 6" xfId="11431"/>
    <cellStyle name="Separador de milhares 3 2 6 7 6 2" xfId="36921"/>
    <cellStyle name="Separador de milhares 3 2 6 7 7" xfId="29540"/>
    <cellStyle name="Separador de milhares 3 2 6 8" xfId="1552"/>
    <cellStyle name="Separador de milhares 3 2 6 8 2" xfId="6862"/>
    <cellStyle name="Separador de milhares 3 2 6 8 2 2" xfId="10009"/>
    <cellStyle name="Separador de milhares 3 2 6 8 2 2 2" xfId="28223"/>
    <cellStyle name="Separador de milhares 3 2 6 8 2 2 2 2" xfId="53290"/>
    <cellStyle name="Separador de milhares 3 2 6 8 2 2 3" xfId="22309"/>
    <cellStyle name="Separador de milhares 3 2 6 8 2 2 3 2" xfId="47376"/>
    <cellStyle name="Separador de milhares 3 2 6 8 2 2 4" xfId="16395"/>
    <cellStyle name="Separador de milhares 3 2 6 8 2 2 4 2" xfId="41462"/>
    <cellStyle name="Separador de milhares 3 2 6 8 2 2 5" xfId="35554"/>
    <cellStyle name="Separador de milhares 3 2 6 8 2 3" xfId="25266"/>
    <cellStyle name="Separador de milhares 3 2 6 8 2 3 2" xfId="50333"/>
    <cellStyle name="Separador de milhares 3 2 6 8 2 4" xfId="19352"/>
    <cellStyle name="Separador de milhares 3 2 6 8 2 4 2" xfId="44419"/>
    <cellStyle name="Separador de milhares 3 2 6 8 2 5" xfId="13251"/>
    <cellStyle name="Separador de milhares 3 2 6 8 2 5 2" xfId="38508"/>
    <cellStyle name="Separador de milhares 3 2 6 8 2 6" xfId="32597"/>
    <cellStyle name="Separador de milhares 3 2 6 8 3" xfId="8541"/>
    <cellStyle name="Separador de milhares 3 2 6 8 3 2" xfId="26755"/>
    <cellStyle name="Separador de milhares 3 2 6 8 3 2 2" xfId="51822"/>
    <cellStyle name="Separador de milhares 3 2 6 8 3 3" xfId="20841"/>
    <cellStyle name="Separador de milhares 3 2 6 8 3 3 2" xfId="45908"/>
    <cellStyle name="Separador de milhares 3 2 6 8 3 4" xfId="14927"/>
    <cellStyle name="Separador de milhares 3 2 6 8 3 4 2" xfId="39994"/>
    <cellStyle name="Separador de milhares 3 2 6 8 3 5" xfId="34086"/>
    <cellStyle name="Separador de milhares 3 2 6 8 4" xfId="5163"/>
    <cellStyle name="Separador de milhares 3 2 6 8 4 2" xfId="23798"/>
    <cellStyle name="Separador de milhares 3 2 6 8 4 2 2" xfId="48865"/>
    <cellStyle name="Separador de milhares 3 2 6 8 4 3" xfId="31129"/>
    <cellStyle name="Separador de milhares 3 2 6 8 5" xfId="17884"/>
    <cellStyle name="Separador de milhares 3 2 6 8 5 2" xfId="42951"/>
    <cellStyle name="Separador de milhares 3 2 6 8 6" xfId="11550"/>
    <cellStyle name="Separador de milhares 3 2 6 8 6 2" xfId="37040"/>
    <cellStyle name="Separador de milhares 3 2 6 8 7" xfId="29659"/>
    <cellStyle name="Separador de milhares 3 2 6 9" xfId="2082"/>
    <cellStyle name="Separador de milhares 3 2 6 9 2" xfId="7012"/>
    <cellStyle name="Separador de milhares 3 2 6 9 2 2" xfId="10156"/>
    <cellStyle name="Separador de milhares 3 2 6 9 2 2 2" xfId="28370"/>
    <cellStyle name="Separador de milhares 3 2 6 9 2 2 2 2" xfId="53437"/>
    <cellStyle name="Separador de milhares 3 2 6 9 2 2 3" xfId="22456"/>
    <cellStyle name="Separador de milhares 3 2 6 9 2 2 3 2" xfId="47523"/>
    <cellStyle name="Separador de milhares 3 2 6 9 2 2 4" xfId="16542"/>
    <cellStyle name="Separador de milhares 3 2 6 9 2 2 4 2" xfId="41609"/>
    <cellStyle name="Separador de milhares 3 2 6 9 2 2 5" xfId="35701"/>
    <cellStyle name="Separador de milhares 3 2 6 9 2 3" xfId="25413"/>
    <cellStyle name="Separador de milhares 3 2 6 9 2 3 2" xfId="50480"/>
    <cellStyle name="Separador de milhares 3 2 6 9 2 4" xfId="19499"/>
    <cellStyle name="Separador de milhares 3 2 6 9 2 4 2" xfId="44566"/>
    <cellStyle name="Separador de milhares 3 2 6 9 2 5" xfId="13401"/>
    <cellStyle name="Separador de milhares 3 2 6 9 2 5 2" xfId="38655"/>
    <cellStyle name="Separador de milhares 3 2 6 9 2 6" xfId="32744"/>
    <cellStyle name="Separador de milhares 3 2 6 9 3" xfId="8688"/>
    <cellStyle name="Separador de milhares 3 2 6 9 3 2" xfId="26902"/>
    <cellStyle name="Separador de milhares 3 2 6 9 3 2 2" xfId="51969"/>
    <cellStyle name="Separador de milhares 3 2 6 9 3 3" xfId="20988"/>
    <cellStyle name="Separador de milhares 3 2 6 9 3 3 2" xfId="46055"/>
    <cellStyle name="Separador de milhares 3 2 6 9 3 4" xfId="15074"/>
    <cellStyle name="Separador de milhares 3 2 6 9 3 4 2" xfId="40141"/>
    <cellStyle name="Separador de milhares 3 2 6 9 3 5" xfId="34233"/>
    <cellStyle name="Separador de milhares 3 2 6 9 4" xfId="5313"/>
    <cellStyle name="Separador de milhares 3 2 6 9 4 2" xfId="23945"/>
    <cellStyle name="Separador de milhares 3 2 6 9 4 2 2" xfId="49012"/>
    <cellStyle name="Separador de milhares 3 2 6 9 4 3" xfId="31276"/>
    <cellStyle name="Separador de milhares 3 2 6 9 5" xfId="18031"/>
    <cellStyle name="Separador de milhares 3 2 6 9 5 2" xfId="43098"/>
    <cellStyle name="Separador de milhares 3 2 6 9 6" xfId="11700"/>
    <cellStyle name="Separador de milhares 3 2 6 9 6 2" xfId="37187"/>
    <cellStyle name="Separador de milhares 3 2 6 9 7" xfId="29806"/>
    <cellStyle name="Separador de milhares 3 2 7" xfId="46"/>
    <cellStyle name="Separador de milhares 3 2 7 10" xfId="2549"/>
    <cellStyle name="Separador de milhares 3 2 7 10 2" xfId="7144"/>
    <cellStyle name="Separador de milhares 3 2 7 10 2 2" xfId="10288"/>
    <cellStyle name="Separador de milhares 3 2 7 10 2 2 2" xfId="28502"/>
    <cellStyle name="Separador de milhares 3 2 7 10 2 2 2 2" xfId="53569"/>
    <cellStyle name="Separador de milhares 3 2 7 10 2 2 3" xfId="22588"/>
    <cellStyle name="Separador de milhares 3 2 7 10 2 2 3 2" xfId="47655"/>
    <cellStyle name="Separador de milhares 3 2 7 10 2 2 4" xfId="16674"/>
    <cellStyle name="Separador de milhares 3 2 7 10 2 2 4 2" xfId="41741"/>
    <cellStyle name="Separador de milhares 3 2 7 10 2 2 5" xfId="35833"/>
    <cellStyle name="Separador de milhares 3 2 7 10 2 3" xfId="25545"/>
    <cellStyle name="Separador de milhares 3 2 7 10 2 3 2" xfId="50612"/>
    <cellStyle name="Separador de milhares 3 2 7 10 2 4" xfId="19631"/>
    <cellStyle name="Separador de milhares 3 2 7 10 2 4 2" xfId="44698"/>
    <cellStyle name="Separador de milhares 3 2 7 10 2 5" xfId="13533"/>
    <cellStyle name="Separador de milhares 3 2 7 10 2 5 2" xfId="38787"/>
    <cellStyle name="Separador de milhares 3 2 7 10 2 6" xfId="32876"/>
    <cellStyle name="Separador de milhares 3 2 7 10 3" xfId="8820"/>
    <cellStyle name="Separador de milhares 3 2 7 10 3 2" xfId="27034"/>
    <cellStyle name="Separador de milhares 3 2 7 10 3 2 2" xfId="52101"/>
    <cellStyle name="Separador de milhares 3 2 7 10 3 3" xfId="21120"/>
    <cellStyle name="Separador de milhares 3 2 7 10 3 3 2" xfId="46187"/>
    <cellStyle name="Separador de milhares 3 2 7 10 3 4" xfId="15206"/>
    <cellStyle name="Separador de milhares 3 2 7 10 3 4 2" xfId="40273"/>
    <cellStyle name="Separador de milhares 3 2 7 10 3 5" xfId="34365"/>
    <cellStyle name="Separador de milhares 3 2 7 10 4" xfId="5445"/>
    <cellStyle name="Separador de milhares 3 2 7 10 4 2" xfId="24077"/>
    <cellStyle name="Separador de milhares 3 2 7 10 4 2 2" xfId="49144"/>
    <cellStyle name="Separador de milhares 3 2 7 10 4 3" xfId="31408"/>
    <cellStyle name="Separador de milhares 3 2 7 10 5" xfId="18163"/>
    <cellStyle name="Separador de milhares 3 2 7 10 5 2" xfId="43230"/>
    <cellStyle name="Separador de milhares 3 2 7 10 6" xfId="11832"/>
    <cellStyle name="Separador de milhares 3 2 7 10 6 2" xfId="37319"/>
    <cellStyle name="Separador de milhares 3 2 7 10 7" xfId="29938"/>
    <cellStyle name="Separador de milhares 3 2 7 11" xfId="3076"/>
    <cellStyle name="Separador de milhares 3 2 7 11 2" xfId="7291"/>
    <cellStyle name="Separador de milhares 3 2 7 11 2 2" xfId="10435"/>
    <cellStyle name="Separador de milhares 3 2 7 11 2 2 2" xfId="28649"/>
    <cellStyle name="Separador de milhares 3 2 7 11 2 2 2 2" xfId="53716"/>
    <cellStyle name="Separador de milhares 3 2 7 11 2 2 3" xfId="22735"/>
    <cellStyle name="Separador de milhares 3 2 7 11 2 2 3 2" xfId="47802"/>
    <cellStyle name="Separador de milhares 3 2 7 11 2 2 4" xfId="16821"/>
    <cellStyle name="Separador de milhares 3 2 7 11 2 2 4 2" xfId="41888"/>
    <cellStyle name="Separador de milhares 3 2 7 11 2 2 5" xfId="35980"/>
    <cellStyle name="Separador de milhares 3 2 7 11 2 3" xfId="25692"/>
    <cellStyle name="Separador de milhares 3 2 7 11 2 3 2" xfId="50759"/>
    <cellStyle name="Separador de milhares 3 2 7 11 2 4" xfId="19778"/>
    <cellStyle name="Separador de milhares 3 2 7 11 2 4 2" xfId="44845"/>
    <cellStyle name="Separador de milhares 3 2 7 11 2 5" xfId="13680"/>
    <cellStyle name="Separador de milhares 3 2 7 11 2 5 2" xfId="38934"/>
    <cellStyle name="Separador de milhares 3 2 7 11 2 6" xfId="33023"/>
    <cellStyle name="Separador de milhares 3 2 7 11 3" xfId="8967"/>
    <cellStyle name="Separador de milhares 3 2 7 11 3 2" xfId="27181"/>
    <cellStyle name="Separador de milhares 3 2 7 11 3 2 2" xfId="52248"/>
    <cellStyle name="Separador de milhares 3 2 7 11 3 3" xfId="21267"/>
    <cellStyle name="Separador de milhares 3 2 7 11 3 3 2" xfId="46334"/>
    <cellStyle name="Separador de milhares 3 2 7 11 3 4" xfId="15353"/>
    <cellStyle name="Separador de milhares 3 2 7 11 3 4 2" xfId="40420"/>
    <cellStyle name="Separador de milhares 3 2 7 11 3 5" xfId="34512"/>
    <cellStyle name="Separador de milhares 3 2 7 11 4" xfId="5592"/>
    <cellStyle name="Separador de milhares 3 2 7 11 4 2" xfId="24224"/>
    <cellStyle name="Separador de milhares 3 2 7 11 4 2 2" xfId="49291"/>
    <cellStyle name="Separador de milhares 3 2 7 11 4 3" xfId="31555"/>
    <cellStyle name="Separador de milhares 3 2 7 11 5" xfId="18310"/>
    <cellStyle name="Separador de milhares 3 2 7 11 5 2" xfId="43377"/>
    <cellStyle name="Separador de milhares 3 2 7 11 6" xfId="11979"/>
    <cellStyle name="Separador de milhares 3 2 7 11 6 2" xfId="37466"/>
    <cellStyle name="Separador de milhares 3 2 7 11 7" xfId="30085"/>
    <cellStyle name="Separador de milhares 3 2 7 12" xfId="3603"/>
    <cellStyle name="Separador de milhares 3 2 7 12 2" xfId="7438"/>
    <cellStyle name="Separador de milhares 3 2 7 12 2 2" xfId="10582"/>
    <cellStyle name="Separador de milhares 3 2 7 12 2 2 2" xfId="28796"/>
    <cellStyle name="Separador de milhares 3 2 7 12 2 2 2 2" xfId="53863"/>
    <cellStyle name="Separador de milhares 3 2 7 12 2 2 3" xfId="22882"/>
    <cellStyle name="Separador de milhares 3 2 7 12 2 2 3 2" xfId="47949"/>
    <cellStyle name="Separador de milhares 3 2 7 12 2 2 4" xfId="16968"/>
    <cellStyle name="Separador de milhares 3 2 7 12 2 2 4 2" xfId="42035"/>
    <cellStyle name="Separador de milhares 3 2 7 12 2 2 5" xfId="36127"/>
    <cellStyle name="Separador de milhares 3 2 7 12 2 3" xfId="25839"/>
    <cellStyle name="Separador de milhares 3 2 7 12 2 3 2" xfId="50906"/>
    <cellStyle name="Separador de milhares 3 2 7 12 2 4" xfId="19925"/>
    <cellStyle name="Separador de milhares 3 2 7 12 2 4 2" xfId="44992"/>
    <cellStyle name="Separador de milhares 3 2 7 12 2 5" xfId="13827"/>
    <cellStyle name="Separador de milhares 3 2 7 12 2 5 2" xfId="39081"/>
    <cellStyle name="Separador de milhares 3 2 7 12 2 6" xfId="33170"/>
    <cellStyle name="Separador de milhares 3 2 7 12 3" xfId="9114"/>
    <cellStyle name="Separador de milhares 3 2 7 12 3 2" xfId="27328"/>
    <cellStyle name="Separador de milhares 3 2 7 12 3 2 2" xfId="52395"/>
    <cellStyle name="Separador de milhares 3 2 7 12 3 3" xfId="21414"/>
    <cellStyle name="Separador de milhares 3 2 7 12 3 3 2" xfId="46481"/>
    <cellStyle name="Separador de milhares 3 2 7 12 3 4" xfId="15500"/>
    <cellStyle name="Separador de milhares 3 2 7 12 3 4 2" xfId="40567"/>
    <cellStyle name="Separador de milhares 3 2 7 12 3 5" xfId="34659"/>
    <cellStyle name="Separador de milhares 3 2 7 12 4" xfId="5739"/>
    <cellStyle name="Separador de milhares 3 2 7 12 4 2" xfId="24371"/>
    <cellStyle name="Separador de milhares 3 2 7 12 4 2 2" xfId="49438"/>
    <cellStyle name="Separador de milhares 3 2 7 12 4 3" xfId="31702"/>
    <cellStyle name="Separador de milhares 3 2 7 12 5" xfId="18457"/>
    <cellStyle name="Separador de milhares 3 2 7 12 5 2" xfId="43524"/>
    <cellStyle name="Separador de milhares 3 2 7 12 6" xfId="12126"/>
    <cellStyle name="Separador de milhares 3 2 7 12 6 2" xfId="37613"/>
    <cellStyle name="Separador de milhares 3 2 7 12 7" xfId="30232"/>
    <cellStyle name="Separador de milhares 3 2 7 13" xfId="6422"/>
    <cellStyle name="Separador de milhares 3 2 7 13 2" xfId="9578"/>
    <cellStyle name="Separador de milhares 3 2 7 13 2 2" xfId="27792"/>
    <cellStyle name="Separador de milhares 3 2 7 13 2 2 2" xfId="52859"/>
    <cellStyle name="Separador de milhares 3 2 7 13 2 3" xfId="21878"/>
    <cellStyle name="Separador de milhares 3 2 7 13 2 3 2" xfId="46945"/>
    <cellStyle name="Separador de milhares 3 2 7 13 2 4" xfId="15964"/>
    <cellStyle name="Separador de milhares 3 2 7 13 2 4 2" xfId="41031"/>
    <cellStyle name="Separador de milhares 3 2 7 13 2 5" xfId="35123"/>
    <cellStyle name="Separador de milhares 3 2 7 13 3" xfId="24835"/>
    <cellStyle name="Separador de milhares 3 2 7 13 3 2" xfId="49902"/>
    <cellStyle name="Separador de milhares 3 2 7 13 4" xfId="18921"/>
    <cellStyle name="Separador de milhares 3 2 7 13 4 2" xfId="43988"/>
    <cellStyle name="Separador de milhares 3 2 7 13 5" xfId="12811"/>
    <cellStyle name="Separador de milhares 3 2 7 13 5 2" xfId="38077"/>
    <cellStyle name="Separador de milhares 3 2 7 13 6" xfId="32166"/>
    <cellStyle name="Separador de milhares 3 2 7 14" xfId="8107"/>
    <cellStyle name="Separador de milhares 3 2 7 14 2" xfId="26321"/>
    <cellStyle name="Separador de milhares 3 2 7 14 2 2" xfId="51388"/>
    <cellStyle name="Separador de milhares 3 2 7 14 3" xfId="20407"/>
    <cellStyle name="Separador de milhares 3 2 7 14 3 2" xfId="45474"/>
    <cellStyle name="Separador de milhares 3 2 7 14 4" xfId="14496"/>
    <cellStyle name="Separador de milhares 3 2 7 14 4 2" xfId="39563"/>
    <cellStyle name="Separador de milhares 3 2 7 14 5" xfId="33652"/>
    <cellStyle name="Separador de milhares 3 2 7 15" xfId="4720"/>
    <cellStyle name="Separador de milhares 3 2 7 15 2" xfId="23364"/>
    <cellStyle name="Separador de milhares 3 2 7 15 2 2" xfId="48431"/>
    <cellStyle name="Separador de milhares 3 2 7 15 3" xfId="30696"/>
    <cellStyle name="Separador de milhares 3 2 7 16" xfId="17450"/>
    <cellStyle name="Separador de milhares 3 2 7 16 2" xfId="42517"/>
    <cellStyle name="Separador de milhares 3 2 7 17" xfId="11110"/>
    <cellStyle name="Separador de milhares 3 2 7 17 2" xfId="36609"/>
    <cellStyle name="Separador de milhares 3 2 7 18" xfId="29224"/>
    <cellStyle name="Separador de milhares 3 2 7 2" xfId="140"/>
    <cellStyle name="Separador de milhares 3 2 7 2 10" xfId="6451"/>
    <cellStyle name="Separador de milhares 3 2 7 2 10 2" xfId="9605"/>
    <cellStyle name="Separador de milhares 3 2 7 2 10 2 2" xfId="27819"/>
    <cellStyle name="Separador de milhares 3 2 7 2 10 2 2 2" xfId="52886"/>
    <cellStyle name="Separador de milhares 3 2 7 2 10 2 3" xfId="21905"/>
    <cellStyle name="Separador de milhares 3 2 7 2 10 2 3 2" xfId="46972"/>
    <cellStyle name="Separador de milhares 3 2 7 2 10 2 4" xfId="15991"/>
    <cellStyle name="Separador de milhares 3 2 7 2 10 2 4 2" xfId="41058"/>
    <cellStyle name="Separador de milhares 3 2 7 2 10 2 5" xfId="35150"/>
    <cellStyle name="Separador de milhares 3 2 7 2 10 3" xfId="24862"/>
    <cellStyle name="Separador de milhares 3 2 7 2 10 3 2" xfId="49929"/>
    <cellStyle name="Separador de milhares 3 2 7 2 10 4" xfId="18948"/>
    <cellStyle name="Separador de milhares 3 2 7 2 10 4 2" xfId="44015"/>
    <cellStyle name="Separador de milhares 3 2 7 2 10 5" xfId="12840"/>
    <cellStyle name="Separador de milhares 3 2 7 2 10 5 2" xfId="38104"/>
    <cellStyle name="Separador de milhares 3 2 7 2 10 6" xfId="32193"/>
    <cellStyle name="Separador de milhares 3 2 7 2 11" xfId="8134"/>
    <cellStyle name="Separador de milhares 3 2 7 2 11 2" xfId="26348"/>
    <cellStyle name="Separador de milhares 3 2 7 2 11 2 2" xfId="51415"/>
    <cellStyle name="Separador de milhares 3 2 7 2 11 3" xfId="20434"/>
    <cellStyle name="Separador de milhares 3 2 7 2 11 3 2" xfId="45501"/>
    <cellStyle name="Separador de milhares 3 2 7 2 11 4" xfId="14523"/>
    <cellStyle name="Separador de milhares 3 2 7 2 11 4 2" xfId="39590"/>
    <cellStyle name="Separador de milhares 3 2 7 2 11 5" xfId="33679"/>
    <cellStyle name="Separador de milhares 3 2 7 2 12" xfId="4750"/>
    <cellStyle name="Separador de milhares 3 2 7 2 12 2" xfId="23391"/>
    <cellStyle name="Separador de milhares 3 2 7 2 12 2 2" xfId="48458"/>
    <cellStyle name="Separador de milhares 3 2 7 2 12 3" xfId="30723"/>
    <cellStyle name="Separador de milhares 3 2 7 2 13" xfId="17477"/>
    <cellStyle name="Separador de milhares 3 2 7 2 13 2" xfId="42544"/>
    <cellStyle name="Separador de milhares 3 2 7 2 14" xfId="11139"/>
    <cellStyle name="Separador de milhares 3 2 7 2 14 2" xfId="36636"/>
    <cellStyle name="Separador de milhares 3 2 7 2 15" xfId="29252"/>
    <cellStyle name="Separador de milhares 3 2 7 2 2" xfId="413"/>
    <cellStyle name="Separador de milhares 3 2 7 2 2 10" xfId="17551"/>
    <cellStyle name="Separador de milhares 3 2 7 2 2 10 2" xfId="42618"/>
    <cellStyle name="Separador de milhares 3 2 7 2 2 11" xfId="11220"/>
    <cellStyle name="Separador de milhares 3 2 7 2 2 11 2" xfId="36710"/>
    <cellStyle name="Separador de milhares 3 2 7 2 2 12" xfId="29326"/>
    <cellStyle name="Separador de milhares 3 2 7 2 2 2" xfId="1932"/>
    <cellStyle name="Separador de milhares 3 2 7 2 2 2 2" xfId="6970"/>
    <cellStyle name="Separador de milhares 3 2 7 2 2 2 2 2" xfId="10117"/>
    <cellStyle name="Separador de milhares 3 2 7 2 2 2 2 2 2" xfId="28331"/>
    <cellStyle name="Separador de milhares 3 2 7 2 2 2 2 2 2 2" xfId="53398"/>
    <cellStyle name="Separador de milhares 3 2 7 2 2 2 2 2 3" xfId="22417"/>
    <cellStyle name="Separador de milhares 3 2 7 2 2 2 2 2 3 2" xfId="47484"/>
    <cellStyle name="Separador de milhares 3 2 7 2 2 2 2 2 4" xfId="16503"/>
    <cellStyle name="Separador de milhares 3 2 7 2 2 2 2 2 4 2" xfId="41570"/>
    <cellStyle name="Separador de milhares 3 2 7 2 2 2 2 2 5" xfId="35662"/>
    <cellStyle name="Separador de milhares 3 2 7 2 2 2 2 3" xfId="25374"/>
    <cellStyle name="Separador de milhares 3 2 7 2 2 2 2 3 2" xfId="50441"/>
    <cellStyle name="Separador de milhares 3 2 7 2 2 2 2 4" xfId="19460"/>
    <cellStyle name="Separador de milhares 3 2 7 2 2 2 2 4 2" xfId="44527"/>
    <cellStyle name="Separador de milhares 3 2 7 2 2 2 2 5" xfId="13359"/>
    <cellStyle name="Separador de milhares 3 2 7 2 2 2 2 5 2" xfId="38616"/>
    <cellStyle name="Separador de milhares 3 2 7 2 2 2 2 6" xfId="32705"/>
    <cellStyle name="Separador de milhares 3 2 7 2 2 2 3" xfId="8649"/>
    <cellStyle name="Separador de milhares 3 2 7 2 2 2 3 2" xfId="26863"/>
    <cellStyle name="Separador de milhares 3 2 7 2 2 2 3 2 2" xfId="51930"/>
    <cellStyle name="Separador de milhares 3 2 7 2 2 2 3 3" xfId="20949"/>
    <cellStyle name="Separador de milhares 3 2 7 2 2 2 3 3 2" xfId="46016"/>
    <cellStyle name="Separador de milhares 3 2 7 2 2 2 3 4" xfId="15035"/>
    <cellStyle name="Separador de milhares 3 2 7 2 2 2 3 4 2" xfId="40102"/>
    <cellStyle name="Separador de milhares 3 2 7 2 2 2 3 5" xfId="34194"/>
    <cellStyle name="Separador de milhares 3 2 7 2 2 2 4" xfId="5271"/>
    <cellStyle name="Separador de milhares 3 2 7 2 2 2 4 2" xfId="23906"/>
    <cellStyle name="Separador de milhares 3 2 7 2 2 2 4 2 2" xfId="48973"/>
    <cellStyle name="Separador de milhares 3 2 7 2 2 2 4 3" xfId="31237"/>
    <cellStyle name="Separador de milhares 3 2 7 2 2 2 5" xfId="17992"/>
    <cellStyle name="Separador de milhares 3 2 7 2 2 2 5 2" xfId="43059"/>
    <cellStyle name="Separador de milhares 3 2 7 2 2 2 6" xfId="11658"/>
    <cellStyle name="Separador de milhares 3 2 7 2 2 2 6 2" xfId="37148"/>
    <cellStyle name="Separador de milhares 3 2 7 2 2 2 7" xfId="29767"/>
    <cellStyle name="Separador de milhares 3 2 7 2 2 3" xfId="2462"/>
    <cellStyle name="Separador de milhares 3 2 7 2 2 3 2" xfId="7120"/>
    <cellStyle name="Separador de milhares 3 2 7 2 2 3 2 2" xfId="10264"/>
    <cellStyle name="Separador de milhares 3 2 7 2 2 3 2 2 2" xfId="28478"/>
    <cellStyle name="Separador de milhares 3 2 7 2 2 3 2 2 2 2" xfId="53545"/>
    <cellStyle name="Separador de milhares 3 2 7 2 2 3 2 2 3" xfId="22564"/>
    <cellStyle name="Separador de milhares 3 2 7 2 2 3 2 2 3 2" xfId="47631"/>
    <cellStyle name="Separador de milhares 3 2 7 2 2 3 2 2 4" xfId="16650"/>
    <cellStyle name="Separador de milhares 3 2 7 2 2 3 2 2 4 2" xfId="41717"/>
    <cellStyle name="Separador de milhares 3 2 7 2 2 3 2 2 5" xfId="35809"/>
    <cellStyle name="Separador de milhares 3 2 7 2 2 3 2 3" xfId="25521"/>
    <cellStyle name="Separador de milhares 3 2 7 2 2 3 2 3 2" xfId="50588"/>
    <cellStyle name="Separador de milhares 3 2 7 2 2 3 2 4" xfId="19607"/>
    <cellStyle name="Separador de milhares 3 2 7 2 2 3 2 4 2" xfId="44674"/>
    <cellStyle name="Separador de milhares 3 2 7 2 2 3 2 5" xfId="13509"/>
    <cellStyle name="Separador de milhares 3 2 7 2 2 3 2 5 2" xfId="38763"/>
    <cellStyle name="Separador de milhares 3 2 7 2 2 3 2 6" xfId="32852"/>
    <cellStyle name="Separador de milhares 3 2 7 2 2 3 3" xfId="8796"/>
    <cellStyle name="Separador de milhares 3 2 7 2 2 3 3 2" xfId="27010"/>
    <cellStyle name="Separador de milhares 3 2 7 2 2 3 3 2 2" xfId="52077"/>
    <cellStyle name="Separador de milhares 3 2 7 2 2 3 3 3" xfId="21096"/>
    <cellStyle name="Separador de milhares 3 2 7 2 2 3 3 3 2" xfId="46163"/>
    <cellStyle name="Separador de milhares 3 2 7 2 2 3 3 4" xfId="15182"/>
    <cellStyle name="Separador de milhares 3 2 7 2 2 3 3 4 2" xfId="40249"/>
    <cellStyle name="Separador de milhares 3 2 7 2 2 3 3 5" xfId="34341"/>
    <cellStyle name="Separador de milhares 3 2 7 2 2 3 4" xfId="5421"/>
    <cellStyle name="Separador de milhares 3 2 7 2 2 3 4 2" xfId="24053"/>
    <cellStyle name="Separador de milhares 3 2 7 2 2 3 4 2 2" xfId="49120"/>
    <cellStyle name="Separador de milhares 3 2 7 2 2 3 4 3" xfId="31384"/>
    <cellStyle name="Separador de milhares 3 2 7 2 2 3 5" xfId="18139"/>
    <cellStyle name="Separador de milhares 3 2 7 2 2 3 5 2" xfId="43206"/>
    <cellStyle name="Separador de milhares 3 2 7 2 2 3 6" xfId="11808"/>
    <cellStyle name="Separador de milhares 3 2 7 2 2 3 6 2" xfId="37295"/>
    <cellStyle name="Separador de milhares 3 2 7 2 2 3 7" xfId="29914"/>
    <cellStyle name="Separador de milhares 3 2 7 2 2 4" xfId="2989"/>
    <cellStyle name="Separador de milhares 3 2 7 2 2 4 2" xfId="7267"/>
    <cellStyle name="Separador de milhares 3 2 7 2 2 4 2 2" xfId="10411"/>
    <cellStyle name="Separador de milhares 3 2 7 2 2 4 2 2 2" xfId="28625"/>
    <cellStyle name="Separador de milhares 3 2 7 2 2 4 2 2 2 2" xfId="53692"/>
    <cellStyle name="Separador de milhares 3 2 7 2 2 4 2 2 3" xfId="22711"/>
    <cellStyle name="Separador de milhares 3 2 7 2 2 4 2 2 3 2" xfId="47778"/>
    <cellStyle name="Separador de milhares 3 2 7 2 2 4 2 2 4" xfId="16797"/>
    <cellStyle name="Separador de milhares 3 2 7 2 2 4 2 2 4 2" xfId="41864"/>
    <cellStyle name="Separador de milhares 3 2 7 2 2 4 2 2 5" xfId="35956"/>
    <cellStyle name="Separador de milhares 3 2 7 2 2 4 2 3" xfId="25668"/>
    <cellStyle name="Separador de milhares 3 2 7 2 2 4 2 3 2" xfId="50735"/>
    <cellStyle name="Separador de milhares 3 2 7 2 2 4 2 4" xfId="19754"/>
    <cellStyle name="Separador de milhares 3 2 7 2 2 4 2 4 2" xfId="44821"/>
    <cellStyle name="Separador de milhares 3 2 7 2 2 4 2 5" xfId="13656"/>
    <cellStyle name="Separador de milhares 3 2 7 2 2 4 2 5 2" xfId="38910"/>
    <cellStyle name="Separador de milhares 3 2 7 2 2 4 2 6" xfId="32999"/>
    <cellStyle name="Separador de milhares 3 2 7 2 2 4 3" xfId="8943"/>
    <cellStyle name="Separador de milhares 3 2 7 2 2 4 3 2" xfId="27157"/>
    <cellStyle name="Separador de milhares 3 2 7 2 2 4 3 2 2" xfId="52224"/>
    <cellStyle name="Separador de milhares 3 2 7 2 2 4 3 3" xfId="21243"/>
    <cellStyle name="Separador de milhares 3 2 7 2 2 4 3 3 2" xfId="46310"/>
    <cellStyle name="Separador de milhares 3 2 7 2 2 4 3 4" xfId="15329"/>
    <cellStyle name="Separador de milhares 3 2 7 2 2 4 3 4 2" xfId="40396"/>
    <cellStyle name="Separador de milhares 3 2 7 2 2 4 3 5" xfId="34488"/>
    <cellStyle name="Separador de milhares 3 2 7 2 2 4 4" xfId="5568"/>
    <cellStyle name="Separador de milhares 3 2 7 2 2 4 4 2" xfId="24200"/>
    <cellStyle name="Separador de milhares 3 2 7 2 2 4 4 2 2" xfId="49267"/>
    <cellStyle name="Separador de milhares 3 2 7 2 2 4 4 3" xfId="31531"/>
    <cellStyle name="Separador de milhares 3 2 7 2 2 4 5" xfId="18286"/>
    <cellStyle name="Separador de milhares 3 2 7 2 2 4 5 2" xfId="43353"/>
    <cellStyle name="Separador de milhares 3 2 7 2 2 4 6" xfId="11955"/>
    <cellStyle name="Separador de milhares 3 2 7 2 2 4 6 2" xfId="37442"/>
    <cellStyle name="Separador de milhares 3 2 7 2 2 4 7" xfId="30061"/>
    <cellStyle name="Separador de milhares 3 2 7 2 2 5" xfId="3516"/>
    <cellStyle name="Separador de milhares 3 2 7 2 2 5 2" xfId="7414"/>
    <cellStyle name="Separador de milhares 3 2 7 2 2 5 2 2" xfId="10558"/>
    <cellStyle name="Separador de milhares 3 2 7 2 2 5 2 2 2" xfId="28772"/>
    <cellStyle name="Separador de milhares 3 2 7 2 2 5 2 2 2 2" xfId="53839"/>
    <cellStyle name="Separador de milhares 3 2 7 2 2 5 2 2 3" xfId="22858"/>
    <cellStyle name="Separador de milhares 3 2 7 2 2 5 2 2 3 2" xfId="47925"/>
    <cellStyle name="Separador de milhares 3 2 7 2 2 5 2 2 4" xfId="16944"/>
    <cellStyle name="Separador de milhares 3 2 7 2 2 5 2 2 4 2" xfId="42011"/>
    <cellStyle name="Separador de milhares 3 2 7 2 2 5 2 2 5" xfId="36103"/>
    <cellStyle name="Separador de milhares 3 2 7 2 2 5 2 3" xfId="25815"/>
    <cellStyle name="Separador de milhares 3 2 7 2 2 5 2 3 2" xfId="50882"/>
    <cellStyle name="Separador de milhares 3 2 7 2 2 5 2 4" xfId="19901"/>
    <cellStyle name="Separador de milhares 3 2 7 2 2 5 2 4 2" xfId="44968"/>
    <cellStyle name="Separador de milhares 3 2 7 2 2 5 2 5" xfId="13803"/>
    <cellStyle name="Separador de milhares 3 2 7 2 2 5 2 5 2" xfId="39057"/>
    <cellStyle name="Separador de milhares 3 2 7 2 2 5 2 6" xfId="33146"/>
    <cellStyle name="Separador de milhares 3 2 7 2 2 5 3" xfId="9090"/>
    <cellStyle name="Separador de milhares 3 2 7 2 2 5 3 2" xfId="27304"/>
    <cellStyle name="Separador de milhares 3 2 7 2 2 5 3 2 2" xfId="52371"/>
    <cellStyle name="Separador de milhares 3 2 7 2 2 5 3 3" xfId="21390"/>
    <cellStyle name="Separador de milhares 3 2 7 2 2 5 3 3 2" xfId="46457"/>
    <cellStyle name="Separador de milhares 3 2 7 2 2 5 3 4" xfId="15476"/>
    <cellStyle name="Separador de milhares 3 2 7 2 2 5 3 4 2" xfId="40543"/>
    <cellStyle name="Separador de milhares 3 2 7 2 2 5 3 5" xfId="34635"/>
    <cellStyle name="Separador de milhares 3 2 7 2 2 5 4" xfId="5715"/>
    <cellStyle name="Separador de milhares 3 2 7 2 2 5 4 2" xfId="24347"/>
    <cellStyle name="Separador de milhares 3 2 7 2 2 5 4 2 2" xfId="49414"/>
    <cellStyle name="Separador de milhares 3 2 7 2 2 5 4 3" xfId="31678"/>
    <cellStyle name="Separador de milhares 3 2 7 2 2 5 5" xfId="18433"/>
    <cellStyle name="Separador de milhares 3 2 7 2 2 5 5 2" xfId="43500"/>
    <cellStyle name="Separador de milhares 3 2 7 2 2 5 6" xfId="12102"/>
    <cellStyle name="Separador de milhares 3 2 7 2 2 5 6 2" xfId="37589"/>
    <cellStyle name="Separador de milhares 3 2 7 2 2 5 7" xfId="30208"/>
    <cellStyle name="Separador de milhares 3 2 7 2 2 6" xfId="4043"/>
    <cellStyle name="Separador de milhares 3 2 7 2 2 6 2" xfId="7561"/>
    <cellStyle name="Separador de milhares 3 2 7 2 2 6 2 2" xfId="10705"/>
    <cellStyle name="Separador de milhares 3 2 7 2 2 6 2 2 2" xfId="28919"/>
    <cellStyle name="Separador de milhares 3 2 7 2 2 6 2 2 2 2" xfId="53986"/>
    <cellStyle name="Separador de milhares 3 2 7 2 2 6 2 2 3" xfId="23005"/>
    <cellStyle name="Separador de milhares 3 2 7 2 2 6 2 2 3 2" xfId="48072"/>
    <cellStyle name="Separador de milhares 3 2 7 2 2 6 2 2 4" xfId="17091"/>
    <cellStyle name="Separador de milhares 3 2 7 2 2 6 2 2 4 2" xfId="42158"/>
    <cellStyle name="Separador de milhares 3 2 7 2 2 6 2 2 5" xfId="36250"/>
    <cellStyle name="Separador de milhares 3 2 7 2 2 6 2 3" xfId="25962"/>
    <cellStyle name="Separador de milhares 3 2 7 2 2 6 2 3 2" xfId="51029"/>
    <cellStyle name="Separador de milhares 3 2 7 2 2 6 2 4" xfId="20048"/>
    <cellStyle name="Separador de milhares 3 2 7 2 2 6 2 4 2" xfId="45115"/>
    <cellStyle name="Separador de milhares 3 2 7 2 2 6 2 5" xfId="13950"/>
    <cellStyle name="Separador de milhares 3 2 7 2 2 6 2 5 2" xfId="39204"/>
    <cellStyle name="Separador de milhares 3 2 7 2 2 6 2 6" xfId="33293"/>
    <cellStyle name="Separador de milhares 3 2 7 2 2 6 3" xfId="9237"/>
    <cellStyle name="Separador de milhares 3 2 7 2 2 6 3 2" xfId="27451"/>
    <cellStyle name="Separador de milhares 3 2 7 2 2 6 3 2 2" xfId="52518"/>
    <cellStyle name="Separador de milhares 3 2 7 2 2 6 3 3" xfId="21537"/>
    <cellStyle name="Separador de milhares 3 2 7 2 2 6 3 3 2" xfId="46604"/>
    <cellStyle name="Separador de milhares 3 2 7 2 2 6 3 4" xfId="15623"/>
    <cellStyle name="Separador de milhares 3 2 7 2 2 6 3 4 2" xfId="40690"/>
    <cellStyle name="Separador de milhares 3 2 7 2 2 6 3 5" xfId="34782"/>
    <cellStyle name="Separador de milhares 3 2 7 2 2 6 4" xfId="5862"/>
    <cellStyle name="Separador de milhares 3 2 7 2 2 6 4 2" xfId="24494"/>
    <cellStyle name="Separador de milhares 3 2 7 2 2 6 4 2 2" xfId="49561"/>
    <cellStyle name="Separador de milhares 3 2 7 2 2 6 4 3" xfId="31825"/>
    <cellStyle name="Separador de milhares 3 2 7 2 2 6 5" xfId="18580"/>
    <cellStyle name="Separador de milhares 3 2 7 2 2 6 5 2" xfId="43647"/>
    <cellStyle name="Separador de milhares 3 2 7 2 2 6 6" xfId="12249"/>
    <cellStyle name="Separador de milhares 3 2 7 2 2 6 6 2" xfId="37736"/>
    <cellStyle name="Separador de milhares 3 2 7 2 2 6 7" xfId="30355"/>
    <cellStyle name="Separador de milhares 3 2 7 2 2 7" xfId="6532"/>
    <cellStyle name="Separador de milhares 3 2 7 2 2 7 2" xfId="9679"/>
    <cellStyle name="Separador de milhares 3 2 7 2 2 7 2 2" xfId="27893"/>
    <cellStyle name="Separador de milhares 3 2 7 2 2 7 2 2 2" xfId="52960"/>
    <cellStyle name="Separador de milhares 3 2 7 2 2 7 2 3" xfId="21979"/>
    <cellStyle name="Separador de milhares 3 2 7 2 2 7 2 3 2" xfId="47046"/>
    <cellStyle name="Separador de milhares 3 2 7 2 2 7 2 4" xfId="16065"/>
    <cellStyle name="Separador de milhares 3 2 7 2 2 7 2 4 2" xfId="41132"/>
    <cellStyle name="Separador de milhares 3 2 7 2 2 7 2 5" xfId="35224"/>
    <cellStyle name="Separador de milhares 3 2 7 2 2 7 3" xfId="24936"/>
    <cellStyle name="Separador de milhares 3 2 7 2 2 7 3 2" xfId="50003"/>
    <cellStyle name="Separador de milhares 3 2 7 2 2 7 4" xfId="19022"/>
    <cellStyle name="Separador de milhares 3 2 7 2 2 7 4 2" xfId="44089"/>
    <cellStyle name="Separador de milhares 3 2 7 2 2 7 5" xfId="12921"/>
    <cellStyle name="Separador de milhares 3 2 7 2 2 7 5 2" xfId="38178"/>
    <cellStyle name="Separador de milhares 3 2 7 2 2 7 6" xfId="32267"/>
    <cellStyle name="Separador de milhares 3 2 7 2 2 8" xfId="8208"/>
    <cellStyle name="Separador de milhares 3 2 7 2 2 8 2" xfId="26422"/>
    <cellStyle name="Separador de milhares 3 2 7 2 2 8 2 2" xfId="51489"/>
    <cellStyle name="Separador de milhares 3 2 7 2 2 8 3" xfId="20508"/>
    <cellStyle name="Separador de milhares 3 2 7 2 2 8 3 2" xfId="45575"/>
    <cellStyle name="Separador de milhares 3 2 7 2 2 8 4" xfId="14597"/>
    <cellStyle name="Separador de milhares 3 2 7 2 2 8 4 2" xfId="39664"/>
    <cellStyle name="Separador de milhares 3 2 7 2 2 8 5" xfId="33753"/>
    <cellStyle name="Separador de milhares 3 2 7 2 2 9" xfId="4831"/>
    <cellStyle name="Separador de milhares 3 2 7 2 2 9 2" xfId="23465"/>
    <cellStyle name="Separador de milhares 3 2 7 2 2 9 2 2" xfId="48532"/>
    <cellStyle name="Separador de milhares 3 2 7 2 2 9 3" xfId="30797"/>
    <cellStyle name="Separador de milhares 3 2 7 2 3" xfId="886"/>
    <cellStyle name="Separador de milhares 3 2 7 2 3 2" xfId="6683"/>
    <cellStyle name="Separador de milhares 3 2 7 2 3 2 2" xfId="9830"/>
    <cellStyle name="Separador de milhares 3 2 7 2 3 2 2 2" xfId="28044"/>
    <cellStyle name="Separador de milhares 3 2 7 2 3 2 2 2 2" xfId="53111"/>
    <cellStyle name="Separador de milhares 3 2 7 2 3 2 2 3" xfId="22130"/>
    <cellStyle name="Separador de milhares 3 2 7 2 3 2 2 3 2" xfId="47197"/>
    <cellStyle name="Separador de milhares 3 2 7 2 3 2 2 4" xfId="16216"/>
    <cellStyle name="Separador de milhares 3 2 7 2 3 2 2 4 2" xfId="41283"/>
    <cellStyle name="Separador de milhares 3 2 7 2 3 2 2 5" xfId="35375"/>
    <cellStyle name="Separador de milhares 3 2 7 2 3 2 3" xfId="25087"/>
    <cellStyle name="Separador de milhares 3 2 7 2 3 2 3 2" xfId="50154"/>
    <cellStyle name="Separador de milhares 3 2 7 2 3 2 4" xfId="19173"/>
    <cellStyle name="Separador de milhares 3 2 7 2 3 2 4 2" xfId="44240"/>
    <cellStyle name="Separador de milhares 3 2 7 2 3 2 5" xfId="13072"/>
    <cellStyle name="Separador de milhares 3 2 7 2 3 2 5 2" xfId="38329"/>
    <cellStyle name="Separador de milhares 3 2 7 2 3 2 6" xfId="32418"/>
    <cellStyle name="Separador de milhares 3 2 7 2 3 3" xfId="8362"/>
    <cellStyle name="Separador de milhares 3 2 7 2 3 3 2" xfId="26576"/>
    <cellStyle name="Separador de milhares 3 2 7 2 3 3 2 2" xfId="51643"/>
    <cellStyle name="Separador de milhares 3 2 7 2 3 3 3" xfId="20662"/>
    <cellStyle name="Separador de milhares 3 2 7 2 3 3 3 2" xfId="45729"/>
    <cellStyle name="Separador de milhares 3 2 7 2 3 3 4" xfId="14748"/>
    <cellStyle name="Separador de milhares 3 2 7 2 3 3 4 2" xfId="39815"/>
    <cellStyle name="Separador de milhares 3 2 7 2 3 3 5" xfId="33907"/>
    <cellStyle name="Separador de milhares 3 2 7 2 3 4" xfId="4984"/>
    <cellStyle name="Separador de milhares 3 2 7 2 3 4 2" xfId="23619"/>
    <cellStyle name="Separador de milhares 3 2 7 2 3 4 2 2" xfId="48686"/>
    <cellStyle name="Separador de milhares 3 2 7 2 3 4 3" xfId="30950"/>
    <cellStyle name="Separador de milhares 3 2 7 2 3 5" xfId="17705"/>
    <cellStyle name="Separador de milhares 3 2 7 2 3 5 2" xfId="42772"/>
    <cellStyle name="Separador de milhares 3 2 7 2 3 6" xfId="11371"/>
    <cellStyle name="Separador de milhares 3 2 7 2 3 6 2" xfId="36861"/>
    <cellStyle name="Separador de milhares 3 2 7 2 3 7" xfId="29480"/>
    <cellStyle name="Separador de milhares 3 2 7 2 4" xfId="1237"/>
    <cellStyle name="Separador de milhares 3 2 7 2 4 2" xfId="6781"/>
    <cellStyle name="Separador de milhares 3 2 7 2 4 2 2" xfId="9928"/>
    <cellStyle name="Separador de milhares 3 2 7 2 4 2 2 2" xfId="28142"/>
    <cellStyle name="Separador de milhares 3 2 7 2 4 2 2 2 2" xfId="53209"/>
    <cellStyle name="Separador de milhares 3 2 7 2 4 2 2 3" xfId="22228"/>
    <cellStyle name="Separador de milhares 3 2 7 2 4 2 2 3 2" xfId="47295"/>
    <cellStyle name="Separador de milhares 3 2 7 2 4 2 2 4" xfId="16314"/>
    <cellStyle name="Separador de milhares 3 2 7 2 4 2 2 4 2" xfId="41381"/>
    <cellStyle name="Separador de milhares 3 2 7 2 4 2 2 5" xfId="35473"/>
    <cellStyle name="Separador de milhares 3 2 7 2 4 2 3" xfId="25185"/>
    <cellStyle name="Separador de milhares 3 2 7 2 4 2 3 2" xfId="50252"/>
    <cellStyle name="Separador de milhares 3 2 7 2 4 2 4" xfId="19271"/>
    <cellStyle name="Separador de milhares 3 2 7 2 4 2 4 2" xfId="44338"/>
    <cellStyle name="Separador de milhares 3 2 7 2 4 2 5" xfId="13170"/>
    <cellStyle name="Separador de milhares 3 2 7 2 4 2 5 2" xfId="38427"/>
    <cellStyle name="Separador de milhares 3 2 7 2 4 2 6" xfId="32516"/>
    <cellStyle name="Separador de milhares 3 2 7 2 4 3" xfId="8460"/>
    <cellStyle name="Separador de milhares 3 2 7 2 4 3 2" xfId="26674"/>
    <cellStyle name="Separador de milhares 3 2 7 2 4 3 2 2" xfId="51741"/>
    <cellStyle name="Separador de milhares 3 2 7 2 4 3 3" xfId="20760"/>
    <cellStyle name="Separador de milhares 3 2 7 2 4 3 3 2" xfId="45827"/>
    <cellStyle name="Separador de milhares 3 2 7 2 4 3 4" xfId="14846"/>
    <cellStyle name="Separador de milhares 3 2 7 2 4 3 4 2" xfId="39913"/>
    <cellStyle name="Separador de milhares 3 2 7 2 4 3 5" xfId="34005"/>
    <cellStyle name="Separador de milhares 3 2 7 2 4 4" xfId="5082"/>
    <cellStyle name="Separador de milhares 3 2 7 2 4 4 2" xfId="23717"/>
    <cellStyle name="Separador de milhares 3 2 7 2 4 4 2 2" xfId="48784"/>
    <cellStyle name="Separador de milhares 3 2 7 2 4 4 3" xfId="31048"/>
    <cellStyle name="Separador de milhares 3 2 7 2 4 5" xfId="17803"/>
    <cellStyle name="Separador de milhares 3 2 7 2 4 5 2" xfId="42870"/>
    <cellStyle name="Separador de milhares 3 2 7 2 4 6" xfId="11469"/>
    <cellStyle name="Separador de milhares 3 2 7 2 4 6 2" xfId="36959"/>
    <cellStyle name="Separador de milhares 3 2 7 2 4 7" xfId="29578"/>
    <cellStyle name="Separador de milhares 3 2 7 2 5" xfId="1672"/>
    <cellStyle name="Separador de milhares 3 2 7 2 5 2" xfId="6900"/>
    <cellStyle name="Separador de milhares 3 2 7 2 5 2 2" xfId="10047"/>
    <cellStyle name="Separador de milhares 3 2 7 2 5 2 2 2" xfId="28261"/>
    <cellStyle name="Separador de milhares 3 2 7 2 5 2 2 2 2" xfId="53328"/>
    <cellStyle name="Separador de milhares 3 2 7 2 5 2 2 3" xfId="22347"/>
    <cellStyle name="Separador de milhares 3 2 7 2 5 2 2 3 2" xfId="47414"/>
    <cellStyle name="Separador de milhares 3 2 7 2 5 2 2 4" xfId="16433"/>
    <cellStyle name="Separador de milhares 3 2 7 2 5 2 2 4 2" xfId="41500"/>
    <cellStyle name="Separador de milhares 3 2 7 2 5 2 2 5" xfId="35592"/>
    <cellStyle name="Separador de milhares 3 2 7 2 5 2 3" xfId="25304"/>
    <cellStyle name="Separador de milhares 3 2 7 2 5 2 3 2" xfId="50371"/>
    <cellStyle name="Separador de milhares 3 2 7 2 5 2 4" xfId="19390"/>
    <cellStyle name="Separador de milhares 3 2 7 2 5 2 4 2" xfId="44457"/>
    <cellStyle name="Separador de milhares 3 2 7 2 5 2 5" xfId="13289"/>
    <cellStyle name="Separador de milhares 3 2 7 2 5 2 5 2" xfId="38546"/>
    <cellStyle name="Separador de milhares 3 2 7 2 5 2 6" xfId="32635"/>
    <cellStyle name="Separador de milhares 3 2 7 2 5 3" xfId="8579"/>
    <cellStyle name="Separador de milhares 3 2 7 2 5 3 2" xfId="26793"/>
    <cellStyle name="Separador de milhares 3 2 7 2 5 3 2 2" xfId="51860"/>
    <cellStyle name="Separador de milhares 3 2 7 2 5 3 3" xfId="20879"/>
    <cellStyle name="Separador de milhares 3 2 7 2 5 3 3 2" xfId="45946"/>
    <cellStyle name="Separador de milhares 3 2 7 2 5 3 4" xfId="14965"/>
    <cellStyle name="Separador de milhares 3 2 7 2 5 3 4 2" xfId="40032"/>
    <cellStyle name="Separador de milhares 3 2 7 2 5 3 5" xfId="34124"/>
    <cellStyle name="Separador de milhares 3 2 7 2 5 4" xfId="5201"/>
    <cellStyle name="Separador de milhares 3 2 7 2 5 4 2" xfId="23836"/>
    <cellStyle name="Separador de milhares 3 2 7 2 5 4 2 2" xfId="48903"/>
    <cellStyle name="Separador de milhares 3 2 7 2 5 4 3" xfId="31167"/>
    <cellStyle name="Separador de milhares 3 2 7 2 5 5" xfId="17922"/>
    <cellStyle name="Separador de milhares 3 2 7 2 5 5 2" xfId="42989"/>
    <cellStyle name="Separador de milhares 3 2 7 2 5 6" xfId="11588"/>
    <cellStyle name="Separador de milhares 3 2 7 2 5 6 2" xfId="37078"/>
    <cellStyle name="Separador de milhares 3 2 7 2 5 7" xfId="29697"/>
    <cellStyle name="Separador de milhares 3 2 7 2 6" xfId="2202"/>
    <cellStyle name="Separador de milhares 3 2 7 2 6 2" xfId="7050"/>
    <cellStyle name="Separador de milhares 3 2 7 2 6 2 2" xfId="10194"/>
    <cellStyle name="Separador de milhares 3 2 7 2 6 2 2 2" xfId="28408"/>
    <cellStyle name="Separador de milhares 3 2 7 2 6 2 2 2 2" xfId="53475"/>
    <cellStyle name="Separador de milhares 3 2 7 2 6 2 2 3" xfId="22494"/>
    <cellStyle name="Separador de milhares 3 2 7 2 6 2 2 3 2" xfId="47561"/>
    <cellStyle name="Separador de milhares 3 2 7 2 6 2 2 4" xfId="16580"/>
    <cellStyle name="Separador de milhares 3 2 7 2 6 2 2 4 2" xfId="41647"/>
    <cellStyle name="Separador de milhares 3 2 7 2 6 2 2 5" xfId="35739"/>
    <cellStyle name="Separador de milhares 3 2 7 2 6 2 3" xfId="25451"/>
    <cellStyle name="Separador de milhares 3 2 7 2 6 2 3 2" xfId="50518"/>
    <cellStyle name="Separador de milhares 3 2 7 2 6 2 4" xfId="19537"/>
    <cellStyle name="Separador de milhares 3 2 7 2 6 2 4 2" xfId="44604"/>
    <cellStyle name="Separador de milhares 3 2 7 2 6 2 5" xfId="13439"/>
    <cellStyle name="Separador de milhares 3 2 7 2 6 2 5 2" xfId="38693"/>
    <cellStyle name="Separador de milhares 3 2 7 2 6 2 6" xfId="32782"/>
    <cellStyle name="Separador de milhares 3 2 7 2 6 3" xfId="8726"/>
    <cellStyle name="Separador de milhares 3 2 7 2 6 3 2" xfId="26940"/>
    <cellStyle name="Separador de milhares 3 2 7 2 6 3 2 2" xfId="52007"/>
    <cellStyle name="Separador de milhares 3 2 7 2 6 3 3" xfId="21026"/>
    <cellStyle name="Separador de milhares 3 2 7 2 6 3 3 2" xfId="46093"/>
    <cellStyle name="Separador de milhares 3 2 7 2 6 3 4" xfId="15112"/>
    <cellStyle name="Separador de milhares 3 2 7 2 6 3 4 2" xfId="40179"/>
    <cellStyle name="Separador de milhares 3 2 7 2 6 3 5" xfId="34271"/>
    <cellStyle name="Separador de milhares 3 2 7 2 6 4" xfId="5351"/>
    <cellStyle name="Separador de milhares 3 2 7 2 6 4 2" xfId="23983"/>
    <cellStyle name="Separador de milhares 3 2 7 2 6 4 2 2" xfId="49050"/>
    <cellStyle name="Separador de milhares 3 2 7 2 6 4 3" xfId="31314"/>
    <cellStyle name="Separador de milhares 3 2 7 2 6 5" xfId="18069"/>
    <cellStyle name="Separador de milhares 3 2 7 2 6 5 2" xfId="43136"/>
    <cellStyle name="Separador de milhares 3 2 7 2 6 6" xfId="11738"/>
    <cellStyle name="Separador de milhares 3 2 7 2 6 6 2" xfId="37225"/>
    <cellStyle name="Separador de milhares 3 2 7 2 6 7" xfId="29844"/>
    <cellStyle name="Separador de milhares 3 2 7 2 7" xfId="2729"/>
    <cellStyle name="Separador de milhares 3 2 7 2 7 2" xfId="7197"/>
    <cellStyle name="Separador de milhares 3 2 7 2 7 2 2" xfId="10341"/>
    <cellStyle name="Separador de milhares 3 2 7 2 7 2 2 2" xfId="28555"/>
    <cellStyle name="Separador de milhares 3 2 7 2 7 2 2 2 2" xfId="53622"/>
    <cellStyle name="Separador de milhares 3 2 7 2 7 2 2 3" xfId="22641"/>
    <cellStyle name="Separador de milhares 3 2 7 2 7 2 2 3 2" xfId="47708"/>
    <cellStyle name="Separador de milhares 3 2 7 2 7 2 2 4" xfId="16727"/>
    <cellStyle name="Separador de milhares 3 2 7 2 7 2 2 4 2" xfId="41794"/>
    <cellStyle name="Separador de milhares 3 2 7 2 7 2 2 5" xfId="35886"/>
    <cellStyle name="Separador de milhares 3 2 7 2 7 2 3" xfId="25598"/>
    <cellStyle name="Separador de milhares 3 2 7 2 7 2 3 2" xfId="50665"/>
    <cellStyle name="Separador de milhares 3 2 7 2 7 2 4" xfId="19684"/>
    <cellStyle name="Separador de milhares 3 2 7 2 7 2 4 2" xfId="44751"/>
    <cellStyle name="Separador de milhares 3 2 7 2 7 2 5" xfId="13586"/>
    <cellStyle name="Separador de milhares 3 2 7 2 7 2 5 2" xfId="38840"/>
    <cellStyle name="Separador de milhares 3 2 7 2 7 2 6" xfId="32929"/>
    <cellStyle name="Separador de milhares 3 2 7 2 7 3" xfId="8873"/>
    <cellStyle name="Separador de milhares 3 2 7 2 7 3 2" xfId="27087"/>
    <cellStyle name="Separador de milhares 3 2 7 2 7 3 2 2" xfId="52154"/>
    <cellStyle name="Separador de milhares 3 2 7 2 7 3 3" xfId="21173"/>
    <cellStyle name="Separador de milhares 3 2 7 2 7 3 3 2" xfId="46240"/>
    <cellStyle name="Separador de milhares 3 2 7 2 7 3 4" xfId="15259"/>
    <cellStyle name="Separador de milhares 3 2 7 2 7 3 4 2" xfId="40326"/>
    <cellStyle name="Separador de milhares 3 2 7 2 7 3 5" xfId="34418"/>
    <cellStyle name="Separador de milhares 3 2 7 2 7 4" xfId="5498"/>
    <cellStyle name="Separador de milhares 3 2 7 2 7 4 2" xfId="24130"/>
    <cellStyle name="Separador de milhares 3 2 7 2 7 4 2 2" xfId="49197"/>
    <cellStyle name="Separador de milhares 3 2 7 2 7 4 3" xfId="31461"/>
    <cellStyle name="Separador de milhares 3 2 7 2 7 5" xfId="18216"/>
    <cellStyle name="Separador de milhares 3 2 7 2 7 5 2" xfId="43283"/>
    <cellStyle name="Separador de milhares 3 2 7 2 7 6" xfId="11885"/>
    <cellStyle name="Separador de milhares 3 2 7 2 7 6 2" xfId="37372"/>
    <cellStyle name="Separador de milhares 3 2 7 2 7 7" xfId="29991"/>
    <cellStyle name="Separador de milhares 3 2 7 2 8" xfId="3256"/>
    <cellStyle name="Separador de milhares 3 2 7 2 8 2" xfId="7344"/>
    <cellStyle name="Separador de milhares 3 2 7 2 8 2 2" xfId="10488"/>
    <cellStyle name="Separador de milhares 3 2 7 2 8 2 2 2" xfId="28702"/>
    <cellStyle name="Separador de milhares 3 2 7 2 8 2 2 2 2" xfId="53769"/>
    <cellStyle name="Separador de milhares 3 2 7 2 8 2 2 3" xfId="22788"/>
    <cellStyle name="Separador de milhares 3 2 7 2 8 2 2 3 2" xfId="47855"/>
    <cellStyle name="Separador de milhares 3 2 7 2 8 2 2 4" xfId="16874"/>
    <cellStyle name="Separador de milhares 3 2 7 2 8 2 2 4 2" xfId="41941"/>
    <cellStyle name="Separador de milhares 3 2 7 2 8 2 2 5" xfId="36033"/>
    <cellStyle name="Separador de milhares 3 2 7 2 8 2 3" xfId="25745"/>
    <cellStyle name="Separador de milhares 3 2 7 2 8 2 3 2" xfId="50812"/>
    <cellStyle name="Separador de milhares 3 2 7 2 8 2 4" xfId="19831"/>
    <cellStyle name="Separador de milhares 3 2 7 2 8 2 4 2" xfId="44898"/>
    <cellStyle name="Separador de milhares 3 2 7 2 8 2 5" xfId="13733"/>
    <cellStyle name="Separador de milhares 3 2 7 2 8 2 5 2" xfId="38987"/>
    <cellStyle name="Separador de milhares 3 2 7 2 8 2 6" xfId="33076"/>
    <cellStyle name="Separador de milhares 3 2 7 2 8 3" xfId="9020"/>
    <cellStyle name="Separador de milhares 3 2 7 2 8 3 2" xfId="27234"/>
    <cellStyle name="Separador de milhares 3 2 7 2 8 3 2 2" xfId="52301"/>
    <cellStyle name="Separador de milhares 3 2 7 2 8 3 3" xfId="21320"/>
    <cellStyle name="Separador de milhares 3 2 7 2 8 3 3 2" xfId="46387"/>
    <cellStyle name="Separador de milhares 3 2 7 2 8 3 4" xfId="15406"/>
    <cellStyle name="Separador de milhares 3 2 7 2 8 3 4 2" xfId="40473"/>
    <cellStyle name="Separador de milhares 3 2 7 2 8 3 5" xfId="34565"/>
    <cellStyle name="Separador de milhares 3 2 7 2 8 4" xfId="5645"/>
    <cellStyle name="Separador de milhares 3 2 7 2 8 4 2" xfId="24277"/>
    <cellStyle name="Separador de milhares 3 2 7 2 8 4 2 2" xfId="49344"/>
    <cellStyle name="Separador de milhares 3 2 7 2 8 4 3" xfId="31608"/>
    <cellStyle name="Separador de milhares 3 2 7 2 8 5" xfId="18363"/>
    <cellStyle name="Separador de milhares 3 2 7 2 8 5 2" xfId="43430"/>
    <cellStyle name="Separador de milhares 3 2 7 2 8 6" xfId="12032"/>
    <cellStyle name="Separador de milhares 3 2 7 2 8 6 2" xfId="37519"/>
    <cellStyle name="Separador de milhares 3 2 7 2 8 7" xfId="30138"/>
    <cellStyle name="Separador de milhares 3 2 7 2 9" xfId="3783"/>
    <cellStyle name="Separador de milhares 3 2 7 2 9 2" xfId="7491"/>
    <cellStyle name="Separador de milhares 3 2 7 2 9 2 2" xfId="10635"/>
    <cellStyle name="Separador de milhares 3 2 7 2 9 2 2 2" xfId="28849"/>
    <cellStyle name="Separador de milhares 3 2 7 2 9 2 2 2 2" xfId="53916"/>
    <cellStyle name="Separador de milhares 3 2 7 2 9 2 2 3" xfId="22935"/>
    <cellStyle name="Separador de milhares 3 2 7 2 9 2 2 3 2" xfId="48002"/>
    <cellStyle name="Separador de milhares 3 2 7 2 9 2 2 4" xfId="17021"/>
    <cellStyle name="Separador de milhares 3 2 7 2 9 2 2 4 2" xfId="42088"/>
    <cellStyle name="Separador de milhares 3 2 7 2 9 2 2 5" xfId="36180"/>
    <cellStyle name="Separador de milhares 3 2 7 2 9 2 3" xfId="25892"/>
    <cellStyle name="Separador de milhares 3 2 7 2 9 2 3 2" xfId="50959"/>
    <cellStyle name="Separador de milhares 3 2 7 2 9 2 4" xfId="19978"/>
    <cellStyle name="Separador de milhares 3 2 7 2 9 2 4 2" xfId="45045"/>
    <cellStyle name="Separador de milhares 3 2 7 2 9 2 5" xfId="13880"/>
    <cellStyle name="Separador de milhares 3 2 7 2 9 2 5 2" xfId="39134"/>
    <cellStyle name="Separador de milhares 3 2 7 2 9 2 6" xfId="33223"/>
    <cellStyle name="Separador de milhares 3 2 7 2 9 3" xfId="9167"/>
    <cellStyle name="Separador de milhares 3 2 7 2 9 3 2" xfId="27381"/>
    <cellStyle name="Separador de milhares 3 2 7 2 9 3 2 2" xfId="52448"/>
    <cellStyle name="Separador de milhares 3 2 7 2 9 3 3" xfId="21467"/>
    <cellStyle name="Separador de milhares 3 2 7 2 9 3 3 2" xfId="46534"/>
    <cellStyle name="Separador de milhares 3 2 7 2 9 3 4" xfId="15553"/>
    <cellStyle name="Separador de milhares 3 2 7 2 9 3 4 2" xfId="40620"/>
    <cellStyle name="Separador de milhares 3 2 7 2 9 3 5" xfId="34712"/>
    <cellStyle name="Separador de milhares 3 2 7 2 9 4" xfId="5792"/>
    <cellStyle name="Separador de milhares 3 2 7 2 9 4 2" xfId="24424"/>
    <cellStyle name="Separador de milhares 3 2 7 2 9 4 2 2" xfId="49491"/>
    <cellStyle name="Separador de milhares 3 2 7 2 9 4 3" xfId="31755"/>
    <cellStyle name="Separador de milhares 3 2 7 2 9 5" xfId="18510"/>
    <cellStyle name="Separador de milhares 3 2 7 2 9 5 2" xfId="43577"/>
    <cellStyle name="Separador de milhares 3 2 7 2 9 6" xfId="12179"/>
    <cellStyle name="Separador de milhares 3 2 7 2 9 6 2" xfId="37666"/>
    <cellStyle name="Separador de milhares 3 2 7 2 9 7" xfId="30285"/>
    <cellStyle name="Separador de milhares 3 2 7 3" xfId="235"/>
    <cellStyle name="Separador de milhares 3 2 7 3 10" xfId="6482"/>
    <cellStyle name="Separador de milhares 3 2 7 3 10 2" xfId="9633"/>
    <cellStyle name="Separador de milhares 3 2 7 3 10 2 2" xfId="27847"/>
    <cellStyle name="Separador de milhares 3 2 7 3 10 2 2 2" xfId="52914"/>
    <cellStyle name="Separador de milhares 3 2 7 3 10 2 3" xfId="21933"/>
    <cellStyle name="Separador de milhares 3 2 7 3 10 2 3 2" xfId="47000"/>
    <cellStyle name="Separador de milhares 3 2 7 3 10 2 4" xfId="16019"/>
    <cellStyle name="Separador de milhares 3 2 7 3 10 2 4 2" xfId="41086"/>
    <cellStyle name="Separador de milhares 3 2 7 3 10 2 5" xfId="35178"/>
    <cellStyle name="Separador de milhares 3 2 7 3 10 3" xfId="24890"/>
    <cellStyle name="Separador de milhares 3 2 7 3 10 3 2" xfId="49957"/>
    <cellStyle name="Separador de milhares 3 2 7 3 10 4" xfId="18976"/>
    <cellStyle name="Separador de milhares 3 2 7 3 10 4 2" xfId="44043"/>
    <cellStyle name="Separador de milhares 3 2 7 3 10 5" xfId="12871"/>
    <cellStyle name="Separador de milhares 3 2 7 3 10 5 2" xfId="38132"/>
    <cellStyle name="Separador de milhares 3 2 7 3 10 6" xfId="32221"/>
    <cellStyle name="Separador de milhares 3 2 7 3 11" xfId="8162"/>
    <cellStyle name="Separador de milhares 3 2 7 3 11 2" xfId="26376"/>
    <cellStyle name="Separador de milhares 3 2 7 3 11 2 2" xfId="51443"/>
    <cellStyle name="Separador de milhares 3 2 7 3 11 3" xfId="20462"/>
    <cellStyle name="Separador de milhares 3 2 7 3 11 3 2" xfId="45529"/>
    <cellStyle name="Separador de milhares 3 2 7 3 11 4" xfId="14551"/>
    <cellStyle name="Separador de milhares 3 2 7 3 11 4 2" xfId="39618"/>
    <cellStyle name="Separador de milhares 3 2 7 3 11 5" xfId="33707"/>
    <cellStyle name="Separador de milhares 3 2 7 3 12" xfId="4781"/>
    <cellStyle name="Separador de milhares 3 2 7 3 12 2" xfId="23419"/>
    <cellStyle name="Separador de milhares 3 2 7 3 12 2 2" xfId="48486"/>
    <cellStyle name="Separador de milhares 3 2 7 3 12 3" xfId="30751"/>
    <cellStyle name="Separador de milhares 3 2 7 3 13" xfId="17505"/>
    <cellStyle name="Separador de milhares 3 2 7 3 13 2" xfId="42572"/>
    <cellStyle name="Separador de milhares 3 2 7 3 14" xfId="11170"/>
    <cellStyle name="Separador de milhares 3 2 7 3 14 2" xfId="36664"/>
    <cellStyle name="Separador de milhares 3 2 7 3 15" xfId="29280"/>
    <cellStyle name="Separador de milhares 3 2 7 3 2" xfId="498"/>
    <cellStyle name="Separador de milhares 3 2 7 3 2 2" xfId="6553"/>
    <cellStyle name="Separador de milhares 3 2 7 3 2 2 2" xfId="9700"/>
    <cellStyle name="Separador de milhares 3 2 7 3 2 2 2 2" xfId="27914"/>
    <cellStyle name="Separador de milhares 3 2 7 3 2 2 2 2 2" xfId="52981"/>
    <cellStyle name="Separador de milhares 3 2 7 3 2 2 2 3" xfId="22000"/>
    <cellStyle name="Separador de milhares 3 2 7 3 2 2 2 3 2" xfId="47067"/>
    <cellStyle name="Separador de milhares 3 2 7 3 2 2 2 4" xfId="16086"/>
    <cellStyle name="Separador de milhares 3 2 7 3 2 2 2 4 2" xfId="41153"/>
    <cellStyle name="Separador de milhares 3 2 7 3 2 2 2 5" xfId="35245"/>
    <cellStyle name="Separador de milhares 3 2 7 3 2 2 3" xfId="24957"/>
    <cellStyle name="Separador de milhares 3 2 7 3 2 2 3 2" xfId="50024"/>
    <cellStyle name="Separador de milhares 3 2 7 3 2 2 4" xfId="19043"/>
    <cellStyle name="Separador de milhares 3 2 7 3 2 2 4 2" xfId="44110"/>
    <cellStyle name="Separador de milhares 3 2 7 3 2 2 5" xfId="12942"/>
    <cellStyle name="Separador de milhares 3 2 7 3 2 2 5 2" xfId="38199"/>
    <cellStyle name="Separador de milhares 3 2 7 3 2 2 6" xfId="32288"/>
    <cellStyle name="Separador de milhares 3 2 7 3 2 3" xfId="8229"/>
    <cellStyle name="Separador de milhares 3 2 7 3 2 3 2" xfId="26443"/>
    <cellStyle name="Separador de milhares 3 2 7 3 2 3 2 2" xfId="51510"/>
    <cellStyle name="Separador de milhares 3 2 7 3 2 3 3" xfId="20529"/>
    <cellStyle name="Separador de milhares 3 2 7 3 2 3 3 2" xfId="45596"/>
    <cellStyle name="Separador de milhares 3 2 7 3 2 3 4" xfId="14618"/>
    <cellStyle name="Separador de milhares 3 2 7 3 2 3 4 2" xfId="39685"/>
    <cellStyle name="Separador de milhares 3 2 7 3 2 3 5" xfId="33774"/>
    <cellStyle name="Separador de milhares 3 2 7 3 2 4" xfId="4852"/>
    <cellStyle name="Separador de milhares 3 2 7 3 2 4 2" xfId="23486"/>
    <cellStyle name="Separador de milhares 3 2 7 3 2 4 2 2" xfId="48553"/>
    <cellStyle name="Separador de milhares 3 2 7 3 2 4 3" xfId="30818"/>
    <cellStyle name="Separador de milhares 3 2 7 3 2 5" xfId="17572"/>
    <cellStyle name="Separador de milhares 3 2 7 3 2 5 2" xfId="42639"/>
    <cellStyle name="Separador de milhares 3 2 7 3 2 6" xfId="11241"/>
    <cellStyle name="Separador de milhares 3 2 7 3 2 6 2" xfId="36731"/>
    <cellStyle name="Separador de milhares 3 2 7 3 2 7" xfId="29347"/>
    <cellStyle name="Separador de milhares 3 2 7 3 3" xfId="795"/>
    <cellStyle name="Separador de milhares 3 2 7 3 3 2" xfId="6655"/>
    <cellStyle name="Separador de milhares 3 2 7 3 3 2 2" xfId="9802"/>
    <cellStyle name="Separador de milhares 3 2 7 3 3 2 2 2" xfId="28016"/>
    <cellStyle name="Separador de milhares 3 2 7 3 3 2 2 2 2" xfId="53083"/>
    <cellStyle name="Separador de milhares 3 2 7 3 3 2 2 3" xfId="22102"/>
    <cellStyle name="Separador de milhares 3 2 7 3 3 2 2 3 2" xfId="47169"/>
    <cellStyle name="Separador de milhares 3 2 7 3 3 2 2 4" xfId="16188"/>
    <cellStyle name="Separador de milhares 3 2 7 3 3 2 2 4 2" xfId="41255"/>
    <cellStyle name="Separador de milhares 3 2 7 3 3 2 2 5" xfId="35347"/>
    <cellStyle name="Separador de milhares 3 2 7 3 3 2 3" xfId="25059"/>
    <cellStyle name="Separador de milhares 3 2 7 3 3 2 3 2" xfId="50126"/>
    <cellStyle name="Separador de milhares 3 2 7 3 3 2 4" xfId="19145"/>
    <cellStyle name="Separador de milhares 3 2 7 3 3 2 4 2" xfId="44212"/>
    <cellStyle name="Separador de milhares 3 2 7 3 3 2 5" xfId="13044"/>
    <cellStyle name="Separador de milhares 3 2 7 3 3 2 5 2" xfId="38301"/>
    <cellStyle name="Separador de milhares 3 2 7 3 3 2 6" xfId="32390"/>
    <cellStyle name="Separador de milhares 3 2 7 3 3 3" xfId="8334"/>
    <cellStyle name="Separador de milhares 3 2 7 3 3 3 2" xfId="26548"/>
    <cellStyle name="Separador de milhares 3 2 7 3 3 3 2 2" xfId="51615"/>
    <cellStyle name="Separador de milhares 3 2 7 3 3 3 3" xfId="20634"/>
    <cellStyle name="Separador de milhares 3 2 7 3 3 3 3 2" xfId="45701"/>
    <cellStyle name="Separador de milhares 3 2 7 3 3 3 4" xfId="14720"/>
    <cellStyle name="Separador de milhares 3 2 7 3 3 3 4 2" xfId="39787"/>
    <cellStyle name="Separador de milhares 3 2 7 3 3 3 5" xfId="33879"/>
    <cellStyle name="Separador de milhares 3 2 7 3 3 4" xfId="4956"/>
    <cellStyle name="Separador de milhares 3 2 7 3 3 4 2" xfId="23591"/>
    <cellStyle name="Separador de milhares 3 2 7 3 3 4 2 2" xfId="48658"/>
    <cellStyle name="Separador de milhares 3 2 7 3 3 4 3" xfId="30922"/>
    <cellStyle name="Separador de milhares 3 2 7 3 3 5" xfId="17677"/>
    <cellStyle name="Separador de milhares 3 2 7 3 3 5 2" xfId="42744"/>
    <cellStyle name="Separador de milhares 3 2 7 3 3 6" xfId="11343"/>
    <cellStyle name="Separador de milhares 3 2 7 3 3 6 2" xfId="36833"/>
    <cellStyle name="Separador de milhares 3 2 7 3 3 7" xfId="29452"/>
    <cellStyle name="Separador de milhares 3 2 7 3 4" xfId="1146"/>
    <cellStyle name="Separador de milhares 3 2 7 3 4 2" xfId="6753"/>
    <cellStyle name="Separador de milhares 3 2 7 3 4 2 2" xfId="9900"/>
    <cellStyle name="Separador de milhares 3 2 7 3 4 2 2 2" xfId="28114"/>
    <cellStyle name="Separador de milhares 3 2 7 3 4 2 2 2 2" xfId="53181"/>
    <cellStyle name="Separador de milhares 3 2 7 3 4 2 2 3" xfId="22200"/>
    <cellStyle name="Separador de milhares 3 2 7 3 4 2 2 3 2" xfId="47267"/>
    <cellStyle name="Separador de milhares 3 2 7 3 4 2 2 4" xfId="16286"/>
    <cellStyle name="Separador de milhares 3 2 7 3 4 2 2 4 2" xfId="41353"/>
    <cellStyle name="Separador de milhares 3 2 7 3 4 2 2 5" xfId="35445"/>
    <cellStyle name="Separador de milhares 3 2 7 3 4 2 3" xfId="25157"/>
    <cellStyle name="Separador de milhares 3 2 7 3 4 2 3 2" xfId="50224"/>
    <cellStyle name="Separador de milhares 3 2 7 3 4 2 4" xfId="19243"/>
    <cellStyle name="Separador de milhares 3 2 7 3 4 2 4 2" xfId="44310"/>
    <cellStyle name="Separador de milhares 3 2 7 3 4 2 5" xfId="13142"/>
    <cellStyle name="Separador de milhares 3 2 7 3 4 2 5 2" xfId="38399"/>
    <cellStyle name="Separador de milhares 3 2 7 3 4 2 6" xfId="32488"/>
    <cellStyle name="Separador de milhares 3 2 7 3 4 3" xfId="8432"/>
    <cellStyle name="Separador de milhares 3 2 7 3 4 3 2" xfId="26646"/>
    <cellStyle name="Separador de milhares 3 2 7 3 4 3 2 2" xfId="51713"/>
    <cellStyle name="Separador de milhares 3 2 7 3 4 3 3" xfId="20732"/>
    <cellStyle name="Separador de milhares 3 2 7 3 4 3 3 2" xfId="45799"/>
    <cellStyle name="Separador de milhares 3 2 7 3 4 3 4" xfId="14818"/>
    <cellStyle name="Separador de milhares 3 2 7 3 4 3 4 2" xfId="39885"/>
    <cellStyle name="Separador de milhares 3 2 7 3 4 3 5" xfId="33977"/>
    <cellStyle name="Separador de milhares 3 2 7 3 4 4" xfId="5054"/>
    <cellStyle name="Separador de milhares 3 2 7 3 4 4 2" xfId="23689"/>
    <cellStyle name="Separador de milhares 3 2 7 3 4 4 2 2" xfId="48756"/>
    <cellStyle name="Separador de milhares 3 2 7 3 4 4 3" xfId="31020"/>
    <cellStyle name="Separador de milhares 3 2 7 3 4 5" xfId="17775"/>
    <cellStyle name="Separador de milhares 3 2 7 3 4 5 2" xfId="42842"/>
    <cellStyle name="Separador de milhares 3 2 7 3 4 6" xfId="11441"/>
    <cellStyle name="Separador de milhares 3 2 7 3 4 6 2" xfId="36931"/>
    <cellStyle name="Separador de milhares 3 2 7 3 4 7" xfId="29550"/>
    <cellStyle name="Separador de milhares 3 2 7 3 5" xfId="1581"/>
    <cellStyle name="Separador de milhares 3 2 7 3 5 2" xfId="6872"/>
    <cellStyle name="Separador de milhares 3 2 7 3 5 2 2" xfId="10019"/>
    <cellStyle name="Separador de milhares 3 2 7 3 5 2 2 2" xfId="28233"/>
    <cellStyle name="Separador de milhares 3 2 7 3 5 2 2 2 2" xfId="53300"/>
    <cellStyle name="Separador de milhares 3 2 7 3 5 2 2 3" xfId="22319"/>
    <cellStyle name="Separador de milhares 3 2 7 3 5 2 2 3 2" xfId="47386"/>
    <cellStyle name="Separador de milhares 3 2 7 3 5 2 2 4" xfId="16405"/>
    <cellStyle name="Separador de milhares 3 2 7 3 5 2 2 4 2" xfId="41472"/>
    <cellStyle name="Separador de milhares 3 2 7 3 5 2 2 5" xfId="35564"/>
    <cellStyle name="Separador de milhares 3 2 7 3 5 2 3" xfId="25276"/>
    <cellStyle name="Separador de milhares 3 2 7 3 5 2 3 2" xfId="50343"/>
    <cellStyle name="Separador de milhares 3 2 7 3 5 2 4" xfId="19362"/>
    <cellStyle name="Separador de milhares 3 2 7 3 5 2 4 2" xfId="44429"/>
    <cellStyle name="Separador de milhares 3 2 7 3 5 2 5" xfId="13261"/>
    <cellStyle name="Separador de milhares 3 2 7 3 5 2 5 2" xfId="38518"/>
    <cellStyle name="Separador de milhares 3 2 7 3 5 2 6" xfId="32607"/>
    <cellStyle name="Separador de milhares 3 2 7 3 5 3" xfId="8551"/>
    <cellStyle name="Separador de milhares 3 2 7 3 5 3 2" xfId="26765"/>
    <cellStyle name="Separador de milhares 3 2 7 3 5 3 2 2" xfId="51832"/>
    <cellStyle name="Separador de milhares 3 2 7 3 5 3 3" xfId="20851"/>
    <cellStyle name="Separador de milhares 3 2 7 3 5 3 3 2" xfId="45918"/>
    <cellStyle name="Separador de milhares 3 2 7 3 5 3 4" xfId="14937"/>
    <cellStyle name="Separador de milhares 3 2 7 3 5 3 4 2" xfId="40004"/>
    <cellStyle name="Separador de milhares 3 2 7 3 5 3 5" xfId="34096"/>
    <cellStyle name="Separador de milhares 3 2 7 3 5 4" xfId="5173"/>
    <cellStyle name="Separador de milhares 3 2 7 3 5 4 2" xfId="23808"/>
    <cellStyle name="Separador de milhares 3 2 7 3 5 4 2 2" xfId="48875"/>
    <cellStyle name="Separador de milhares 3 2 7 3 5 4 3" xfId="31139"/>
    <cellStyle name="Separador de milhares 3 2 7 3 5 5" xfId="17894"/>
    <cellStyle name="Separador de milhares 3 2 7 3 5 5 2" xfId="42961"/>
    <cellStyle name="Separador de milhares 3 2 7 3 5 6" xfId="11560"/>
    <cellStyle name="Separador de milhares 3 2 7 3 5 6 2" xfId="37050"/>
    <cellStyle name="Separador de milhares 3 2 7 3 5 7" xfId="29669"/>
    <cellStyle name="Separador de milhares 3 2 7 3 6" xfId="2111"/>
    <cellStyle name="Separador de milhares 3 2 7 3 6 2" xfId="7022"/>
    <cellStyle name="Separador de milhares 3 2 7 3 6 2 2" xfId="10166"/>
    <cellStyle name="Separador de milhares 3 2 7 3 6 2 2 2" xfId="28380"/>
    <cellStyle name="Separador de milhares 3 2 7 3 6 2 2 2 2" xfId="53447"/>
    <cellStyle name="Separador de milhares 3 2 7 3 6 2 2 3" xfId="22466"/>
    <cellStyle name="Separador de milhares 3 2 7 3 6 2 2 3 2" xfId="47533"/>
    <cellStyle name="Separador de milhares 3 2 7 3 6 2 2 4" xfId="16552"/>
    <cellStyle name="Separador de milhares 3 2 7 3 6 2 2 4 2" xfId="41619"/>
    <cellStyle name="Separador de milhares 3 2 7 3 6 2 2 5" xfId="35711"/>
    <cellStyle name="Separador de milhares 3 2 7 3 6 2 3" xfId="25423"/>
    <cellStyle name="Separador de milhares 3 2 7 3 6 2 3 2" xfId="50490"/>
    <cellStyle name="Separador de milhares 3 2 7 3 6 2 4" xfId="19509"/>
    <cellStyle name="Separador de milhares 3 2 7 3 6 2 4 2" xfId="44576"/>
    <cellStyle name="Separador de milhares 3 2 7 3 6 2 5" xfId="13411"/>
    <cellStyle name="Separador de milhares 3 2 7 3 6 2 5 2" xfId="38665"/>
    <cellStyle name="Separador de milhares 3 2 7 3 6 2 6" xfId="32754"/>
    <cellStyle name="Separador de milhares 3 2 7 3 6 3" xfId="8698"/>
    <cellStyle name="Separador de milhares 3 2 7 3 6 3 2" xfId="26912"/>
    <cellStyle name="Separador de milhares 3 2 7 3 6 3 2 2" xfId="51979"/>
    <cellStyle name="Separador de milhares 3 2 7 3 6 3 3" xfId="20998"/>
    <cellStyle name="Separador de milhares 3 2 7 3 6 3 3 2" xfId="46065"/>
    <cellStyle name="Separador de milhares 3 2 7 3 6 3 4" xfId="15084"/>
    <cellStyle name="Separador de milhares 3 2 7 3 6 3 4 2" xfId="40151"/>
    <cellStyle name="Separador de milhares 3 2 7 3 6 3 5" xfId="34243"/>
    <cellStyle name="Separador de milhares 3 2 7 3 6 4" xfId="5323"/>
    <cellStyle name="Separador de milhares 3 2 7 3 6 4 2" xfId="23955"/>
    <cellStyle name="Separador de milhares 3 2 7 3 6 4 2 2" xfId="49022"/>
    <cellStyle name="Separador de milhares 3 2 7 3 6 4 3" xfId="31286"/>
    <cellStyle name="Separador de milhares 3 2 7 3 6 5" xfId="18041"/>
    <cellStyle name="Separador de milhares 3 2 7 3 6 5 2" xfId="43108"/>
    <cellStyle name="Separador de milhares 3 2 7 3 6 6" xfId="11710"/>
    <cellStyle name="Separador de milhares 3 2 7 3 6 6 2" xfId="37197"/>
    <cellStyle name="Separador de milhares 3 2 7 3 6 7" xfId="29816"/>
    <cellStyle name="Separador de milhares 3 2 7 3 7" xfId="2638"/>
    <cellStyle name="Separador de milhares 3 2 7 3 7 2" xfId="7169"/>
    <cellStyle name="Separador de milhares 3 2 7 3 7 2 2" xfId="10313"/>
    <cellStyle name="Separador de milhares 3 2 7 3 7 2 2 2" xfId="28527"/>
    <cellStyle name="Separador de milhares 3 2 7 3 7 2 2 2 2" xfId="53594"/>
    <cellStyle name="Separador de milhares 3 2 7 3 7 2 2 3" xfId="22613"/>
    <cellStyle name="Separador de milhares 3 2 7 3 7 2 2 3 2" xfId="47680"/>
    <cellStyle name="Separador de milhares 3 2 7 3 7 2 2 4" xfId="16699"/>
    <cellStyle name="Separador de milhares 3 2 7 3 7 2 2 4 2" xfId="41766"/>
    <cellStyle name="Separador de milhares 3 2 7 3 7 2 2 5" xfId="35858"/>
    <cellStyle name="Separador de milhares 3 2 7 3 7 2 3" xfId="25570"/>
    <cellStyle name="Separador de milhares 3 2 7 3 7 2 3 2" xfId="50637"/>
    <cellStyle name="Separador de milhares 3 2 7 3 7 2 4" xfId="19656"/>
    <cellStyle name="Separador de milhares 3 2 7 3 7 2 4 2" xfId="44723"/>
    <cellStyle name="Separador de milhares 3 2 7 3 7 2 5" xfId="13558"/>
    <cellStyle name="Separador de milhares 3 2 7 3 7 2 5 2" xfId="38812"/>
    <cellStyle name="Separador de milhares 3 2 7 3 7 2 6" xfId="32901"/>
    <cellStyle name="Separador de milhares 3 2 7 3 7 3" xfId="8845"/>
    <cellStyle name="Separador de milhares 3 2 7 3 7 3 2" xfId="27059"/>
    <cellStyle name="Separador de milhares 3 2 7 3 7 3 2 2" xfId="52126"/>
    <cellStyle name="Separador de milhares 3 2 7 3 7 3 3" xfId="21145"/>
    <cellStyle name="Separador de milhares 3 2 7 3 7 3 3 2" xfId="46212"/>
    <cellStyle name="Separador de milhares 3 2 7 3 7 3 4" xfId="15231"/>
    <cellStyle name="Separador de milhares 3 2 7 3 7 3 4 2" xfId="40298"/>
    <cellStyle name="Separador de milhares 3 2 7 3 7 3 5" xfId="34390"/>
    <cellStyle name="Separador de milhares 3 2 7 3 7 4" xfId="5470"/>
    <cellStyle name="Separador de milhares 3 2 7 3 7 4 2" xfId="24102"/>
    <cellStyle name="Separador de milhares 3 2 7 3 7 4 2 2" xfId="49169"/>
    <cellStyle name="Separador de milhares 3 2 7 3 7 4 3" xfId="31433"/>
    <cellStyle name="Separador de milhares 3 2 7 3 7 5" xfId="18188"/>
    <cellStyle name="Separador de milhares 3 2 7 3 7 5 2" xfId="43255"/>
    <cellStyle name="Separador de milhares 3 2 7 3 7 6" xfId="11857"/>
    <cellStyle name="Separador de milhares 3 2 7 3 7 6 2" xfId="37344"/>
    <cellStyle name="Separador de milhares 3 2 7 3 7 7" xfId="29963"/>
    <cellStyle name="Separador de milhares 3 2 7 3 8" xfId="3165"/>
    <cellStyle name="Separador de milhares 3 2 7 3 8 2" xfId="7316"/>
    <cellStyle name="Separador de milhares 3 2 7 3 8 2 2" xfId="10460"/>
    <cellStyle name="Separador de milhares 3 2 7 3 8 2 2 2" xfId="28674"/>
    <cellStyle name="Separador de milhares 3 2 7 3 8 2 2 2 2" xfId="53741"/>
    <cellStyle name="Separador de milhares 3 2 7 3 8 2 2 3" xfId="22760"/>
    <cellStyle name="Separador de milhares 3 2 7 3 8 2 2 3 2" xfId="47827"/>
    <cellStyle name="Separador de milhares 3 2 7 3 8 2 2 4" xfId="16846"/>
    <cellStyle name="Separador de milhares 3 2 7 3 8 2 2 4 2" xfId="41913"/>
    <cellStyle name="Separador de milhares 3 2 7 3 8 2 2 5" xfId="36005"/>
    <cellStyle name="Separador de milhares 3 2 7 3 8 2 3" xfId="25717"/>
    <cellStyle name="Separador de milhares 3 2 7 3 8 2 3 2" xfId="50784"/>
    <cellStyle name="Separador de milhares 3 2 7 3 8 2 4" xfId="19803"/>
    <cellStyle name="Separador de milhares 3 2 7 3 8 2 4 2" xfId="44870"/>
    <cellStyle name="Separador de milhares 3 2 7 3 8 2 5" xfId="13705"/>
    <cellStyle name="Separador de milhares 3 2 7 3 8 2 5 2" xfId="38959"/>
    <cellStyle name="Separador de milhares 3 2 7 3 8 2 6" xfId="33048"/>
    <cellStyle name="Separador de milhares 3 2 7 3 8 3" xfId="8992"/>
    <cellStyle name="Separador de milhares 3 2 7 3 8 3 2" xfId="27206"/>
    <cellStyle name="Separador de milhares 3 2 7 3 8 3 2 2" xfId="52273"/>
    <cellStyle name="Separador de milhares 3 2 7 3 8 3 3" xfId="21292"/>
    <cellStyle name="Separador de milhares 3 2 7 3 8 3 3 2" xfId="46359"/>
    <cellStyle name="Separador de milhares 3 2 7 3 8 3 4" xfId="15378"/>
    <cellStyle name="Separador de milhares 3 2 7 3 8 3 4 2" xfId="40445"/>
    <cellStyle name="Separador de milhares 3 2 7 3 8 3 5" xfId="34537"/>
    <cellStyle name="Separador de milhares 3 2 7 3 8 4" xfId="5617"/>
    <cellStyle name="Separador de milhares 3 2 7 3 8 4 2" xfId="24249"/>
    <cellStyle name="Separador de milhares 3 2 7 3 8 4 2 2" xfId="49316"/>
    <cellStyle name="Separador de milhares 3 2 7 3 8 4 3" xfId="31580"/>
    <cellStyle name="Separador de milhares 3 2 7 3 8 5" xfId="18335"/>
    <cellStyle name="Separador de milhares 3 2 7 3 8 5 2" xfId="43402"/>
    <cellStyle name="Separador de milhares 3 2 7 3 8 6" xfId="12004"/>
    <cellStyle name="Separador de milhares 3 2 7 3 8 6 2" xfId="37491"/>
    <cellStyle name="Separador de milhares 3 2 7 3 8 7" xfId="30110"/>
    <cellStyle name="Separador de milhares 3 2 7 3 9" xfId="3692"/>
    <cellStyle name="Separador de milhares 3 2 7 3 9 2" xfId="7463"/>
    <cellStyle name="Separador de milhares 3 2 7 3 9 2 2" xfId="10607"/>
    <cellStyle name="Separador de milhares 3 2 7 3 9 2 2 2" xfId="28821"/>
    <cellStyle name="Separador de milhares 3 2 7 3 9 2 2 2 2" xfId="53888"/>
    <cellStyle name="Separador de milhares 3 2 7 3 9 2 2 3" xfId="22907"/>
    <cellStyle name="Separador de milhares 3 2 7 3 9 2 2 3 2" xfId="47974"/>
    <cellStyle name="Separador de milhares 3 2 7 3 9 2 2 4" xfId="16993"/>
    <cellStyle name="Separador de milhares 3 2 7 3 9 2 2 4 2" xfId="42060"/>
    <cellStyle name="Separador de milhares 3 2 7 3 9 2 2 5" xfId="36152"/>
    <cellStyle name="Separador de milhares 3 2 7 3 9 2 3" xfId="25864"/>
    <cellStyle name="Separador de milhares 3 2 7 3 9 2 3 2" xfId="50931"/>
    <cellStyle name="Separador de milhares 3 2 7 3 9 2 4" xfId="19950"/>
    <cellStyle name="Separador de milhares 3 2 7 3 9 2 4 2" xfId="45017"/>
    <cellStyle name="Separador de milhares 3 2 7 3 9 2 5" xfId="13852"/>
    <cellStyle name="Separador de milhares 3 2 7 3 9 2 5 2" xfId="39106"/>
    <cellStyle name="Separador de milhares 3 2 7 3 9 2 6" xfId="33195"/>
    <cellStyle name="Separador de milhares 3 2 7 3 9 3" xfId="9139"/>
    <cellStyle name="Separador de milhares 3 2 7 3 9 3 2" xfId="27353"/>
    <cellStyle name="Separador de milhares 3 2 7 3 9 3 2 2" xfId="52420"/>
    <cellStyle name="Separador de milhares 3 2 7 3 9 3 3" xfId="21439"/>
    <cellStyle name="Separador de milhares 3 2 7 3 9 3 3 2" xfId="46506"/>
    <cellStyle name="Separador de milhares 3 2 7 3 9 3 4" xfId="15525"/>
    <cellStyle name="Separador de milhares 3 2 7 3 9 3 4 2" xfId="40592"/>
    <cellStyle name="Separador de milhares 3 2 7 3 9 3 5" xfId="34684"/>
    <cellStyle name="Separador de milhares 3 2 7 3 9 4" xfId="5764"/>
    <cellStyle name="Separador de milhares 3 2 7 3 9 4 2" xfId="24396"/>
    <cellStyle name="Separador de milhares 3 2 7 3 9 4 2 2" xfId="49463"/>
    <cellStyle name="Separador de milhares 3 2 7 3 9 4 3" xfId="31727"/>
    <cellStyle name="Separador de milhares 3 2 7 3 9 5" xfId="18482"/>
    <cellStyle name="Separador de milhares 3 2 7 3 9 5 2" xfId="43549"/>
    <cellStyle name="Separador de milhares 3 2 7 3 9 6" xfId="12151"/>
    <cellStyle name="Separador de milhares 3 2 7 3 9 6 2" xfId="37638"/>
    <cellStyle name="Separador de milhares 3 2 7 3 9 7" xfId="30257"/>
    <cellStyle name="Separador de milhares 3 2 7 4" xfId="328"/>
    <cellStyle name="Separador de milhares 3 2 7 4 10" xfId="6510"/>
    <cellStyle name="Separador de milhares 3 2 7 4 10 2" xfId="9658"/>
    <cellStyle name="Separador de milhares 3 2 7 4 10 2 2" xfId="27872"/>
    <cellStyle name="Separador de milhares 3 2 7 4 10 2 2 2" xfId="52939"/>
    <cellStyle name="Separador de milhares 3 2 7 4 10 2 3" xfId="21958"/>
    <cellStyle name="Separador de milhares 3 2 7 4 10 2 3 2" xfId="47025"/>
    <cellStyle name="Separador de milhares 3 2 7 4 10 2 4" xfId="16044"/>
    <cellStyle name="Separador de milhares 3 2 7 4 10 2 4 2" xfId="41111"/>
    <cellStyle name="Separador de milhares 3 2 7 4 10 2 5" xfId="35203"/>
    <cellStyle name="Separador de milhares 3 2 7 4 10 3" xfId="24915"/>
    <cellStyle name="Separador de milhares 3 2 7 4 10 3 2" xfId="49982"/>
    <cellStyle name="Separador de milhares 3 2 7 4 10 4" xfId="19001"/>
    <cellStyle name="Separador de milhares 3 2 7 4 10 4 2" xfId="44068"/>
    <cellStyle name="Separador de milhares 3 2 7 4 10 5" xfId="12899"/>
    <cellStyle name="Separador de milhares 3 2 7 4 10 5 2" xfId="38157"/>
    <cellStyle name="Separador de milhares 3 2 7 4 10 6" xfId="32246"/>
    <cellStyle name="Separador de milhares 3 2 7 4 11" xfId="8187"/>
    <cellStyle name="Separador de milhares 3 2 7 4 11 2" xfId="26401"/>
    <cellStyle name="Separador de milhares 3 2 7 4 11 2 2" xfId="51468"/>
    <cellStyle name="Separador de milhares 3 2 7 4 11 3" xfId="20487"/>
    <cellStyle name="Separador de milhares 3 2 7 4 11 3 2" xfId="45554"/>
    <cellStyle name="Separador de milhares 3 2 7 4 11 4" xfId="14576"/>
    <cellStyle name="Separador de milhares 3 2 7 4 11 4 2" xfId="39643"/>
    <cellStyle name="Separador de milhares 3 2 7 4 11 5" xfId="33732"/>
    <cellStyle name="Separador de milhares 3 2 7 4 12" xfId="4809"/>
    <cellStyle name="Separador de milhares 3 2 7 4 12 2" xfId="23444"/>
    <cellStyle name="Separador de milhares 3 2 7 4 12 2 2" xfId="48511"/>
    <cellStyle name="Separador de milhares 3 2 7 4 12 3" xfId="30776"/>
    <cellStyle name="Separador de milhares 3 2 7 4 13" xfId="17530"/>
    <cellStyle name="Separador de milhares 3 2 7 4 13 2" xfId="42597"/>
    <cellStyle name="Separador de milhares 3 2 7 4 14" xfId="11198"/>
    <cellStyle name="Separador de milhares 3 2 7 4 14 2" xfId="36689"/>
    <cellStyle name="Separador de milhares 3 2 7 4 15" xfId="29305"/>
    <cellStyle name="Separador de milhares 3 2 7 4 2" xfId="973"/>
    <cellStyle name="Separador de milhares 3 2 7 4 2 2" xfId="6707"/>
    <cellStyle name="Separador de milhares 3 2 7 4 2 2 2" xfId="9854"/>
    <cellStyle name="Separador de milhares 3 2 7 4 2 2 2 2" xfId="28068"/>
    <cellStyle name="Separador de milhares 3 2 7 4 2 2 2 2 2" xfId="53135"/>
    <cellStyle name="Separador de milhares 3 2 7 4 2 2 2 3" xfId="22154"/>
    <cellStyle name="Separador de milhares 3 2 7 4 2 2 2 3 2" xfId="47221"/>
    <cellStyle name="Separador de milhares 3 2 7 4 2 2 2 4" xfId="16240"/>
    <cellStyle name="Separador de milhares 3 2 7 4 2 2 2 4 2" xfId="41307"/>
    <cellStyle name="Separador de milhares 3 2 7 4 2 2 2 5" xfId="35399"/>
    <cellStyle name="Separador de milhares 3 2 7 4 2 2 3" xfId="25111"/>
    <cellStyle name="Separador de milhares 3 2 7 4 2 2 3 2" xfId="50178"/>
    <cellStyle name="Separador de milhares 3 2 7 4 2 2 4" xfId="19197"/>
    <cellStyle name="Separador de milhares 3 2 7 4 2 2 4 2" xfId="44264"/>
    <cellStyle name="Separador de milhares 3 2 7 4 2 2 5" xfId="13096"/>
    <cellStyle name="Separador de milhares 3 2 7 4 2 2 5 2" xfId="38353"/>
    <cellStyle name="Separador de milhares 3 2 7 4 2 2 6" xfId="32442"/>
    <cellStyle name="Separador de milhares 3 2 7 4 2 3" xfId="8386"/>
    <cellStyle name="Separador de milhares 3 2 7 4 2 3 2" xfId="26600"/>
    <cellStyle name="Separador de milhares 3 2 7 4 2 3 2 2" xfId="51667"/>
    <cellStyle name="Separador de milhares 3 2 7 4 2 3 3" xfId="20686"/>
    <cellStyle name="Separador de milhares 3 2 7 4 2 3 3 2" xfId="45753"/>
    <cellStyle name="Separador de milhares 3 2 7 4 2 3 4" xfId="14772"/>
    <cellStyle name="Separador de milhares 3 2 7 4 2 3 4 2" xfId="39839"/>
    <cellStyle name="Separador de milhares 3 2 7 4 2 3 5" xfId="33931"/>
    <cellStyle name="Separador de milhares 3 2 7 4 2 4" xfId="5008"/>
    <cellStyle name="Separador de milhares 3 2 7 4 2 4 2" xfId="23643"/>
    <cellStyle name="Separador de milhares 3 2 7 4 2 4 2 2" xfId="48710"/>
    <cellStyle name="Separador de milhares 3 2 7 4 2 4 3" xfId="30974"/>
    <cellStyle name="Separador de milhares 3 2 7 4 2 5" xfId="17729"/>
    <cellStyle name="Separador de milhares 3 2 7 4 2 5 2" xfId="42796"/>
    <cellStyle name="Separador de milhares 3 2 7 4 2 6" xfId="11395"/>
    <cellStyle name="Separador de milhares 3 2 7 4 2 6 2" xfId="36885"/>
    <cellStyle name="Separador de milhares 3 2 7 4 2 7" xfId="29504"/>
    <cellStyle name="Separador de milhares 3 2 7 4 3" xfId="1324"/>
    <cellStyle name="Separador de milhares 3 2 7 4 3 2" xfId="6805"/>
    <cellStyle name="Separador de milhares 3 2 7 4 3 2 2" xfId="9952"/>
    <cellStyle name="Separador de milhares 3 2 7 4 3 2 2 2" xfId="28166"/>
    <cellStyle name="Separador de milhares 3 2 7 4 3 2 2 2 2" xfId="53233"/>
    <cellStyle name="Separador de milhares 3 2 7 4 3 2 2 3" xfId="22252"/>
    <cellStyle name="Separador de milhares 3 2 7 4 3 2 2 3 2" xfId="47319"/>
    <cellStyle name="Separador de milhares 3 2 7 4 3 2 2 4" xfId="16338"/>
    <cellStyle name="Separador de milhares 3 2 7 4 3 2 2 4 2" xfId="41405"/>
    <cellStyle name="Separador de milhares 3 2 7 4 3 2 2 5" xfId="35497"/>
    <cellStyle name="Separador de milhares 3 2 7 4 3 2 3" xfId="25209"/>
    <cellStyle name="Separador de milhares 3 2 7 4 3 2 3 2" xfId="50276"/>
    <cellStyle name="Separador de milhares 3 2 7 4 3 2 4" xfId="19295"/>
    <cellStyle name="Separador de milhares 3 2 7 4 3 2 4 2" xfId="44362"/>
    <cellStyle name="Separador de milhares 3 2 7 4 3 2 5" xfId="13194"/>
    <cellStyle name="Separador de milhares 3 2 7 4 3 2 5 2" xfId="38451"/>
    <cellStyle name="Separador de milhares 3 2 7 4 3 2 6" xfId="32540"/>
    <cellStyle name="Separador de milhares 3 2 7 4 3 3" xfId="8484"/>
    <cellStyle name="Separador de milhares 3 2 7 4 3 3 2" xfId="26698"/>
    <cellStyle name="Separador de milhares 3 2 7 4 3 3 2 2" xfId="51765"/>
    <cellStyle name="Separador de milhares 3 2 7 4 3 3 3" xfId="20784"/>
    <cellStyle name="Separador de milhares 3 2 7 4 3 3 3 2" xfId="45851"/>
    <cellStyle name="Separador de milhares 3 2 7 4 3 3 4" xfId="14870"/>
    <cellStyle name="Separador de milhares 3 2 7 4 3 3 4 2" xfId="39937"/>
    <cellStyle name="Separador de milhares 3 2 7 4 3 3 5" xfId="34029"/>
    <cellStyle name="Separador de milhares 3 2 7 4 3 4" xfId="5106"/>
    <cellStyle name="Separador de milhares 3 2 7 4 3 4 2" xfId="23741"/>
    <cellStyle name="Separador de milhares 3 2 7 4 3 4 2 2" xfId="48808"/>
    <cellStyle name="Separador de milhares 3 2 7 4 3 4 3" xfId="31072"/>
    <cellStyle name="Separador de milhares 3 2 7 4 3 5" xfId="17827"/>
    <cellStyle name="Separador de milhares 3 2 7 4 3 5 2" xfId="42894"/>
    <cellStyle name="Separador de milhares 3 2 7 4 3 6" xfId="11493"/>
    <cellStyle name="Separador de milhares 3 2 7 4 3 6 2" xfId="36983"/>
    <cellStyle name="Separador de milhares 3 2 7 4 3 7" xfId="29602"/>
    <cellStyle name="Separador de milhares 3 2 7 4 4" xfId="1759"/>
    <cellStyle name="Separador de milhares 3 2 7 4 4 2" xfId="6924"/>
    <cellStyle name="Separador de milhares 3 2 7 4 4 2 2" xfId="10071"/>
    <cellStyle name="Separador de milhares 3 2 7 4 4 2 2 2" xfId="28285"/>
    <cellStyle name="Separador de milhares 3 2 7 4 4 2 2 2 2" xfId="53352"/>
    <cellStyle name="Separador de milhares 3 2 7 4 4 2 2 3" xfId="22371"/>
    <cellStyle name="Separador de milhares 3 2 7 4 4 2 2 3 2" xfId="47438"/>
    <cellStyle name="Separador de milhares 3 2 7 4 4 2 2 4" xfId="16457"/>
    <cellStyle name="Separador de milhares 3 2 7 4 4 2 2 4 2" xfId="41524"/>
    <cellStyle name="Separador de milhares 3 2 7 4 4 2 2 5" xfId="35616"/>
    <cellStyle name="Separador de milhares 3 2 7 4 4 2 3" xfId="25328"/>
    <cellStyle name="Separador de milhares 3 2 7 4 4 2 3 2" xfId="50395"/>
    <cellStyle name="Separador de milhares 3 2 7 4 4 2 4" xfId="19414"/>
    <cellStyle name="Separador de milhares 3 2 7 4 4 2 4 2" xfId="44481"/>
    <cellStyle name="Separador de milhares 3 2 7 4 4 2 5" xfId="13313"/>
    <cellStyle name="Separador de milhares 3 2 7 4 4 2 5 2" xfId="38570"/>
    <cellStyle name="Separador de milhares 3 2 7 4 4 2 6" xfId="32659"/>
    <cellStyle name="Separador de milhares 3 2 7 4 4 3" xfId="8603"/>
    <cellStyle name="Separador de milhares 3 2 7 4 4 3 2" xfId="26817"/>
    <cellStyle name="Separador de milhares 3 2 7 4 4 3 2 2" xfId="51884"/>
    <cellStyle name="Separador de milhares 3 2 7 4 4 3 3" xfId="20903"/>
    <cellStyle name="Separador de milhares 3 2 7 4 4 3 3 2" xfId="45970"/>
    <cellStyle name="Separador de milhares 3 2 7 4 4 3 4" xfId="14989"/>
    <cellStyle name="Separador de milhares 3 2 7 4 4 3 4 2" xfId="40056"/>
    <cellStyle name="Separador de milhares 3 2 7 4 4 3 5" xfId="34148"/>
    <cellStyle name="Separador de milhares 3 2 7 4 4 4" xfId="5225"/>
    <cellStyle name="Separador de milhares 3 2 7 4 4 4 2" xfId="23860"/>
    <cellStyle name="Separador de milhares 3 2 7 4 4 4 2 2" xfId="48927"/>
    <cellStyle name="Separador de milhares 3 2 7 4 4 4 3" xfId="31191"/>
    <cellStyle name="Separador de milhares 3 2 7 4 4 5" xfId="17946"/>
    <cellStyle name="Separador de milhares 3 2 7 4 4 5 2" xfId="43013"/>
    <cellStyle name="Separador de milhares 3 2 7 4 4 6" xfId="11612"/>
    <cellStyle name="Separador de milhares 3 2 7 4 4 6 2" xfId="37102"/>
    <cellStyle name="Separador de milhares 3 2 7 4 4 7" xfId="29721"/>
    <cellStyle name="Separador de milhares 3 2 7 4 5" xfId="2289"/>
    <cellStyle name="Separador de milhares 3 2 7 4 5 2" xfId="7074"/>
    <cellStyle name="Separador de milhares 3 2 7 4 5 2 2" xfId="10218"/>
    <cellStyle name="Separador de milhares 3 2 7 4 5 2 2 2" xfId="28432"/>
    <cellStyle name="Separador de milhares 3 2 7 4 5 2 2 2 2" xfId="53499"/>
    <cellStyle name="Separador de milhares 3 2 7 4 5 2 2 3" xfId="22518"/>
    <cellStyle name="Separador de milhares 3 2 7 4 5 2 2 3 2" xfId="47585"/>
    <cellStyle name="Separador de milhares 3 2 7 4 5 2 2 4" xfId="16604"/>
    <cellStyle name="Separador de milhares 3 2 7 4 5 2 2 4 2" xfId="41671"/>
    <cellStyle name="Separador de milhares 3 2 7 4 5 2 2 5" xfId="35763"/>
    <cellStyle name="Separador de milhares 3 2 7 4 5 2 3" xfId="25475"/>
    <cellStyle name="Separador de milhares 3 2 7 4 5 2 3 2" xfId="50542"/>
    <cellStyle name="Separador de milhares 3 2 7 4 5 2 4" xfId="19561"/>
    <cellStyle name="Separador de milhares 3 2 7 4 5 2 4 2" xfId="44628"/>
    <cellStyle name="Separador de milhares 3 2 7 4 5 2 5" xfId="13463"/>
    <cellStyle name="Separador de milhares 3 2 7 4 5 2 5 2" xfId="38717"/>
    <cellStyle name="Separador de milhares 3 2 7 4 5 2 6" xfId="32806"/>
    <cellStyle name="Separador de milhares 3 2 7 4 5 3" xfId="8750"/>
    <cellStyle name="Separador de milhares 3 2 7 4 5 3 2" xfId="26964"/>
    <cellStyle name="Separador de milhares 3 2 7 4 5 3 2 2" xfId="52031"/>
    <cellStyle name="Separador de milhares 3 2 7 4 5 3 3" xfId="21050"/>
    <cellStyle name="Separador de milhares 3 2 7 4 5 3 3 2" xfId="46117"/>
    <cellStyle name="Separador de milhares 3 2 7 4 5 3 4" xfId="15136"/>
    <cellStyle name="Separador de milhares 3 2 7 4 5 3 4 2" xfId="40203"/>
    <cellStyle name="Separador de milhares 3 2 7 4 5 3 5" xfId="34295"/>
    <cellStyle name="Separador de milhares 3 2 7 4 5 4" xfId="5375"/>
    <cellStyle name="Separador de milhares 3 2 7 4 5 4 2" xfId="24007"/>
    <cellStyle name="Separador de milhares 3 2 7 4 5 4 2 2" xfId="49074"/>
    <cellStyle name="Separador de milhares 3 2 7 4 5 4 3" xfId="31338"/>
    <cellStyle name="Separador de milhares 3 2 7 4 5 5" xfId="18093"/>
    <cellStyle name="Separador de milhares 3 2 7 4 5 5 2" xfId="43160"/>
    <cellStyle name="Separador de milhares 3 2 7 4 5 6" xfId="11762"/>
    <cellStyle name="Separador de milhares 3 2 7 4 5 6 2" xfId="37249"/>
    <cellStyle name="Separador de milhares 3 2 7 4 5 7" xfId="29868"/>
    <cellStyle name="Separador de milhares 3 2 7 4 6" xfId="2816"/>
    <cellStyle name="Separador de milhares 3 2 7 4 6 2" xfId="7221"/>
    <cellStyle name="Separador de milhares 3 2 7 4 6 2 2" xfId="10365"/>
    <cellStyle name="Separador de milhares 3 2 7 4 6 2 2 2" xfId="28579"/>
    <cellStyle name="Separador de milhares 3 2 7 4 6 2 2 2 2" xfId="53646"/>
    <cellStyle name="Separador de milhares 3 2 7 4 6 2 2 3" xfId="22665"/>
    <cellStyle name="Separador de milhares 3 2 7 4 6 2 2 3 2" xfId="47732"/>
    <cellStyle name="Separador de milhares 3 2 7 4 6 2 2 4" xfId="16751"/>
    <cellStyle name="Separador de milhares 3 2 7 4 6 2 2 4 2" xfId="41818"/>
    <cellStyle name="Separador de milhares 3 2 7 4 6 2 2 5" xfId="35910"/>
    <cellStyle name="Separador de milhares 3 2 7 4 6 2 3" xfId="25622"/>
    <cellStyle name="Separador de milhares 3 2 7 4 6 2 3 2" xfId="50689"/>
    <cellStyle name="Separador de milhares 3 2 7 4 6 2 4" xfId="19708"/>
    <cellStyle name="Separador de milhares 3 2 7 4 6 2 4 2" xfId="44775"/>
    <cellStyle name="Separador de milhares 3 2 7 4 6 2 5" xfId="13610"/>
    <cellStyle name="Separador de milhares 3 2 7 4 6 2 5 2" xfId="38864"/>
    <cellStyle name="Separador de milhares 3 2 7 4 6 2 6" xfId="32953"/>
    <cellStyle name="Separador de milhares 3 2 7 4 6 3" xfId="8897"/>
    <cellStyle name="Separador de milhares 3 2 7 4 6 3 2" xfId="27111"/>
    <cellStyle name="Separador de milhares 3 2 7 4 6 3 2 2" xfId="52178"/>
    <cellStyle name="Separador de milhares 3 2 7 4 6 3 3" xfId="21197"/>
    <cellStyle name="Separador de milhares 3 2 7 4 6 3 3 2" xfId="46264"/>
    <cellStyle name="Separador de milhares 3 2 7 4 6 3 4" xfId="15283"/>
    <cellStyle name="Separador de milhares 3 2 7 4 6 3 4 2" xfId="40350"/>
    <cellStyle name="Separador de milhares 3 2 7 4 6 3 5" xfId="34442"/>
    <cellStyle name="Separador de milhares 3 2 7 4 6 4" xfId="5522"/>
    <cellStyle name="Separador de milhares 3 2 7 4 6 4 2" xfId="24154"/>
    <cellStyle name="Separador de milhares 3 2 7 4 6 4 2 2" xfId="49221"/>
    <cellStyle name="Separador de milhares 3 2 7 4 6 4 3" xfId="31485"/>
    <cellStyle name="Separador de milhares 3 2 7 4 6 5" xfId="18240"/>
    <cellStyle name="Separador de milhares 3 2 7 4 6 5 2" xfId="43307"/>
    <cellStyle name="Separador de milhares 3 2 7 4 6 6" xfId="11909"/>
    <cellStyle name="Separador de milhares 3 2 7 4 6 6 2" xfId="37396"/>
    <cellStyle name="Separador de milhares 3 2 7 4 6 7" xfId="30015"/>
    <cellStyle name="Separador de milhares 3 2 7 4 7" xfId="3343"/>
    <cellStyle name="Separador de milhares 3 2 7 4 7 2" xfId="7368"/>
    <cellStyle name="Separador de milhares 3 2 7 4 7 2 2" xfId="10512"/>
    <cellStyle name="Separador de milhares 3 2 7 4 7 2 2 2" xfId="28726"/>
    <cellStyle name="Separador de milhares 3 2 7 4 7 2 2 2 2" xfId="53793"/>
    <cellStyle name="Separador de milhares 3 2 7 4 7 2 2 3" xfId="22812"/>
    <cellStyle name="Separador de milhares 3 2 7 4 7 2 2 3 2" xfId="47879"/>
    <cellStyle name="Separador de milhares 3 2 7 4 7 2 2 4" xfId="16898"/>
    <cellStyle name="Separador de milhares 3 2 7 4 7 2 2 4 2" xfId="41965"/>
    <cellStyle name="Separador de milhares 3 2 7 4 7 2 2 5" xfId="36057"/>
    <cellStyle name="Separador de milhares 3 2 7 4 7 2 3" xfId="25769"/>
    <cellStyle name="Separador de milhares 3 2 7 4 7 2 3 2" xfId="50836"/>
    <cellStyle name="Separador de milhares 3 2 7 4 7 2 4" xfId="19855"/>
    <cellStyle name="Separador de milhares 3 2 7 4 7 2 4 2" xfId="44922"/>
    <cellStyle name="Separador de milhares 3 2 7 4 7 2 5" xfId="13757"/>
    <cellStyle name="Separador de milhares 3 2 7 4 7 2 5 2" xfId="39011"/>
    <cellStyle name="Separador de milhares 3 2 7 4 7 2 6" xfId="33100"/>
    <cellStyle name="Separador de milhares 3 2 7 4 7 3" xfId="9044"/>
    <cellStyle name="Separador de milhares 3 2 7 4 7 3 2" xfId="27258"/>
    <cellStyle name="Separador de milhares 3 2 7 4 7 3 2 2" xfId="52325"/>
    <cellStyle name="Separador de milhares 3 2 7 4 7 3 3" xfId="21344"/>
    <cellStyle name="Separador de milhares 3 2 7 4 7 3 3 2" xfId="46411"/>
    <cellStyle name="Separador de milhares 3 2 7 4 7 3 4" xfId="15430"/>
    <cellStyle name="Separador de milhares 3 2 7 4 7 3 4 2" xfId="40497"/>
    <cellStyle name="Separador de milhares 3 2 7 4 7 3 5" xfId="34589"/>
    <cellStyle name="Separador de milhares 3 2 7 4 7 4" xfId="5669"/>
    <cellStyle name="Separador de milhares 3 2 7 4 7 4 2" xfId="24301"/>
    <cellStyle name="Separador de milhares 3 2 7 4 7 4 2 2" xfId="49368"/>
    <cellStyle name="Separador de milhares 3 2 7 4 7 4 3" xfId="31632"/>
    <cellStyle name="Separador de milhares 3 2 7 4 7 5" xfId="18387"/>
    <cellStyle name="Separador de milhares 3 2 7 4 7 5 2" xfId="43454"/>
    <cellStyle name="Separador de milhares 3 2 7 4 7 6" xfId="12056"/>
    <cellStyle name="Separador de milhares 3 2 7 4 7 6 2" xfId="37543"/>
    <cellStyle name="Separador de milhares 3 2 7 4 7 7" xfId="30162"/>
    <cellStyle name="Separador de milhares 3 2 7 4 8" xfId="3870"/>
    <cellStyle name="Separador de milhares 3 2 7 4 8 2" xfId="7515"/>
    <cellStyle name="Separador de milhares 3 2 7 4 8 2 2" xfId="10659"/>
    <cellStyle name="Separador de milhares 3 2 7 4 8 2 2 2" xfId="28873"/>
    <cellStyle name="Separador de milhares 3 2 7 4 8 2 2 2 2" xfId="53940"/>
    <cellStyle name="Separador de milhares 3 2 7 4 8 2 2 3" xfId="22959"/>
    <cellStyle name="Separador de milhares 3 2 7 4 8 2 2 3 2" xfId="48026"/>
    <cellStyle name="Separador de milhares 3 2 7 4 8 2 2 4" xfId="17045"/>
    <cellStyle name="Separador de milhares 3 2 7 4 8 2 2 4 2" xfId="42112"/>
    <cellStyle name="Separador de milhares 3 2 7 4 8 2 2 5" xfId="36204"/>
    <cellStyle name="Separador de milhares 3 2 7 4 8 2 3" xfId="25916"/>
    <cellStyle name="Separador de milhares 3 2 7 4 8 2 3 2" xfId="50983"/>
    <cellStyle name="Separador de milhares 3 2 7 4 8 2 4" xfId="20002"/>
    <cellStyle name="Separador de milhares 3 2 7 4 8 2 4 2" xfId="45069"/>
    <cellStyle name="Separador de milhares 3 2 7 4 8 2 5" xfId="13904"/>
    <cellStyle name="Separador de milhares 3 2 7 4 8 2 5 2" xfId="39158"/>
    <cellStyle name="Separador de milhares 3 2 7 4 8 2 6" xfId="33247"/>
    <cellStyle name="Separador de milhares 3 2 7 4 8 3" xfId="9191"/>
    <cellStyle name="Separador de milhares 3 2 7 4 8 3 2" xfId="27405"/>
    <cellStyle name="Separador de milhares 3 2 7 4 8 3 2 2" xfId="52472"/>
    <cellStyle name="Separador de milhares 3 2 7 4 8 3 3" xfId="21491"/>
    <cellStyle name="Separador de milhares 3 2 7 4 8 3 3 2" xfId="46558"/>
    <cellStyle name="Separador de milhares 3 2 7 4 8 3 4" xfId="15577"/>
    <cellStyle name="Separador de milhares 3 2 7 4 8 3 4 2" xfId="40644"/>
    <cellStyle name="Separador de milhares 3 2 7 4 8 3 5" xfId="34736"/>
    <cellStyle name="Separador de milhares 3 2 7 4 8 4" xfId="5816"/>
    <cellStyle name="Separador de milhares 3 2 7 4 8 4 2" xfId="24448"/>
    <cellStyle name="Separador de milhares 3 2 7 4 8 4 2 2" xfId="49515"/>
    <cellStyle name="Separador de milhares 3 2 7 4 8 4 3" xfId="31779"/>
    <cellStyle name="Separador de milhares 3 2 7 4 8 5" xfId="18534"/>
    <cellStyle name="Separador de milhares 3 2 7 4 8 5 2" xfId="43601"/>
    <cellStyle name="Separador de milhares 3 2 7 4 8 6" xfId="12203"/>
    <cellStyle name="Separador de milhares 3 2 7 4 8 6 2" xfId="37690"/>
    <cellStyle name="Separador de milhares 3 2 7 4 8 7" xfId="30309"/>
    <cellStyle name="Separador de milhares 3 2 7 4 9" xfId="674"/>
    <cellStyle name="Separador de milhares 3 2 7 4 9 2" xfId="6609"/>
    <cellStyle name="Separador de milhares 3 2 7 4 9 2 2" xfId="9756"/>
    <cellStyle name="Separador de milhares 3 2 7 4 9 2 2 2" xfId="27970"/>
    <cellStyle name="Separador de milhares 3 2 7 4 9 2 2 2 2" xfId="53037"/>
    <cellStyle name="Separador de milhares 3 2 7 4 9 2 2 3" xfId="22056"/>
    <cellStyle name="Separador de milhares 3 2 7 4 9 2 2 3 2" xfId="47123"/>
    <cellStyle name="Separador de milhares 3 2 7 4 9 2 2 4" xfId="16142"/>
    <cellStyle name="Separador de milhares 3 2 7 4 9 2 2 4 2" xfId="41209"/>
    <cellStyle name="Separador de milhares 3 2 7 4 9 2 2 5" xfId="35301"/>
    <cellStyle name="Separador de milhares 3 2 7 4 9 2 3" xfId="25013"/>
    <cellStyle name="Separador de milhares 3 2 7 4 9 2 3 2" xfId="50080"/>
    <cellStyle name="Separador de milhares 3 2 7 4 9 2 4" xfId="19099"/>
    <cellStyle name="Separador de milhares 3 2 7 4 9 2 4 2" xfId="44166"/>
    <cellStyle name="Separador de milhares 3 2 7 4 9 2 5" xfId="12998"/>
    <cellStyle name="Separador de milhares 3 2 7 4 9 2 5 2" xfId="38255"/>
    <cellStyle name="Separador de milhares 3 2 7 4 9 2 6" xfId="32344"/>
    <cellStyle name="Separador de milhares 3 2 7 4 9 3" xfId="8288"/>
    <cellStyle name="Separador de milhares 3 2 7 4 9 3 2" xfId="26502"/>
    <cellStyle name="Separador de milhares 3 2 7 4 9 3 2 2" xfId="51569"/>
    <cellStyle name="Separador de milhares 3 2 7 4 9 3 3" xfId="20588"/>
    <cellStyle name="Separador de milhares 3 2 7 4 9 3 3 2" xfId="45655"/>
    <cellStyle name="Separador de milhares 3 2 7 4 9 3 4" xfId="14674"/>
    <cellStyle name="Separador de milhares 3 2 7 4 9 3 4 2" xfId="39741"/>
    <cellStyle name="Separador de milhares 3 2 7 4 9 3 5" xfId="33833"/>
    <cellStyle name="Separador de milhares 3 2 7 4 9 4" xfId="4910"/>
    <cellStyle name="Separador de milhares 3 2 7 4 9 4 2" xfId="23545"/>
    <cellStyle name="Separador de milhares 3 2 7 4 9 4 2 2" xfId="48612"/>
    <cellStyle name="Separador de milhares 3 2 7 4 9 4 3" xfId="30876"/>
    <cellStyle name="Separador de milhares 3 2 7 4 9 5" xfId="17631"/>
    <cellStyle name="Separador de milhares 3 2 7 4 9 5 2" xfId="42698"/>
    <cellStyle name="Separador de milhares 3 2 7 4 9 6" xfId="11297"/>
    <cellStyle name="Separador de milhares 3 2 7 4 9 6 2" xfId="36787"/>
    <cellStyle name="Separador de milhares 3 2 7 4 9 7" xfId="29406"/>
    <cellStyle name="Separador de milhares 3 2 7 5" xfId="585"/>
    <cellStyle name="Separador de milhares 3 2 7 5 10" xfId="4874"/>
    <cellStyle name="Separador de milhares 3 2 7 5 10 2" xfId="23508"/>
    <cellStyle name="Separador de milhares 3 2 7 5 10 2 2" xfId="48575"/>
    <cellStyle name="Separador de milhares 3 2 7 5 10 3" xfId="30840"/>
    <cellStyle name="Separador de milhares 3 2 7 5 11" xfId="17594"/>
    <cellStyle name="Separador de milhares 3 2 7 5 11 2" xfId="42661"/>
    <cellStyle name="Separador de milhares 3 2 7 5 12" xfId="11263"/>
    <cellStyle name="Separador de milhares 3 2 7 5 12 2" xfId="36753"/>
    <cellStyle name="Separador de milhares 3 2 7 5 13" xfId="29369"/>
    <cellStyle name="Separador de milhares 3 2 7 5 2" xfId="1408"/>
    <cellStyle name="Separador de milhares 3 2 7 5 2 2" xfId="6826"/>
    <cellStyle name="Separador de milhares 3 2 7 5 2 2 2" xfId="9973"/>
    <cellStyle name="Separador de milhares 3 2 7 5 2 2 2 2" xfId="28187"/>
    <cellStyle name="Separador de milhares 3 2 7 5 2 2 2 2 2" xfId="53254"/>
    <cellStyle name="Separador de milhares 3 2 7 5 2 2 2 3" xfId="22273"/>
    <cellStyle name="Separador de milhares 3 2 7 5 2 2 2 3 2" xfId="47340"/>
    <cellStyle name="Separador de milhares 3 2 7 5 2 2 2 4" xfId="16359"/>
    <cellStyle name="Separador de milhares 3 2 7 5 2 2 2 4 2" xfId="41426"/>
    <cellStyle name="Separador de milhares 3 2 7 5 2 2 2 5" xfId="35518"/>
    <cellStyle name="Separador de milhares 3 2 7 5 2 2 3" xfId="25230"/>
    <cellStyle name="Separador de milhares 3 2 7 5 2 2 3 2" xfId="50297"/>
    <cellStyle name="Separador de milhares 3 2 7 5 2 2 4" xfId="19316"/>
    <cellStyle name="Separador de milhares 3 2 7 5 2 2 4 2" xfId="44383"/>
    <cellStyle name="Separador de milhares 3 2 7 5 2 2 5" xfId="13215"/>
    <cellStyle name="Separador de milhares 3 2 7 5 2 2 5 2" xfId="38472"/>
    <cellStyle name="Separador de milhares 3 2 7 5 2 2 6" xfId="32561"/>
    <cellStyle name="Separador de milhares 3 2 7 5 2 3" xfId="8505"/>
    <cellStyle name="Separador de milhares 3 2 7 5 2 3 2" xfId="26719"/>
    <cellStyle name="Separador de milhares 3 2 7 5 2 3 2 2" xfId="51786"/>
    <cellStyle name="Separador de milhares 3 2 7 5 2 3 3" xfId="20805"/>
    <cellStyle name="Separador de milhares 3 2 7 5 2 3 3 2" xfId="45872"/>
    <cellStyle name="Separador de milhares 3 2 7 5 2 3 4" xfId="14891"/>
    <cellStyle name="Separador de milhares 3 2 7 5 2 3 4 2" xfId="39958"/>
    <cellStyle name="Separador de milhares 3 2 7 5 2 3 5" xfId="34050"/>
    <cellStyle name="Separador de milhares 3 2 7 5 2 4" xfId="5127"/>
    <cellStyle name="Separador de milhares 3 2 7 5 2 4 2" xfId="23762"/>
    <cellStyle name="Separador de milhares 3 2 7 5 2 4 2 2" xfId="48829"/>
    <cellStyle name="Separador de milhares 3 2 7 5 2 4 3" xfId="31093"/>
    <cellStyle name="Separador de milhares 3 2 7 5 2 5" xfId="17848"/>
    <cellStyle name="Separador de milhares 3 2 7 5 2 5 2" xfId="42915"/>
    <cellStyle name="Separador de milhares 3 2 7 5 2 6" xfId="11514"/>
    <cellStyle name="Separador de milhares 3 2 7 5 2 6 2" xfId="37004"/>
    <cellStyle name="Separador de milhares 3 2 7 5 2 7" xfId="29623"/>
    <cellStyle name="Separador de milhares 3 2 7 5 3" xfId="1843"/>
    <cellStyle name="Separador de milhares 3 2 7 5 3 2" xfId="6945"/>
    <cellStyle name="Separador de milhares 3 2 7 5 3 2 2" xfId="10092"/>
    <cellStyle name="Separador de milhares 3 2 7 5 3 2 2 2" xfId="28306"/>
    <cellStyle name="Separador de milhares 3 2 7 5 3 2 2 2 2" xfId="53373"/>
    <cellStyle name="Separador de milhares 3 2 7 5 3 2 2 3" xfId="22392"/>
    <cellStyle name="Separador de milhares 3 2 7 5 3 2 2 3 2" xfId="47459"/>
    <cellStyle name="Separador de milhares 3 2 7 5 3 2 2 4" xfId="16478"/>
    <cellStyle name="Separador de milhares 3 2 7 5 3 2 2 4 2" xfId="41545"/>
    <cellStyle name="Separador de milhares 3 2 7 5 3 2 2 5" xfId="35637"/>
    <cellStyle name="Separador de milhares 3 2 7 5 3 2 3" xfId="25349"/>
    <cellStyle name="Separador de milhares 3 2 7 5 3 2 3 2" xfId="50416"/>
    <cellStyle name="Separador de milhares 3 2 7 5 3 2 4" xfId="19435"/>
    <cellStyle name="Separador de milhares 3 2 7 5 3 2 4 2" xfId="44502"/>
    <cellStyle name="Separador de milhares 3 2 7 5 3 2 5" xfId="13334"/>
    <cellStyle name="Separador de milhares 3 2 7 5 3 2 5 2" xfId="38591"/>
    <cellStyle name="Separador de milhares 3 2 7 5 3 2 6" xfId="32680"/>
    <cellStyle name="Separador de milhares 3 2 7 5 3 3" xfId="8624"/>
    <cellStyle name="Separador de milhares 3 2 7 5 3 3 2" xfId="26838"/>
    <cellStyle name="Separador de milhares 3 2 7 5 3 3 2 2" xfId="51905"/>
    <cellStyle name="Separador de milhares 3 2 7 5 3 3 3" xfId="20924"/>
    <cellStyle name="Separador de milhares 3 2 7 5 3 3 3 2" xfId="45991"/>
    <cellStyle name="Separador de milhares 3 2 7 5 3 3 4" xfId="15010"/>
    <cellStyle name="Separador de milhares 3 2 7 5 3 3 4 2" xfId="40077"/>
    <cellStyle name="Separador de milhares 3 2 7 5 3 3 5" xfId="34169"/>
    <cellStyle name="Separador de milhares 3 2 7 5 3 4" xfId="5246"/>
    <cellStyle name="Separador de milhares 3 2 7 5 3 4 2" xfId="23881"/>
    <cellStyle name="Separador de milhares 3 2 7 5 3 4 2 2" xfId="48948"/>
    <cellStyle name="Separador de milhares 3 2 7 5 3 4 3" xfId="31212"/>
    <cellStyle name="Separador de milhares 3 2 7 5 3 5" xfId="17967"/>
    <cellStyle name="Separador de milhares 3 2 7 5 3 5 2" xfId="43034"/>
    <cellStyle name="Separador de milhares 3 2 7 5 3 6" xfId="11633"/>
    <cellStyle name="Separador de milhares 3 2 7 5 3 6 2" xfId="37123"/>
    <cellStyle name="Separador de milhares 3 2 7 5 3 7" xfId="29742"/>
    <cellStyle name="Separador de milhares 3 2 7 5 4" xfId="2373"/>
    <cellStyle name="Separador de milhares 3 2 7 5 4 2" xfId="7095"/>
    <cellStyle name="Separador de milhares 3 2 7 5 4 2 2" xfId="10239"/>
    <cellStyle name="Separador de milhares 3 2 7 5 4 2 2 2" xfId="28453"/>
    <cellStyle name="Separador de milhares 3 2 7 5 4 2 2 2 2" xfId="53520"/>
    <cellStyle name="Separador de milhares 3 2 7 5 4 2 2 3" xfId="22539"/>
    <cellStyle name="Separador de milhares 3 2 7 5 4 2 2 3 2" xfId="47606"/>
    <cellStyle name="Separador de milhares 3 2 7 5 4 2 2 4" xfId="16625"/>
    <cellStyle name="Separador de milhares 3 2 7 5 4 2 2 4 2" xfId="41692"/>
    <cellStyle name="Separador de milhares 3 2 7 5 4 2 2 5" xfId="35784"/>
    <cellStyle name="Separador de milhares 3 2 7 5 4 2 3" xfId="25496"/>
    <cellStyle name="Separador de milhares 3 2 7 5 4 2 3 2" xfId="50563"/>
    <cellStyle name="Separador de milhares 3 2 7 5 4 2 4" xfId="19582"/>
    <cellStyle name="Separador de milhares 3 2 7 5 4 2 4 2" xfId="44649"/>
    <cellStyle name="Separador de milhares 3 2 7 5 4 2 5" xfId="13484"/>
    <cellStyle name="Separador de milhares 3 2 7 5 4 2 5 2" xfId="38738"/>
    <cellStyle name="Separador de milhares 3 2 7 5 4 2 6" xfId="32827"/>
    <cellStyle name="Separador de milhares 3 2 7 5 4 3" xfId="8771"/>
    <cellStyle name="Separador de milhares 3 2 7 5 4 3 2" xfId="26985"/>
    <cellStyle name="Separador de milhares 3 2 7 5 4 3 2 2" xfId="52052"/>
    <cellStyle name="Separador de milhares 3 2 7 5 4 3 3" xfId="21071"/>
    <cellStyle name="Separador de milhares 3 2 7 5 4 3 3 2" xfId="46138"/>
    <cellStyle name="Separador de milhares 3 2 7 5 4 3 4" xfId="15157"/>
    <cellStyle name="Separador de milhares 3 2 7 5 4 3 4 2" xfId="40224"/>
    <cellStyle name="Separador de milhares 3 2 7 5 4 3 5" xfId="34316"/>
    <cellStyle name="Separador de milhares 3 2 7 5 4 4" xfId="5396"/>
    <cellStyle name="Separador de milhares 3 2 7 5 4 4 2" xfId="24028"/>
    <cellStyle name="Separador de milhares 3 2 7 5 4 4 2 2" xfId="49095"/>
    <cellStyle name="Separador de milhares 3 2 7 5 4 4 3" xfId="31359"/>
    <cellStyle name="Separador de milhares 3 2 7 5 4 5" xfId="18114"/>
    <cellStyle name="Separador de milhares 3 2 7 5 4 5 2" xfId="43181"/>
    <cellStyle name="Separador de milhares 3 2 7 5 4 6" xfId="11783"/>
    <cellStyle name="Separador de milhares 3 2 7 5 4 6 2" xfId="37270"/>
    <cellStyle name="Separador de milhares 3 2 7 5 4 7" xfId="29889"/>
    <cellStyle name="Separador de milhares 3 2 7 5 5" xfId="2900"/>
    <cellStyle name="Separador de milhares 3 2 7 5 5 2" xfId="7242"/>
    <cellStyle name="Separador de milhares 3 2 7 5 5 2 2" xfId="10386"/>
    <cellStyle name="Separador de milhares 3 2 7 5 5 2 2 2" xfId="28600"/>
    <cellStyle name="Separador de milhares 3 2 7 5 5 2 2 2 2" xfId="53667"/>
    <cellStyle name="Separador de milhares 3 2 7 5 5 2 2 3" xfId="22686"/>
    <cellStyle name="Separador de milhares 3 2 7 5 5 2 2 3 2" xfId="47753"/>
    <cellStyle name="Separador de milhares 3 2 7 5 5 2 2 4" xfId="16772"/>
    <cellStyle name="Separador de milhares 3 2 7 5 5 2 2 4 2" xfId="41839"/>
    <cellStyle name="Separador de milhares 3 2 7 5 5 2 2 5" xfId="35931"/>
    <cellStyle name="Separador de milhares 3 2 7 5 5 2 3" xfId="25643"/>
    <cellStyle name="Separador de milhares 3 2 7 5 5 2 3 2" xfId="50710"/>
    <cellStyle name="Separador de milhares 3 2 7 5 5 2 4" xfId="19729"/>
    <cellStyle name="Separador de milhares 3 2 7 5 5 2 4 2" xfId="44796"/>
    <cellStyle name="Separador de milhares 3 2 7 5 5 2 5" xfId="13631"/>
    <cellStyle name="Separador de milhares 3 2 7 5 5 2 5 2" xfId="38885"/>
    <cellStyle name="Separador de milhares 3 2 7 5 5 2 6" xfId="32974"/>
    <cellStyle name="Separador de milhares 3 2 7 5 5 3" xfId="8918"/>
    <cellStyle name="Separador de milhares 3 2 7 5 5 3 2" xfId="27132"/>
    <cellStyle name="Separador de milhares 3 2 7 5 5 3 2 2" xfId="52199"/>
    <cellStyle name="Separador de milhares 3 2 7 5 5 3 3" xfId="21218"/>
    <cellStyle name="Separador de milhares 3 2 7 5 5 3 3 2" xfId="46285"/>
    <cellStyle name="Separador de milhares 3 2 7 5 5 3 4" xfId="15304"/>
    <cellStyle name="Separador de milhares 3 2 7 5 5 3 4 2" xfId="40371"/>
    <cellStyle name="Separador de milhares 3 2 7 5 5 3 5" xfId="34463"/>
    <cellStyle name="Separador de milhares 3 2 7 5 5 4" xfId="5543"/>
    <cellStyle name="Separador de milhares 3 2 7 5 5 4 2" xfId="24175"/>
    <cellStyle name="Separador de milhares 3 2 7 5 5 4 2 2" xfId="49242"/>
    <cellStyle name="Separador de milhares 3 2 7 5 5 4 3" xfId="31506"/>
    <cellStyle name="Separador de milhares 3 2 7 5 5 5" xfId="18261"/>
    <cellStyle name="Separador de milhares 3 2 7 5 5 5 2" xfId="43328"/>
    <cellStyle name="Separador de milhares 3 2 7 5 5 6" xfId="11930"/>
    <cellStyle name="Separador de milhares 3 2 7 5 5 6 2" xfId="37417"/>
    <cellStyle name="Separador de milhares 3 2 7 5 5 7" xfId="30036"/>
    <cellStyle name="Separador de milhares 3 2 7 5 6" xfId="3427"/>
    <cellStyle name="Separador de milhares 3 2 7 5 6 2" xfId="7389"/>
    <cellStyle name="Separador de milhares 3 2 7 5 6 2 2" xfId="10533"/>
    <cellStyle name="Separador de milhares 3 2 7 5 6 2 2 2" xfId="28747"/>
    <cellStyle name="Separador de milhares 3 2 7 5 6 2 2 2 2" xfId="53814"/>
    <cellStyle name="Separador de milhares 3 2 7 5 6 2 2 3" xfId="22833"/>
    <cellStyle name="Separador de milhares 3 2 7 5 6 2 2 3 2" xfId="47900"/>
    <cellStyle name="Separador de milhares 3 2 7 5 6 2 2 4" xfId="16919"/>
    <cellStyle name="Separador de milhares 3 2 7 5 6 2 2 4 2" xfId="41986"/>
    <cellStyle name="Separador de milhares 3 2 7 5 6 2 2 5" xfId="36078"/>
    <cellStyle name="Separador de milhares 3 2 7 5 6 2 3" xfId="25790"/>
    <cellStyle name="Separador de milhares 3 2 7 5 6 2 3 2" xfId="50857"/>
    <cellStyle name="Separador de milhares 3 2 7 5 6 2 4" xfId="19876"/>
    <cellStyle name="Separador de milhares 3 2 7 5 6 2 4 2" xfId="44943"/>
    <cellStyle name="Separador de milhares 3 2 7 5 6 2 5" xfId="13778"/>
    <cellStyle name="Separador de milhares 3 2 7 5 6 2 5 2" xfId="39032"/>
    <cellStyle name="Separador de milhares 3 2 7 5 6 2 6" xfId="33121"/>
    <cellStyle name="Separador de milhares 3 2 7 5 6 3" xfId="9065"/>
    <cellStyle name="Separador de milhares 3 2 7 5 6 3 2" xfId="27279"/>
    <cellStyle name="Separador de milhares 3 2 7 5 6 3 2 2" xfId="52346"/>
    <cellStyle name="Separador de milhares 3 2 7 5 6 3 3" xfId="21365"/>
    <cellStyle name="Separador de milhares 3 2 7 5 6 3 3 2" xfId="46432"/>
    <cellStyle name="Separador de milhares 3 2 7 5 6 3 4" xfId="15451"/>
    <cellStyle name="Separador de milhares 3 2 7 5 6 3 4 2" xfId="40518"/>
    <cellStyle name="Separador de milhares 3 2 7 5 6 3 5" xfId="34610"/>
    <cellStyle name="Separador de milhares 3 2 7 5 6 4" xfId="5690"/>
    <cellStyle name="Separador de milhares 3 2 7 5 6 4 2" xfId="24322"/>
    <cellStyle name="Separador de milhares 3 2 7 5 6 4 2 2" xfId="49389"/>
    <cellStyle name="Separador de milhares 3 2 7 5 6 4 3" xfId="31653"/>
    <cellStyle name="Separador de milhares 3 2 7 5 6 5" xfId="18408"/>
    <cellStyle name="Separador de milhares 3 2 7 5 6 5 2" xfId="43475"/>
    <cellStyle name="Separador de milhares 3 2 7 5 6 6" xfId="12077"/>
    <cellStyle name="Separador de milhares 3 2 7 5 6 6 2" xfId="37564"/>
    <cellStyle name="Separador de milhares 3 2 7 5 6 7" xfId="30183"/>
    <cellStyle name="Separador de milhares 3 2 7 5 7" xfId="3954"/>
    <cellStyle name="Separador de milhares 3 2 7 5 7 2" xfId="7536"/>
    <cellStyle name="Separador de milhares 3 2 7 5 7 2 2" xfId="10680"/>
    <cellStyle name="Separador de milhares 3 2 7 5 7 2 2 2" xfId="28894"/>
    <cellStyle name="Separador de milhares 3 2 7 5 7 2 2 2 2" xfId="53961"/>
    <cellStyle name="Separador de milhares 3 2 7 5 7 2 2 3" xfId="22980"/>
    <cellStyle name="Separador de milhares 3 2 7 5 7 2 2 3 2" xfId="48047"/>
    <cellStyle name="Separador de milhares 3 2 7 5 7 2 2 4" xfId="17066"/>
    <cellStyle name="Separador de milhares 3 2 7 5 7 2 2 4 2" xfId="42133"/>
    <cellStyle name="Separador de milhares 3 2 7 5 7 2 2 5" xfId="36225"/>
    <cellStyle name="Separador de milhares 3 2 7 5 7 2 3" xfId="25937"/>
    <cellStyle name="Separador de milhares 3 2 7 5 7 2 3 2" xfId="51004"/>
    <cellStyle name="Separador de milhares 3 2 7 5 7 2 4" xfId="20023"/>
    <cellStyle name="Separador de milhares 3 2 7 5 7 2 4 2" xfId="45090"/>
    <cellStyle name="Separador de milhares 3 2 7 5 7 2 5" xfId="13925"/>
    <cellStyle name="Separador de milhares 3 2 7 5 7 2 5 2" xfId="39179"/>
    <cellStyle name="Separador de milhares 3 2 7 5 7 2 6" xfId="33268"/>
    <cellStyle name="Separador de milhares 3 2 7 5 7 3" xfId="9212"/>
    <cellStyle name="Separador de milhares 3 2 7 5 7 3 2" xfId="27426"/>
    <cellStyle name="Separador de milhares 3 2 7 5 7 3 2 2" xfId="52493"/>
    <cellStyle name="Separador de milhares 3 2 7 5 7 3 3" xfId="21512"/>
    <cellStyle name="Separador de milhares 3 2 7 5 7 3 3 2" xfId="46579"/>
    <cellStyle name="Separador de milhares 3 2 7 5 7 3 4" xfId="15598"/>
    <cellStyle name="Separador de milhares 3 2 7 5 7 3 4 2" xfId="40665"/>
    <cellStyle name="Separador de milhares 3 2 7 5 7 3 5" xfId="34757"/>
    <cellStyle name="Separador de milhares 3 2 7 5 7 4" xfId="5837"/>
    <cellStyle name="Separador de milhares 3 2 7 5 7 4 2" xfId="24469"/>
    <cellStyle name="Separador de milhares 3 2 7 5 7 4 2 2" xfId="49536"/>
    <cellStyle name="Separador de milhares 3 2 7 5 7 4 3" xfId="31800"/>
    <cellStyle name="Separador de milhares 3 2 7 5 7 5" xfId="18555"/>
    <cellStyle name="Separador de milhares 3 2 7 5 7 5 2" xfId="43622"/>
    <cellStyle name="Separador de milhares 3 2 7 5 7 6" xfId="12224"/>
    <cellStyle name="Separador de milhares 3 2 7 5 7 6 2" xfId="37711"/>
    <cellStyle name="Separador de milhares 3 2 7 5 7 7" xfId="30330"/>
    <cellStyle name="Separador de milhares 3 2 7 5 8" xfId="6575"/>
    <cellStyle name="Separador de milhares 3 2 7 5 8 2" xfId="9722"/>
    <cellStyle name="Separador de milhares 3 2 7 5 8 2 2" xfId="27936"/>
    <cellStyle name="Separador de milhares 3 2 7 5 8 2 2 2" xfId="53003"/>
    <cellStyle name="Separador de milhares 3 2 7 5 8 2 3" xfId="22022"/>
    <cellStyle name="Separador de milhares 3 2 7 5 8 2 3 2" xfId="47089"/>
    <cellStyle name="Separador de milhares 3 2 7 5 8 2 4" xfId="16108"/>
    <cellStyle name="Separador de milhares 3 2 7 5 8 2 4 2" xfId="41175"/>
    <cellStyle name="Separador de milhares 3 2 7 5 8 2 5" xfId="35267"/>
    <cellStyle name="Separador de milhares 3 2 7 5 8 3" xfId="24979"/>
    <cellStyle name="Separador de milhares 3 2 7 5 8 3 2" xfId="50046"/>
    <cellStyle name="Separador de milhares 3 2 7 5 8 4" xfId="19065"/>
    <cellStyle name="Separador de milhares 3 2 7 5 8 4 2" xfId="44132"/>
    <cellStyle name="Separador de milhares 3 2 7 5 8 5" xfId="12964"/>
    <cellStyle name="Separador de milhares 3 2 7 5 8 5 2" xfId="38221"/>
    <cellStyle name="Separador de milhares 3 2 7 5 8 6" xfId="32310"/>
    <cellStyle name="Separador de milhares 3 2 7 5 9" xfId="8251"/>
    <cellStyle name="Separador de milhares 3 2 7 5 9 2" xfId="26465"/>
    <cellStyle name="Separador de milhares 3 2 7 5 9 2 2" xfId="51532"/>
    <cellStyle name="Separador de milhares 3 2 7 5 9 3" xfId="20551"/>
    <cellStyle name="Separador de milhares 3 2 7 5 9 3 2" xfId="45618"/>
    <cellStyle name="Separador de milhares 3 2 7 5 9 4" xfId="14640"/>
    <cellStyle name="Separador de milhares 3 2 7 5 9 4 2" xfId="39707"/>
    <cellStyle name="Separador de milhares 3 2 7 5 9 5" xfId="33796"/>
    <cellStyle name="Separador de milhares 3 2 7 6" xfId="706"/>
    <cellStyle name="Separador de milhares 3 2 7 6 2" xfId="4130"/>
    <cellStyle name="Separador de milhares 3 2 7 6 2 2" xfId="7585"/>
    <cellStyle name="Separador de milhares 3 2 7 6 2 2 2" xfId="10729"/>
    <cellStyle name="Separador de milhares 3 2 7 6 2 2 2 2" xfId="28943"/>
    <cellStyle name="Separador de milhares 3 2 7 6 2 2 2 2 2" xfId="54010"/>
    <cellStyle name="Separador de milhares 3 2 7 6 2 2 2 3" xfId="23029"/>
    <cellStyle name="Separador de milhares 3 2 7 6 2 2 2 3 2" xfId="48096"/>
    <cellStyle name="Separador de milhares 3 2 7 6 2 2 2 4" xfId="17115"/>
    <cellStyle name="Separador de milhares 3 2 7 6 2 2 2 4 2" xfId="42182"/>
    <cellStyle name="Separador de milhares 3 2 7 6 2 2 2 5" xfId="36274"/>
    <cellStyle name="Separador de milhares 3 2 7 6 2 2 3" xfId="25986"/>
    <cellStyle name="Separador de milhares 3 2 7 6 2 2 3 2" xfId="51053"/>
    <cellStyle name="Separador de milhares 3 2 7 6 2 2 4" xfId="20072"/>
    <cellStyle name="Separador de milhares 3 2 7 6 2 2 4 2" xfId="45139"/>
    <cellStyle name="Separador de milhares 3 2 7 6 2 2 5" xfId="13974"/>
    <cellStyle name="Separador de milhares 3 2 7 6 2 2 5 2" xfId="39228"/>
    <cellStyle name="Separador de milhares 3 2 7 6 2 2 6" xfId="33317"/>
    <cellStyle name="Separador de milhares 3 2 7 6 2 3" xfId="9261"/>
    <cellStyle name="Separador de milhares 3 2 7 6 2 3 2" xfId="27475"/>
    <cellStyle name="Separador de milhares 3 2 7 6 2 3 2 2" xfId="52542"/>
    <cellStyle name="Separador de milhares 3 2 7 6 2 3 3" xfId="21561"/>
    <cellStyle name="Separador de milhares 3 2 7 6 2 3 3 2" xfId="46628"/>
    <cellStyle name="Separador de milhares 3 2 7 6 2 3 4" xfId="15647"/>
    <cellStyle name="Separador de milhares 3 2 7 6 2 3 4 2" xfId="40714"/>
    <cellStyle name="Separador de milhares 3 2 7 6 2 3 5" xfId="34806"/>
    <cellStyle name="Separador de milhares 3 2 7 6 2 4" xfId="5886"/>
    <cellStyle name="Separador de milhares 3 2 7 6 2 4 2" xfId="24518"/>
    <cellStyle name="Separador de milhares 3 2 7 6 2 4 2 2" xfId="49585"/>
    <cellStyle name="Separador de milhares 3 2 7 6 2 4 3" xfId="31849"/>
    <cellStyle name="Separador de milhares 3 2 7 6 2 5" xfId="18604"/>
    <cellStyle name="Separador de milhares 3 2 7 6 2 5 2" xfId="43671"/>
    <cellStyle name="Separador de milhares 3 2 7 6 2 6" xfId="12273"/>
    <cellStyle name="Separador de milhares 3 2 7 6 2 6 2" xfId="37760"/>
    <cellStyle name="Separador de milhares 3 2 7 6 2 7" xfId="30379"/>
    <cellStyle name="Separador de milhares 3 2 7 6 3" xfId="6630"/>
    <cellStyle name="Separador de milhares 3 2 7 6 3 2" xfId="9777"/>
    <cellStyle name="Separador de milhares 3 2 7 6 3 2 2" xfId="27991"/>
    <cellStyle name="Separador de milhares 3 2 7 6 3 2 2 2" xfId="53058"/>
    <cellStyle name="Separador de milhares 3 2 7 6 3 2 3" xfId="22077"/>
    <cellStyle name="Separador de milhares 3 2 7 6 3 2 3 2" xfId="47144"/>
    <cellStyle name="Separador de milhares 3 2 7 6 3 2 4" xfId="16163"/>
    <cellStyle name="Separador de milhares 3 2 7 6 3 2 4 2" xfId="41230"/>
    <cellStyle name="Separador de milhares 3 2 7 6 3 2 5" xfId="35322"/>
    <cellStyle name="Separador de milhares 3 2 7 6 3 3" xfId="25034"/>
    <cellStyle name="Separador de milhares 3 2 7 6 3 3 2" xfId="50101"/>
    <cellStyle name="Separador de milhares 3 2 7 6 3 4" xfId="19120"/>
    <cellStyle name="Separador de milhares 3 2 7 6 3 4 2" xfId="44187"/>
    <cellStyle name="Separador de milhares 3 2 7 6 3 5" xfId="13019"/>
    <cellStyle name="Separador de milhares 3 2 7 6 3 5 2" xfId="38276"/>
    <cellStyle name="Separador de milhares 3 2 7 6 3 6" xfId="32365"/>
    <cellStyle name="Separador de milhares 3 2 7 6 4" xfId="8309"/>
    <cellStyle name="Separador de milhares 3 2 7 6 4 2" xfId="26523"/>
    <cellStyle name="Separador de milhares 3 2 7 6 4 2 2" xfId="51590"/>
    <cellStyle name="Separador de milhares 3 2 7 6 4 3" xfId="20609"/>
    <cellStyle name="Separador de milhares 3 2 7 6 4 3 2" xfId="45676"/>
    <cellStyle name="Separador de milhares 3 2 7 6 4 4" xfId="14695"/>
    <cellStyle name="Separador de milhares 3 2 7 6 4 4 2" xfId="39762"/>
    <cellStyle name="Separador de milhares 3 2 7 6 4 5" xfId="33854"/>
    <cellStyle name="Separador de milhares 3 2 7 6 5" xfId="4931"/>
    <cellStyle name="Separador de milhares 3 2 7 6 5 2" xfId="23566"/>
    <cellStyle name="Separador de milhares 3 2 7 6 5 2 2" xfId="48633"/>
    <cellStyle name="Separador de milhares 3 2 7 6 5 3" xfId="30897"/>
    <cellStyle name="Separador de milhares 3 2 7 6 6" xfId="17652"/>
    <cellStyle name="Separador de milhares 3 2 7 6 6 2" xfId="42719"/>
    <cellStyle name="Separador de milhares 3 2 7 6 7" xfId="11318"/>
    <cellStyle name="Separador de milhares 3 2 7 6 7 2" xfId="36808"/>
    <cellStyle name="Separador de milhares 3 2 7 6 8" xfId="29427"/>
    <cellStyle name="Separador de milhares 3 2 7 7" xfId="1057"/>
    <cellStyle name="Separador de milhares 3 2 7 7 2" xfId="6728"/>
    <cellStyle name="Separador de milhares 3 2 7 7 2 2" xfId="9875"/>
    <cellStyle name="Separador de milhares 3 2 7 7 2 2 2" xfId="28089"/>
    <cellStyle name="Separador de milhares 3 2 7 7 2 2 2 2" xfId="53156"/>
    <cellStyle name="Separador de milhares 3 2 7 7 2 2 3" xfId="22175"/>
    <cellStyle name="Separador de milhares 3 2 7 7 2 2 3 2" xfId="47242"/>
    <cellStyle name="Separador de milhares 3 2 7 7 2 2 4" xfId="16261"/>
    <cellStyle name="Separador de milhares 3 2 7 7 2 2 4 2" xfId="41328"/>
    <cellStyle name="Separador de milhares 3 2 7 7 2 2 5" xfId="35420"/>
    <cellStyle name="Separador de milhares 3 2 7 7 2 3" xfId="25132"/>
    <cellStyle name="Separador de milhares 3 2 7 7 2 3 2" xfId="50199"/>
    <cellStyle name="Separador de milhares 3 2 7 7 2 4" xfId="19218"/>
    <cellStyle name="Separador de milhares 3 2 7 7 2 4 2" xfId="44285"/>
    <cellStyle name="Separador de milhares 3 2 7 7 2 5" xfId="13117"/>
    <cellStyle name="Separador de milhares 3 2 7 7 2 5 2" xfId="38374"/>
    <cellStyle name="Separador de milhares 3 2 7 7 2 6" xfId="32463"/>
    <cellStyle name="Separador de milhares 3 2 7 7 3" xfId="8407"/>
    <cellStyle name="Separador de milhares 3 2 7 7 3 2" xfId="26621"/>
    <cellStyle name="Separador de milhares 3 2 7 7 3 2 2" xfId="51688"/>
    <cellStyle name="Separador de milhares 3 2 7 7 3 3" xfId="20707"/>
    <cellStyle name="Separador de milhares 3 2 7 7 3 3 2" xfId="45774"/>
    <cellStyle name="Separador de milhares 3 2 7 7 3 4" xfId="14793"/>
    <cellStyle name="Separador de milhares 3 2 7 7 3 4 2" xfId="39860"/>
    <cellStyle name="Separador de milhares 3 2 7 7 3 5" xfId="33952"/>
    <cellStyle name="Separador de milhares 3 2 7 7 4" xfId="5029"/>
    <cellStyle name="Separador de milhares 3 2 7 7 4 2" xfId="23664"/>
    <cellStyle name="Separador de milhares 3 2 7 7 4 2 2" xfId="48731"/>
    <cellStyle name="Separador de milhares 3 2 7 7 4 3" xfId="30995"/>
    <cellStyle name="Separador de milhares 3 2 7 7 5" xfId="17750"/>
    <cellStyle name="Separador de milhares 3 2 7 7 5 2" xfId="42817"/>
    <cellStyle name="Separador de milhares 3 2 7 7 6" xfId="11416"/>
    <cellStyle name="Separador de milhares 3 2 7 7 6 2" xfId="36906"/>
    <cellStyle name="Separador de milhares 3 2 7 7 7" xfId="29525"/>
    <cellStyle name="Separador de milhares 3 2 7 8" xfId="1492"/>
    <cellStyle name="Separador de milhares 3 2 7 8 2" xfId="6847"/>
    <cellStyle name="Separador de milhares 3 2 7 8 2 2" xfId="9994"/>
    <cellStyle name="Separador de milhares 3 2 7 8 2 2 2" xfId="28208"/>
    <cellStyle name="Separador de milhares 3 2 7 8 2 2 2 2" xfId="53275"/>
    <cellStyle name="Separador de milhares 3 2 7 8 2 2 3" xfId="22294"/>
    <cellStyle name="Separador de milhares 3 2 7 8 2 2 3 2" xfId="47361"/>
    <cellStyle name="Separador de milhares 3 2 7 8 2 2 4" xfId="16380"/>
    <cellStyle name="Separador de milhares 3 2 7 8 2 2 4 2" xfId="41447"/>
    <cellStyle name="Separador de milhares 3 2 7 8 2 2 5" xfId="35539"/>
    <cellStyle name="Separador de milhares 3 2 7 8 2 3" xfId="25251"/>
    <cellStyle name="Separador de milhares 3 2 7 8 2 3 2" xfId="50318"/>
    <cellStyle name="Separador de milhares 3 2 7 8 2 4" xfId="19337"/>
    <cellStyle name="Separador de milhares 3 2 7 8 2 4 2" xfId="44404"/>
    <cellStyle name="Separador de milhares 3 2 7 8 2 5" xfId="13236"/>
    <cellStyle name="Separador de milhares 3 2 7 8 2 5 2" xfId="38493"/>
    <cellStyle name="Separador de milhares 3 2 7 8 2 6" xfId="32582"/>
    <cellStyle name="Separador de milhares 3 2 7 8 3" xfId="8526"/>
    <cellStyle name="Separador de milhares 3 2 7 8 3 2" xfId="26740"/>
    <cellStyle name="Separador de milhares 3 2 7 8 3 2 2" xfId="51807"/>
    <cellStyle name="Separador de milhares 3 2 7 8 3 3" xfId="20826"/>
    <cellStyle name="Separador de milhares 3 2 7 8 3 3 2" xfId="45893"/>
    <cellStyle name="Separador de milhares 3 2 7 8 3 4" xfId="14912"/>
    <cellStyle name="Separador de milhares 3 2 7 8 3 4 2" xfId="39979"/>
    <cellStyle name="Separador de milhares 3 2 7 8 3 5" xfId="34071"/>
    <cellStyle name="Separador de milhares 3 2 7 8 4" xfId="5148"/>
    <cellStyle name="Separador de milhares 3 2 7 8 4 2" xfId="23783"/>
    <cellStyle name="Separador de milhares 3 2 7 8 4 2 2" xfId="48850"/>
    <cellStyle name="Separador de milhares 3 2 7 8 4 3" xfId="31114"/>
    <cellStyle name="Separador de milhares 3 2 7 8 5" xfId="17869"/>
    <cellStyle name="Separador de milhares 3 2 7 8 5 2" xfId="42936"/>
    <cellStyle name="Separador de milhares 3 2 7 8 6" xfId="11535"/>
    <cellStyle name="Separador de milhares 3 2 7 8 6 2" xfId="37025"/>
    <cellStyle name="Separador de milhares 3 2 7 8 7" xfId="29644"/>
    <cellStyle name="Separador de milhares 3 2 7 9" xfId="2022"/>
    <cellStyle name="Separador de milhares 3 2 7 9 2" xfId="6997"/>
    <cellStyle name="Separador de milhares 3 2 7 9 2 2" xfId="10141"/>
    <cellStyle name="Separador de milhares 3 2 7 9 2 2 2" xfId="28355"/>
    <cellStyle name="Separador de milhares 3 2 7 9 2 2 2 2" xfId="53422"/>
    <cellStyle name="Separador de milhares 3 2 7 9 2 2 3" xfId="22441"/>
    <cellStyle name="Separador de milhares 3 2 7 9 2 2 3 2" xfId="47508"/>
    <cellStyle name="Separador de milhares 3 2 7 9 2 2 4" xfId="16527"/>
    <cellStyle name="Separador de milhares 3 2 7 9 2 2 4 2" xfId="41594"/>
    <cellStyle name="Separador de milhares 3 2 7 9 2 2 5" xfId="35686"/>
    <cellStyle name="Separador de milhares 3 2 7 9 2 3" xfId="25398"/>
    <cellStyle name="Separador de milhares 3 2 7 9 2 3 2" xfId="50465"/>
    <cellStyle name="Separador de milhares 3 2 7 9 2 4" xfId="19484"/>
    <cellStyle name="Separador de milhares 3 2 7 9 2 4 2" xfId="44551"/>
    <cellStyle name="Separador de milhares 3 2 7 9 2 5" xfId="13386"/>
    <cellStyle name="Separador de milhares 3 2 7 9 2 5 2" xfId="38640"/>
    <cellStyle name="Separador de milhares 3 2 7 9 2 6" xfId="32729"/>
    <cellStyle name="Separador de milhares 3 2 7 9 3" xfId="8673"/>
    <cellStyle name="Separador de milhares 3 2 7 9 3 2" xfId="26887"/>
    <cellStyle name="Separador de milhares 3 2 7 9 3 2 2" xfId="51954"/>
    <cellStyle name="Separador de milhares 3 2 7 9 3 3" xfId="20973"/>
    <cellStyle name="Separador de milhares 3 2 7 9 3 3 2" xfId="46040"/>
    <cellStyle name="Separador de milhares 3 2 7 9 3 4" xfId="15059"/>
    <cellStyle name="Separador de milhares 3 2 7 9 3 4 2" xfId="40126"/>
    <cellStyle name="Separador de milhares 3 2 7 9 3 5" xfId="34218"/>
    <cellStyle name="Separador de milhares 3 2 7 9 4" xfId="5298"/>
    <cellStyle name="Separador de milhares 3 2 7 9 4 2" xfId="23930"/>
    <cellStyle name="Separador de milhares 3 2 7 9 4 2 2" xfId="48997"/>
    <cellStyle name="Separador de milhares 3 2 7 9 4 3" xfId="31261"/>
    <cellStyle name="Separador de milhares 3 2 7 9 5" xfId="18016"/>
    <cellStyle name="Separador de milhares 3 2 7 9 5 2" xfId="43083"/>
    <cellStyle name="Separador de milhares 3 2 7 9 6" xfId="11685"/>
    <cellStyle name="Separador de milhares 3 2 7 9 6 2" xfId="37172"/>
    <cellStyle name="Separador de milhares 3 2 7 9 7" xfId="29791"/>
    <cellStyle name="Separador de milhares 3 2 8" xfId="132"/>
    <cellStyle name="Separador de milhares 3 2 8 10" xfId="6449"/>
    <cellStyle name="Separador de milhares 3 2 8 10 2" xfId="9603"/>
    <cellStyle name="Separador de milhares 3 2 8 10 2 2" xfId="27817"/>
    <cellStyle name="Separador de milhares 3 2 8 10 2 2 2" xfId="52884"/>
    <cellStyle name="Separador de milhares 3 2 8 10 2 3" xfId="21903"/>
    <cellStyle name="Separador de milhares 3 2 8 10 2 3 2" xfId="46970"/>
    <cellStyle name="Separador de milhares 3 2 8 10 2 4" xfId="15989"/>
    <cellStyle name="Separador de milhares 3 2 8 10 2 4 2" xfId="41056"/>
    <cellStyle name="Separador de milhares 3 2 8 10 2 5" xfId="35148"/>
    <cellStyle name="Separador de milhares 3 2 8 10 3" xfId="24860"/>
    <cellStyle name="Separador de milhares 3 2 8 10 3 2" xfId="49927"/>
    <cellStyle name="Separador de milhares 3 2 8 10 4" xfId="18946"/>
    <cellStyle name="Separador de milhares 3 2 8 10 4 2" xfId="44013"/>
    <cellStyle name="Separador de milhares 3 2 8 10 5" xfId="12838"/>
    <cellStyle name="Separador de milhares 3 2 8 10 5 2" xfId="38102"/>
    <cellStyle name="Separador de milhares 3 2 8 10 6" xfId="32191"/>
    <cellStyle name="Separador de milhares 3 2 8 11" xfId="8132"/>
    <cellStyle name="Separador de milhares 3 2 8 11 2" xfId="26346"/>
    <cellStyle name="Separador de milhares 3 2 8 11 2 2" xfId="51413"/>
    <cellStyle name="Separador de milhares 3 2 8 11 3" xfId="20432"/>
    <cellStyle name="Separador de milhares 3 2 8 11 3 2" xfId="45499"/>
    <cellStyle name="Separador de milhares 3 2 8 11 4" xfId="14521"/>
    <cellStyle name="Separador de milhares 3 2 8 11 4 2" xfId="39588"/>
    <cellStyle name="Separador de milhares 3 2 8 11 5" xfId="33677"/>
    <cellStyle name="Separador de milhares 3 2 8 12" xfId="4748"/>
    <cellStyle name="Separador de milhares 3 2 8 12 2" xfId="23389"/>
    <cellStyle name="Separador de milhares 3 2 8 12 2 2" xfId="48456"/>
    <cellStyle name="Separador de milhares 3 2 8 12 3" xfId="30721"/>
    <cellStyle name="Separador de milhares 3 2 8 13" xfId="17475"/>
    <cellStyle name="Separador de milhares 3 2 8 13 2" xfId="42542"/>
    <cellStyle name="Separador de milhares 3 2 8 14" xfId="11137"/>
    <cellStyle name="Separador de milhares 3 2 8 14 2" xfId="36634"/>
    <cellStyle name="Separador de milhares 3 2 8 15" xfId="29250"/>
    <cellStyle name="Separador de milhares 3 2 8 2" xfId="405"/>
    <cellStyle name="Separador de milhares 3 2 8 2 10" xfId="17549"/>
    <cellStyle name="Separador de milhares 3 2 8 2 10 2" xfId="42616"/>
    <cellStyle name="Separador de milhares 3 2 8 2 11" xfId="11218"/>
    <cellStyle name="Separador de milhares 3 2 8 2 11 2" xfId="36708"/>
    <cellStyle name="Separador de milhares 3 2 8 2 12" xfId="29324"/>
    <cellStyle name="Separador de milhares 3 2 8 2 2" xfId="1924"/>
    <cellStyle name="Separador de milhares 3 2 8 2 2 2" xfId="6968"/>
    <cellStyle name="Separador de milhares 3 2 8 2 2 2 2" xfId="10115"/>
    <cellStyle name="Separador de milhares 3 2 8 2 2 2 2 2" xfId="28329"/>
    <cellStyle name="Separador de milhares 3 2 8 2 2 2 2 2 2" xfId="53396"/>
    <cellStyle name="Separador de milhares 3 2 8 2 2 2 2 3" xfId="22415"/>
    <cellStyle name="Separador de milhares 3 2 8 2 2 2 2 3 2" xfId="47482"/>
    <cellStyle name="Separador de milhares 3 2 8 2 2 2 2 4" xfId="16501"/>
    <cellStyle name="Separador de milhares 3 2 8 2 2 2 2 4 2" xfId="41568"/>
    <cellStyle name="Separador de milhares 3 2 8 2 2 2 2 5" xfId="35660"/>
    <cellStyle name="Separador de milhares 3 2 8 2 2 2 3" xfId="25372"/>
    <cellStyle name="Separador de milhares 3 2 8 2 2 2 3 2" xfId="50439"/>
    <cellStyle name="Separador de milhares 3 2 8 2 2 2 4" xfId="19458"/>
    <cellStyle name="Separador de milhares 3 2 8 2 2 2 4 2" xfId="44525"/>
    <cellStyle name="Separador de milhares 3 2 8 2 2 2 5" xfId="13357"/>
    <cellStyle name="Separador de milhares 3 2 8 2 2 2 5 2" xfId="38614"/>
    <cellStyle name="Separador de milhares 3 2 8 2 2 2 6" xfId="32703"/>
    <cellStyle name="Separador de milhares 3 2 8 2 2 3" xfId="8647"/>
    <cellStyle name="Separador de milhares 3 2 8 2 2 3 2" xfId="26861"/>
    <cellStyle name="Separador de milhares 3 2 8 2 2 3 2 2" xfId="51928"/>
    <cellStyle name="Separador de milhares 3 2 8 2 2 3 3" xfId="20947"/>
    <cellStyle name="Separador de milhares 3 2 8 2 2 3 3 2" xfId="46014"/>
    <cellStyle name="Separador de milhares 3 2 8 2 2 3 4" xfId="15033"/>
    <cellStyle name="Separador de milhares 3 2 8 2 2 3 4 2" xfId="40100"/>
    <cellStyle name="Separador de milhares 3 2 8 2 2 3 5" xfId="34192"/>
    <cellStyle name="Separador de milhares 3 2 8 2 2 4" xfId="5269"/>
    <cellStyle name="Separador de milhares 3 2 8 2 2 4 2" xfId="23904"/>
    <cellStyle name="Separador de milhares 3 2 8 2 2 4 2 2" xfId="48971"/>
    <cellStyle name="Separador de milhares 3 2 8 2 2 4 3" xfId="31235"/>
    <cellStyle name="Separador de milhares 3 2 8 2 2 5" xfId="17990"/>
    <cellStyle name="Separador de milhares 3 2 8 2 2 5 2" xfId="43057"/>
    <cellStyle name="Separador de milhares 3 2 8 2 2 6" xfId="11656"/>
    <cellStyle name="Separador de milhares 3 2 8 2 2 6 2" xfId="37146"/>
    <cellStyle name="Separador de milhares 3 2 8 2 2 7" xfId="29765"/>
    <cellStyle name="Separador de milhares 3 2 8 2 3" xfId="2454"/>
    <cellStyle name="Separador de milhares 3 2 8 2 3 2" xfId="7118"/>
    <cellStyle name="Separador de milhares 3 2 8 2 3 2 2" xfId="10262"/>
    <cellStyle name="Separador de milhares 3 2 8 2 3 2 2 2" xfId="28476"/>
    <cellStyle name="Separador de milhares 3 2 8 2 3 2 2 2 2" xfId="53543"/>
    <cellStyle name="Separador de milhares 3 2 8 2 3 2 2 3" xfId="22562"/>
    <cellStyle name="Separador de milhares 3 2 8 2 3 2 2 3 2" xfId="47629"/>
    <cellStyle name="Separador de milhares 3 2 8 2 3 2 2 4" xfId="16648"/>
    <cellStyle name="Separador de milhares 3 2 8 2 3 2 2 4 2" xfId="41715"/>
    <cellStyle name="Separador de milhares 3 2 8 2 3 2 2 5" xfId="35807"/>
    <cellStyle name="Separador de milhares 3 2 8 2 3 2 3" xfId="25519"/>
    <cellStyle name="Separador de milhares 3 2 8 2 3 2 3 2" xfId="50586"/>
    <cellStyle name="Separador de milhares 3 2 8 2 3 2 4" xfId="19605"/>
    <cellStyle name="Separador de milhares 3 2 8 2 3 2 4 2" xfId="44672"/>
    <cellStyle name="Separador de milhares 3 2 8 2 3 2 5" xfId="13507"/>
    <cellStyle name="Separador de milhares 3 2 8 2 3 2 5 2" xfId="38761"/>
    <cellStyle name="Separador de milhares 3 2 8 2 3 2 6" xfId="32850"/>
    <cellStyle name="Separador de milhares 3 2 8 2 3 3" xfId="8794"/>
    <cellStyle name="Separador de milhares 3 2 8 2 3 3 2" xfId="27008"/>
    <cellStyle name="Separador de milhares 3 2 8 2 3 3 2 2" xfId="52075"/>
    <cellStyle name="Separador de milhares 3 2 8 2 3 3 3" xfId="21094"/>
    <cellStyle name="Separador de milhares 3 2 8 2 3 3 3 2" xfId="46161"/>
    <cellStyle name="Separador de milhares 3 2 8 2 3 3 4" xfId="15180"/>
    <cellStyle name="Separador de milhares 3 2 8 2 3 3 4 2" xfId="40247"/>
    <cellStyle name="Separador de milhares 3 2 8 2 3 3 5" xfId="34339"/>
    <cellStyle name="Separador de milhares 3 2 8 2 3 4" xfId="5419"/>
    <cellStyle name="Separador de milhares 3 2 8 2 3 4 2" xfId="24051"/>
    <cellStyle name="Separador de milhares 3 2 8 2 3 4 2 2" xfId="49118"/>
    <cellStyle name="Separador de milhares 3 2 8 2 3 4 3" xfId="31382"/>
    <cellStyle name="Separador de milhares 3 2 8 2 3 5" xfId="18137"/>
    <cellStyle name="Separador de milhares 3 2 8 2 3 5 2" xfId="43204"/>
    <cellStyle name="Separador de milhares 3 2 8 2 3 6" xfId="11806"/>
    <cellStyle name="Separador de milhares 3 2 8 2 3 6 2" xfId="37293"/>
    <cellStyle name="Separador de milhares 3 2 8 2 3 7" xfId="29912"/>
    <cellStyle name="Separador de milhares 3 2 8 2 4" xfId="2981"/>
    <cellStyle name="Separador de milhares 3 2 8 2 4 2" xfId="7265"/>
    <cellStyle name="Separador de milhares 3 2 8 2 4 2 2" xfId="10409"/>
    <cellStyle name="Separador de milhares 3 2 8 2 4 2 2 2" xfId="28623"/>
    <cellStyle name="Separador de milhares 3 2 8 2 4 2 2 2 2" xfId="53690"/>
    <cellStyle name="Separador de milhares 3 2 8 2 4 2 2 3" xfId="22709"/>
    <cellStyle name="Separador de milhares 3 2 8 2 4 2 2 3 2" xfId="47776"/>
    <cellStyle name="Separador de milhares 3 2 8 2 4 2 2 4" xfId="16795"/>
    <cellStyle name="Separador de milhares 3 2 8 2 4 2 2 4 2" xfId="41862"/>
    <cellStyle name="Separador de milhares 3 2 8 2 4 2 2 5" xfId="35954"/>
    <cellStyle name="Separador de milhares 3 2 8 2 4 2 3" xfId="25666"/>
    <cellStyle name="Separador de milhares 3 2 8 2 4 2 3 2" xfId="50733"/>
    <cellStyle name="Separador de milhares 3 2 8 2 4 2 4" xfId="19752"/>
    <cellStyle name="Separador de milhares 3 2 8 2 4 2 4 2" xfId="44819"/>
    <cellStyle name="Separador de milhares 3 2 8 2 4 2 5" xfId="13654"/>
    <cellStyle name="Separador de milhares 3 2 8 2 4 2 5 2" xfId="38908"/>
    <cellStyle name="Separador de milhares 3 2 8 2 4 2 6" xfId="32997"/>
    <cellStyle name="Separador de milhares 3 2 8 2 4 3" xfId="8941"/>
    <cellStyle name="Separador de milhares 3 2 8 2 4 3 2" xfId="27155"/>
    <cellStyle name="Separador de milhares 3 2 8 2 4 3 2 2" xfId="52222"/>
    <cellStyle name="Separador de milhares 3 2 8 2 4 3 3" xfId="21241"/>
    <cellStyle name="Separador de milhares 3 2 8 2 4 3 3 2" xfId="46308"/>
    <cellStyle name="Separador de milhares 3 2 8 2 4 3 4" xfId="15327"/>
    <cellStyle name="Separador de milhares 3 2 8 2 4 3 4 2" xfId="40394"/>
    <cellStyle name="Separador de milhares 3 2 8 2 4 3 5" xfId="34486"/>
    <cellStyle name="Separador de milhares 3 2 8 2 4 4" xfId="5566"/>
    <cellStyle name="Separador de milhares 3 2 8 2 4 4 2" xfId="24198"/>
    <cellStyle name="Separador de milhares 3 2 8 2 4 4 2 2" xfId="49265"/>
    <cellStyle name="Separador de milhares 3 2 8 2 4 4 3" xfId="31529"/>
    <cellStyle name="Separador de milhares 3 2 8 2 4 5" xfId="18284"/>
    <cellStyle name="Separador de milhares 3 2 8 2 4 5 2" xfId="43351"/>
    <cellStyle name="Separador de milhares 3 2 8 2 4 6" xfId="11953"/>
    <cellStyle name="Separador de milhares 3 2 8 2 4 6 2" xfId="37440"/>
    <cellStyle name="Separador de milhares 3 2 8 2 4 7" xfId="30059"/>
    <cellStyle name="Separador de milhares 3 2 8 2 5" xfId="3508"/>
    <cellStyle name="Separador de milhares 3 2 8 2 5 2" xfId="7412"/>
    <cellStyle name="Separador de milhares 3 2 8 2 5 2 2" xfId="10556"/>
    <cellStyle name="Separador de milhares 3 2 8 2 5 2 2 2" xfId="28770"/>
    <cellStyle name="Separador de milhares 3 2 8 2 5 2 2 2 2" xfId="53837"/>
    <cellStyle name="Separador de milhares 3 2 8 2 5 2 2 3" xfId="22856"/>
    <cellStyle name="Separador de milhares 3 2 8 2 5 2 2 3 2" xfId="47923"/>
    <cellStyle name="Separador de milhares 3 2 8 2 5 2 2 4" xfId="16942"/>
    <cellStyle name="Separador de milhares 3 2 8 2 5 2 2 4 2" xfId="42009"/>
    <cellStyle name="Separador de milhares 3 2 8 2 5 2 2 5" xfId="36101"/>
    <cellStyle name="Separador de milhares 3 2 8 2 5 2 3" xfId="25813"/>
    <cellStyle name="Separador de milhares 3 2 8 2 5 2 3 2" xfId="50880"/>
    <cellStyle name="Separador de milhares 3 2 8 2 5 2 4" xfId="19899"/>
    <cellStyle name="Separador de milhares 3 2 8 2 5 2 4 2" xfId="44966"/>
    <cellStyle name="Separador de milhares 3 2 8 2 5 2 5" xfId="13801"/>
    <cellStyle name="Separador de milhares 3 2 8 2 5 2 5 2" xfId="39055"/>
    <cellStyle name="Separador de milhares 3 2 8 2 5 2 6" xfId="33144"/>
    <cellStyle name="Separador de milhares 3 2 8 2 5 3" xfId="9088"/>
    <cellStyle name="Separador de milhares 3 2 8 2 5 3 2" xfId="27302"/>
    <cellStyle name="Separador de milhares 3 2 8 2 5 3 2 2" xfId="52369"/>
    <cellStyle name="Separador de milhares 3 2 8 2 5 3 3" xfId="21388"/>
    <cellStyle name="Separador de milhares 3 2 8 2 5 3 3 2" xfId="46455"/>
    <cellStyle name="Separador de milhares 3 2 8 2 5 3 4" xfId="15474"/>
    <cellStyle name="Separador de milhares 3 2 8 2 5 3 4 2" xfId="40541"/>
    <cellStyle name="Separador de milhares 3 2 8 2 5 3 5" xfId="34633"/>
    <cellStyle name="Separador de milhares 3 2 8 2 5 4" xfId="5713"/>
    <cellStyle name="Separador de milhares 3 2 8 2 5 4 2" xfId="24345"/>
    <cellStyle name="Separador de milhares 3 2 8 2 5 4 2 2" xfId="49412"/>
    <cellStyle name="Separador de milhares 3 2 8 2 5 4 3" xfId="31676"/>
    <cellStyle name="Separador de milhares 3 2 8 2 5 5" xfId="18431"/>
    <cellStyle name="Separador de milhares 3 2 8 2 5 5 2" xfId="43498"/>
    <cellStyle name="Separador de milhares 3 2 8 2 5 6" xfId="12100"/>
    <cellStyle name="Separador de milhares 3 2 8 2 5 6 2" xfId="37587"/>
    <cellStyle name="Separador de milhares 3 2 8 2 5 7" xfId="30206"/>
    <cellStyle name="Separador de milhares 3 2 8 2 6" xfId="4035"/>
    <cellStyle name="Separador de milhares 3 2 8 2 6 2" xfId="7559"/>
    <cellStyle name="Separador de milhares 3 2 8 2 6 2 2" xfId="10703"/>
    <cellStyle name="Separador de milhares 3 2 8 2 6 2 2 2" xfId="28917"/>
    <cellStyle name="Separador de milhares 3 2 8 2 6 2 2 2 2" xfId="53984"/>
    <cellStyle name="Separador de milhares 3 2 8 2 6 2 2 3" xfId="23003"/>
    <cellStyle name="Separador de milhares 3 2 8 2 6 2 2 3 2" xfId="48070"/>
    <cellStyle name="Separador de milhares 3 2 8 2 6 2 2 4" xfId="17089"/>
    <cellStyle name="Separador de milhares 3 2 8 2 6 2 2 4 2" xfId="42156"/>
    <cellStyle name="Separador de milhares 3 2 8 2 6 2 2 5" xfId="36248"/>
    <cellStyle name="Separador de milhares 3 2 8 2 6 2 3" xfId="25960"/>
    <cellStyle name="Separador de milhares 3 2 8 2 6 2 3 2" xfId="51027"/>
    <cellStyle name="Separador de milhares 3 2 8 2 6 2 4" xfId="20046"/>
    <cellStyle name="Separador de milhares 3 2 8 2 6 2 4 2" xfId="45113"/>
    <cellStyle name="Separador de milhares 3 2 8 2 6 2 5" xfId="13948"/>
    <cellStyle name="Separador de milhares 3 2 8 2 6 2 5 2" xfId="39202"/>
    <cellStyle name="Separador de milhares 3 2 8 2 6 2 6" xfId="33291"/>
    <cellStyle name="Separador de milhares 3 2 8 2 6 3" xfId="9235"/>
    <cellStyle name="Separador de milhares 3 2 8 2 6 3 2" xfId="27449"/>
    <cellStyle name="Separador de milhares 3 2 8 2 6 3 2 2" xfId="52516"/>
    <cellStyle name="Separador de milhares 3 2 8 2 6 3 3" xfId="21535"/>
    <cellStyle name="Separador de milhares 3 2 8 2 6 3 3 2" xfId="46602"/>
    <cellStyle name="Separador de milhares 3 2 8 2 6 3 4" xfId="15621"/>
    <cellStyle name="Separador de milhares 3 2 8 2 6 3 4 2" xfId="40688"/>
    <cellStyle name="Separador de milhares 3 2 8 2 6 3 5" xfId="34780"/>
    <cellStyle name="Separador de milhares 3 2 8 2 6 4" xfId="5860"/>
    <cellStyle name="Separador de milhares 3 2 8 2 6 4 2" xfId="24492"/>
    <cellStyle name="Separador de milhares 3 2 8 2 6 4 2 2" xfId="49559"/>
    <cellStyle name="Separador de milhares 3 2 8 2 6 4 3" xfId="31823"/>
    <cellStyle name="Separador de milhares 3 2 8 2 6 5" xfId="18578"/>
    <cellStyle name="Separador de milhares 3 2 8 2 6 5 2" xfId="43645"/>
    <cellStyle name="Separador de milhares 3 2 8 2 6 6" xfId="12247"/>
    <cellStyle name="Separador de milhares 3 2 8 2 6 6 2" xfId="37734"/>
    <cellStyle name="Separador de milhares 3 2 8 2 6 7" xfId="30353"/>
    <cellStyle name="Separador de milhares 3 2 8 2 7" xfId="6530"/>
    <cellStyle name="Separador de milhares 3 2 8 2 7 2" xfId="9677"/>
    <cellStyle name="Separador de milhares 3 2 8 2 7 2 2" xfId="27891"/>
    <cellStyle name="Separador de milhares 3 2 8 2 7 2 2 2" xfId="52958"/>
    <cellStyle name="Separador de milhares 3 2 8 2 7 2 3" xfId="21977"/>
    <cellStyle name="Separador de milhares 3 2 8 2 7 2 3 2" xfId="47044"/>
    <cellStyle name="Separador de milhares 3 2 8 2 7 2 4" xfId="16063"/>
    <cellStyle name="Separador de milhares 3 2 8 2 7 2 4 2" xfId="41130"/>
    <cellStyle name="Separador de milhares 3 2 8 2 7 2 5" xfId="35222"/>
    <cellStyle name="Separador de milhares 3 2 8 2 7 3" xfId="24934"/>
    <cellStyle name="Separador de milhares 3 2 8 2 7 3 2" xfId="50001"/>
    <cellStyle name="Separador de milhares 3 2 8 2 7 4" xfId="19020"/>
    <cellStyle name="Separador de milhares 3 2 8 2 7 4 2" xfId="44087"/>
    <cellStyle name="Separador de milhares 3 2 8 2 7 5" xfId="12919"/>
    <cellStyle name="Separador de milhares 3 2 8 2 7 5 2" xfId="38176"/>
    <cellStyle name="Separador de milhares 3 2 8 2 7 6" xfId="32265"/>
    <cellStyle name="Separador de milhares 3 2 8 2 8" xfId="8206"/>
    <cellStyle name="Separador de milhares 3 2 8 2 8 2" xfId="26420"/>
    <cellStyle name="Separador de milhares 3 2 8 2 8 2 2" xfId="51487"/>
    <cellStyle name="Separador de milhares 3 2 8 2 8 3" xfId="20506"/>
    <cellStyle name="Separador de milhares 3 2 8 2 8 3 2" xfId="45573"/>
    <cellStyle name="Separador de milhares 3 2 8 2 8 4" xfId="14595"/>
    <cellStyle name="Separador de milhares 3 2 8 2 8 4 2" xfId="39662"/>
    <cellStyle name="Separador de milhares 3 2 8 2 8 5" xfId="33751"/>
    <cellStyle name="Separador de milhares 3 2 8 2 9" xfId="4829"/>
    <cellStyle name="Separador de milhares 3 2 8 2 9 2" xfId="23463"/>
    <cellStyle name="Separador de milhares 3 2 8 2 9 2 2" xfId="48530"/>
    <cellStyle name="Separador de milhares 3 2 8 2 9 3" xfId="30795"/>
    <cellStyle name="Separador de milhares 3 2 8 3" xfId="878"/>
    <cellStyle name="Separador de milhares 3 2 8 3 2" xfId="6681"/>
    <cellStyle name="Separador de milhares 3 2 8 3 2 2" xfId="9828"/>
    <cellStyle name="Separador de milhares 3 2 8 3 2 2 2" xfId="28042"/>
    <cellStyle name="Separador de milhares 3 2 8 3 2 2 2 2" xfId="53109"/>
    <cellStyle name="Separador de milhares 3 2 8 3 2 2 3" xfId="22128"/>
    <cellStyle name="Separador de milhares 3 2 8 3 2 2 3 2" xfId="47195"/>
    <cellStyle name="Separador de milhares 3 2 8 3 2 2 4" xfId="16214"/>
    <cellStyle name="Separador de milhares 3 2 8 3 2 2 4 2" xfId="41281"/>
    <cellStyle name="Separador de milhares 3 2 8 3 2 2 5" xfId="35373"/>
    <cellStyle name="Separador de milhares 3 2 8 3 2 3" xfId="25085"/>
    <cellStyle name="Separador de milhares 3 2 8 3 2 3 2" xfId="50152"/>
    <cellStyle name="Separador de milhares 3 2 8 3 2 4" xfId="19171"/>
    <cellStyle name="Separador de milhares 3 2 8 3 2 4 2" xfId="44238"/>
    <cellStyle name="Separador de milhares 3 2 8 3 2 5" xfId="13070"/>
    <cellStyle name="Separador de milhares 3 2 8 3 2 5 2" xfId="38327"/>
    <cellStyle name="Separador de milhares 3 2 8 3 2 6" xfId="32416"/>
    <cellStyle name="Separador de milhares 3 2 8 3 3" xfId="8360"/>
    <cellStyle name="Separador de milhares 3 2 8 3 3 2" xfId="26574"/>
    <cellStyle name="Separador de milhares 3 2 8 3 3 2 2" xfId="51641"/>
    <cellStyle name="Separador de milhares 3 2 8 3 3 3" xfId="20660"/>
    <cellStyle name="Separador de milhares 3 2 8 3 3 3 2" xfId="45727"/>
    <cellStyle name="Separador de milhares 3 2 8 3 3 4" xfId="14746"/>
    <cellStyle name="Separador de milhares 3 2 8 3 3 4 2" xfId="39813"/>
    <cellStyle name="Separador de milhares 3 2 8 3 3 5" xfId="33905"/>
    <cellStyle name="Separador de milhares 3 2 8 3 4" xfId="4982"/>
    <cellStyle name="Separador de milhares 3 2 8 3 4 2" xfId="23617"/>
    <cellStyle name="Separador de milhares 3 2 8 3 4 2 2" xfId="48684"/>
    <cellStyle name="Separador de milhares 3 2 8 3 4 3" xfId="30948"/>
    <cellStyle name="Separador de milhares 3 2 8 3 5" xfId="17703"/>
    <cellStyle name="Separador de milhares 3 2 8 3 5 2" xfId="42770"/>
    <cellStyle name="Separador de milhares 3 2 8 3 6" xfId="11369"/>
    <cellStyle name="Separador de milhares 3 2 8 3 6 2" xfId="36859"/>
    <cellStyle name="Separador de milhares 3 2 8 3 7" xfId="29478"/>
    <cellStyle name="Separador de milhares 3 2 8 4" xfId="1229"/>
    <cellStyle name="Separador de milhares 3 2 8 4 2" xfId="6779"/>
    <cellStyle name="Separador de milhares 3 2 8 4 2 2" xfId="9926"/>
    <cellStyle name="Separador de milhares 3 2 8 4 2 2 2" xfId="28140"/>
    <cellStyle name="Separador de milhares 3 2 8 4 2 2 2 2" xfId="53207"/>
    <cellStyle name="Separador de milhares 3 2 8 4 2 2 3" xfId="22226"/>
    <cellStyle name="Separador de milhares 3 2 8 4 2 2 3 2" xfId="47293"/>
    <cellStyle name="Separador de milhares 3 2 8 4 2 2 4" xfId="16312"/>
    <cellStyle name="Separador de milhares 3 2 8 4 2 2 4 2" xfId="41379"/>
    <cellStyle name="Separador de milhares 3 2 8 4 2 2 5" xfId="35471"/>
    <cellStyle name="Separador de milhares 3 2 8 4 2 3" xfId="25183"/>
    <cellStyle name="Separador de milhares 3 2 8 4 2 3 2" xfId="50250"/>
    <cellStyle name="Separador de milhares 3 2 8 4 2 4" xfId="19269"/>
    <cellStyle name="Separador de milhares 3 2 8 4 2 4 2" xfId="44336"/>
    <cellStyle name="Separador de milhares 3 2 8 4 2 5" xfId="13168"/>
    <cellStyle name="Separador de milhares 3 2 8 4 2 5 2" xfId="38425"/>
    <cellStyle name="Separador de milhares 3 2 8 4 2 6" xfId="32514"/>
    <cellStyle name="Separador de milhares 3 2 8 4 3" xfId="8458"/>
    <cellStyle name="Separador de milhares 3 2 8 4 3 2" xfId="26672"/>
    <cellStyle name="Separador de milhares 3 2 8 4 3 2 2" xfId="51739"/>
    <cellStyle name="Separador de milhares 3 2 8 4 3 3" xfId="20758"/>
    <cellStyle name="Separador de milhares 3 2 8 4 3 3 2" xfId="45825"/>
    <cellStyle name="Separador de milhares 3 2 8 4 3 4" xfId="14844"/>
    <cellStyle name="Separador de milhares 3 2 8 4 3 4 2" xfId="39911"/>
    <cellStyle name="Separador de milhares 3 2 8 4 3 5" xfId="34003"/>
    <cellStyle name="Separador de milhares 3 2 8 4 4" xfId="5080"/>
    <cellStyle name="Separador de milhares 3 2 8 4 4 2" xfId="23715"/>
    <cellStyle name="Separador de milhares 3 2 8 4 4 2 2" xfId="48782"/>
    <cellStyle name="Separador de milhares 3 2 8 4 4 3" xfId="31046"/>
    <cellStyle name="Separador de milhares 3 2 8 4 5" xfId="17801"/>
    <cellStyle name="Separador de milhares 3 2 8 4 5 2" xfId="42868"/>
    <cellStyle name="Separador de milhares 3 2 8 4 6" xfId="11467"/>
    <cellStyle name="Separador de milhares 3 2 8 4 6 2" xfId="36957"/>
    <cellStyle name="Separador de milhares 3 2 8 4 7" xfId="29576"/>
    <cellStyle name="Separador de milhares 3 2 8 5" xfId="1664"/>
    <cellStyle name="Separador de milhares 3 2 8 5 2" xfId="6898"/>
    <cellStyle name="Separador de milhares 3 2 8 5 2 2" xfId="10045"/>
    <cellStyle name="Separador de milhares 3 2 8 5 2 2 2" xfId="28259"/>
    <cellStyle name="Separador de milhares 3 2 8 5 2 2 2 2" xfId="53326"/>
    <cellStyle name="Separador de milhares 3 2 8 5 2 2 3" xfId="22345"/>
    <cellStyle name="Separador de milhares 3 2 8 5 2 2 3 2" xfId="47412"/>
    <cellStyle name="Separador de milhares 3 2 8 5 2 2 4" xfId="16431"/>
    <cellStyle name="Separador de milhares 3 2 8 5 2 2 4 2" xfId="41498"/>
    <cellStyle name="Separador de milhares 3 2 8 5 2 2 5" xfId="35590"/>
    <cellStyle name="Separador de milhares 3 2 8 5 2 3" xfId="25302"/>
    <cellStyle name="Separador de milhares 3 2 8 5 2 3 2" xfId="50369"/>
    <cellStyle name="Separador de milhares 3 2 8 5 2 4" xfId="19388"/>
    <cellStyle name="Separador de milhares 3 2 8 5 2 4 2" xfId="44455"/>
    <cellStyle name="Separador de milhares 3 2 8 5 2 5" xfId="13287"/>
    <cellStyle name="Separador de milhares 3 2 8 5 2 5 2" xfId="38544"/>
    <cellStyle name="Separador de milhares 3 2 8 5 2 6" xfId="32633"/>
    <cellStyle name="Separador de milhares 3 2 8 5 3" xfId="8577"/>
    <cellStyle name="Separador de milhares 3 2 8 5 3 2" xfId="26791"/>
    <cellStyle name="Separador de milhares 3 2 8 5 3 2 2" xfId="51858"/>
    <cellStyle name="Separador de milhares 3 2 8 5 3 3" xfId="20877"/>
    <cellStyle name="Separador de milhares 3 2 8 5 3 3 2" xfId="45944"/>
    <cellStyle name="Separador de milhares 3 2 8 5 3 4" xfId="14963"/>
    <cellStyle name="Separador de milhares 3 2 8 5 3 4 2" xfId="40030"/>
    <cellStyle name="Separador de milhares 3 2 8 5 3 5" xfId="34122"/>
    <cellStyle name="Separador de milhares 3 2 8 5 4" xfId="5199"/>
    <cellStyle name="Separador de milhares 3 2 8 5 4 2" xfId="23834"/>
    <cellStyle name="Separador de milhares 3 2 8 5 4 2 2" xfId="48901"/>
    <cellStyle name="Separador de milhares 3 2 8 5 4 3" xfId="31165"/>
    <cellStyle name="Separador de milhares 3 2 8 5 5" xfId="17920"/>
    <cellStyle name="Separador de milhares 3 2 8 5 5 2" xfId="42987"/>
    <cellStyle name="Separador de milhares 3 2 8 5 6" xfId="11586"/>
    <cellStyle name="Separador de milhares 3 2 8 5 6 2" xfId="37076"/>
    <cellStyle name="Separador de milhares 3 2 8 5 7" xfId="29695"/>
    <cellStyle name="Separador de milhares 3 2 8 6" xfId="2194"/>
    <cellStyle name="Separador de milhares 3 2 8 6 2" xfId="7048"/>
    <cellStyle name="Separador de milhares 3 2 8 6 2 2" xfId="10192"/>
    <cellStyle name="Separador de milhares 3 2 8 6 2 2 2" xfId="28406"/>
    <cellStyle name="Separador de milhares 3 2 8 6 2 2 2 2" xfId="53473"/>
    <cellStyle name="Separador de milhares 3 2 8 6 2 2 3" xfId="22492"/>
    <cellStyle name="Separador de milhares 3 2 8 6 2 2 3 2" xfId="47559"/>
    <cellStyle name="Separador de milhares 3 2 8 6 2 2 4" xfId="16578"/>
    <cellStyle name="Separador de milhares 3 2 8 6 2 2 4 2" xfId="41645"/>
    <cellStyle name="Separador de milhares 3 2 8 6 2 2 5" xfId="35737"/>
    <cellStyle name="Separador de milhares 3 2 8 6 2 3" xfId="25449"/>
    <cellStyle name="Separador de milhares 3 2 8 6 2 3 2" xfId="50516"/>
    <cellStyle name="Separador de milhares 3 2 8 6 2 4" xfId="19535"/>
    <cellStyle name="Separador de milhares 3 2 8 6 2 4 2" xfId="44602"/>
    <cellStyle name="Separador de milhares 3 2 8 6 2 5" xfId="13437"/>
    <cellStyle name="Separador de milhares 3 2 8 6 2 5 2" xfId="38691"/>
    <cellStyle name="Separador de milhares 3 2 8 6 2 6" xfId="32780"/>
    <cellStyle name="Separador de milhares 3 2 8 6 3" xfId="8724"/>
    <cellStyle name="Separador de milhares 3 2 8 6 3 2" xfId="26938"/>
    <cellStyle name="Separador de milhares 3 2 8 6 3 2 2" xfId="52005"/>
    <cellStyle name="Separador de milhares 3 2 8 6 3 3" xfId="21024"/>
    <cellStyle name="Separador de milhares 3 2 8 6 3 3 2" xfId="46091"/>
    <cellStyle name="Separador de milhares 3 2 8 6 3 4" xfId="15110"/>
    <cellStyle name="Separador de milhares 3 2 8 6 3 4 2" xfId="40177"/>
    <cellStyle name="Separador de milhares 3 2 8 6 3 5" xfId="34269"/>
    <cellStyle name="Separador de milhares 3 2 8 6 4" xfId="5349"/>
    <cellStyle name="Separador de milhares 3 2 8 6 4 2" xfId="23981"/>
    <cellStyle name="Separador de milhares 3 2 8 6 4 2 2" xfId="49048"/>
    <cellStyle name="Separador de milhares 3 2 8 6 4 3" xfId="31312"/>
    <cellStyle name="Separador de milhares 3 2 8 6 5" xfId="18067"/>
    <cellStyle name="Separador de milhares 3 2 8 6 5 2" xfId="43134"/>
    <cellStyle name="Separador de milhares 3 2 8 6 6" xfId="11736"/>
    <cellStyle name="Separador de milhares 3 2 8 6 6 2" xfId="37223"/>
    <cellStyle name="Separador de milhares 3 2 8 6 7" xfId="29842"/>
    <cellStyle name="Separador de milhares 3 2 8 7" xfId="2721"/>
    <cellStyle name="Separador de milhares 3 2 8 7 2" xfId="7195"/>
    <cellStyle name="Separador de milhares 3 2 8 7 2 2" xfId="10339"/>
    <cellStyle name="Separador de milhares 3 2 8 7 2 2 2" xfId="28553"/>
    <cellStyle name="Separador de milhares 3 2 8 7 2 2 2 2" xfId="53620"/>
    <cellStyle name="Separador de milhares 3 2 8 7 2 2 3" xfId="22639"/>
    <cellStyle name="Separador de milhares 3 2 8 7 2 2 3 2" xfId="47706"/>
    <cellStyle name="Separador de milhares 3 2 8 7 2 2 4" xfId="16725"/>
    <cellStyle name="Separador de milhares 3 2 8 7 2 2 4 2" xfId="41792"/>
    <cellStyle name="Separador de milhares 3 2 8 7 2 2 5" xfId="35884"/>
    <cellStyle name="Separador de milhares 3 2 8 7 2 3" xfId="25596"/>
    <cellStyle name="Separador de milhares 3 2 8 7 2 3 2" xfId="50663"/>
    <cellStyle name="Separador de milhares 3 2 8 7 2 4" xfId="19682"/>
    <cellStyle name="Separador de milhares 3 2 8 7 2 4 2" xfId="44749"/>
    <cellStyle name="Separador de milhares 3 2 8 7 2 5" xfId="13584"/>
    <cellStyle name="Separador de milhares 3 2 8 7 2 5 2" xfId="38838"/>
    <cellStyle name="Separador de milhares 3 2 8 7 2 6" xfId="32927"/>
    <cellStyle name="Separador de milhares 3 2 8 7 3" xfId="8871"/>
    <cellStyle name="Separador de milhares 3 2 8 7 3 2" xfId="27085"/>
    <cellStyle name="Separador de milhares 3 2 8 7 3 2 2" xfId="52152"/>
    <cellStyle name="Separador de milhares 3 2 8 7 3 3" xfId="21171"/>
    <cellStyle name="Separador de milhares 3 2 8 7 3 3 2" xfId="46238"/>
    <cellStyle name="Separador de milhares 3 2 8 7 3 4" xfId="15257"/>
    <cellStyle name="Separador de milhares 3 2 8 7 3 4 2" xfId="40324"/>
    <cellStyle name="Separador de milhares 3 2 8 7 3 5" xfId="34416"/>
    <cellStyle name="Separador de milhares 3 2 8 7 4" xfId="5496"/>
    <cellStyle name="Separador de milhares 3 2 8 7 4 2" xfId="24128"/>
    <cellStyle name="Separador de milhares 3 2 8 7 4 2 2" xfId="49195"/>
    <cellStyle name="Separador de milhares 3 2 8 7 4 3" xfId="31459"/>
    <cellStyle name="Separador de milhares 3 2 8 7 5" xfId="18214"/>
    <cellStyle name="Separador de milhares 3 2 8 7 5 2" xfId="43281"/>
    <cellStyle name="Separador de milhares 3 2 8 7 6" xfId="11883"/>
    <cellStyle name="Separador de milhares 3 2 8 7 6 2" xfId="37370"/>
    <cellStyle name="Separador de milhares 3 2 8 7 7" xfId="29989"/>
    <cellStyle name="Separador de milhares 3 2 8 8" xfId="3248"/>
    <cellStyle name="Separador de milhares 3 2 8 8 2" xfId="7342"/>
    <cellStyle name="Separador de milhares 3 2 8 8 2 2" xfId="10486"/>
    <cellStyle name="Separador de milhares 3 2 8 8 2 2 2" xfId="28700"/>
    <cellStyle name="Separador de milhares 3 2 8 8 2 2 2 2" xfId="53767"/>
    <cellStyle name="Separador de milhares 3 2 8 8 2 2 3" xfId="22786"/>
    <cellStyle name="Separador de milhares 3 2 8 8 2 2 3 2" xfId="47853"/>
    <cellStyle name="Separador de milhares 3 2 8 8 2 2 4" xfId="16872"/>
    <cellStyle name="Separador de milhares 3 2 8 8 2 2 4 2" xfId="41939"/>
    <cellStyle name="Separador de milhares 3 2 8 8 2 2 5" xfId="36031"/>
    <cellStyle name="Separador de milhares 3 2 8 8 2 3" xfId="25743"/>
    <cellStyle name="Separador de milhares 3 2 8 8 2 3 2" xfId="50810"/>
    <cellStyle name="Separador de milhares 3 2 8 8 2 4" xfId="19829"/>
    <cellStyle name="Separador de milhares 3 2 8 8 2 4 2" xfId="44896"/>
    <cellStyle name="Separador de milhares 3 2 8 8 2 5" xfId="13731"/>
    <cellStyle name="Separador de milhares 3 2 8 8 2 5 2" xfId="38985"/>
    <cellStyle name="Separador de milhares 3 2 8 8 2 6" xfId="33074"/>
    <cellStyle name="Separador de milhares 3 2 8 8 3" xfId="9018"/>
    <cellStyle name="Separador de milhares 3 2 8 8 3 2" xfId="27232"/>
    <cellStyle name="Separador de milhares 3 2 8 8 3 2 2" xfId="52299"/>
    <cellStyle name="Separador de milhares 3 2 8 8 3 3" xfId="21318"/>
    <cellStyle name="Separador de milhares 3 2 8 8 3 3 2" xfId="46385"/>
    <cellStyle name="Separador de milhares 3 2 8 8 3 4" xfId="15404"/>
    <cellStyle name="Separador de milhares 3 2 8 8 3 4 2" xfId="40471"/>
    <cellStyle name="Separador de milhares 3 2 8 8 3 5" xfId="34563"/>
    <cellStyle name="Separador de milhares 3 2 8 8 4" xfId="5643"/>
    <cellStyle name="Separador de milhares 3 2 8 8 4 2" xfId="24275"/>
    <cellStyle name="Separador de milhares 3 2 8 8 4 2 2" xfId="49342"/>
    <cellStyle name="Separador de milhares 3 2 8 8 4 3" xfId="31606"/>
    <cellStyle name="Separador de milhares 3 2 8 8 5" xfId="18361"/>
    <cellStyle name="Separador de milhares 3 2 8 8 5 2" xfId="43428"/>
    <cellStyle name="Separador de milhares 3 2 8 8 6" xfId="12030"/>
    <cellStyle name="Separador de milhares 3 2 8 8 6 2" xfId="37517"/>
    <cellStyle name="Separador de milhares 3 2 8 8 7" xfId="30136"/>
    <cellStyle name="Separador de milhares 3 2 8 9" xfId="3775"/>
    <cellStyle name="Separador de milhares 3 2 8 9 2" xfId="7489"/>
    <cellStyle name="Separador de milhares 3 2 8 9 2 2" xfId="10633"/>
    <cellStyle name="Separador de milhares 3 2 8 9 2 2 2" xfId="28847"/>
    <cellStyle name="Separador de milhares 3 2 8 9 2 2 2 2" xfId="53914"/>
    <cellStyle name="Separador de milhares 3 2 8 9 2 2 3" xfId="22933"/>
    <cellStyle name="Separador de milhares 3 2 8 9 2 2 3 2" xfId="48000"/>
    <cellStyle name="Separador de milhares 3 2 8 9 2 2 4" xfId="17019"/>
    <cellStyle name="Separador de milhares 3 2 8 9 2 2 4 2" xfId="42086"/>
    <cellStyle name="Separador de milhares 3 2 8 9 2 2 5" xfId="36178"/>
    <cellStyle name="Separador de milhares 3 2 8 9 2 3" xfId="25890"/>
    <cellStyle name="Separador de milhares 3 2 8 9 2 3 2" xfId="50957"/>
    <cellStyle name="Separador de milhares 3 2 8 9 2 4" xfId="19976"/>
    <cellStyle name="Separador de milhares 3 2 8 9 2 4 2" xfId="45043"/>
    <cellStyle name="Separador de milhares 3 2 8 9 2 5" xfId="13878"/>
    <cellStyle name="Separador de milhares 3 2 8 9 2 5 2" xfId="39132"/>
    <cellStyle name="Separador de milhares 3 2 8 9 2 6" xfId="33221"/>
    <cellStyle name="Separador de milhares 3 2 8 9 3" xfId="9165"/>
    <cellStyle name="Separador de milhares 3 2 8 9 3 2" xfId="27379"/>
    <cellStyle name="Separador de milhares 3 2 8 9 3 2 2" xfId="52446"/>
    <cellStyle name="Separador de milhares 3 2 8 9 3 3" xfId="21465"/>
    <cellStyle name="Separador de milhares 3 2 8 9 3 3 2" xfId="46532"/>
    <cellStyle name="Separador de milhares 3 2 8 9 3 4" xfId="15551"/>
    <cellStyle name="Separador de milhares 3 2 8 9 3 4 2" xfId="40618"/>
    <cellStyle name="Separador de milhares 3 2 8 9 3 5" xfId="34710"/>
    <cellStyle name="Separador de milhares 3 2 8 9 4" xfId="5790"/>
    <cellStyle name="Separador de milhares 3 2 8 9 4 2" xfId="24422"/>
    <cellStyle name="Separador de milhares 3 2 8 9 4 2 2" xfId="49489"/>
    <cellStyle name="Separador de milhares 3 2 8 9 4 3" xfId="31753"/>
    <cellStyle name="Separador de milhares 3 2 8 9 5" xfId="18508"/>
    <cellStyle name="Separador de milhares 3 2 8 9 5 2" xfId="43575"/>
    <cellStyle name="Separador de milhares 3 2 8 9 6" xfId="12177"/>
    <cellStyle name="Separador de milhares 3 2 8 9 6 2" xfId="37664"/>
    <cellStyle name="Separador de milhares 3 2 8 9 7" xfId="30283"/>
    <cellStyle name="Separador de milhares 3 2 9" xfId="227"/>
    <cellStyle name="Separador de milhares 3 2 9 10" xfId="6480"/>
    <cellStyle name="Separador de milhares 3 2 9 10 2" xfId="9631"/>
    <cellStyle name="Separador de milhares 3 2 9 10 2 2" xfId="27845"/>
    <cellStyle name="Separador de milhares 3 2 9 10 2 2 2" xfId="52912"/>
    <cellStyle name="Separador de milhares 3 2 9 10 2 3" xfId="21931"/>
    <cellStyle name="Separador de milhares 3 2 9 10 2 3 2" xfId="46998"/>
    <cellStyle name="Separador de milhares 3 2 9 10 2 4" xfId="16017"/>
    <cellStyle name="Separador de milhares 3 2 9 10 2 4 2" xfId="41084"/>
    <cellStyle name="Separador de milhares 3 2 9 10 2 5" xfId="35176"/>
    <cellStyle name="Separador de milhares 3 2 9 10 3" xfId="24888"/>
    <cellStyle name="Separador de milhares 3 2 9 10 3 2" xfId="49955"/>
    <cellStyle name="Separador de milhares 3 2 9 10 4" xfId="18974"/>
    <cellStyle name="Separador de milhares 3 2 9 10 4 2" xfId="44041"/>
    <cellStyle name="Separador de milhares 3 2 9 10 5" xfId="12869"/>
    <cellStyle name="Separador de milhares 3 2 9 10 5 2" xfId="38130"/>
    <cellStyle name="Separador de milhares 3 2 9 10 6" xfId="32219"/>
    <cellStyle name="Separador de milhares 3 2 9 11" xfId="8160"/>
    <cellStyle name="Separador de milhares 3 2 9 11 2" xfId="26374"/>
    <cellStyle name="Separador de milhares 3 2 9 11 2 2" xfId="51441"/>
    <cellStyle name="Separador de milhares 3 2 9 11 3" xfId="20460"/>
    <cellStyle name="Separador de milhares 3 2 9 11 3 2" xfId="45527"/>
    <cellStyle name="Separador de milhares 3 2 9 11 4" xfId="14549"/>
    <cellStyle name="Separador de milhares 3 2 9 11 4 2" xfId="39616"/>
    <cellStyle name="Separador de milhares 3 2 9 11 5" xfId="33705"/>
    <cellStyle name="Separador de milhares 3 2 9 12" xfId="4779"/>
    <cellStyle name="Separador de milhares 3 2 9 12 2" xfId="23417"/>
    <cellStyle name="Separador de milhares 3 2 9 12 2 2" xfId="48484"/>
    <cellStyle name="Separador de milhares 3 2 9 12 3" xfId="30749"/>
    <cellStyle name="Separador de milhares 3 2 9 13" xfId="17503"/>
    <cellStyle name="Separador de milhares 3 2 9 13 2" xfId="42570"/>
    <cellStyle name="Separador de milhares 3 2 9 14" xfId="11168"/>
    <cellStyle name="Separador de milhares 3 2 9 14 2" xfId="36662"/>
    <cellStyle name="Separador de milhares 3 2 9 15" xfId="29278"/>
    <cellStyle name="Separador de milhares 3 2 9 2" xfId="490"/>
    <cellStyle name="Separador de milhares 3 2 9 2 2" xfId="6551"/>
    <cellStyle name="Separador de milhares 3 2 9 2 2 2" xfId="9698"/>
    <cellStyle name="Separador de milhares 3 2 9 2 2 2 2" xfId="27912"/>
    <cellStyle name="Separador de milhares 3 2 9 2 2 2 2 2" xfId="52979"/>
    <cellStyle name="Separador de milhares 3 2 9 2 2 2 3" xfId="21998"/>
    <cellStyle name="Separador de milhares 3 2 9 2 2 2 3 2" xfId="47065"/>
    <cellStyle name="Separador de milhares 3 2 9 2 2 2 4" xfId="16084"/>
    <cellStyle name="Separador de milhares 3 2 9 2 2 2 4 2" xfId="41151"/>
    <cellStyle name="Separador de milhares 3 2 9 2 2 2 5" xfId="35243"/>
    <cellStyle name="Separador de milhares 3 2 9 2 2 3" xfId="24955"/>
    <cellStyle name="Separador de milhares 3 2 9 2 2 3 2" xfId="50022"/>
    <cellStyle name="Separador de milhares 3 2 9 2 2 4" xfId="19041"/>
    <cellStyle name="Separador de milhares 3 2 9 2 2 4 2" xfId="44108"/>
    <cellStyle name="Separador de milhares 3 2 9 2 2 5" xfId="12940"/>
    <cellStyle name="Separador de milhares 3 2 9 2 2 5 2" xfId="38197"/>
    <cellStyle name="Separador de milhares 3 2 9 2 2 6" xfId="32286"/>
    <cellStyle name="Separador de milhares 3 2 9 2 3" xfId="8227"/>
    <cellStyle name="Separador de milhares 3 2 9 2 3 2" xfId="26441"/>
    <cellStyle name="Separador de milhares 3 2 9 2 3 2 2" xfId="51508"/>
    <cellStyle name="Separador de milhares 3 2 9 2 3 3" xfId="20527"/>
    <cellStyle name="Separador de milhares 3 2 9 2 3 3 2" xfId="45594"/>
    <cellStyle name="Separador de milhares 3 2 9 2 3 4" xfId="14616"/>
    <cellStyle name="Separador de milhares 3 2 9 2 3 4 2" xfId="39683"/>
    <cellStyle name="Separador de milhares 3 2 9 2 3 5" xfId="33772"/>
    <cellStyle name="Separador de milhares 3 2 9 2 4" xfId="4850"/>
    <cellStyle name="Separador de milhares 3 2 9 2 4 2" xfId="23484"/>
    <cellStyle name="Separador de milhares 3 2 9 2 4 2 2" xfId="48551"/>
    <cellStyle name="Separador de milhares 3 2 9 2 4 3" xfId="30816"/>
    <cellStyle name="Separador de milhares 3 2 9 2 5" xfId="17570"/>
    <cellStyle name="Separador de milhares 3 2 9 2 5 2" xfId="42637"/>
    <cellStyle name="Separador de milhares 3 2 9 2 6" xfId="11239"/>
    <cellStyle name="Separador de milhares 3 2 9 2 6 2" xfId="36729"/>
    <cellStyle name="Separador de milhares 3 2 9 2 7" xfId="29345"/>
    <cellStyle name="Separador de milhares 3 2 9 3" xfId="787"/>
    <cellStyle name="Separador de milhares 3 2 9 3 2" xfId="6653"/>
    <cellStyle name="Separador de milhares 3 2 9 3 2 2" xfId="9800"/>
    <cellStyle name="Separador de milhares 3 2 9 3 2 2 2" xfId="28014"/>
    <cellStyle name="Separador de milhares 3 2 9 3 2 2 2 2" xfId="53081"/>
    <cellStyle name="Separador de milhares 3 2 9 3 2 2 3" xfId="22100"/>
    <cellStyle name="Separador de milhares 3 2 9 3 2 2 3 2" xfId="47167"/>
    <cellStyle name="Separador de milhares 3 2 9 3 2 2 4" xfId="16186"/>
    <cellStyle name="Separador de milhares 3 2 9 3 2 2 4 2" xfId="41253"/>
    <cellStyle name="Separador de milhares 3 2 9 3 2 2 5" xfId="35345"/>
    <cellStyle name="Separador de milhares 3 2 9 3 2 3" xfId="25057"/>
    <cellStyle name="Separador de milhares 3 2 9 3 2 3 2" xfId="50124"/>
    <cellStyle name="Separador de milhares 3 2 9 3 2 4" xfId="19143"/>
    <cellStyle name="Separador de milhares 3 2 9 3 2 4 2" xfId="44210"/>
    <cellStyle name="Separador de milhares 3 2 9 3 2 5" xfId="13042"/>
    <cellStyle name="Separador de milhares 3 2 9 3 2 5 2" xfId="38299"/>
    <cellStyle name="Separador de milhares 3 2 9 3 2 6" xfId="32388"/>
    <cellStyle name="Separador de milhares 3 2 9 3 3" xfId="8332"/>
    <cellStyle name="Separador de milhares 3 2 9 3 3 2" xfId="26546"/>
    <cellStyle name="Separador de milhares 3 2 9 3 3 2 2" xfId="51613"/>
    <cellStyle name="Separador de milhares 3 2 9 3 3 3" xfId="20632"/>
    <cellStyle name="Separador de milhares 3 2 9 3 3 3 2" xfId="45699"/>
    <cellStyle name="Separador de milhares 3 2 9 3 3 4" xfId="14718"/>
    <cellStyle name="Separador de milhares 3 2 9 3 3 4 2" xfId="39785"/>
    <cellStyle name="Separador de milhares 3 2 9 3 3 5" xfId="33877"/>
    <cellStyle name="Separador de milhares 3 2 9 3 4" xfId="4954"/>
    <cellStyle name="Separador de milhares 3 2 9 3 4 2" xfId="23589"/>
    <cellStyle name="Separador de milhares 3 2 9 3 4 2 2" xfId="48656"/>
    <cellStyle name="Separador de milhares 3 2 9 3 4 3" xfId="30920"/>
    <cellStyle name="Separador de milhares 3 2 9 3 5" xfId="17675"/>
    <cellStyle name="Separador de milhares 3 2 9 3 5 2" xfId="42742"/>
    <cellStyle name="Separador de milhares 3 2 9 3 6" xfId="11341"/>
    <cellStyle name="Separador de milhares 3 2 9 3 6 2" xfId="36831"/>
    <cellStyle name="Separador de milhares 3 2 9 3 7" xfId="29450"/>
    <cellStyle name="Separador de milhares 3 2 9 4" xfId="1138"/>
    <cellStyle name="Separador de milhares 3 2 9 4 2" xfId="6751"/>
    <cellStyle name="Separador de milhares 3 2 9 4 2 2" xfId="9898"/>
    <cellStyle name="Separador de milhares 3 2 9 4 2 2 2" xfId="28112"/>
    <cellStyle name="Separador de milhares 3 2 9 4 2 2 2 2" xfId="53179"/>
    <cellStyle name="Separador de milhares 3 2 9 4 2 2 3" xfId="22198"/>
    <cellStyle name="Separador de milhares 3 2 9 4 2 2 3 2" xfId="47265"/>
    <cellStyle name="Separador de milhares 3 2 9 4 2 2 4" xfId="16284"/>
    <cellStyle name="Separador de milhares 3 2 9 4 2 2 4 2" xfId="41351"/>
    <cellStyle name="Separador de milhares 3 2 9 4 2 2 5" xfId="35443"/>
    <cellStyle name="Separador de milhares 3 2 9 4 2 3" xfId="25155"/>
    <cellStyle name="Separador de milhares 3 2 9 4 2 3 2" xfId="50222"/>
    <cellStyle name="Separador de milhares 3 2 9 4 2 4" xfId="19241"/>
    <cellStyle name="Separador de milhares 3 2 9 4 2 4 2" xfId="44308"/>
    <cellStyle name="Separador de milhares 3 2 9 4 2 5" xfId="13140"/>
    <cellStyle name="Separador de milhares 3 2 9 4 2 5 2" xfId="38397"/>
    <cellStyle name="Separador de milhares 3 2 9 4 2 6" xfId="32486"/>
    <cellStyle name="Separador de milhares 3 2 9 4 3" xfId="8430"/>
    <cellStyle name="Separador de milhares 3 2 9 4 3 2" xfId="26644"/>
    <cellStyle name="Separador de milhares 3 2 9 4 3 2 2" xfId="51711"/>
    <cellStyle name="Separador de milhares 3 2 9 4 3 3" xfId="20730"/>
    <cellStyle name="Separador de milhares 3 2 9 4 3 3 2" xfId="45797"/>
    <cellStyle name="Separador de milhares 3 2 9 4 3 4" xfId="14816"/>
    <cellStyle name="Separador de milhares 3 2 9 4 3 4 2" xfId="39883"/>
    <cellStyle name="Separador de milhares 3 2 9 4 3 5" xfId="33975"/>
    <cellStyle name="Separador de milhares 3 2 9 4 4" xfId="5052"/>
    <cellStyle name="Separador de milhares 3 2 9 4 4 2" xfId="23687"/>
    <cellStyle name="Separador de milhares 3 2 9 4 4 2 2" xfId="48754"/>
    <cellStyle name="Separador de milhares 3 2 9 4 4 3" xfId="31018"/>
    <cellStyle name="Separador de milhares 3 2 9 4 5" xfId="17773"/>
    <cellStyle name="Separador de milhares 3 2 9 4 5 2" xfId="42840"/>
    <cellStyle name="Separador de milhares 3 2 9 4 6" xfId="11439"/>
    <cellStyle name="Separador de milhares 3 2 9 4 6 2" xfId="36929"/>
    <cellStyle name="Separador de milhares 3 2 9 4 7" xfId="29548"/>
    <cellStyle name="Separador de milhares 3 2 9 5" xfId="1573"/>
    <cellStyle name="Separador de milhares 3 2 9 5 2" xfId="6870"/>
    <cellStyle name="Separador de milhares 3 2 9 5 2 2" xfId="10017"/>
    <cellStyle name="Separador de milhares 3 2 9 5 2 2 2" xfId="28231"/>
    <cellStyle name="Separador de milhares 3 2 9 5 2 2 2 2" xfId="53298"/>
    <cellStyle name="Separador de milhares 3 2 9 5 2 2 3" xfId="22317"/>
    <cellStyle name="Separador de milhares 3 2 9 5 2 2 3 2" xfId="47384"/>
    <cellStyle name="Separador de milhares 3 2 9 5 2 2 4" xfId="16403"/>
    <cellStyle name="Separador de milhares 3 2 9 5 2 2 4 2" xfId="41470"/>
    <cellStyle name="Separador de milhares 3 2 9 5 2 2 5" xfId="35562"/>
    <cellStyle name="Separador de milhares 3 2 9 5 2 3" xfId="25274"/>
    <cellStyle name="Separador de milhares 3 2 9 5 2 3 2" xfId="50341"/>
    <cellStyle name="Separador de milhares 3 2 9 5 2 4" xfId="19360"/>
    <cellStyle name="Separador de milhares 3 2 9 5 2 4 2" xfId="44427"/>
    <cellStyle name="Separador de milhares 3 2 9 5 2 5" xfId="13259"/>
    <cellStyle name="Separador de milhares 3 2 9 5 2 5 2" xfId="38516"/>
    <cellStyle name="Separador de milhares 3 2 9 5 2 6" xfId="32605"/>
    <cellStyle name="Separador de milhares 3 2 9 5 3" xfId="8549"/>
    <cellStyle name="Separador de milhares 3 2 9 5 3 2" xfId="26763"/>
    <cellStyle name="Separador de milhares 3 2 9 5 3 2 2" xfId="51830"/>
    <cellStyle name="Separador de milhares 3 2 9 5 3 3" xfId="20849"/>
    <cellStyle name="Separador de milhares 3 2 9 5 3 3 2" xfId="45916"/>
    <cellStyle name="Separador de milhares 3 2 9 5 3 4" xfId="14935"/>
    <cellStyle name="Separador de milhares 3 2 9 5 3 4 2" xfId="40002"/>
    <cellStyle name="Separador de milhares 3 2 9 5 3 5" xfId="34094"/>
    <cellStyle name="Separador de milhares 3 2 9 5 4" xfId="5171"/>
    <cellStyle name="Separador de milhares 3 2 9 5 4 2" xfId="23806"/>
    <cellStyle name="Separador de milhares 3 2 9 5 4 2 2" xfId="48873"/>
    <cellStyle name="Separador de milhares 3 2 9 5 4 3" xfId="31137"/>
    <cellStyle name="Separador de milhares 3 2 9 5 5" xfId="17892"/>
    <cellStyle name="Separador de milhares 3 2 9 5 5 2" xfId="42959"/>
    <cellStyle name="Separador de milhares 3 2 9 5 6" xfId="11558"/>
    <cellStyle name="Separador de milhares 3 2 9 5 6 2" xfId="37048"/>
    <cellStyle name="Separador de milhares 3 2 9 5 7" xfId="29667"/>
    <cellStyle name="Separador de milhares 3 2 9 6" xfId="2103"/>
    <cellStyle name="Separador de milhares 3 2 9 6 2" xfId="7020"/>
    <cellStyle name="Separador de milhares 3 2 9 6 2 2" xfId="10164"/>
    <cellStyle name="Separador de milhares 3 2 9 6 2 2 2" xfId="28378"/>
    <cellStyle name="Separador de milhares 3 2 9 6 2 2 2 2" xfId="53445"/>
    <cellStyle name="Separador de milhares 3 2 9 6 2 2 3" xfId="22464"/>
    <cellStyle name="Separador de milhares 3 2 9 6 2 2 3 2" xfId="47531"/>
    <cellStyle name="Separador de milhares 3 2 9 6 2 2 4" xfId="16550"/>
    <cellStyle name="Separador de milhares 3 2 9 6 2 2 4 2" xfId="41617"/>
    <cellStyle name="Separador de milhares 3 2 9 6 2 2 5" xfId="35709"/>
    <cellStyle name="Separador de milhares 3 2 9 6 2 3" xfId="25421"/>
    <cellStyle name="Separador de milhares 3 2 9 6 2 3 2" xfId="50488"/>
    <cellStyle name="Separador de milhares 3 2 9 6 2 4" xfId="19507"/>
    <cellStyle name="Separador de milhares 3 2 9 6 2 4 2" xfId="44574"/>
    <cellStyle name="Separador de milhares 3 2 9 6 2 5" xfId="13409"/>
    <cellStyle name="Separador de milhares 3 2 9 6 2 5 2" xfId="38663"/>
    <cellStyle name="Separador de milhares 3 2 9 6 2 6" xfId="32752"/>
    <cellStyle name="Separador de milhares 3 2 9 6 3" xfId="8696"/>
    <cellStyle name="Separador de milhares 3 2 9 6 3 2" xfId="26910"/>
    <cellStyle name="Separador de milhares 3 2 9 6 3 2 2" xfId="51977"/>
    <cellStyle name="Separador de milhares 3 2 9 6 3 3" xfId="20996"/>
    <cellStyle name="Separador de milhares 3 2 9 6 3 3 2" xfId="46063"/>
    <cellStyle name="Separador de milhares 3 2 9 6 3 4" xfId="15082"/>
    <cellStyle name="Separador de milhares 3 2 9 6 3 4 2" xfId="40149"/>
    <cellStyle name="Separador de milhares 3 2 9 6 3 5" xfId="34241"/>
    <cellStyle name="Separador de milhares 3 2 9 6 4" xfId="5321"/>
    <cellStyle name="Separador de milhares 3 2 9 6 4 2" xfId="23953"/>
    <cellStyle name="Separador de milhares 3 2 9 6 4 2 2" xfId="49020"/>
    <cellStyle name="Separador de milhares 3 2 9 6 4 3" xfId="31284"/>
    <cellStyle name="Separador de milhares 3 2 9 6 5" xfId="18039"/>
    <cellStyle name="Separador de milhares 3 2 9 6 5 2" xfId="43106"/>
    <cellStyle name="Separador de milhares 3 2 9 6 6" xfId="11708"/>
    <cellStyle name="Separador de milhares 3 2 9 6 6 2" xfId="37195"/>
    <cellStyle name="Separador de milhares 3 2 9 6 7" xfId="29814"/>
    <cellStyle name="Separador de milhares 3 2 9 7" xfId="2630"/>
    <cellStyle name="Separador de milhares 3 2 9 7 2" xfId="7167"/>
    <cellStyle name="Separador de milhares 3 2 9 7 2 2" xfId="10311"/>
    <cellStyle name="Separador de milhares 3 2 9 7 2 2 2" xfId="28525"/>
    <cellStyle name="Separador de milhares 3 2 9 7 2 2 2 2" xfId="53592"/>
    <cellStyle name="Separador de milhares 3 2 9 7 2 2 3" xfId="22611"/>
    <cellStyle name="Separador de milhares 3 2 9 7 2 2 3 2" xfId="47678"/>
    <cellStyle name="Separador de milhares 3 2 9 7 2 2 4" xfId="16697"/>
    <cellStyle name="Separador de milhares 3 2 9 7 2 2 4 2" xfId="41764"/>
    <cellStyle name="Separador de milhares 3 2 9 7 2 2 5" xfId="35856"/>
    <cellStyle name="Separador de milhares 3 2 9 7 2 3" xfId="25568"/>
    <cellStyle name="Separador de milhares 3 2 9 7 2 3 2" xfId="50635"/>
    <cellStyle name="Separador de milhares 3 2 9 7 2 4" xfId="19654"/>
    <cellStyle name="Separador de milhares 3 2 9 7 2 4 2" xfId="44721"/>
    <cellStyle name="Separador de milhares 3 2 9 7 2 5" xfId="13556"/>
    <cellStyle name="Separador de milhares 3 2 9 7 2 5 2" xfId="38810"/>
    <cellStyle name="Separador de milhares 3 2 9 7 2 6" xfId="32899"/>
    <cellStyle name="Separador de milhares 3 2 9 7 3" xfId="8843"/>
    <cellStyle name="Separador de milhares 3 2 9 7 3 2" xfId="27057"/>
    <cellStyle name="Separador de milhares 3 2 9 7 3 2 2" xfId="52124"/>
    <cellStyle name="Separador de milhares 3 2 9 7 3 3" xfId="21143"/>
    <cellStyle name="Separador de milhares 3 2 9 7 3 3 2" xfId="46210"/>
    <cellStyle name="Separador de milhares 3 2 9 7 3 4" xfId="15229"/>
    <cellStyle name="Separador de milhares 3 2 9 7 3 4 2" xfId="40296"/>
    <cellStyle name="Separador de milhares 3 2 9 7 3 5" xfId="34388"/>
    <cellStyle name="Separador de milhares 3 2 9 7 4" xfId="5468"/>
    <cellStyle name="Separador de milhares 3 2 9 7 4 2" xfId="24100"/>
    <cellStyle name="Separador de milhares 3 2 9 7 4 2 2" xfId="49167"/>
    <cellStyle name="Separador de milhares 3 2 9 7 4 3" xfId="31431"/>
    <cellStyle name="Separador de milhares 3 2 9 7 5" xfId="18186"/>
    <cellStyle name="Separador de milhares 3 2 9 7 5 2" xfId="43253"/>
    <cellStyle name="Separador de milhares 3 2 9 7 6" xfId="11855"/>
    <cellStyle name="Separador de milhares 3 2 9 7 6 2" xfId="37342"/>
    <cellStyle name="Separador de milhares 3 2 9 7 7" xfId="29961"/>
    <cellStyle name="Separador de milhares 3 2 9 8" xfId="3157"/>
    <cellStyle name="Separador de milhares 3 2 9 8 2" xfId="7314"/>
    <cellStyle name="Separador de milhares 3 2 9 8 2 2" xfId="10458"/>
    <cellStyle name="Separador de milhares 3 2 9 8 2 2 2" xfId="28672"/>
    <cellStyle name="Separador de milhares 3 2 9 8 2 2 2 2" xfId="53739"/>
    <cellStyle name="Separador de milhares 3 2 9 8 2 2 3" xfId="22758"/>
    <cellStyle name="Separador de milhares 3 2 9 8 2 2 3 2" xfId="47825"/>
    <cellStyle name="Separador de milhares 3 2 9 8 2 2 4" xfId="16844"/>
    <cellStyle name="Separador de milhares 3 2 9 8 2 2 4 2" xfId="41911"/>
    <cellStyle name="Separador de milhares 3 2 9 8 2 2 5" xfId="36003"/>
    <cellStyle name="Separador de milhares 3 2 9 8 2 3" xfId="25715"/>
    <cellStyle name="Separador de milhares 3 2 9 8 2 3 2" xfId="50782"/>
    <cellStyle name="Separador de milhares 3 2 9 8 2 4" xfId="19801"/>
    <cellStyle name="Separador de milhares 3 2 9 8 2 4 2" xfId="44868"/>
    <cellStyle name="Separador de milhares 3 2 9 8 2 5" xfId="13703"/>
    <cellStyle name="Separador de milhares 3 2 9 8 2 5 2" xfId="38957"/>
    <cellStyle name="Separador de milhares 3 2 9 8 2 6" xfId="33046"/>
    <cellStyle name="Separador de milhares 3 2 9 8 3" xfId="8990"/>
    <cellStyle name="Separador de milhares 3 2 9 8 3 2" xfId="27204"/>
    <cellStyle name="Separador de milhares 3 2 9 8 3 2 2" xfId="52271"/>
    <cellStyle name="Separador de milhares 3 2 9 8 3 3" xfId="21290"/>
    <cellStyle name="Separador de milhares 3 2 9 8 3 3 2" xfId="46357"/>
    <cellStyle name="Separador de milhares 3 2 9 8 3 4" xfId="15376"/>
    <cellStyle name="Separador de milhares 3 2 9 8 3 4 2" xfId="40443"/>
    <cellStyle name="Separador de milhares 3 2 9 8 3 5" xfId="34535"/>
    <cellStyle name="Separador de milhares 3 2 9 8 4" xfId="5615"/>
    <cellStyle name="Separador de milhares 3 2 9 8 4 2" xfId="24247"/>
    <cellStyle name="Separador de milhares 3 2 9 8 4 2 2" xfId="49314"/>
    <cellStyle name="Separador de milhares 3 2 9 8 4 3" xfId="31578"/>
    <cellStyle name="Separador de milhares 3 2 9 8 5" xfId="18333"/>
    <cellStyle name="Separador de milhares 3 2 9 8 5 2" xfId="43400"/>
    <cellStyle name="Separador de milhares 3 2 9 8 6" xfId="12002"/>
    <cellStyle name="Separador de milhares 3 2 9 8 6 2" xfId="37489"/>
    <cellStyle name="Separador de milhares 3 2 9 8 7" xfId="30108"/>
    <cellStyle name="Separador de milhares 3 2 9 9" xfId="3684"/>
    <cellStyle name="Separador de milhares 3 2 9 9 2" xfId="7461"/>
    <cellStyle name="Separador de milhares 3 2 9 9 2 2" xfId="10605"/>
    <cellStyle name="Separador de milhares 3 2 9 9 2 2 2" xfId="28819"/>
    <cellStyle name="Separador de milhares 3 2 9 9 2 2 2 2" xfId="53886"/>
    <cellStyle name="Separador de milhares 3 2 9 9 2 2 3" xfId="22905"/>
    <cellStyle name="Separador de milhares 3 2 9 9 2 2 3 2" xfId="47972"/>
    <cellStyle name="Separador de milhares 3 2 9 9 2 2 4" xfId="16991"/>
    <cellStyle name="Separador de milhares 3 2 9 9 2 2 4 2" xfId="42058"/>
    <cellStyle name="Separador de milhares 3 2 9 9 2 2 5" xfId="36150"/>
    <cellStyle name="Separador de milhares 3 2 9 9 2 3" xfId="25862"/>
    <cellStyle name="Separador de milhares 3 2 9 9 2 3 2" xfId="50929"/>
    <cellStyle name="Separador de milhares 3 2 9 9 2 4" xfId="19948"/>
    <cellStyle name="Separador de milhares 3 2 9 9 2 4 2" xfId="45015"/>
    <cellStyle name="Separador de milhares 3 2 9 9 2 5" xfId="13850"/>
    <cellStyle name="Separador de milhares 3 2 9 9 2 5 2" xfId="39104"/>
    <cellStyle name="Separador de milhares 3 2 9 9 2 6" xfId="33193"/>
    <cellStyle name="Separador de milhares 3 2 9 9 3" xfId="9137"/>
    <cellStyle name="Separador de milhares 3 2 9 9 3 2" xfId="27351"/>
    <cellStyle name="Separador de milhares 3 2 9 9 3 2 2" xfId="52418"/>
    <cellStyle name="Separador de milhares 3 2 9 9 3 3" xfId="21437"/>
    <cellStyle name="Separador de milhares 3 2 9 9 3 3 2" xfId="46504"/>
    <cellStyle name="Separador de milhares 3 2 9 9 3 4" xfId="15523"/>
    <cellStyle name="Separador de milhares 3 2 9 9 3 4 2" xfId="40590"/>
    <cellStyle name="Separador de milhares 3 2 9 9 3 5" xfId="34682"/>
    <cellStyle name="Separador de milhares 3 2 9 9 4" xfId="5762"/>
    <cellStyle name="Separador de milhares 3 2 9 9 4 2" xfId="24394"/>
    <cellStyle name="Separador de milhares 3 2 9 9 4 2 2" xfId="49461"/>
    <cellStyle name="Separador de milhares 3 2 9 9 4 3" xfId="31725"/>
    <cellStyle name="Separador de milhares 3 2 9 9 5" xfId="18480"/>
    <cellStyle name="Separador de milhares 3 2 9 9 5 2" xfId="43547"/>
    <cellStyle name="Separador de milhares 3 2 9 9 6" xfId="12149"/>
    <cellStyle name="Separador de milhares 3 2 9 9 6 2" xfId="37636"/>
    <cellStyle name="Separador de milhares 3 2 9 9 7" xfId="30255"/>
    <cellStyle name="Separador de milhares 3 20" xfId="694"/>
    <cellStyle name="Separador de milhares 3 20 2" xfId="4118"/>
    <cellStyle name="Separador de milhares 3 20 2 2" xfId="7582"/>
    <cellStyle name="Separador de milhares 3 20 2 2 2" xfId="10726"/>
    <cellStyle name="Separador de milhares 3 20 2 2 2 2" xfId="28940"/>
    <cellStyle name="Separador de milhares 3 20 2 2 2 2 2" xfId="54007"/>
    <cellStyle name="Separador de milhares 3 20 2 2 2 3" xfId="23026"/>
    <cellStyle name="Separador de milhares 3 20 2 2 2 3 2" xfId="48093"/>
    <cellStyle name="Separador de milhares 3 20 2 2 2 4" xfId="17112"/>
    <cellStyle name="Separador de milhares 3 20 2 2 2 4 2" xfId="42179"/>
    <cellStyle name="Separador de milhares 3 20 2 2 2 5" xfId="36271"/>
    <cellStyle name="Separador de milhares 3 20 2 2 3" xfId="25983"/>
    <cellStyle name="Separador de milhares 3 20 2 2 3 2" xfId="51050"/>
    <cellStyle name="Separador de milhares 3 20 2 2 4" xfId="20069"/>
    <cellStyle name="Separador de milhares 3 20 2 2 4 2" xfId="45136"/>
    <cellStyle name="Separador de milhares 3 20 2 2 5" xfId="13971"/>
    <cellStyle name="Separador de milhares 3 20 2 2 5 2" xfId="39225"/>
    <cellStyle name="Separador de milhares 3 20 2 2 6" xfId="33314"/>
    <cellStyle name="Separador de milhares 3 20 2 3" xfId="9258"/>
    <cellStyle name="Separador de milhares 3 20 2 3 2" xfId="27472"/>
    <cellStyle name="Separador de milhares 3 20 2 3 2 2" xfId="52539"/>
    <cellStyle name="Separador de milhares 3 20 2 3 3" xfId="21558"/>
    <cellStyle name="Separador de milhares 3 20 2 3 3 2" xfId="46625"/>
    <cellStyle name="Separador de milhares 3 20 2 3 4" xfId="15644"/>
    <cellStyle name="Separador de milhares 3 20 2 3 4 2" xfId="40711"/>
    <cellStyle name="Separador de milhares 3 20 2 3 5" xfId="34803"/>
    <cellStyle name="Separador de milhares 3 20 2 4" xfId="5883"/>
    <cellStyle name="Separador de milhares 3 20 2 4 2" xfId="24515"/>
    <cellStyle name="Separador de milhares 3 20 2 4 2 2" xfId="49582"/>
    <cellStyle name="Separador de milhares 3 20 2 4 3" xfId="31846"/>
    <cellStyle name="Separador de milhares 3 20 2 5" xfId="18601"/>
    <cellStyle name="Separador de milhares 3 20 2 5 2" xfId="43668"/>
    <cellStyle name="Separador de milhares 3 20 2 6" xfId="12270"/>
    <cellStyle name="Separador de milhares 3 20 2 6 2" xfId="37757"/>
    <cellStyle name="Separador de milhares 3 20 2 7" xfId="30376"/>
    <cellStyle name="Separador de milhares 3 20 3" xfId="6627"/>
    <cellStyle name="Separador de milhares 3 20 3 2" xfId="9774"/>
    <cellStyle name="Separador de milhares 3 20 3 2 2" xfId="27988"/>
    <cellStyle name="Separador de milhares 3 20 3 2 2 2" xfId="53055"/>
    <cellStyle name="Separador de milhares 3 20 3 2 3" xfId="22074"/>
    <cellStyle name="Separador de milhares 3 20 3 2 3 2" xfId="47141"/>
    <cellStyle name="Separador de milhares 3 20 3 2 4" xfId="16160"/>
    <cellStyle name="Separador de milhares 3 20 3 2 4 2" xfId="41227"/>
    <cellStyle name="Separador de milhares 3 20 3 2 5" xfId="35319"/>
    <cellStyle name="Separador de milhares 3 20 3 3" xfId="25031"/>
    <cellStyle name="Separador de milhares 3 20 3 3 2" xfId="50098"/>
    <cellStyle name="Separador de milhares 3 20 3 4" xfId="19117"/>
    <cellStyle name="Separador de milhares 3 20 3 4 2" xfId="44184"/>
    <cellStyle name="Separador de milhares 3 20 3 5" xfId="13016"/>
    <cellStyle name="Separador de milhares 3 20 3 5 2" xfId="38273"/>
    <cellStyle name="Separador de milhares 3 20 3 6" xfId="32362"/>
    <cellStyle name="Separador de milhares 3 20 4" xfId="8306"/>
    <cellStyle name="Separador de milhares 3 20 4 2" xfId="26520"/>
    <cellStyle name="Separador de milhares 3 20 4 2 2" xfId="51587"/>
    <cellStyle name="Separador de milhares 3 20 4 3" xfId="20606"/>
    <cellStyle name="Separador de milhares 3 20 4 3 2" xfId="45673"/>
    <cellStyle name="Separador de milhares 3 20 4 4" xfId="14692"/>
    <cellStyle name="Separador de milhares 3 20 4 4 2" xfId="39759"/>
    <cellStyle name="Separador de milhares 3 20 4 5" xfId="33851"/>
    <cellStyle name="Separador de milhares 3 20 5" xfId="4928"/>
    <cellStyle name="Separador de milhares 3 20 5 2" xfId="23563"/>
    <cellStyle name="Separador de milhares 3 20 5 2 2" xfId="48630"/>
    <cellStyle name="Separador de milhares 3 20 5 3" xfId="30894"/>
    <cellStyle name="Separador de milhares 3 20 6" xfId="17649"/>
    <cellStyle name="Separador de milhares 3 20 6 2" xfId="42716"/>
    <cellStyle name="Separador de milhares 3 20 7" xfId="11315"/>
    <cellStyle name="Separador de milhares 3 20 7 2" xfId="36805"/>
    <cellStyle name="Separador de milhares 3 20 8" xfId="29424"/>
    <cellStyle name="Separador de milhares 3 21" xfId="1045"/>
    <cellStyle name="Separador de milhares 3 21 2" xfId="6725"/>
    <cellStyle name="Separador de milhares 3 21 2 2" xfId="9872"/>
    <cellStyle name="Separador de milhares 3 21 2 2 2" xfId="28086"/>
    <cellStyle name="Separador de milhares 3 21 2 2 2 2" xfId="53153"/>
    <cellStyle name="Separador de milhares 3 21 2 2 3" xfId="22172"/>
    <cellStyle name="Separador de milhares 3 21 2 2 3 2" xfId="47239"/>
    <cellStyle name="Separador de milhares 3 21 2 2 4" xfId="16258"/>
    <cellStyle name="Separador de milhares 3 21 2 2 4 2" xfId="41325"/>
    <cellStyle name="Separador de milhares 3 21 2 2 5" xfId="35417"/>
    <cellStyle name="Separador de milhares 3 21 2 3" xfId="25129"/>
    <cellStyle name="Separador de milhares 3 21 2 3 2" xfId="50196"/>
    <cellStyle name="Separador de milhares 3 21 2 4" xfId="19215"/>
    <cellStyle name="Separador de milhares 3 21 2 4 2" xfId="44282"/>
    <cellStyle name="Separador de milhares 3 21 2 5" xfId="13114"/>
    <cellStyle name="Separador de milhares 3 21 2 5 2" xfId="38371"/>
    <cellStyle name="Separador de milhares 3 21 2 6" xfId="32460"/>
    <cellStyle name="Separador de milhares 3 21 3" xfId="8404"/>
    <cellStyle name="Separador de milhares 3 21 3 2" xfId="26618"/>
    <cellStyle name="Separador de milhares 3 21 3 2 2" xfId="51685"/>
    <cellStyle name="Separador de milhares 3 21 3 3" xfId="20704"/>
    <cellStyle name="Separador de milhares 3 21 3 3 2" xfId="45771"/>
    <cellStyle name="Separador de milhares 3 21 3 4" xfId="14790"/>
    <cellStyle name="Separador de milhares 3 21 3 4 2" xfId="39857"/>
    <cellStyle name="Separador de milhares 3 21 3 5" xfId="33949"/>
    <cellStyle name="Separador de milhares 3 21 4" xfId="5026"/>
    <cellStyle name="Separador de milhares 3 21 4 2" xfId="23661"/>
    <cellStyle name="Separador de milhares 3 21 4 2 2" xfId="48728"/>
    <cellStyle name="Separador de milhares 3 21 4 3" xfId="30992"/>
    <cellStyle name="Separador de milhares 3 21 5" xfId="17747"/>
    <cellStyle name="Separador de milhares 3 21 5 2" xfId="42814"/>
    <cellStyle name="Separador de milhares 3 21 6" xfId="11413"/>
    <cellStyle name="Separador de milhares 3 21 6 2" xfId="36903"/>
    <cellStyle name="Separador de milhares 3 21 7" xfId="29522"/>
    <cellStyle name="Separador de milhares 3 22" xfId="1480"/>
    <cellStyle name="Separador de milhares 3 22 2" xfId="6844"/>
    <cellStyle name="Separador de milhares 3 22 2 2" xfId="9991"/>
    <cellStyle name="Separador de milhares 3 22 2 2 2" xfId="28205"/>
    <cellStyle name="Separador de milhares 3 22 2 2 2 2" xfId="53272"/>
    <cellStyle name="Separador de milhares 3 22 2 2 3" xfId="22291"/>
    <cellStyle name="Separador de milhares 3 22 2 2 3 2" xfId="47358"/>
    <cellStyle name="Separador de milhares 3 22 2 2 4" xfId="16377"/>
    <cellStyle name="Separador de milhares 3 22 2 2 4 2" xfId="41444"/>
    <cellStyle name="Separador de milhares 3 22 2 2 5" xfId="35536"/>
    <cellStyle name="Separador de milhares 3 22 2 3" xfId="25248"/>
    <cellStyle name="Separador de milhares 3 22 2 3 2" xfId="50315"/>
    <cellStyle name="Separador de milhares 3 22 2 4" xfId="19334"/>
    <cellStyle name="Separador de milhares 3 22 2 4 2" xfId="44401"/>
    <cellStyle name="Separador de milhares 3 22 2 5" xfId="13233"/>
    <cellStyle name="Separador de milhares 3 22 2 5 2" xfId="38490"/>
    <cellStyle name="Separador de milhares 3 22 2 6" xfId="32579"/>
    <cellStyle name="Separador de milhares 3 22 3" xfId="8523"/>
    <cellStyle name="Separador de milhares 3 22 3 2" xfId="26737"/>
    <cellStyle name="Separador de milhares 3 22 3 2 2" xfId="51804"/>
    <cellStyle name="Separador de milhares 3 22 3 3" xfId="20823"/>
    <cellStyle name="Separador de milhares 3 22 3 3 2" xfId="45890"/>
    <cellStyle name="Separador de milhares 3 22 3 4" xfId="14909"/>
    <cellStyle name="Separador de milhares 3 22 3 4 2" xfId="39976"/>
    <cellStyle name="Separador de milhares 3 22 3 5" xfId="34068"/>
    <cellStyle name="Separador de milhares 3 22 4" xfId="5145"/>
    <cellStyle name="Separador de milhares 3 22 4 2" xfId="23780"/>
    <cellStyle name="Separador de milhares 3 22 4 2 2" xfId="48847"/>
    <cellStyle name="Separador de milhares 3 22 4 3" xfId="31111"/>
    <cellStyle name="Separador de milhares 3 22 5" xfId="17866"/>
    <cellStyle name="Separador de milhares 3 22 5 2" xfId="42933"/>
    <cellStyle name="Separador de milhares 3 22 6" xfId="11532"/>
    <cellStyle name="Separador de milhares 3 22 6 2" xfId="37022"/>
    <cellStyle name="Separador de milhares 3 22 7" xfId="29641"/>
    <cellStyle name="Separador de milhares 3 23" xfId="2010"/>
    <cellStyle name="Separador de milhares 3 23 2" xfId="6994"/>
    <cellStyle name="Separador de milhares 3 23 2 2" xfId="10138"/>
    <cellStyle name="Separador de milhares 3 23 2 2 2" xfId="28352"/>
    <cellStyle name="Separador de milhares 3 23 2 2 2 2" xfId="53419"/>
    <cellStyle name="Separador de milhares 3 23 2 2 3" xfId="22438"/>
    <cellStyle name="Separador de milhares 3 23 2 2 3 2" xfId="47505"/>
    <cellStyle name="Separador de milhares 3 23 2 2 4" xfId="16524"/>
    <cellStyle name="Separador de milhares 3 23 2 2 4 2" xfId="41591"/>
    <cellStyle name="Separador de milhares 3 23 2 2 5" xfId="35683"/>
    <cellStyle name="Separador de milhares 3 23 2 3" xfId="25395"/>
    <cellStyle name="Separador de milhares 3 23 2 3 2" xfId="50462"/>
    <cellStyle name="Separador de milhares 3 23 2 4" xfId="19481"/>
    <cellStyle name="Separador de milhares 3 23 2 4 2" xfId="44548"/>
    <cellStyle name="Separador de milhares 3 23 2 5" xfId="13383"/>
    <cellStyle name="Separador de milhares 3 23 2 5 2" xfId="38637"/>
    <cellStyle name="Separador de milhares 3 23 2 6" xfId="32726"/>
    <cellStyle name="Separador de milhares 3 23 3" xfId="8670"/>
    <cellStyle name="Separador de milhares 3 23 3 2" xfId="26884"/>
    <cellStyle name="Separador de milhares 3 23 3 2 2" xfId="51951"/>
    <cellStyle name="Separador de milhares 3 23 3 3" xfId="20970"/>
    <cellStyle name="Separador de milhares 3 23 3 3 2" xfId="46037"/>
    <cellStyle name="Separador de milhares 3 23 3 4" xfId="15056"/>
    <cellStyle name="Separador de milhares 3 23 3 4 2" xfId="40123"/>
    <cellStyle name="Separador de milhares 3 23 3 5" xfId="34215"/>
    <cellStyle name="Separador de milhares 3 23 4" xfId="5295"/>
    <cellStyle name="Separador de milhares 3 23 4 2" xfId="23927"/>
    <cellStyle name="Separador de milhares 3 23 4 2 2" xfId="48994"/>
    <cellStyle name="Separador de milhares 3 23 4 3" xfId="31258"/>
    <cellStyle name="Separador de milhares 3 23 5" xfId="18013"/>
    <cellStyle name="Separador de milhares 3 23 5 2" xfId="43080"/>
    <cellStyle name="Separador de milhares 3 23 6" xfId="11682"/>
    <cellStyle name="Separador de milhares 3 23 6 2" xfId="37169"/>
    <cellStyle name="Separador de milhares 3 23 7" xfId="29788"/>
    <cellStyle name="Separador de milhares 3 24" xfId="2537"/>
    <cellStyle name="Separador de milhares 3 24 2" xfId="7141"/>
    <cellStyle name="Separador de milhares 3 24 2 2" xfId="10285"/>
    <cellStyle name="Separador de milhares 3 24 2 2 2" xfId="28499"/>
    <cellStyle name="Separador de milhares 3 24 2 2 2 2" xfId="53566"/>
    <cellStyle name="Separador de milhares 3 24 2 2 3" xfId="22585"/>
    <cellStyle name="Separador de milhares 3 24 2 2 3 2" xfId="47652"/>
    <cellStyle name="Separador de milhares 3 24 2 2 4" xfId="16671"/>
    <cellStyle name="Separador de milhares 3 24 2 2 4 2" xfId="41738"/>
    <cellStyle name="Separador de milhares 3 24 2 2 5" xfId="35830"/>
    <cellStyle name="Separador de milhares 3 24 2 3" xfId="25542"/>
    <cellStyle name="Separador de milhares 3 24 2 3 2" xfId="50609"/>
    <cellStyle name="Separador de milhares 3 24 2 4" xfId="19628"/>
    <cellStyle name="Separador de milhares 3 24 2 4 2" xfId="44695"/>
    <cellStyle name="Separador de milhares 3 24 2 5" xfId="13530"/>
    <cellStyle name="Separador de milhares 3 24 2 5 2" xfId="38784"/>
    <cellStyle name="Separador de milhares 3 24 2 6" xfId="32873"/>
    <cellStyle name="Separador de milhares 3 24 3" xfId="8817"/>
    <cellStyle name="Separador de milhares 3 24 3 2" xfId="27031"/>
    <cellStyle name="Separador de milhares 3 24 3 2 2" xfId="52098"/>
    <cellStyle name="Separador de milhares 3 24 3 3" xfId="21117"/>
    <cellStyle name="Separador de milhares 3 24 3 3 2" xfId="46184"/>
    <cellStyle name="Separador de milhares 3 24 3 4" xfId="15203"/>
    <cellStyle name="Separador de milhares 3 24 3 4 2" xfId="40270"/>
    <cellStyle name="Separador de milhares 3 24 3 5" xfId="34362"/>
    <cellStyle name="Separador de milhares 3 24 4" xfId="5442"/>
    <cellStyle name="Separador de milhares 3 24 4 2" xfId="24074"/>
    <cellStyle name="Separador de milhares 3 24 4 2 2" xfId="49141"/>
    <cellStyle name="Separador de milhares 3 24 4 3" xfId="31405"/>
    <cellStyle name="Separador de milhares 3 24 5" xfId="18160"/>
    <cellStyle name="Separador de milhares 3 24 5 2" xfId="43227"/>
    <cellStyle name="Separador de milhares 3 24 6" xfId="11829"/>
    <cellStyle name="Separador de milhares 3 24 6 2" xfId="37316"/>
    <cellStyle name="Separador de milhares 3 24 7" xfId="29935"/>
    <cellStyle name="Separador de milhares 3 25" xfId="3064"/>
    <cellStyle name="Separador de milhares 3 25 2" xfId="7288"/>
    <cellStyle name="Separador de milhares 3 25 2 2" xfId="10432"/>
    <cellStyle name="Separador de milhares 3 25 2 2 2" xfId="28646"/>
    <cellStyle name="Separador de milhares 3 25 2 2 2 2" xfId="53713"/>
    <cellStyle name="Separador de milhares 3 25 2 2 3" xfId="22732"/>
    <cellStyle name="Separador de milhares 3 25 2 2 3 2" xfId="47799"/>
    <cellStyle name="Separador de milhares 3 25 2 2 4" xfId="16818"/>
    <cellStyle name="Separador de milhares 3 25 2 2 4 2" xfId="41885"/>
    <cellStyle name="Separador de milhares 3 25 2 2 5" xfId="35977"/>
    <cellStyle name="Separador de milhares 3 25 2 3" xfId="25689"/>
    <cellStyle name="Separador de milhares 3 25 2 3 2" xfId="50756"/>
    <cellStyle name="Separador de milhares 3 25 2 4" xfId="19775"/>
    <cellStyle name="Separador de milhares 3 25 2 4 2" xfId="44842"/>
    <cellStyle name="Separador de milhares 3 25 2 5" xfId="13677"/>
    <cellStyle name="Separador de milhares 3 25 2 5 2" xfId="38931"/>
    <cellStyle name="Separador de milhares 3 25 2 6" xfId="33020"/>
    <cellStyle name="Separador de milhares 3 25 3" xfId="8964"/>
    <cellStyle name="Separador de milhares 3 25 3 2" xfId="27178"/>
    <cellStyle name="Separador de milhares 3 25 3 2 2" xfId="52245"/>
    <cellStyle name="Separador de milhares 3 25 3 3" xfId="21264"/>
    <cellStyle name="Separador de milhares 3 25 3 3 2" xfId="46331"/>
    <cellStyle name="Separador de milhares 3 25 3 4" xfId="15350"/>
    <cellStyle name="Separador de milhares 3 25 3 4 2" xfId="40417"/>
    <cellStyle name="Separador de milhares 3 25 3 5" xfId="34509"/>
    <cellStyle name="Separador de milhares 3 25 4" xfId="5589"/>
    <cellStyle name="Separador de milhares 3 25 4 2" xfId="24221"/>
    <cellStyle name="Separador de milhares 3 25 4 2 2" xfId="49288"/>
    <cellStyle name="Separador de milhares 3 25 4 3" xfId="31552"/>
    <cellStyle name="Separador de milhares 3 25 5" xfId="18307"/>
    <cellStyle name="Separador de milhares 3 25 5 2" xfId="43374"/>
    <cellStyle name="Separador de milhares 3 25 6" xfId="11976"/>
    <cellStyle name="Separador de milhares 3 25 6 2" xfId="37463"/>
    <cellStyle name="Separador de milhares 3 25 7" xfId="30082"/>
    <cellStyle name="Separador de milhares 3 26" xfId="3591"/>
    <cellStyle name="Separador de milhares 3 26 2" xfId="7435"/>
    <cellStyle name="Separador de milhares 3 26 2 2" xfId="10579"/>
    <cellStyle name="Separador de milhares 3 26 2 2 2" xfId="28793"/>
    <cellStyle name="Separador de milhares 3 26 2 2 2 2" xfId="53860"/>
    <cellStyle name="Separador de milhares 3 26 2 2 3" xfId="22879"/>
    <cellStyle name="Separador de milhares 3 26 2 2 3 2" xfId="47946"/>
    <cellStyle name="Separador de milhares 3 26 2 2 4" xfId="16965"/>
    <cellStyle name="Separador de milhares 3 26 2 2 4 2" xfId="42032"/>
    <cellStyle name="Separador de milhares 3 26 2 2 5" xfId="36124"/>
    <cellStyle name="Separador de milhares 3 26 2 3" xfId="25836"/>
    <cellStyle name="Separador de milhares 3 26 2 3 2" xfId="50903"/>
    <cellStyle name="Separador de milhares 3 26 2 4" xfId="19922"/>
    <cellStyle name="Separador de milhares 3 26 2 4 2" xfId="44989"/>
    <cellStyle name="Separador de milhares 3 26 2 5" xfId="13824"/>
    <cellStyle name="Separador de milhares 3 26 2 5 2" xfId="39078"/>
    <cellStyle name="Separador de milhares 3 26 2 6" xfId="33167"/>
    <cellStyle name="Separador de milhares 3 26 3" xfId="9111"/>
    <cellStyle name="Separador de milhares 3 26 3 2" xfId="27325"/>
    <cellStyle name="Separador de milhares 3 26 3 2 2" xfId="52392"/>
    <cellStyle name="Separador de milhares 3 26 3 3" xfId="21411"/>
    <cellStyle name="Separador de milhares 3 26 3 3 2" xfId="46478"/>
    <cellStyle name="Separador de milhares 3 26 3 4" xfId="15497"/>
    <cellStyle name="Separador de milhares 3 26 3 4 2" xfId="40564"/>
    <cellStyle name="Separador de milhares 3 26 3 5" xfId="34656"/>
    <cellStyle name="Separador de milhares 3 26 4" xfId="5736"/>
    <cellStyle name="Separador de milhares 3 26 4 2" xfId="24368"/>
    <cellStyle name="Separador de milhares 3 26 4 2 2" xfId="49435"/>
    <cellStyle name="Separador de milhares 3 26 4 3" xfId="31699"/>
    <cellStyle name="Separador de milhares 3 26 5" xfId="18454"/>
    <cellStyle name="Separador de milhares 3 26 5 2" xfId="43521"/>
    <cellStyle name="Separador de milhares 3 26 6" xfId="12123"/>
    <cellStyle name="Separador de milhares 3 26 6 2" xfId="37610"/>
    <cellStyle name="Separador de milhares 3 26 7" xfId="30229"/>
    <cellStyle name="Separador de milhares 3 27" xfId="6419"/>
    <cellStyle name="Separador de milhares 3 27 2" xfId="9575"/>
    <cellStyle name="Separador de milhares 3 27 2 2" xfId="27789"/>
    <cellStyle name="Separador de milhares 3 27 2 2 2" xfId="52856"/>
    <cellStyle name="Separador de milhares 3 27 2 3" xfId="21875"/>
    <cellStyle name="Separador de milhares 3 27 2 3 2" xfId="46942"/>
    <cellStyle name="Separador de milhares 3 27 2 4" xfId="15961"/>
    <cellStyle name="Separador de milhares 3 27 2 4 2" xfId="41028"/>
    <cellStyle name="Separador de milhares 3 27 2 5" xfId="35120"/>
    <cellStyle name="Separador de milhares 3 27 3" xfId="24832"/>
    <cellStyle name="Separador de milhares 3 27 3 2" xfId="49899"/>
    <cellStyle name="Separador de milhares 3 27 4" xfId="18918"/>
    <cellStyle name="Separador de milhares 3 27 4 2" xfId="43985"/>
    <cellStyle name="Separador de milhares 3 27 5" xfId="12808"/>
    <cellStyle name="Separador de milhares 3 27 5 2" xfId="38074"/>
    <cellStyle name="Separador de milhares 3 27 6" xfId="32163"/>
    <cellStyle name="Separador de milhares 3 28" xfId="8104"/>
    <cellStyle name="Separador de milhares 3 28 2" xfId="26318"/>
    <cellStyle name="Separador de milhares 3 28 2 2" xfId="51385"/>
    <cellStyle name="Separador de milhares 3 28 3" xfId="20404"/>
    <cellStyle name="Separador de milhares 3 28 3 2" xfId="45471"/>
    <cellStyle name="Separador de milhares 3 28 4" xfId="14493"/>
    <cellStyle name="Separador de milhares 3 28 4 2" xfId="39560"/>
    <cellStyle name="Separador de milhares 3 28 5" xfId="33649"/>
    <cellStyle name="Separador de milhares 3 29" xfId="4717"/>
    <cellStyle name="Separador de milhares 3 29 2" xfId="23361"/>
    <cellStyle name="Separador de milhares 3 29 2 2" xfId="48428"/>
    <cellStyle name="Separador de milhares 3 29 3" xfId="30693"/>
    <cellStyle name="Separador de milhares 3 3" xfId="50"/>
    <cellStyle name="Separador de milhares 3 3 10" xfId="2553"/>
    <cellStyle name="Separador de milhares 3 3 10 2" xfId="7145"/>
    <cellStyle name="Separador de milhares 3 3 10 2 2" xfId="10289"/>
    <cellStyle name="Separador de milhares 3 3 10 2 2 2" xfId="28503"/>
    <cellStyle name="Separador de milhares 3 3 10 2 2 2 2" xfId="53570"/>
    <cellStyle name="Separador de milhares 3 3 10 2 2 3" xfId="22589"/>
    <cellStyle name="Separador de milhares 3 3 10 2 2 3 2" xfId="47656"/>
    <cellStyle name="Separador de milhares 3 3 10 2 2 4" xfId="16675"/>
    <cellStyle name="Separador de milhares 3 3 10 2 2 4 2" xfId="41742"/>
    <cellStyle name="Separador de milhares 3 3 10 2 2 5" xfId="35834"/>
    <cellStyle name="Separador de milhares 3 3 10 2 3" xfId="25546"/>
    <cellStyle name="Separador de milhares 3 3 10 2 3 2" xfId="50613"/>
    <cellStyle name="Separador de milhares 3 3 10 2 4" xfId="19632"/>
    <cellStyle name="Separador de milhares 3 3 10 2 4 2" xfId="44699"/>
    <cellStyle name="Separador de milhares 3 3 10 2 5" xfId="13534"/>
    <cellStyle name="Separador de milhares 3 3 10 2 5 2" xfId="38788"/>
    <cellStyle name="Separador de milhares 3 3 10 2 6" xfId="32877"/>
    <cellStyle name="Separador de milhares 3 3 10 3" xfId="8821"/>
    <cellStyle name="Separador de milhares 3 3 10 3 2" xfId="27035"/>
    <cellStyle name="Separador de milhares 3 3 10 3 2 2" xfId="52102"/>
    <cellStyle name="Separador de milhares 3 3 10 3 3" xfId="21121"/>
    <cellStyle name="Separador de milhares 3 3 10 3 3 2" xfId="46188"/>
    <cellStyle name="Separador de milhares 3 3 10 3 4" xfId="15207"/>
    <cellStyle name="Separador de milhares 3 3 10 3 4 2" xfId="40274"/>
    <cellStyle name="Separador de milhares 3 3 10 3 5" xfId="34366"/>
    <cellStyle name="Separador de milhares 3 3 10 4" xfId="5446"/>
    <cellStyle name="Separador de milhares 3 3 10 4 2" xfId="24078"/>
    <cellStyle name="Separador de milhares 3 3 10 4 2 2" xfId="49145"/>
    <cellStyle name="Separador de milhares 3 3 10 4 3" xfId="31409"/>
    <cellStyle name="Separador de milhares 3 3 10 5" xfId="18164"/>
    <cellStyle name="Separador de milhares 3 3 10 5 2" xfId="43231"/>
    <cellStyle name="Separador de milhares 3 3 10 6" xfId="11833"/>
    <cellStyle name="Separador de milhares 3 3 10 6 2" xfId="37320"/>
    <cellStyle name="Separador de milhares 3 3 10 7" xfId="29939"/>
    <cellStyle name="Separador de milhares 3 3 11" xfId="3080"/>
    <cellStyle name="Separador de milhares 3 3 11 2" xfId="7292"/>
    <cellStyle name="Separador de milhares 3 3 11 2 2" xfId="10436"/>
    <cellStyle name="Separador de milhares 3 3 11 2 2 2" xfId="28650"/>
    <cellStyle name="Separador de milhares 3 3 11 2 2 2 2" xfId="53717"/>
    <cellStyle name="Separador de milhares 3 3 11 2 2 3" xfId="22736"/>
    <cellStyle name="Separador de milhares 3 3 11 2 2 3 2" xfId="47803"/>
    <cellStyle name="Separador de milhares 3 3 11 2 2 4" xfId="16822"/>
    <cellStyle name="Separador de milhares 3 3 11 2 2 4 2" xfId="41889"/>
    <cellStyle name="Separador de milhares 3 3 11 2 2 5" xfId="35981"/>
    <cellStyle name="Separador de milhares 3 3 11 2 3" xfId="25693"/>
    <cellStyle name="Separador de milhares 3 3 11 2 3 2" xfId="50760"/>
    <cellStyle name="Separador de milhares 3 3 11 2 4" xfId="19779"/>
    <cellStyle name="Separador de milhares 3 3 11 2 4 2" xfId="44846"/>
    <cellStyle name="Separador de milhares 3 3 11 2 5" xfId="13681"/>
    <cellStyle name="Separador de milhares 3 3 11 2 5 2" xfId="38935"/>
    <cellStyle name="Separador de milhares 3 3 11 2 6" xfId="33024"/>
    <cellStyle name="Separador de milhares 3 3 11 3" xfId="8968"/>
    <cellStyle name="Separador de milhares 3 3 11 3 2" xfId="27182"/>
    <cellStyle name="Separador de milhares 3 3 11 3 2 2" xfId="52249"/>
    <cellStyle name="Separador de milhares 3 3 11 3 3" xfId="21268"/>
    <cellStyle name="Separador de milhares 3 3 11 3 3 2" xfId="46335"/>
    <cellStyle name="Separador de milhares 3 3 11 3 4" xfId="15354"/>
    <cellStyle name="Separador de milhares 3 3 11 3 4 2" xfId="40421"/>
    <cellStyle name="Separador de milhares 3 3 11 3 5" xfId="34513"/>
    <cellStyle name="Separador de milhares 3 3 11 4" xfId="5593"/>
    <cellStyle name="Separador de milhares 3 3 11 4 2" xfId="24225"/>
    <cellStyle name="Separador de milhares 3 3 11 4 2 2" xfId="49292"/>
    <cellStyle name="Separador de milhares 3 3 11 4 3" xfId="31556"/>
    <cellStyle name="Separador de milhares 3 3 11 5" xfId="18311"/>
    <cellStyle name="Separador de milhares 3 3 11 5 2" xfId="43378"/>
    <cellStyle name="Separador de milhares 3 3 11 6" xfId="11980"/>
    <cellStyle name="Separador de milhares 3 3 11 6 2" xfId="37467"/>
    <cellStyle name="Separador de milhares 3 3 11 7" xfId="30086"/>
    <cellStyle name="Separador de milhares 3 3 12" xfId="3607"/>
    <cellStyle name="Separador de milhares 3 3 12 2" xfId="7439"/>
    <cellStyle name="Separador de milhares 3 3 12 2 2" xfId="10583"/>
    <cellStyle name="Separador de milhares 3 3 12 2 2 2" xfId="28797"/>
    <cellStyle name="Separador de milhares 3 3 12 2 2 2 2" xfId="53864"/>
    <cellStyle name="Separador de milhares 3 3 12 2 2 3" xfId="22883"/>
    <cellStyle name="Separador de milhares 3 3 12 2 2 3 2" xfId="47950"/>
    <cellStyle name="Separador de milhares 3 3 12 2 2 4" xfId="16969"/>
    <cellStyle name="Separador de milhares 3 3 12 2 2 4 2" xfId="42036"/>
    <cellStyle name="Separador de milhares 3 3 12 2 2 5" xfId="36128"/>
    <cellStyle name="Separador de milhares 3 3 12 2 3" xfId="25840"/>
    <cellStyle name="Separador de milhares 3 3 12 2 3 2" xfId="50907"/>
    <cellStyle name="Separador de milhares 3 3 12 2 4" xfId="19926"/>
    <cellStyle name="Separador de milhares 3 3 12 2 4 2" xfId="44993"/>
    <cellStyle name="Separador de milhares 3 3 12 2 5" xfId="13828"/>
    <cellStyle name="Separador de milhares 3 3 12 2 5 2" xfId="39082"/>
    <cellStyle name="Separador de milhares 3 3 12 2 6" xfId="33171"/>
    <cellStyle name="Separador de milhares 3 3 12 3" xfId="9115"/>
    <cellStyle name="Separador de milhares 3 3 12 3 2" xfId="27329"/>
    <cellStyle name="Separador de milhares 3 3 12 3 2 2" xfId="52396"/>
    <cellStyle name="Separador de milhares 3 3 12 3 3" xfId="21415"/>
    <cellStyle name="Separador de milhares 3 3 12 3 3 2" xfId="46482"/>
    <cellStyle name="Separador de milhares 3 3 12 3 4" xfId="15501"/>
    <cellStyle name="Separador de milhares 3 3 12 3 4 2" xfId="40568"/>
    <cellStyle name="Separador de milhares 3 3 12 3 5" xfId="34660"/>
    <cellStyle name="Separador de milhares 3 3 12 4" xfId="5740"/>
    <cellStyle name="Separador de milhares 3 3 12 4 2" xfId="24372"/>
    <cellStyle name="Separador de milhares 3 3 12 4 2 2" xfId="49439"/>
    <cellStyle name="Separador de milhares 3 3 12 4 3" xfId="31703"/>
    <cellStyle name="Separador de milhares 3 3 12 5" xfId="18458"/>
    <cellStyle name="Separador de milhares 3 3 12 5 2" xfId="43525"/>
    <cellStyle name="Separador de milhares 3 3 12 6" xfId="12127"/>
    <cellStyle name="Separador de milhares 3 3 12 6 2" xfId="37614"/>
    <cellStyle name="Separador de milhares 3 3 12 7" xfId="30233"/>
    <cellStyle name="Separador de milhares 3 3 13" xfId="6423"/>
    <cellStyle name="Separador de milhares 3 3 13 2" xfId="9579"/>
    <cellStyle name="Separador de milhares 3 3 13 2 2" xfId="27793"/>
    <cellStyle name="Separador de milhares 3 3 13 2 2 2" xfId="52860"/>
    <cellStyle name="Separador de milhares 3 3 13 2 3" xfId="21879"/>
    <cellStyle name="Separador de milhares 3 3 13 2 3 2" xfId="46946"/>
    <cellStyle name="Separador de milhares 3 3 13 2 4" xfId="15965"/>
    <cellStyle name="Separador de milhares 3 3 13 2 4 2" xfId="41032"/>
    <cellStyle name="Separador de milhares 3 3 13 2 5" xfId="35124"/>
    <cellStyle name="Separador de milhares 3 3 13 3" xfId="24836"/>
    <cellStyle name="Separador de milhares 3 3 13 3 2" xfId="49903"/>
    <cellStyle name="Separador de milhares 3 3 13 4" xfId="18922"/>
    <cellStyle name="Separador de milhares 3 3 13 4 2" xfId="43989"/>
    <cellStyle name="Separador de milhares 3 3 13 5" xfId="12812"/>
    <cellStyle name="Separador de milhares 3 3 13 5 2" xfId="38078"/>
    <cellStyle name="Separador de milhares 3 3 13 6" xfId="32167"/>
    <cellStyle name="Separador de milhares 3 3 14" xfId="8108"/>
    <cellStyle name="Separador de milhares 3 3 14 2" xfId="26322"/>
    <cellStyle name="Separador de milhares 3 3 14 2 2" xfId="51389"/>
    <cellStyle name="Separador de milhares 3 3 14 3" xfId="20408"/>
    <cellStyle name="Separador de milhares 3 3 14 3 2" xfId="45475"/>
    <cellStyle name="Separador de milhares 3 3 14 4" xfId="14497"/>
    <cellStyle name="Separador de milhares 3 3 14 4 2" xfId="39564"/>
    <cellStyle name="Separador de milhares 3 3 14 5" xfId="33653"/>
    <cellStyle name="Separador de milhares 3 3 15" xfId="4721"/>
    <cellStyle name="Separador de milhares 3 3 15 2" xfId="23365"/>
    <cellStyle name="Separador de milhares 3 3 15 2 2" xfId="48432"/>
    <cellStyle name="Separador de milhares 3 3 15 3" xfId="30697"/>
    <cellStyle name="Separador de milhares 3 3 16" xfId="17451"/>
    <cellStyle name="Separador de milhares 3 3 16 2" xfId="42518"/>
    <cellStyle name="Separador de milhares 3 3 17" xfId="11111"/>
    <cellStyle name="Separador de milhares 3 3 17 2" xfId="36610"/>
    <cellStyle name="Separador de milhares 3 3 18" xfId="29225"/>
    <cellStyle name="Separador de milhares 3 3 2" xfId="144"/>
    <cellStyle name="Separador de milhares 3 3 2 10" xfId="6452"/>
    <cellStyle name="Separador de milhares 3 3 2 10 2" xfId="9606"/>
    <cellStyle name="Separador de milhares 3 3 2 10 2 2" xfId="27820"/>
    <cellStyle name="Separador de milhares 3 3 2 10 2 2 2" xfId="52887"/>
    <cellStyle name="Separador de milhares 3 3 2 10 2 3" xfId="21906"/>
    <cellStyle name="Separador de milhares 3 3 2 10 2 3 2" xfId="46973"/>
    <cellStyle name="Separador de milhares 3 3 2 10 2 4" xfId="15992"/>
    <cellStyle name="Separador de milhares 3 3 2 10 2 4 2" xfId="41059"/>
    <cellStyle name="Separador de milhares 3 3 2 10 2 5" xfId="35151"/>
    <cellStyle name="Separador de milhares 3 3 2 10 3" xfId="24863"/>
    <cellStyle name="Separador de milhares 3 3 2 10 3 2" xfId="49930"/>
    <cellStyle name="Separador de milhares 3 3 2 10 4" xfId="18949"/>
    <cellStyle name="Separador de milhares 3 3 2 10 4 2" xfId="44016"/>
    <cellStyle name="Separador de milhares 3 3 2 10 5" xfId="12841"/>
    <cellStyle name="Separador de milhares 3 3 2 10 5 2" xfId="38105"/>
    <cellStyle name="Separador de milhares 3 3 2 10 6" xfId="32194"/>
    <cellStyle name="Separador de milhares 3 3 2 11" xfId="8135"/>
    <cellStyle name="Separador de milhares 3 3 2 11 2" xfId="26349"/>
    <cellStyle name="Separador de milhares 3 3 2 11 2 2" xfId="51416"/>
    <cellStyle name="Separador de milhares 3 3 2 11 3" xfId="20435"/>
    <cellStyle name="Separador de milhares 3 3 2 11 3 2" xfId="45502"/>
    <cellStyle name="Separador de milhares 3 3 2 11 4" xfId="14524"/>
    <cellStyle name="Separador de milhares 3 3 2 11 4 2" xfId="39591"/>
    <cellStyle name="Separador de milhares 3 3 2 11 5" xfId="33680"/>
    <cellStyle name="Separador de milhares 3 3 2 12" xfId="4751"/>
    <cellStyle name="Separador de milhares 3 3 2 12 2" xfId="23392"/>
    <cellStyle name="Separador de milhares 3 3 2 12 2 2" xfId="48459"/>
    <cellStyle name="Separador de milhares 3 3 2 12 3" xfId="30724"/>
    <cellStyle name="Separador de milhares 3 3 2 13" xfId="17478"/>
    <cellStyle name="Separador de milhares 3 3 2 13 2" xfId="42545"/>
    <cellStyle name="Separador de milhares 3 3 2 14" xfId="11140"/>
    <cellStyle name="Separador de milhares 3 3 2 14 2" xfId="36637"/>
    <cellStyle name="Separador de milhares 3 3 2 15" xfId="29253"/>
    <cellStyle name="Separador de milhares 3 3 2 2" xfId="417"/>
    <cellStyle name="Separador de milhares 3 3 2 2 10" xfId="17552"/>
    <cellStyle name="Separador de milhares 3 3 2 2 10 2" xfId="42619"/>
    <cellStyle name="Separador de milhares 3 3 2 2 11" xfId="11221"/>
    <cellStyle name="Separador de milhares 3 3 2 2 11 2" xfId="36711"/>
    <cellStyle name="Separador de milhares 3 3 2 2 12" xfId="29327"/>
    <cellStyle name="Separador de milhares 3 3 2 2 2" xfId="1936"/>
    <cellStyle name="Separador de milhares 3 3 2 2 2 2" xfId="6971"/>
    <cellStyle name="Separador de milhares 3 3 2 2 2 2 2" xfId="10118"/>
    <cellStyle name="Separador de milhares 3 3 2 2 2 2 2 2" xfId="28332"/>
    <cellStyle name="Separador de milhares 3 3 2 2 2 2 2 2 2" xfId="53399"/>
    <cellStyle name="Separador de milhares 3 3 2 2 2 2 2 3" xfId="22418"/>
    <cellStyle name="Separador de milhares 3 3 2 2 2 2 2 3 2" xfId="47485"/>
    <cellStyle name="Separador de milhares 3 3 2 2 2 2 2 4" xfId="16504"/>
    <cellStyle name="Separador de milhares 3 3 2 2 2 2 2 4 2" xfId="41571"/>
    <cellStyle name="Separador de milhares 3 3 2 2 2 2 2 5" xfId="35663"/>
    <cellStyle name="Separador de milhares 3 3 2 2 2 2 3" xfId="25375"/>
    <cellStyle name="Separador de milhares 3 3 2 2 2 2 3 2" xfId="50442"/>
    <cellStyle name="Separador de milhares 3 3 2 2 2 2 4" xfId="19461"/>
    <cellStyle name="Separador de milhares 3 3 2 2 2 2 4 2" xfId="44528"/>
    <cellStyle name="Separador de milhares 3 3 2 2 2 2 5" xfId="13360"/>
    <cellStyle name="Separador de milhares 3 3 2 2 2 2 5 2" xfId="38617"/>
    <cellStyle name="Separador de milhares 3 3 2 2 2 2 6" xfId="32706"/>
    <cellStyle name="Separador de milhares 3 3 2 2 2 3" xfId="8650"/>
    <cellStyle name="Separador de milhares 3 3 2 2 2 3 2" xfId="26864"/>
    <cellStyle name="Separador de milhares 3 3 2 2 2 3 2 2" xfId="51931"/>
    <cellStyle name="Separador de milhares 3 3 2 2 2 3 3" xfId="20950"/>
    <cellStyle name="Separador de milhares 3 3 2 2 2 3 3 2" xfId="46017"/>
    <cellStyle name="Separador de milhares 3 3 2 2 2 3 4" xfId="15036"/>
    <cellStyle name="Separador de milhares 3 3 2 2 2 3 4 2" xfId="40103"/>
    <cellStyle name="Separador de milhares 3 3 2 2 2 3 5" xfId="34195"/>
    <cellStyle name="Separador de milhares 3 3 2 2 2 4" xfId="5272"/>
    <cellStyle name="Separador de milhares 3 3 2 2 2 4 2" xfId="23907"/>
    <cellStyle name="Separador de milhares 3 3 2 2 2 4 2 2" xfId="48974"/>
    <cellStyle name="Separador de milhares 3 3 2 2 2 4 3" xfId="31238"/>
    <cellStyle name="Separador de milhares 3 3 2 2 2 5" xfId="17993"/>
    <cellStyle name="Separador de milhares 3 3 2 2 2 5 2" xfId="43060"/>
    <cellStyle name="Separador de milhares 3 3 2 2 2 6" xfId="11659"/>
    <cellStyle name="Separador de milhares 3 3 2 2 2 6 2" xfId="37149"/>
    <cellStyle name="Separador de milhares 3 3 2 2 2 7" xfId="29768"/>
    <cellStyle name="Separador de milhares 3 3 2 2 3" xfId="2466"/>
    <cellStyle name="Separador de milhares 3 3 2 2 3 2" xfId="7121"/>
    <cellStyle name="Separador de milhares 3 3 2 2 3 2 2" xfId="10265"/>
    <cellStyle name="Separador de milhares 3 3 2 2 3 2 2 2" xfId="28479"/>
    <cellStyle name="Separador de milhares 3 3 2 2 3 2 2 2 2" xfId="53546"/>
    <cellStyle name="Separador de milhares 3 3 2 2 3 2 2 3" xfId="22565"/>
    <cellStyle name="Separador de milhares 3 3 2 2 3 2 2 3 2" xfId="47632"/>
    <cellStyle name="Separador de milhares 3 3 2 2 3 2 2 4" xfId="16651"/>
    <cellStyle name="Separador de milhares 3 3 2 2 3 2 2 4 2" xfId="41718"/>
    <cellStyle name="Separador de milhares 3 3 2 2 3 2 2 5" xfId="35810"/>
    <cellStyle name="Separador de milhares 3 3 2 2 3 2 3" xfId="25522"/>
    <cellStyle name="Separador de milhares 3 3 2 2 3 2 3 2" xfId="50589"/>
    <cellStyle name="Separador de milhares 3 3 2 2 3 2 4" xfId="19608"/>
    <cellStyle name="Separador de milhares 3 3 2 2 3 2 4 2" xfId="44675"/>
    <cellStyle name="Separador de milhares 3 3 2 2 3 2 5" xfId="13510"/>
    <cellStyle name="Separador de milhares 3 3 2 2 3 2 5 2" xfId="38764"/>
    <cellStyle name="Separador de milhares 3 3 2 2 3 2 6" xfId="32853"/>
    <cellStyle name="Separador de milhares 3 3 2 2 3 3" xfId="8797"/>
    <cellStyle name="Separador de milhares 3 3 2 2 3 3 2" xfId="27011"/>
    <cellStyle name="Separador de milhares 3 3 2 2 3 3 2 2" xfId="52078"/>
    <cellStyle name="Separador de milhares 3 3 2 2 3 3 3" xfId="21097"/>
    <cellStyle name="Separador de milhares 3 3 2 2 3 3 3 2" xfId="46164"/>
    <cellStyle name="Separador de milhares 3 3 2 2 3 3 4" xfId="15183"/>
    <cellStyle name="Separador de milhares 3 3 2 2 3 3 4 2" xfId="40250"/>
    <cellStyle name="Separador de milhares 3 3 2 2 3 3 5" xfId="34342"/>
    <cellStyle name="Separador de milhares 3 3 2 2 3 4" xfId="5422"/>
    <cellStyle name="Separador de milhares 3 3 2 2 3 4 2" xfId="24054"/>
    <cellStyle name="Separador de milhares 3 3 2 2 3 4 2 2" xfId="49121"/>
    <cellStyle name="Separador de milhares 3 3 2 2 3 4 3" xfId="31385"/>
    <cellStyle name="Separador de milhares 3 3 2 2 3 5" xfId="18140"/>
    <cellStyle name="Separador de milhares 3 3 2 2 3 5 2" xfId="43207"/>
    <cellStyle name="Separador de milhares 3 3 2 2 3 6" xfId="11809"/>
    <cellStyle name="Separador de milhares 3 3 2 2 3 6 2" xfId="37296"/>
    <cellStyle name="Separador de milhares 3 3 2 2 3 7" xfId="29915"/>
    <cellStyle name="Separador de milhares 3 3 2 2 4" xfId="2993"/>
    <cellStyle name="Separador de milhares 3 3 2 2 4 2" xfId="7268"/>
    <cellStyle name="Separador de milhares 3 3 2 2 4 2 2" xfId="10412"/>
    <cellStyle name="Separador de milhares 3 3 2 2 4 2 2 2" xfId="28626"/>
    <cellStyle name="Separador de milhares 3 3 2 2 4 2 2 2 2" xfId="53693"/>
    <cellStyle name="Separador de milhares 3 3 2 2 4 2 2 3" xfId="22712"/>
    <cellStyle name="Separador de milhares 3 3 2 2 4 2 2 3 2" xfId="47779"/>
    <cellStyle name="Separador de milhares 3 3 2 2 4 2 2 4" xfId="16798"/>
    <cellStyle name="Separador de milhares 3 3 2 2 4 2 2 4 2" xfId="41865"/>
    <cellStyle name="Separador de milhares 3 3 2 2 4 2 2 5" xfId="35957"/>
    <cellStyle name="Separador de milhares 3 3 2 2 4 2 3" xfId="25669"/>
    <cellStyle name="Separador de milhares 3 3 2 2 4 2 3 2" xfId="50736"/>
    <cellStyle name="Separador de milhares 3 3 2 2 4 2 4" xfId="19755"/>
    <cellStyle name="Separador de milhares 3 3 2 2 4 2 4 2" xfId="44822"/>
    <cellStyle name="Separador de milhares 3 3 2 2 4 2 5" xfId="13657"/>
    <cellStyle name="Separador de milhares 3 3 2 2 4 2 5 2" xfId="38911"/>
    <cellStyle name="Separador de milhares 3 3 2 2 4 2 6" xfId="33000"/>
    <cellStyle name="Separador de milhares 3 3 2 2 4 3" xfId="8944"/>
    <cellStyle name="Separador de milhares 3 3 2 2 4 3 2" xfId="27158"/>
    <cellStyle name="Separador de milhares 3 3 2 2 4 3 2 2" xfId="52225"/>
    <cellStyle name="Separador de milhares 3 3 2 2 4 3 3" xfId="21244"/>
    <cellStyle name="Separador de milhares 3 3 2 2 4 3 3 2" xfId="46311"/>
    <cellStyle name="Separador de milhares 3 3 2 2 4 3 4" xfId="15330"/>
    <cellStyle name="Separador de milhares 3 3 2 2 4 3 4 2" xfId="40397"/>
    <cellStyle name="Separador de milhares 3 3 2 2 4 3 5" xfId="34489"/>
    <cellStyle name="Separador de milhares 3 3 2 2 4 4" xfId="5569"/>
    <cellStyle name="Separador de milhares 3 3 2 2 4 4 2" xfId="24201"/>
    <cellStyle name="Separador de milhares 3 3 2 2 4 4 2 2" xfId="49268"/>
    <cellStyle name="Separador de milhares 3 3 2 2 4 4 3" xfId="31532"/>
    <cellStyle name="Separador de milhares 3 3 2 2 4 5" xfId="18287"/>
    <cellStyle name="Separador de milhares 3 3 2 2 4 5 2" xfId="43354"/>
    <cellStyle name="Separador de milhares 3 3 2 2 4 6" xfId="11956"/>
    <cellStyle name="Separador de milhares 3 3 2 2 4 6 2" xfId="37443"/>
    <cellStyle name="Separador de milhares 3 3 2 2 4 7" xfId="30062"/>
    <cellStyle name="Separador de milhares 3 3 2 2 5" xfId="3520"/>
    <cellStyle name="Separador de milhares 3 3 2 2 5 2" xfId="7415"/>
    <cellStyle name="Separador de milhares 3 3 2 2 5 2 2" xfId="10559"/>
    <cellStyle name="Separador de milhares 3 3 2 2 5 2 2 2" xfId="28773"/>
    <cellStyle name="Separador de milhares 3 3 2 2 5 2 2 2 2" xfId="53840"/>
    <cellStyle name="Separador de milhares 3 3 2 2 5 2 2 3" xfId="22859"/>
    <cellStyle name="Separador de milhares 3 3 2 2 5 2 2 3 2" xfId="47926"/>
    <cellStyle name="Separador de milhares 3 3 2 2 5 2 2 4" xfId="16945"/>
    <cellStyle name="Separador de milhares 3 3 2 2 5 2 2 4 2" xfId="42012"/>
    <cellStyle name="Separador de milhares 3 3 2 2 5 2 2 5" xfId="36104"/>
    <cellStyle name="Separador de milhares 3 3 2 2 5 2 3" xfId="25816"/>
    <cellStyle name="Separador de milhares 3 3 2 2 5 2 3 2" xfId="50883"/>
    <cellStyle name="Separador de milhares 3 3 2 2 5 2 4" xfId="19902"/>
    <cellStyle name="Separador de milhares 3 3 2 2 5 2 4 2" xfId="44969"/>
    <cellStyle name="Separador de milhares 3 3 2 2 5 2 5" xfId="13804"/>
    <cellStyle name="Separador de milhares 3 3 2 2 5 2 5 2" xfId="39058"/>
    <cellStyle name="Separador de milhares 3 3 2 2 5 2 6" xfId="33147"/>
    <cellStyle name="Separador de milhares 3 3 2 2 5 3" xfId="9091"/>
    <cellStyle name="Separador de milhares 3 3 2 2 5 3 2" xfId="27305"/>
    <cellStyle name="Separador de milhares 3 3 2 2 5 3 2 2" xfId="52372"/>
    <cellStyle name="Separador de milhares 3 3 2 2 5 3 3" xfId="21391"/>
    <cellStyle name="Separador de milhares 3 3 2 2 5 3 3 2" xfId="46458"/>
    <cellStyle name="Separador de milhares 3 3 2 2 5 3 4" xfId="15477"/>
    <cellStyle name="Separador de milhares 3 3 2 2 5 3 4 2" xfId="40544"/>
    <cellStyle name="Separador de milhares 3 3 2 2 5 3 5" xfId="34636"/>
    <cellStyle name="Separador de milhares 3 3 2 2 5 4" xfId="5716"/>
    <cellStyle name="Separador de milhares 3 3 2 2 5 4 2" xfId="24348"/>
    <cellStyle name="Separador de milhares 3 3 2 2 5 4 2 2" xfId="49415"/>
    <cellStyle name="Separador de milhares 3 3 2 2 5 4 3" xfId="31679"/>
    <cellStyle name="Separador de milhares 3 3 2 2 5 5" xfId="18434"/>
    <cellStyle name="Separador de milhares 3 3 2 2 5 5 2" xfId="43501"/>
    <cellStyle name="Separador de milhares 3 3 2 2 5 6" xfId="12103"/>
    <cellStyle name="Separador de milhares 3 3 2 2 5 6 2" xfId="37590"/>
    <cellStyle name="Separador de milhares 3 3 2 2 5 7" xfId="30209"/>
    <cellStyle name="Separador de milhares 3 3 2 2 6" xfId="4047"/>
    <cellStyle name="Separador de milhares 3 3 2 2 6 2" xfId="7562"/>
    <cellStyle name="Separador de milhares 3 3 2 2 6 2 2" xfId="10706"/>
    <cellStyle name="Separador de milhares 3 3 2 2 6 2 2 2" xfId="28920"/>
    <cellStyle name="Separador de milhares 3 3 2 2 6 2 2 2 2" xfId="53987"/>
    <cellStyle name="Separador de milhares 3 3 2 2 6 2 2 3" xfId="23006"/>
    <cellStyle name="Separador de milhares 3 3 2 2 6 2 2 3 2" xfId="48073"/>
    <cellStyle name="Separador de milhares 3 3 2 2 6 2 2 4" xfId="17092"/>
    <cellStyle name="Separador de milhares 3 3 2 2 6 2 2 4 2" xfId="42159"/>
    <cellStyle name="Separador de milhares 3 3 2 2 6 2 2 5" xfId="36251"/>
    <cellStyle name="Separador de milhares 3 3 2 2 6 2 3" xfId="25963"/>
    <cellStyle name="Separador de milhares 3 3 2 2 6 2 3 2" xfId="51030"/>
    <cellStyle name="Separador de milhares 3 3 2 2 6 2 4" xfId="20049"/>
    <cellStyle name="Separador de milhares 3 3 2 2 6 2 4 2" xfId="45116"/>
    <cellStyle name="Separador de milhares 3 3 2 2 6 2 5" xfId="13951"/>
    <cellStyle name="Separador de milhares 3 3 2 2 6 2 5 2" xfId="39205"/>
    <cellStyle name="Separador de milhares 3 3 2 2 6 2 6" xfId="33294"/>
    <cellStyle name="Separador de milhares 3 3 2 2 6 3" xfId="9238"/>
    <cellStyle name="Separador de milhares 3 3 2 2 6 3 2" xfId="27452"/>
    <cellStyle name="Separador de milhares 3 3 2 2 6 3 2 2" xfId="52519"/>
    <cellStyle name="Separador de milhares 3 3 2 2 6 3 3" xfId="21538"/>
    <cellStyle name="Separador de milhares 3 3 2 2 6 3 3 2" xfId="46605"/>
    <cellStyle name="Separador de milhares 3 3 2 2 6 3 4" xfId="15624"/>
    <cellStyle name="Separador de milhares 3 3 2 2 6 3 4 2" xfId="40691"/>
    <cellStyle name="Separador de milhares 3 3 2 2 6 3 5" xfId="34783"/>
    <cellStyle name="Separador de milhares 3 3 2 2 6 4" xfId="5863"/>
    <cellStyle name="Separador de milhares 3 3 2 2 6 4 2" xfId="24495"/>
    <cellStyle name="Separador de milhares 3 3 2 2 6 4 2 2" xfId="49562"/>
    <cellStyle name="Separador de milhares 3 3 2 2 6 4 3" xfId="31826"/>
    <cellStyle name="Separador de milhares 3 3 2 2 6 5" xfId="18581"/>
    <cellStyle name="Separador de milhares 3 3 2 2 6 5 2" xfId="43648"/>
    <cellStyle name="Separador de milhares 3 3 2 2 6 6" xfId="12250"/>
    <cellStyle name="Separador de milhares 3 3 2 2 6 6 2" xfId="37737"/>
    <cellStyle name="Separador de milhares 3 3 2 2 6 7" xfId="30356"/>
    <cellStyle name="Separador de milhares 3 3 2 2 7" xfId="6533"/>
    <cellStyle name="Separador de milhares 3 3 2 2 7 2" xfId="9680"/>
    <cellStyle name="Separador de milhares 3 3 2 2 7 2 2" xfId="27894"/>
    <cellStyle name="Separador de milhares 3 3 2 2 7 2 2 2" xfId="52961"/>
    <cellStyle name="Separador de milhares 3 3 2 2 7 2 3" xfId="21980"/>
    <cellStyle name="Separador de milhares 3 3 2 2 7 2 3 2" xfId="47047"/>
    <cellStyle name="Separador de milhares 3 3 2 2 7 2 4" xfId="16066"/>
    <cellStyle name="Separador de milhares 3 3 2 2 7 2 4 2" xfId="41133"/>
    <cellStyle name="Separador de milhares 3 3 2 2 7 2 5" xfId="35225"/>
    <cellStyle name="Separador de milhares 3 3 2 2 7 3" xfId="24937"/>
    <cellStyle name="Separador de milhares 3 3 2 2 7 3 2" xfId="50004"/>
    <cellStyle name="Separador de milhares 3 3 2 2 7 4" xfId="19023"/>
    <cellStyle name="Separador de milhares 3 3 2 2 7 4 2" xfId="44090"/>
    <cellStyle name="Separador de milhares 3 3 2 2 7 5" xfId="12922"/>
    <cellStyle name="Separador de milhares 3 3 2 2 7 5 2" xfId="38179"/>
    <cellStyle name="Separador de milhares 3 3 2 2 7 6" xfId="32268"/>
    <cellStyle name="Separador de milhares 3 3 2 2 8" xfId="8209"/>
    <cellStyle name="Separador de milhares 3 3 2 2 8 2" xfId="26423"/>
    <cellStyle name="Separador de milhares 3 3 2 2 8 2 2" xfId="51490"/>
    <cellStyle name="Separador de milhares 3 3 2 2 8 3" xfId="20509"/>
    <cellStyle name="Separador de milhares 3 3 2 2 8 3 2" xfId="45576"/>
    <cellStyle name="Separador de milhares 3 3 2 2 8 4" xfId="14598"/>
    <cellStyle name="Separador de milhares 3 3 2 2 8 4 2" xfId="39665"/>
    <cellStyle name="Separador de milhares 3 3 2 2 8 5" xfId="33754"/>
    <cellStyle name="Separador de milhares 3 3 2 2 9" xfId="4832"/>
    <cellStyle name="Separador de milhares 3 3 2 2 9 2" xfId="23466"/>
    <cellStyle name="Separador de milhares 3 3 2 2 9 2 2" xfId="48533"/>
    <cellStyle name="Separador de milhares 3 3 2 2 9 3" xfId="30798"/>
    <cellStyle name="Separador de milhares 3 3 2 3" xfId="890"/>
    <cellStyle name="Separador de milhares 3 3 2 3 2" xfId="6684"/>
    <cellStyle name="Separador de milhares 3 3 2 3 2 2" xfId="9831"/>
    <cellStyle name="Separador de milhares 3 3 2 3 2 2 2" xfId="28045"/>
    <cellStyle name="Separador de milhares 3 3 2 3 2 2 2 2" xfId="53112"/>
    <cellStyle name="Separador de milhares 3 3 2 3 2 2 3" xfId="22131"/>
    <cellStyle name="Separador de milhares 3 3 2 3 2 2 3 2" xfId="47198"/>
    <cellStyle name="Separador de milhares 3 3 2 3 2 2 4" xfId="16217"/>
    <cellStyle name="Separador de milhares 3 3 2 3 2 2 4 2" xfId="41284"/>
    <cellStyle name="Separador de milhares 3 3 2 3 2 2 5" xfId="35376"/>
    <cellStyle name="Separador de milhares 3 3 2 3 2 3" xfId="25088"/>
    <cellStyle name="Separador de milhares 3 3 2 3 2 3 2" xfId="50155"/>
    <cellStyle name="Separador de milhares 3 3 2 3 2 4" xfId="19174"/>
    <cellStyle name="Separador de milhares 3 3 2 3 2 4 2" xfId="44241"/>
    <cellStyle name="Separador de milhares 3 3 2 3 2 5" xfId="13073"/>
    <cellStyle name="Separador de milhares 3 3 2 3 2 5 2" xfId="38330"/>
    <cellStyle name="Separador de milhares 3 3 2 3 2 6" xfId="32419"/>
    <cellStyle name="Separador de milhares 3 3 2 3 3" xfId="8363"/>
    <cellStyle name="Separador de milhares 3 3 2 3 3 2" xfId="26577"/>
    <cellStyle name="Separador de milhares 3 3 2 3 3 2 2" xfId="51644"/>
    <cellStyle name="Separador de milhares 3 3 2 3 3 3" xfId="20663"/>
    <cellStyle name="Separador de milhares 3 3 2 3 3 3 2" xfId="45730"/>
    <cellStyle name="Separador de milhares 3 3 2 3 3 4" xfId="14749"/>
    <cellStyle name="Separador de milhares 3 3 2 3 3 4 2" xfId="39816"/>
    <cellStyle name="Separador de milhares 3 3 2 3 3 5" xfId="33908"/>
    <cellStyle name="Separador de milhares 3 3 2 3 4" xfId="4985"/>
    <cellStyle name="Separador de milhares 3 3 2 3 4 2" xfId="23620"/>
    <cellStyle name="Separador de milhares 3 3 2 3 4 2 2" xfId="48687"/>
    <cellStyle name="Separador de milhares 3 3 2 3 4 3" xfId="30951"/>
    <cellStyle name="Separador de milhares 3 3 2 3 5" xfId="17706"/>
    <cellStyle name="Separador de milhares 3 3 2 3 5 2" xfId="42773"/>
    <cellStyle name="Separador de milhares 3 3 2 3 6" xfId="11372"/>
    <cellStyle name="Separador de milhares 3 3 2 3 6 2" xfId="36862"/>
    <cellStyle name="Separador de milhares 3 3 2 3 7" xfId="29481"/>
    <cellStyle name="Separador de milhares 3 3 2 4" xfId="1241"/>
    <cellStyle name="Separador de milhares 3 3 2 4 2" xfId="6782"/>
    <cellStyle name="Separador de milhares 3 3 2 4 2 2" xfId="9929"/>
    <cellStyle name="Separador de milhares 3 3 2 4 2 2 2" xfId="28143"/>
    <cellStyle name="Separador de milhares 3 3 2 4 2 2 2 2" xfId="53210"/>
    <cellStyle name="Separador de milhares 3 3 2 4 2 2 3" xfId="22229"/>
    <cellStyle name="Separador de milhares 3 3 2 4 2 2 3 2" xfId="47296"/>
    <cellStyle name="Separador de milhares 3 3 2 4 2 2 4" xfId="16315"/>
    <cellStyle name="Separador de milhares 3 3 2 4 2 2 4 2" xfId="41382"/>
    <cellStyle name="Separador de milhares 3 3 2 4 2 2 5" xfId="35474"/>
    <cellStyle name="Separador de milhares 3 3 2 4 2 3" xfId="25186"/>
    <cellStyle name="Separador de milhares 3 3 2 4 2 3 2" xfId="50253"/>
    <cellStyle name="Separador de milhares 3 3 2 4 2 4" xfId="19272"/>
    <cellStyle name="Separador de milhares 3 3 2 4 2 4 2" xfId="44339"/>
    <cellStyle name="Separador de milhares 3 3 2 4 2 5" xfId="13171"/>
    <cellStyle name="Separador de milhares 3 3 2 4 2 5 2" xfId="38428"/>
    <cellStyle name="Separador de milhares 3 3 2 4 2 6" xfId="32517"/>
    <cellStyle name="Separador de milhares 3 3 2 4 3" xfId="8461"/>
    <cellStyle name="Separador de milhares 3 3 2 4 3 2" xfId="26675"/>
    <cellStyle name="Separador de milhares 3 3 2 4 3 2 2" xfId="51742"/>
    <cellStyle name="Separador de milhares 3 3 2 4 3 3" xfId="20761"/>
    <cellStyle name="Separador de milhares 3 3 2 4 3 3 2" xfId="45828"/>
    <cellStyle name="Separador de milhares 3 3 2 4 3 4" xfId="14847"/>
    <cellStyle name="Separador de milhares 3 3 2 4 3 4 2" xfId="39914"/>
    <cellStyle name="Separador de milhares 3 3 2 4 3 5" xfId="34006"/>
    <cellStyle name="Separador de milhares 3 3 2 4 4" xfId="5083"/>
    <cellStyle name="Separador de milhares 3 3 2 4 4 2" xfId="23718"/>
    <cellStyle name="Separador de milhares 3 3 2 4 4 2 2" xfId="48785"/>
    <cellStyle name="Separador de milhares 3 3 2 4 4 3" xfId="31049"/>
    <cellStyle name="Separador de milhares 3 3 2 4 5" xfId="17804"/>
    <cellStyle name="Separador de milhares 3 3 2 4 5 2" xfId="42871"/>
    <cellStyle name="Separador de milhares 3 3 2 4 6" xfId="11470"/>
    <cellStyle name="Separador de milhares 3 3 2 4 6 2" xfId="36960"/>
    <cellStyle name="Separador de milhares 3 3 2 4 7" xfId="29579"/>
    <cellStyle name="Separador de milhares 3 3 2 5" xfId="1676"/>
    <cellStyle name="Separador de milhares 3 3 2 5 2" xfId="6901"/>
    <cellStyle name="Separador de milhares 3 3 2 5 2 2" xfId="10048"/>
    <cellStyle name="Separador de milhares 3 3 2 5 2 2 2" xfId="28262"/>
    <cellStyle name="Separador de milhares 3 3 2 5 2 2 2 2" xfId="53329"/>
    <cellStyle name="Separador de milhares 3 3 2 5 2 2 3" xfId="22348"/>
    <cellStyle name="Separador de milhares 3 3 2 5 2 2 3 2" xfId="47415"/>
    <cellStyle name="Separador de milhares 3 3 2 5 2 2 4" xfId="16434"/>
    <cellStyle name="Separador de milhares 3 3 2 5 2 2 4 2" xfId="41501"/>
    <cellStyle name="Separador de milhares 3 3 2 5 2 2 5" xfId="35593"/>
    <cellStyle name="Separador de milhares 3 3 2 5 2 3" xfId="25305"/>
    <cellStyle name="Separador de milhares 3 3 2 5 2 3 2" xfId="50372"/>
    <cellStyle name="Separador de milhares 3 3 2 5 2 4" xfId="19391"/>
    <cellStyle name="Separador de milhares 3 3 2 5 2 4 2" xfId="44458"/>
    <cellStyle name="Separador de milhares 3 3 2 5 2 5" xfId="13290"/>
    <cellStyle name="Separador de milhares 3 3 2 5 2 5 2" xfId="38547"/>
    <cellStyle name="Separador de milhares 3 3 2 5 2 6" xfId="32636"/>
    <cellStyle name="Separador de milhares 3 3 2 5 3" xfId="8580"/>
    <cellStyle name="Separador de milhares 3 3 2 5 3 2" xfId="26794"/>
    <cellStyle name="Separador de milhares 3 3 2 5 3 2 2" xfId="51861"/>
    <cellStyle name="Separador de milhares 3 3 2 5 3 3" xfId="20880"/>
    <cellStyle name="Separador de milhares 3 3 2 5 3 3 2" xfId="45947"/>
    <cellStyle name="Separador de milhares 3 3 2 5 3 4" xfId="14966"/>
    <cellStyle name="Separador de milhares 3 3 2 5 3 4 2" xfId="40033"/>
    <cellStyle name="Separador de milhares 3 3 2 5 3 5" xfId="34125"/>
    <cellStyle name="Separador de milhares 3 3 2 5 4" xfId="5202"/>
    <cellStyle name="Separador de milhares 3 3 2 5 4 2" xfId="23837"/>
    <cellStyle name="Separador de milhares 3 3 2 5 4 2 2" xfId="48904"/>
    <cellStyle name="Separador de milhares 3 3 2 5 4 3" xfId="31168"/>
    <cellStyle name="Separador de milhares 3 3 2 5 5" xfId="17923"/>
    <cellStyle name="Separador de milhares 3 3 2 5 5 2" xfId="42990"/>
    <cellStyle name="Separador de milhares 3 3 2 5 6" xfId="11589"/>
    <cellStyle name="Separador de milhares 3 3 2 5 6 2" xfId="37079"/>
    <cellStyle name="Separador de milhares 3 3 2 5 7" xfId="29698"/>
    <cellStyle name="Separador de milhares 3 3 2 6" xfId="2206"/>
    <cellStyle name="Separador de milhares 3 3 2 6 2" xfId="7051"/>
    <cellStyle name="Separador de milhares 3 3 2 6 2 2" xfId="10195"/>
    <cellStyle name="Separador de milhares 3 3 2 6 2 2 2" xfId="28409"/>
    <cellStyle name="Separador de milhares 3 3 2 6 2 2 2 2" xfId="53476"/>
    <cellStyle name="Separador de milhares 3 3 2 6 2 2 3" xfId="22495"/>
    <cellStyle name="Separador de milhares 3 3 2 6 2 2 3 2" xfId="47562"/>
    <cellStyle name="Separador de milhares 3 3 2 6 2 2 4" xfId="16581"/>
    <cellStyle name="Separador de milhares 3 3 2 6 2 2 4 2" xfId="41648"/>
    <cellStyle name="Separador de milhares 3 3 2 6 2 2 5" xfId="35740"/>
    <cellStyle name="Separador de milhares 3 3 2 6 2 3" xfId="25452"/>
    <cellStyle name="Separador de milhares 3 3 2 6 2 3 2" xfId="50519"/>
    <cellStyle name="Separador de milhares 3 3 2 6 2 4" xfId="19538"/>
    <cellStyle name="Separador de milhares 3 3 2 6 2 4 2" xfId="44605"/>
    <cellStyle name="Separador de milhares 3 3 2 6 2 5" xfId="13440"/>
    <cellStyle name="Separador de milhares 3 3 2 6 2 5 2" xfId="38694"/>
    <cellStyle name="Separador de milhares 3 3 2 6 2 6" xfId="32783"/>
    <cellStyle name="Separador de milhares 3 3 2 6 3" xfId="8727"/>
    <cellStyle name="Separador de milhares 3 3 2 6 3 2" xfId="26941"/>
    <cellStyle name="Separador de milhares 3 3 2 6 3 2 2" xfId="52008"/>
    <cellStyle name="Separador de milhares 3 3 2 6 3 3" xfId="21027"/>
    <cellStyle name="Separador de milhares 3 3 2 6 3 3 2" xfId="46094"/>
    <cellStyle name="Separador de milhares 3 3 2 6 3 4" xfId="15113"/>
    <cellStyle name="Separador de milhares 3 3 2 6 3 4 2" xfId="40180"/>
    <cellStyle name="Separador de milhares 3 3 2 6 3 5" xfId="34272"/>
    <cellStyle name="Separador de milhares 3 3 2 6 4" xfId="5352"/>
    <cellStyle name="Separador de milhares 3 3 2 6 4 2" xfId="23984"/>
    <cellStyle name="Separador de milhares 3 3 2 6 4 2 2" xfId="49051"/>
    <cellStyle name="Separador de milhares 3 3 2 6 4 3" xfId="31315"/>
    <cellStyle name="Separador de milhares 3 3 2 6 5" xfId="18070"/>
    <cellStyle name="Separador de milhares 3 3 2 6 5 2" xfId="43137"/>
    <cellStyle name="Separador de milhares 3 3 2 6 6" xfId="11739"/>
    <cellStyle name="Separador de milhares 3 3 2 6 6 2" xfId="37226"/>
    <cellStyle name="Separador de milhares 3 3 2 6 7" xfId="29845"/>
    <cellStyle name="Separador de milhares 3 3 2 7" xfId="2733"/>
    <cellStyle name="Separador de milhares 3 3 2 7 2" xfId="7198"/>
    <cellStyle name="Separador de milhares 3 3 2 7 2 2" xfId="10342"/>
    <cellStyle name="Separador de milhares 3 3 2 7 2 2 2" xfId="28556"/>
    <cellStyle name="Separador de milhares 3 3 2 7 2 2 2 2" xfId="53623"/>
    <cellStyle name="Separador de milhares 3 3 2 7 2 2 3" xfId="22642"/>
    <cellStyle name="Separador de milhares 3 3 2 7 2 2 3 2" xfId="47709"/>
    <cellStyle name="Separador de milhares 3 3 2 7 2 2 4" xfId="16728"/>
    <cellStyle name="Separador de milhares 3 3 2 7 2 2 4 2" xfId="41795"/>
    <cellStyle name="Separador de milhares 3 3 2 7 2 2 5" xfId="35887"/>
    <cellStyle name="Separador de milhares 3 3 2 7 2 3" xfId="25599"/>
    <cellStyle name="Separador de milhares 3 3 2 7 2 3 2" xfId="50666"/>
    <cellStyle name="Separador de milhares 3 3 2 7 2 4" xfId="19685"/>
    <cellStyle name="Separador de milhares 3 3 2 7 2 4 2" xfId="44752"/>
    <cellStyle name="Separador de milhares 3 3 2 7 2 5" xfId="13587"/>
    <cellStyle name="Separador de milhares 3 3 2 7 2 5 2" xfId="38841"/>
    <cellStyle name="Separador de milhares 3 3 2 7 2 6" xfId="32930"/>
    <cellStyle name="Separador de milhares 3 3 2 7 3" xfId="8874"/>
    <cellStyle name="Separador de milhares 3 3 2 7 3 2" xfId="27088"/>
    <cellStyle name="Separador de milhares 3 3 2 7 3 2 2" xfId="52155"/>
    <cellStyle name="Separador de milhares 3 3 2 7 3 3" xfId="21174"/>
    <cellStyle name="Separador de milhares 3 3 2 7 3 3 2" xfId="46241"/>
    <cellStyle name="Separador de milhares 3 3 2 7 3 4" xfId="15260"/>
    <cellStyle name="Separador de milhares 3 3 2 7 3 4 2" xfId="40327"/>
    <cellStyle name="Separador de milhares 3 3 2 7 3 5" xfId="34419"/>
    <cellStyle name="Separador de milhares 3 3 2 7 4" xfId="5499"/>
    <cellStyle name="Separador de milhares 3 3 2 7 4 2" xfId="24131"/>
    <cellStyle name="Separador de milhares 3 3 2 7 4 2 2" xfId="49198"/>
    <cellStyle name="Separador de milhares 3 3 2 7 4 3" xfId="31462"/>
    <cellStyle name="Separador de milhares 3 3 2 7 5" xfId="18217"/>
    <cellStyle name="Separador de milhares 3 3 2 7 5 2" xfId="43284"/>
    <cellStyle name="Separador de milhares 3 3 2 7 6" xfId="11886"/>
    <cellStyle name="Separador de milhares 3 3 2 7 6 2" xfId="37373"/>
    <cellStyle name="Separador de milhares 3 3 2 7 7" xfId="29992"/>
    <cellStyle name="Separador de milhares 3 3 2 8" xfId="3260"/>
    <cellStyle name="Separador de milhares 3 3 2 8 2" xfId="7345"/>
    <cellStyle name="Separador de milhares 3 3 2 8 2 2" xfId="10489"/>
    <cellStyle name="Separador de milhares 3 3 2 8 2 2 2" xfId="28703"/>
    <cellStyle name="Separador de milhares 3 3 2 8 2 2 2 2" xfId="53770"/>
    <cellStyle name="Separador de milhares 3 3 2 8 2 2 3" xfId="22789"/>
    <cellStyle name="Separador de milhares 3 3 2 8 2 2 3 2" xfId="47856"/>
    <cellStyle name="Separador de milhares 3 3 2 8 2 2 4" xfId="16875"/>
    <cellStyle name="Separador de milhares 3 3 2 8 2 2 4 2" xfId="41942"/>
    <cellStyle name="Separador de milhares 3 3 2 8 2 2 5" xfId="36034"/>
    <cellStyle name="Separador de milhares 3 3 2 8 2 3" xfId="25746"/>
    <cellStyle name="Separador de milhares 3 3 2 8 2 3 2" xfId="50813"/>
    <cellStyle name="Separador de milhares 3 3 2 8 2 4" xfId="19832"/>
    <cellStyle name="Separador de milhares 3 3 2 8 2 4 2" xfId="44899"/>
    <cellStyle name="Separador de milhares 3 3 2 8 2 5" xfId="13734"/>
    <cellStyle name="Separador de milhares 3 3 2 8 2 5 2" xfId="38988"/>
    <cellStyle name="Separador de milhares 3 3 2 8 2 6" xfId="33077"/>
    <cellStyle name="Separador de milhares 3 3 2 8 3" xfId="9021"/>
    <cellStyle name="Separador de milhares 3 3 2 8 3 2" xfId="27235"/>
    <cellStyle name="Separador de milhares 3 3 2 8 3 2 2" xfId="52302"/>
    <cellStyle name="Separador de milhares 3 3 2 8 3 3" xfId="21321"/>
    <cellStyle name="Separador de milhares 3 3 2 8 3 3 2" xfId="46388"/>
    <cellStyle name="Separador de milhares 3 3 2 8 3 4" xfId="15407"/>
    <cellStyle name="Separador de milhares 3 3 2 8 3 4 2" xfId="40474"/>
    <cellStyle name="Separador de milhares 3 3 2 8 3 5" xfId="34566"/>
    <cellStyle name="Separador de milhares 3 3 2 8 4" xfId="5646"/>
    <cellStyle name="Separador de milhares 3 3 2 8 4 2" xfId="24278"/>
    <cellStyle name="Separador de milhares 3 3 2 8 4 2 2" xfId="49345"/>
    <cellStyle name="Separador de milhares 3 3 2 8 4 3" xfId="31609"/>
    <cellStyle name="Separador de milhares 3 3 2 8 5" xfId="18364"/>
    <cellStyle name="Separador de milhares 3 3 2 8 5 2" xfId="43431"/>
    <cellStyle name="Separador de milhares 3 3 2 8 6" xfId="12033"/>
    <cellStyle name="Separador de milhares 3 3 2 8 6 2" xfId="37520"/>
    <cellStyle name="Separador de milhares 3 3 2 8 7" xfId="30139"/>
    <cellStyle name="Separador de milhares 3 3 2 9" xfId="3787"/>
    <cellStyle name="Separador de milhares 3 3 2 9 2" xfId="7492"/>
    <cellStyle name="Separador de milhares 3 3 2 9 2 2" xfId="10636"/>
    <cellStyle name="Separador de milhares 3 3 2 9 2 2 2" xfId="28850"/>
    <cellStyle name="Separador de milhares 3 3 2 9 2 2 2 2" xfId="53917"/>
    <cellStyle name="Separador de milhares 3 3 2 9 2 2 3" xfId="22936"/>
    <cellStyle name="Separador de milhares 3 3 2 9 2 2 3 2" xfId="48003"/>
    <cellStyle name="Separador de milhares 3 3 2 9 2 2 4" xfId="17022"/>
    <cellStyle name="Separador de milhares 3 3 2 9 2 2 4 2" xfId="42089"/>
    <cellStyle name="Separador de milhares 3 3 2 9 2 2 5" xfId="36181"/>
    <cellStyle name="Separador de milhares 3 3 2 9 2 3" xfId="25893"/>
    <cellStyle name="Separador de milhares 3 3 2 9 2 3 2" xfId="50960"/>
    <cellStyle name="Separador de milhares 3 3 2 9 2 4" xfId="19979"/>
    <cellStyle name="Separador de milhares 3 3 2 9 2 4 2" xfId="45046"/>
    <cellStyle name="Separador de milhares 3 3 2 9 2 5" xfId="13881"/>
    <cellStyle name="Separador de milhares 3 3 2 9 2 5 2" xfId="39135"/>
    <cellStyle name="Separador de milhares 3 3 2 9 2 6" xfId="33224"/>
    <cellStyle name="Separador de milhares 3 3 2 9 3" xfId="9168"/>
    <cellStyle name="Separador de milhares 3 3 2 9 3 2" xfId="27382"/>
    <cellStyle name="Separador de milhares 3 3 2 9 3 2 2" xfId="52449"/>
    <cellStyle name="Separador de milhares 3 3 2 9 3 3" xfId="21468"/>
    <cellStyle name="Separador de milhares 3 3 2 9 3 3 2" xfId="46535"/>
    <cellStyle name="Separador de milhares 3 3 2 9 3 4" xfId="15554"/>
    <cellStyle name="Separador de milhares 3 3 2 9 3 4 2" xfId="40621"/>
    <cellStyle name="Separador de milhares 3 3 2 9 3 5" xfId="34713"/>
    <cellStyle name="Separador de milhares 3 3 2 9 4" xfId="5793"/>
    <cellStyle name="Separador de milhares 3 3 2 9 4 2" xfId="24425"/>
    <cellStyle name="Separador de milhares 3 3 2 9 4 2 2" xfId="49492"/>
    <cellStyle name="Separador de milhares 3 3 2 9 4 3" xfId="31756"/>
    <cellStyle name="Separador de milhares 3 3 2 9 5" xfId="18511"/>
    <cellStyle name="Separador de milhares 3 3 2 9 5 2" xfId="43578"/>
    <cellStyle name="Separador de milhares 3 3 2 9 6" xfId="12180"/>
    <cellStyle name="Separador de milhares 3 3 2 9 6 2" xfId="37667"/>
    <cellStyle name="Separador de milhares 3 3 2 9 7" xfId="30286"/>
    <cellStyle name="Separador de milhares 3 3 3" xfId="239"/>
    <cellStyle name="Separador de milhares 3 3 3 10" xfId="6483"/>
    <cellStyle name="Separador de milhares 3 3 3 10 2" xfId="9634"/>
    <cellStyle name="Separador de milhares 3 3 3 10 2 2" xfId="27848"/>
    <cellStyle name="Separador de milhares 3 3 3 10 2 2 2" xfId="52915"/>
    <cellStyle name="Separador de milhares 3 3 3 10 2 3" xfId="21934"/>
    <cellStyle name="Separador de milhares 3 3 3 10 2 3 2" xfId="47001"/>
    <cellStyle name="Separador de milhares 3 3 3 10 2 4" xfId="16020"/>
    <cellStyle name="Separador de milhares 3 3 3 10 2 4 2" xfId="41087"/>
    <cellStyle name="Separador de milhares 3 3 3 10 2 5" xfId="35179"/>
    <cellStyle name="Separador de milhares 3 3 3 10 3" xfId="24891"/>
    <cellStyle name="Separador de milhares 3 3 3 10 3 2" xfId="49958"/>
    <cellStyle name="Separador de milhares 3 3 3 10 4" xfId="18977"/>
    <cellStyle name="Separador de milhares 3 3 3 10 4 2" xfId="44044"/>
    <cellStyle name="Separador de milhares 3 3 3 10 5" xfId="12872"/>
    <cellStyle name="Separador de milhares 3 3 3 10 5 2" xfId="38133"/>
    <cellStyle name="Separador de milhares 3 3 3 10 6" xfId="32222"/>
    <cellStyle name="Separador de milhares 3 3 3 11" xfId="8163"/>
    <cellStyle name="Separador de milhares 3 3 3 11 2" xfId="26377"/>
    <cellStyle name="Separador de milhares 3 3 3 11 2 2" xfId="51444"/>
    <cellStyle name="Separador de milhares 3 3 3 11 3" xfId="20463"/>
    <cellStyle name="Separador de milhares 3 3 3 11 3 2" xfId="45530"/>
    <cellStyle name="Separador de milhares 3 3 3 11 4" xfId="14552"/>
    <cellStyle name="Separador de milhares 3 3 3 11 4 2" xfId="39619"/>
    <cellStyle name="Separador de milhares 3 3 3 11 5" xfId="33708"/>
    <cellStyle name="Separador de milhares 3 3 3 12" xfId="4782"/>
    <cellStyle name="Separador de milhares 3 3 3 12 2" xfId="23420"/>
    <cellStyle name="Separador de milhares 3 3 3 12 2 2" xfId="48487"/>
    <cellStyle name="Separador de milhares 3 3 3 12 3" xfId="30752"/>
    <cellStyle name="Separador de milhares 3 3 3 13" xfId="17506"/>
    <cellStyle name="Separador de milhares 3 3 3 13 2" xfId="42573"/>
    <cellStyle name="Separador de milhares 3 3 3 14" xfId="11171"/>
    <cellStyle name="Separador de milhares 3 3 3 14 2" xfId="36665"/>
    <cellStyle name="Separador de milhares 3 3 3 15" xfId="29281"/>
    <cellStyle name="Separador de milhares 3 3 3 2" xfId="502"/>
    <cellStyle name="Separador de milhares 3 3 3 2 2" xfId="6554"/>
    <cellStyle name="Separador de milhares 3 3 3 2 2 2" xfId="9701"/>
    <cellStyle name="Separador de milhares 3 3 3 2 2 2 2" xfId="27915"/>
    <cellStyle name="Separador de milhares 3 3 3 2 2 2 2 2" xfId="52982"/>
    <cellStyle name="Separador de milhares 3 3 3 2 2 2 3" xfId="22001"/>
    <cellStyle name="Separador de milhares 3 3 3 2 2 2 3 2" xfId="47068"/>
    <cellStyle name="Separador de milhares 3 3 3 2 2 2 4" xfId="16087"/>
    <cellStyle name="Separador de milhares 3 3 3 2 2 2 4 2" xfId="41154"/>
    <cellStyle name="Separador de milhares 3 3 3 2 2 2 5" xfId="35246"/>
    <cellStyle name="Separador de milhares 3 3 3 2 2 3" xfId="24958"/>
    <cellStyle name="Separador de milhares 3 3 3 2 2 3 2" xfId="50025"/>
    <cellStyle name="Separador de milhares 3 3 3 2 2 4" xfId="19044"/>
    <cellStyle name="Separador de milhares 3 3 3 2 2 4 2" xfId="44111"/>
    <cellStyle name="Separador de milhares 3 3 3 2 2 5" xfId="12943"/>
    <cellStyle name="Separador de milhares 3 3 3 2 2 5 2" xfId="38200"/>
    <cellStyle name="Separador de milhares 3 3 3 2 2 6" xfId="32289"/>
    <cellStyle name="Separador de milhares 3 3 3 2 3" xfId="8230"/>
    <cellStyle name="Separador de milhares 3 3 3 2 3 2" xfId="26444"/>
    <cellStyle name="Separador de milhares 3 3 3 2 3 2 2" xfId="51511"/>
    <cellStyle name="Separador de milhares 3 3 3 2 3 3" xfId="20530"/>
    <cellStyle name="Separador de milhares 3 3 3 2 3 3 2" xfId="45597"/>
    <cellStyle name="Separador de milhares 3 3 3 2 3 4" xfId="14619"/>
    <cellStyle name="Separador de milhares 3 3 3 2 3 4 2" xfId="39686"/>
    <cellStyle name="Separador de milhares 3 3 3 2 3 5" xfId="33775"/>
    <cellStyle name="Separador de milhares 3 3 3 2 4" xfId="4853"/>
    <cellStyle name="Separador de milhares 3 3 3 2 4 2" xfId="23487"/>
    <cellStyle name="Separador de milhares 3 3 3 2 4 2 2" xfId="48554"/>
    <cellStyle name="Separador de milhares 3 3 3 2 4 3" xfId="30819"/>
    <cellStyle name="Separador de milhares 3 3 3 2 5" xfId="17573"/>
    <cellStyle name="Separador de milhares 3 3 3 2 5 2" xfId="42640"/>
    <cellStyle name="Separador de milhares 3 3 3 2 6" xfId="11242"/>
    <cellStyle name="Separador de milhares 3 3 3 2 6 2" xfId="36732"/>
    <cellStyle name="Separador de milhares 3 3 3 2 7" xfId="29348"/>
    <cellStyle name="Separador de milhares 3 3 3 3" xfId="799"/>
    <cellStyle name="Separador de milhares 3 3 3 3 2" xfId="6656"/>
    <cellStyle name="Separador de milhares 3 3 3 3 2 2" xfId="9803"/>
    <cellStyle name="Separador de milhares 3 3 3 3 2 2 2" xfId="28017"/>
    <cellStyle name="Separador de milhares 3 3 3 3 2 2 2 2" xfId="53084"/>
    <cellStyle name="Separador de milhares 3 3 3 3 2 2 3" xfId="22103"/>
    <cellStyle name="Separador de milhares 3 3 3 3 2 2 3 2" xfId="47170"/>
    <cellStyle name="Separador de milhares 3 3 3 3 2 2 4" xfId="16189"/>
    <cellStyle name="Separador de milhares 3 3 3 3 2 2 4 2" xfId="41256"/>
    <cellStyle name="Separador de milhares 3 3 3 3 2 2 5" xfId="35348"/>
    <cellStyle name="Separador de milhares 3 3 3 3 2 3" xfId="25060"/>
    <cellStyle name="Separador de milhares 3 3 3 3 2 3 2" xfId="50127"/>
    <cellStyle name="Separador de milhares 3 3 3 3 2 4" xfId="19146"/>
    <cellStyle name="Separador de milhares 3 3 3 3 2 4 2" xfId="44213"/>
    <cellStyle name="Separador de milhares 3 3 3 3 2 5" xfId="13045"/>
    <cellStyle name="Separador de milhares 3 3 3 3 2 5 2" xfId="38302"/>
    <cellStyle name="Separador de milhares 3 3 3 3 2 6" xfId="32391"/>
    <cellStyle name="Separador de milhares 3 3 3 3 3" xfId="8335"/>
    <cellStyle name="Separador de milhares 3 3 3 3 3 2" xfId="26549"/>
    <cellStyle name="Separador de milhares 3 3 3 3 3 2 2" xfId="51616"/>
    <cellStyle name="Separador de milhares 3 3 3 3 3 3" xfId="20635"/>
    <cellStyle name="Separador de milhares 3 3 3 3 3 3 2" xfId="45702"/>
    <cellStyle name="Separador de milhares 3 3 3 3 3 4" xfId="14721"/>
    <cellStyle name="Separador de milhares 3 3 3 3 3 4 2" xfId="39788"/>
    <cellStyle name="Separador de milhares 3 3 3 3 3 5" xfId="33880"/>
    <cellStyle name="Separador de milhares 3 3 3 3 4" xfId="4957"/>
    <cellStyle name="Separador de milhares 3 3 3 3 4 2" xfId="23592"/>
    <cellStyle name="Separador de milhares 3 3 3 3 4 2 2" xfId="48659"/>
    <cellStyle name="Separador de milhares 3 3 3 3 4 3" xfId="30923"/>
    <cellStyle name="Separador de milhares 3 3 3 3 5" xfId="17678"/>
    <cellStyle name="Separador de milhares 3 3 3 3 5 2" xfId="42745"/>
    <cellStyle name="Separador de milhares 3 3 3 3 6" xfId="11344"/>
    <cellStyle name="Separador de milhares 3 3 3 3 6 2" xfId="36834"/>
    <cellStyle name="Separador de milhares 3 3 3 3 7" xfId="29453"/>
    <cellStyle name="Separador de milhares 3 3 3 4" xfId="1150"/>
    <cellStyle name="Separador de milhares 3 3 3 4 2" xfId="6754"/>
    <cellStyle name="Separador de milhares 3 3 3 4 2 2" xfId="9901"/>
    <cellStyle name="Separador de milhares 3 3 3 4 2 2 2" xfId="28115"/>
    <cellStyle name="Separador de milhares 3 3 3 4 2 2 2 2" xfId="53182"/>
    <cellStyle name="Separador de milhares 3 3 3 4 2 2 3" xfId="22201"/>
    <cellStyle name="Separador de milhares 3 3 3 4 2 2 3 2" xfId="47268"/>
    <cellStyle name="Separador de milhares 3 3 3 4 2 2 4" xfId="16287"/>
    <cellStyle name="Separador de milhares 3 3 3 4 2 2 4 2" xfId="41354"/>
    <cellStyle name="Separador de milhares 3 3 3 4 2 2 5" xfId="35446"/>
    <cellStyle name="Separador de milhares 3 3 3 4 2 3" xfId="25158"/>
    <cellStyle name="Separador de milhares 3 3 3 4 2 3 2" xfId="50225"/>
    <cellStyle name="Separador de milhares 3 3 3 4 2 4" xfId="19244"/>
    <cellStyle name="Separador de milhares 3 3 3 4 2 4 2" xfId="44311"/>
    <cellStyle name="Separador de milhares 3 3 3 4 2 5" xfId="13143"/>
    <cellStyle name="Separador de milhares 3 3 3 4 2 5 2" xfId="38400"/>
    <cellStyle name="Separador de milhares 3 3 3 4 2 6" xfId="32489"/>
    <cellStyle name="Separador de milhares 3 3 3 4 3" xfId="8433"/>
    <cellStyle name="Separador de milhares 3 3 3 4 3 2" xfId="26647"/>
    <cellStyle name="Separador de milhares 3 3 3 4 3 2 2" xfId="51714"/>
    <cellStyle name="Separador de milhares 3 3 3 4 3 3" xfId="20733"/>
    <cellStyle name="Separador de milhares 3 3 3 4 3 3 2" xfId="45800"/>
    <cellStyle name="Separador de milhares 3 3 3 4 3 4" xfId="14819"/>
    <cellStyle name="Separador de milhares 3 3 3 4 3 4 2" xfId="39886"/>
    <cellStyle name="Separador de milhares 3 3 3 4 3 5" xfId="33978"/>
    <cellStyle name="Separador de milhares 3 3 3 4 4" xfId="5055"/>
    <cellStyle name="Separador de milhares 3 3 3 4 4 2" xfId="23690"/>
    <cellStyle name="Separador de milhares 3 3 3 4 4 2 2" xfId="48757"/>
    <cellStyle name="Separador de milhares 3 3 3 4 4 3" xfId="31021"/>
    <cellStyle name="Separador de milhares 3 3 3 4 5" xfId="17776"/>
    <cellStyle name="Separador de milhares 3 3 3 4 5 2" xfId="42843"/>
    <cellStyle name="Separador de milhares 3 3 3 4 6" xfId="11442"/>
    <cellStyle name="Separador de milhares 3 3 3 4 6 2" xfId="36932"/>
    <cellStyle name="Separador de milhares 3 3 3 4 7" xfId="29551"/>
    <cellStyle name="Separador de milhares 3 3 3 5" xfId="1585"/>
    <cellStyle name="Separador de milhares 3 3 3 5 2" xfId="6873"/>
    <cellStyle name="Separador de milhares 3 3 3 5 2 2" xfId="10020"/>
    <cellStyle name="Separador de milhares 3 3 3 5 2 2 2" xfId="28234"/>
    <cellStyle name="Separador de milhares 3 3 3 5 2 2 2 2" xfId="53301"/>
    <cellStyle name="Separador de milhares 3 3 3 5 2 2 3" xfId="22320"/>
    <cellStyle name="Separador de milhares 3 3 3 5 2 2 3 2" xfId="47387"/>
    <cellStyle name="Separador de milhares 3 3 3 5 2 2 4" xfId="16406"/>
    <cellStyle name="Separador de milhares 3 3 3 5 2 2 4 2" xfId="41473"/>
    <cellStyle name="Separador de milhares 3 3 3 5 2 2 5" xfId="35565"/>
    <cellStyle name="Separador de milhares 3 3 3 5 2 3" xfId="25277"/>
    <cellStyle name="Separador de milhares 3 3 3 5 2 3 2" xfId="50344"/>
    <cellStyle name="Separador de milhares 3 3 3 5 2 4" xfId="19363"/>
    <cellStyle name="Separador de milhares 3 3 3 5 2 4 2" xfId="44430"/>
    <cellStyle name="Separador de milhares 3 3 3 5 2 5" xfId="13262"/>
    <cellStyle name="Separador de milhares 3 3 3 5 2 5 2" xfId="38519"/>
    <cellStyle name="Separador de milhares 3 3 3 5 2 6" xfId="32608"/>
    <cellStyle name="Separador de milhares 3 3 3 5 3" xfId="8552"/>
    <cellStyle name="Separador de milhares 3 3 3 5 3 2" xfId="26766"/>
    <cellStyle name="Separador de milhares 3 3 3 5 3 2 2" xfId="51833"/>
    <cellStyle name="Separador de milhares 3 3 3 5 3 3" xfId="20852"/>
    <cellStyle name="Separador de milhares 3 3 3 5 3 3 2" xfId="45919"/>
    <cellStyle name="Separador de milhares 3 3 3 5 3 4" xfId="14938"/>
    <cellStyle name="Separador de milhares 3 3 3 5 3 4 2" xfId="40005"/>
    <cellStyle name="Separador de milhares 3 3 3 5 3 5" xfId="34097"/>
    <cellStyle name="Separador de milhares 3 3 3 5 4" xfId="5174"/>
    <cellStyle name="Separador de milhares 3 3 3 5 4 2" xfId="23809"/>
    <cellStyle name="Separador de milhares 3 3 3 5 4 2 2" xfId="48876"/>
    <cellStyle name="Separador de milhares 3 3 3 5 4 3" xfId="31140"/>
    <cellStyle name="Separador de milhares 3 3 3 5 5" xfId="17895"/>
    <cellStyle name="Separador de milhares 3 3 3 5 5 2" xfId="42962"/>
    <cellStyle name="Separador de milhares 3 3 3 5 6" xfId="11561"/>
    <cellStyle name="Separador de milhares 3 3 3 5 6 2" xfId="37051"/>
    <cellStyle name="Separador de milhares 3 3 3 5 7" xfId="29670"/>
    <cellStyle name="Separador de milhares 3 3 3 6" xfId="2115"/>
    <cellStyle name="Separador de milhares 3 3 3 6 2" xfId="7023"/>
    <cellStyle name="Separador de milhares 3 3 3 6 2 2" xfId="10167"/>
    <cellStyle name="Separador de milhares 3 3 3 6 2 2 2" xfId="28381"/>
    <cellStyle name="Separador de milhares 3 3 3 6 2 2 2 2" xfId="53448"/>
    <cellStyle name="Separador de milhares 3 3 3 6 2 2 3" xfId="22467"/>
    <cellStyle name="Separador de milhares 3 3 3 6 2 2 3 2" xfId="47534"/>
    <cellStyle name="Separador de milhares 3 3 3 6 2 2 4" xfId="16553"/>
    <cellStyle name="Separador de milhares 3 3 3 6 2 2 4 2" xfId="41620"/>
    <cellStyle name="Separador de milhares 3 3 3 6 2 2 5" xfId="35712"/>
    <cellStyle name="Separador de milhares 3 3 3 6 2 3" xfId="25424"/>
    <cellStyle name="Separador de milhares 3 3 3 6 2 3 2" xfId="50491"/>
    <cellStyle name="Separador de milhares 3 3 3 6 2 4" xfId="19510"/>
    <cellStyle name="Separador de milhares 3 3 3 6 2 4 2" xfId="44577"/>
    <cellStyle name="Separador de milhares 3 3 3 6 2 5" xfId="13412"/>
    <cellStyle name="Separador de milhares 3 3 3 6 2 5 2" xfId="38666"/>
    <cellStyle name="Separador de milhares 3 3 3 6 2 6" xfId="32755"/>
    <cellStyle name="Separador de milhares 3 3 3 6 3" xfId="8699"/>
    <cellStyle name="Separador de milhares 3 3 3 6 3 2" xfId="26913"/>
    <cellStyle name="Separador de milhares 3 3 3 6 3 2 2" xfId="51980"/>
    <cellStyle name="Separador de milhares 3 3 3 6 3 3" xfId="20999"/>
    <cellStyle name="Separador de milhares 3 3 3 6 3 3 2" xfId="46066"/>
    <cellStyle name="Separador de milhares 3 3 3 6 3 4" xfId="15085"/>
    <cellStyle name="Separador de milhares 3 3 3 6 3 4 2" xfId="40152"/>
    <cellStyle name="Separador de milhares 3 3 3 6 3 5" xfId="34244"/>
    <cellStyle name="Separador de milhares 3 3 3 6 4" xfId="5324"/>
    <cellStyle name="Separador de milhares 3 3 3 6 4 2" xfId="23956"/>
    <cellStyle name="Separador de milhares 3 3 3 6 4 2 2" xfId="49023"/>
    <cellStyle name="Separador de milhares 3 3 3 6 4 3" xfId="31287"/>
    <cellStyle name="Separador de milhares 3 3 3 6 5" xfId="18042"/>
    <cellStyle name="Separador de milhares 3 3 3 6 5 2" xfId="43109"/>
    <cellStyle name="Separador de milhares 3 3 3 6 6" xfId="11711"/>
    <cellStyle name="Separador de milhares 3 3 3 6 6 2" xfId="37198"/>
    <cellStyle name="Separador de milhares 3 3 3 6 7" xfId="29817"/>
    <cellStyle name="Separador de milhares 3 3 3 7" xfId="2642"/>
    <cellStyle name="Separador de milhares 3 3 3 7 2" xfId="7170"/>
    <cellStyle name="Separador de milhares 3 3 3 7 2 2" xfId="10314"/>
    <cellStyle name="Separador de milhares 3 3 3 7 2 2 2" xfId="28528"/>
    <cellStyle name="Separador de milhares 3 3 3 7 2 2 2 2" xfId="53595"/>
    <cellStyle name="Separador de milhares 3 3 3 7 2 2 3" xfId="22614"/>
    <cellStyle name="Separador de milhares 3 3 3 7 2 2 3 2" xfId="47681"/>
    <cellStyle name="Separador de milhares 3 3 3 7 2 2 4" xfId="16700"/>
    <cellStyle name="Separador de milhares 3 3 3 7 2 2 4 2" xfId="41767"/>
    <cellStyle name="Separador de milhares 3 3 3 7 2 2 5" xfId="35859"/>
    <cellStyle name="Separador de milhares 3 3 3 7 2 3" xfId="25571"/>
    <cellStyle name="Separador de milhares 3 3 3 7 2 3 2" xfId="50638"/>
    <cellStyle name="Separador de milhares 3 3 3 7 2 4" xfId="19657"/>
    <cellStyle name="Separador de milhares 3 3 3 7 2 4 2" xfId="44724"/>
    <cellStyle name="Separador de milhares 3 3 3 7 2 5" xfId="13559"/>
    <cellStyle name="Separador de milhares 3 3 3 7 2 5 2" xfId="38813"/>
    <cellStyle name="Separador de milhares 3 3 3 7 2 6" xfId="32902"/>
    <cellStyle name="Separador de milhares 3 3 3 7 3" xfId="8846"/>
    <cellStyle name="Separador de milhares 3 3 3 7 3 2" xfId="27060"/>
    <cellStyle name="Separador de milhares 3 3 3 7 3 2 2" xfId="52127"/>
    <cellStyle name="Separador de milhares 3 3 3 7 3 3" xfId="21146"/>
    <cellStyle name="Separador de milhares 3 3 3 7 3 3 2" xfId="46213"/>
    <cellStyle name="Separador de milhares 3 3 3 7 3 4" xfId="15232"/>
    <cellStyle name="Separador de milhares 3 3 3 7 3 4 2" xfId="40299"/>
    <cellStyle name="Separador de milhares 3 3 3 7 3 5" xfId="34391"/>
    <cellStyle name="Separador de milhares 3 3 3 7 4" xfId="5471"/>
    <cellStyle name="Separador de milhares 3 3 3 7 4 2" xfId="24103"/>
    <cellStyle name="Separador de milhares 3 3 3 7 4 2 2" xfId="49170"/>
    <cellStyle name="Separador de milhares 3 3 3 7 4 3" xfId="31434"/>
    <cellStyle name="Separador de milhares 3 3 3 7 5" xfId="18189"/>
    <cellStyle name="Separador de milhares 3 3 3 7 5 2" xfId="43256"/>
    <cellStyle name="Separador de milhares 3 3 3 7 6" xfId="11858"/>
    <cellStyle name="Separador de milhares 3 3 3 7 6 2" xfId="37345"/>
    <cellStyle name="Separador de milhares 3 3 3 7 7" xfId="29964"/>
    <cellStyle name="Separador de milhares 3 3 3 8" xfId="3169"/>
    <cellStyle name="Separador de milhares 3 3 3 8 2" xfId="7317"/>
    <cellStyle name="Separador de milhares 3 3 3 8 2 2" xfId="10461"/>
    <cellStyle name="Separador de milhares 3 3 3 8 2 2 2" xfId="28675"/>
    <cellStyle name="Separador de milhares 3 3 3 8 2 2 2 2" xfId="53742"/>
    <cellStyle name="Separador de milhares 3 3 3 8 2 2 3" xfId="22761"/>
    <cellStyle name="Separador de milhares 3 3 3 8 2 2 3 2" xfId="47828"/>
    <cellStyle name="Separador de milhares 3 3 3 8 2 2 4" xfId="16847"/>
    <cellStyle name="Separador de milhares 3 3 3 8 2 2 4 2" xfId="41914"/>
    <cellStyle name="Separador de milhares 3 3 3 8 2 2 5" xfId="36006"/>
    <cellStyle name="Separador de milhares 3 3 3 8 2 3" xfId="25718"/>
    <cellStyle name="Separador de milhares 3 3 3 8 2 3 2" xfId="50785"/>
    <cellStyle name="Separador de milhares 3 3 3 8 2 4" xfId="19804"/>
    <cellStyle name="Separador de milhares 3 3 3 8 2 4 2" xfId="44871"/>
    <cellStyle name="Separador de milhares 3 3 3 8 2 5" xfId="13706"/>
    <cellStyle name="Separador de milhares 3 3 3 8 2 5 2" xfId="38960"/>
    <cellStyle name="Separador de milhares 3 3 3 8 2 6" xfId="33049"/>
    <cellStyle name="Separador de milhares 3 3 3 8 3" xfId="8993"/>
    <cellStyle name="Separador de milhares 3 3 3 8 3 2" xfId="27207"/>
    <cellStyle name="Separador de milhares 3 3 3 8 3 2 2" xfId="52274"/>
    <cellStyle name="Separador de milhares 3 3 3 8 3 3" xfId="21293"/>
    <cellStyle name="Separador de milhares 3 3 3 8 3 3 2" xfId="46360"/>
    <cellStyle name="Separador de milhares 3 3 3 8 3 4" xfId="15379"/>
    <cellStyle name="Separador de milhares 3 3 3 8 3 4 2" xfId="40446"/>
    <cellStyle name="Separador de milhares 3 3 3 8 3 5" xfId="34538"/>
    <cellStyle name="Separador de milhares 3 3 3 8 4" xfId="5618"/>
    <cellStyle name="Separador de milhares 3 3 3 8 4 2" xfId="24250"/>
    <cellStyle name="Separador de milhares 3 3 3 8 4 2 2" xfId="49317"/>
    <cellStyle name="Separador de milhares 3 3 3 8 4 3" xfId="31581"/>
    <cellStyle name="Separador de milhares 3 3 3 8 5" xfId="18336"/>
    <cellStyle name="Separador de milhares 3 3 3 8 5 2" xfId="43403"/>
    <cellStyle name="Separador de milhares 3 3 3 8 6" xfId="12005"/>
    <cellStyle name="Separador de milhares 3 3 3 8 6 2" xfId="37492"/>
    <cellStyle name="Separador de milhares 3 3 3 8 7" xfId="30111"/>
    <cellStyle name="Separador de milhares 3 3 3 9" xfId="3696"/>
    <cellStyle name="Separador de milhares 3 3 3 9 2" xfId="7464"/>
    <cellStyle name="Separador de milhares 3 3 3 9 2 2" xfId="10608"/>
    <cellStyle name="Separador de milhares 3 3 3 9 2 2 2" xfId="28822"/>
    <cellStyle name="Separador de milhares 3 3 3 9 2 2 2 2" xfId="53889"/>
    <cellStyle name="Separador de milhares 3 3 3 9 2 2 3" xfId="22908"/>
    <cellStyle name="Separador de milhares 3 3 3 9 2 2 3 2" xfId="47975"/>
    <cellStyle name="Separador de milhares 3 3 3 9 2 2 4" xfId="16994"/>
    <cellStyle name="Separador de milhares 3 3 3 9 2 2 4 2" xfId="42061"/>
    <cellStyle name="Separador de milhares 3 3 3 9 2 2 5" xfId="36153"/>
    <cellStyle name="Separador de milhares 3 3 3 9 2 3" xfId="25865"/>
    <cellStyle name="Separador de milhares 3 3 3 9 2 3 2" xfId="50932"/>
    <cellStyle name="Separador de milhares 3 3 3 9 2 4" xfId="19951"/>
    <cellStyle name="Separador de milhares 3 3 3 9 2 4 2" xfId="45018"/>
    <cellStyle name="Separador de milhares 3 3 3 9 2 5" xfId="13853"/>
    <cellStyle name="Separador de milhares 3 3 3 9 2 5 2" xfId="39107"/>
    <cellStyle name="Separador de milhares 3 3 3 9 2 6" xfId="33196"/>
    <cellStyle name="Separador de milhares 3 3 3 9 3" xfId="9140"/>
    <cellStyle name="Separador de milhares 3 3 3 9 3 2" xfId="27354"/>
    <cellStyle name="Separador de milhares 3 3 3 9 3 2 2" xfId="52421"/>
    <cellStyle name="Separador de milhares 3 3 3 9 3 3" xfId="21440"/>
    <cellStyle name="Separador de milhares 3 3 3 9 3 3 2" xfId="46507"/>
    <cellStyle name="Separador de milhares 3 3 3 9 3 4" xfId="15526"/>
    <cellStyle name="Separador de milhares 3 3 3 9 3 4 2" xfId="40593"/>
    <cellStyle name="Separador de milhares 3 3 3 9 3 5" xfId="34685"/>
    <cellStyle name="Separador de milhares 3 3 3 9 4" xfId="5765"/>
    <cellStyle name="Separador de milhares 3 3 3 9 4 2" xfId="24397"/>
    <cellStyle name="Separador de milhares 3 3 3 9 4 2 2" xfId="49464"/>
    <cellStyle name="Separador de milhares 3 3 3 9 4 3" xfId="31728"/>
    <cellStyle name="Separador de milhares 3 3 3 9 5" xfId="18483"/>
    <cellStyle name="Separador de milhares 3 3 3 9 5 2" xfId="43550"/>
    <cellStyle name="Separador de milhares 3 3 3 9 6" xfId="12152"/>
    <cellStyle name="Separador de milhares 3 3 3 9 6 2" xfId="37639"/>
    <cellStyle name="Separador de milhares 3 3 3 9 7" xfId="30258"/>
    <cellStyle name="Separador de milhares 3 3 4" xfId="332"/>
    <cellStyle name="Separador de milhares 3 3 4 10" xfId="6511"/>
    <cellStyle name="Separador de milhares 3 3 4 10 2" xfId="9659"/>
    <cellStyle name="Separador de milhares 3 3 4 10 2 2" xfId="27873"/>
    <cellStyle name="Separador de milhares 3 3 4 10 2 2 2" xfId="52940"/>
    <cellStyle name="Separador de milhares 3 3 4 10 2 3" xfId="21959"/>
    <cellStyle name="Separador de milhares 3 3 4 10 2 3 2" xfId="47026"/>
    <cellStyle name="Separador de milhares 3 3 4 10 2 4" xfId="16045"/>
    <cellStyle name="Separador de milhares 3 3 4 10 2 4 2" xfId="41112"/>
    <cellStyle name="Separador de milhares 3 3 4 10 2 5" xfId="35204"/>
    <cellStyle name="Separador de milhares 3 3 4 10 3" xfId="24916"/>
    <cellStyle name="Separador de milhares 3 3 4 10 3 2" xfId="49983"/>
    <cellStyle name="Separador de milhares 3 3 4 10 4" xfId="19002"/>
    <cellStyle name="Separador de milhares 3 3 4 10 4 2" xfId="44069"/>
    <cellStyle name="Separador de milhares 3 3 4 10 5" xfId="12900"/>
    <cellStyle name="Separador de milhares 3 3 4 10 5 2" xfId="38158"/>
    <cellStyle name="Separador de milhares 3 3 4 10 6" xfId="32247"/>
    <cellStyle name="Separador de milhares 3 3 4 11" xfId="8188"/>
    <cellStyle name="Separador de milhares 3 3 4 11 2" xfId="26402"/>
    <cellStyle name="Separador de milhares 3 3 4 11 2 2" xfId="51469"/>
    <cellStyle name="Separador de milhares 3 3 4 11 3" xfId="20488"/>
    <cellStyle name="Separador de milhares 3 3 4 11 3 2" xfId="45555"/>
    <cellStyle name="Separador de milhares 3 3 4 11 4" xfId="14577"/>
    <cellStyle name="Separador de milhares 3 3 4 11 4 2" xfId="39644"/>
    <cellStyle name="Separador de milhares 3 3 4 11 5" xfId="33733"/>
    <cellStyle name="Separador de milhares 3 3 4 12" xfId="4810"/>
    <cellStyle name="Separador de milhares 3 3 4 12 2" xfId="23445"/>
    <cellStyle name="Separador de milhares 3 3 4 12 2 2" xfId="48512"/>
    <cellStyle name="Separador de milhares 3 3 4 12 3" xfId="30777"/>
    <cellStyle name="Separador de milhares 3 3 4 13" xfId="17531"/>
    <cellStyle name="Separador de milhares 3 3 4 13 2" xfId="42598"/>
    <cellStyle name="Separador de milhares 3 3 4 14" xfId="11199"/>
    <cellStyle name="Separador de milhares 3 3 4 14 2" xfId="36690"/>
    <cellStyle name="Separador de milhares 3 3 4 15" xfId="29306"/>
    <cellStyle name="Separador de milhares 3 3 4 2" xfId="977"/>
    <cellStyle name="Separador de milhares 3 3 4 2 2" xfId="6708"/>
    <cellStyle name="Separador de milhares 3 3 4 2 2 2" xfId="9855"/>
    <cellStyle name="Separador de milhares 3 3 4 2 2 2 2" xfId="28069"/>
    <cellStyle name="Separador de milhares 3 3 4 2 2 2 2 2" xfId="53136"/>
    <cellStyle name="Separador de milhares 3 3 4 2 2 2 3" xfId="22155"/>
    <cellStyle name="Separador de milhares 3 3 4 2 2 2 3 2" xfId="47222"/>
    <cellStyle name="Separador de milhares 3 3 4 2 2 2 4" xfId="16241"/>
    <cellStyle name="Separador de milhares 3 3 4 2 2 2 4 2" xfId="41308"/>
    <cellStyle name="Separador de milhares 3 3 4 2 2 2 5" xfId="35400"/>
    <cellStyle name="Separador de milhares 3 3 4 2 2 3" xfId="25112"/>
    <cellStyle name="Separador de milhares 3 3 4 2 2 3 2" xfId="50179"/>
    <cellStyle name="Separador de milhares 3 3 4 2 2 4" xfId="19198"/>
    <cellStyle name="Separador de milhares 3 3 4 2 2 4 2" xfId="44265"/>
    <cellStyle name="Separador de milhares 3 3 4 2 2 5" xfId="13097"/>
    <cellStyle name="Separador de milhares 3 3 4 2 2 5 2" xfId="38354"/>
    <cellStyle name="Separador de milhares 3 3 4 2 2 6" xfId="32443"/>
    <cellStyle name="Separador de milhares 3 3 4 2 3" xfId="8387"/>
    <cellStyle name="Separador de milhares 3 3 4 2 3 2" xfId="26601"/>
    <cellStyle name="Separador de milhares 3 3 4 2 3 2 2" xfId="51668"/>
    <cellStyle name="Separador de milhares 3 3 4 2 3 3" xfId="20687"/>
    <cellStyle name="Separador de milhares 3 3 4 2 3 3 2" xfId="45754"/>
    <cellStyle name="Separador de milhares 3 3 4 2 3 4" xfId="14773"/>
    <cellStyle name="Separador de milhares 3 3 4 2 3 4 2" xfId="39840"/>
    <cellStyle name="Separador de milhares 3 3 4 2 3 5" xfId="33932"/>
    <cellStyle name="Separador de milhares 3 3 4 2 4" xfId="5009"/>
    <cellStyle name="Separador de milhares 3 3 4 2 4 2" xfId="23644"/>
    <cellStyle name="Separador de milhares 3 3 4 2 4 2 2" xfId="48711"/>
    <cellStyle name="Separador de milhares 3 3 4 2 4 3" xfId="30975"/>
    <cellStyle name="Separador de milhares 3 3 4 2 5" xfId="17730"/>
    <cellStyle name="Separador de milhares 3 3 4 2 5 2" xfId="42797"/>
    <cellStyle name="Separador de milhares 3 3 4 2 6" xfId="11396"/>
    <cellStyle name="Separador de milhares 3 3 4 2 6 2" xfId="36886"/>
    <cellStyle name="Separador de milhares 3 3 4 2 7" xfId="29505"/>
    <cellStyle name="Separador de milhares 3 3 4 3" xfId="1328"/>
    <cellStyle name="Separador de milhares 3 3 4 3 2" xfId="6806"/>
    <cellStyle name="Separador de milhares 3 3 4 3 2 2" xfId="9953"/>
    <cellStyle name="Separador de milhares 3 3 4 3 2 2 2" xfId="28167"/>
    <cellStyle name="Separador de milhares 3 3 4 3 2 2 2 2" xfId="53234"/>
    <cellStyle name="Separador de milhares 3 3 4 3 2 2 3" xfId="22253"/>
    <cellStyle name="Separador de milhares 3 3 4 3 2 2 3 2" xfId="47320"/>
    <cellStyle name="Separador de milhares 3 3 4 3 2 2 4" xfId="16339"/>
    <cellStyle name="Separador de milhares 3 3 4 3 2 2 4 2" xfId="41406"/>
    <cellStyle name="Separador de milhares 3 3 4 3 2 2 5" xfId="35498"/>
    <cellStyle name="Separador de milhares 3 3 4 3 2 3" xfId="25210"/>
    <cellStyle name="Separador de milhares 3 3 4 3 2 3 2" xfId="50277"/>
    <cellStyle name="Separador de milhares 3 3 4 3 2 4" xfId="19296"/>
    <cellStyle name="Separador de milhares 3 3 4 3 2 4 2" xfId="44363"/>
    <cellStyle name="Separador de milhares 3 3 4 3 2 5" xfId="13195"/>
    <cellStyle name="Separador de milhares 3 3 4 3 2 5 2" xfId="38452"/>
    <cellStyle name="Separador de milhares 3 3 4 3 2 6" xfId="32541"/>
    <cellStyle name="Separador de milhares 3 3 4 3 3" xfId="8485"/>
    <cellStyle name="Separador de milhares 3 3 4 3 3 2" xfId="26699"/>
    <cellStyle name="Separador de milhares 3 3 4 3 3 2 2" xfId="51766"/>
    <cellStyle name="Separador de milhares 3 3 4 3 3 3" xfId="20785"/>
    <cellStyle name="Separador de milhares 3 3 4 3 3 3 2" xfId="45852"/>
    <cellStyle name="Separador de milhares 3 3 4 3 3 4" xfId="14871"/>
    <cellStyle name="Separador de milhares 3 3 4 3 3 4 2" xfId="39938"/>
    <cellStyle name="Separador de milhares 3 3 4 3 3 5" xfId="34030"/>
    <cellStyle name="Separador de milhares 3 3 4 3 4" xfId="5107"/>
    <cellStyle name="Separador de milhares 3 3 4 3 4 2" xfId="23742"/>
    <cellStyle name="Separador de milhares 3 3 4 3 4 2 2" xfId="48809"/>
    <cellStyle name="Separador de milhares 3 3 4 3 4 3" xfId="31073"/>
    <cellStyle name="Separador de milhares 3 3 4 3 5" xfId="17828"/>
    <cellStyle name="Separador de milhares 3 3 4 3 5 2" xfId="42895"/>
    <cellStyle name="Separador de milhares 3 3 4 3 6" xfId="11494"/>
    <cellStyle name="Separador de milhares 3 3 4 3 6 2" xfId="36984"/>
    <cellStyle name="Separador de milhares 3 3 4 3 7" xfId="29603"/>
    <cellStyle name="Separador de milhares 3 3 4 4" xfId="1763"/>
    <cellStyle name="Separador de milhares 3 3 4 4 2" xfId="6925"/>
    <cellStyle name="Separador de milhares 3 3 4 4 2 2" xfId="10072"/>
    <cellStyle name="Separador de milhares 3 3 4 4 2 2 2" xfId="28286"/>
    <cellStyle name="Separador de milhares 3 3 4 4 2 2 2 2" xfId="53353"/>
    <cellStyle name="Separador de milhares 3 3 4 4 2 2 3" xfId="22372"/>
    <cellStyle name="Separador de milhares 3 3 4 4 2 2 3 2" xfId="47439"/>
    <cellStyle name="Separador de milhares 3 3 4 4 2 2 4" xfId="16458"/>
    <cellStyle name="Separador de milhares 3 3 4 4 2 2 4 2" xfId="41525"/>
    <cellStyle name="Separador de milhares 3 3 4 4 2 2 5" xfId="35617"/>
    <cellStyle name="Separador de milhares 3 3 4 4 2 3" xfId="25329"/>
    <cellStyle name="Separador de milhares 3 3 4 4 2 3 2" xfId="50396"/>
    <cellStyle name="Separador de milhares 3 3 4 4 2 4" xfId="19415"/>
    <cellStyle name="Separador de milhares 3 3 4 4 2 4 2" xfId="44482"/>
    <cellStyle name="Separador de milhares 3 3 4 4 2 5" xfId="13314"/>
    <cellStyle name="Separador de milhares 3 3 4 4 2 5 2" xfId="38571"/>
    <cellStyle name="Separador de milhares 3 3 4 4 2 6" xfId="32660"/>
    <cellStyle name="Separador de milhares 3 3 4 4 3" xfId="8604"/>
    <cellStyle name="Separador de milhares 3 3 4 4 3 2" xfId="26818"/>
    <cellStyle name="Separador de milhares 3 3 4 4 3 2 2" xfId="51885"/>
    <cellStyle name="Separador de milhares 3 3 4 4 3 3" xfId="20904"/>
    <cellStyle name="Separador de milhares 3 3 4 4 3 3 2" xfId="45971"/>
    <cellStyle name="Separador de milhares 3 3 4 4 3 4" xfId="14990"/>
    <cellStyle name="Separador de milhares 3 3 4 4 3 4 2" xfId="40057"/>
    <cellStyle name="Separador de milhares 3 3 4 4 3 5" xfId="34149"/>
    <cellStyle name="Separador de milhares 3 3 4 4 4" xfId="5226"/>
    <cellStyle name="Separador de milhares 3 3 4 4 4 2" xfId="23861"/>
    <cellStyle name="Separador de milhares 3 3 4 4 4 2 2" xfId="48928"/>
    <cellStyle name="Separador de milhares 3 3 4 4 4 3" xfId="31192"/>
    <cellStyle name="Separador de milhares 3 3 4 4 5" xfId="17947"/>
    <cellStyle name="Separador de milhares 3 3 4 4 5 2" xfId="43014"/>
    <cellStyle name="Separador de milhares 3 3 4 4 6" xfId="11613"/>
    <cellStyle name="Separador de milhares 3 3 4 4 6 2" xfId="37103"/>
    <cellStyle name="Separador de milhares 3 3 4 4 7" xfId="29722"/>
    <cellStyle name="Separador de milhares 3 3 4 5" xfId="2293"/>
    <cellStyle name="Separador de milhares 3 3 4 5 2" xfId="7075"/>
    <cellStyle name="Separador de milhares 3 3 4 5 2 2" xfId="10219"/>
    <cellStyle name="Separador de milhares 3 3 4 5 2 2 2" xfId="28433"/>
    <cellStyle name="Separador de milhares 3 3 4 5 2 2 2 2" xfId="53500"/>
    <cellStyle name="Separador de milhares 3 3 4 5 2 2 3" xfId="22519"/>
    <cellStyle name="Separador de milhares 3 3 4 5 2 2 3 2" xfId="47586"/>
    <cellStyle name="Separador de milhares 3 3 4 5 2 2 4" xfId="16605"/>
    <cellStyle name="Separador de milhares 3 3 4 5 2 2 4 2" xfId="41672"/>
    <cellStyle name="Separador de milhares 3 3 4 5 2 2 5" xfId="35764"/>
    <cellStyle name="Separador de milhares 3 3 4 5 2 3" xfId="25476"/>
    <cellStyle name="Separador de milhares 3 3 4 5 2 3 2" xfId="50543"/>
    <cellStyle name="Separador de milhares 3 3 4 5 2 4" xfId="19562"/>
    <cellStyle name="Separador de milhares 3 3 4 5 2 4 2" xfId="44629"/>
    <cellStyle name="Separador de milhares 3 3 4 5 2 5" xfId="13464"/>
    <cellStyle name="Separador de milhares 3 3 4 5 2 5 2" xfId="38718"/>
    <cellStyle name="Separador de milhares 3 3 4 5 2 6" xfId="32807"/>
    <cellStyle name="Separador de milhares 3 3 4 5 3" xfId="8751"/>
    <cellStyle name="Separador de milhares 3 3 4 5 3 2" xfId="26965"/>
    <cellStyle name="Separador de milhares 3 3 4 5 3 2 2" xfId="52032"/>
    <cellStyle name="Separador de milhares 3 3 4 5 3 3" xfId="21051"/>
    <cellStyle name="Separador de milhares 3 3 4 5 3 3 2" xfId="46118"/>
    <cellStyle name="Separador de milhares 3 3 4 5 3 4" xfId="15137"/>
    <cellStyle name="Separador de milhares 3 3 4 5 3 4 2" xfId="40204"/>
    <cellStyle name="Separador de milhares 3 3 4 5 3 5" xfId="34296"/>
    <cellStyle name="Separador de milhares 3 3 4 5 4" xfId="5376"/>
    <cellStyle name="Separador de milhares 3 3 4 5 4 2" xfId="24008"/>
    <cellStyle name="Separador de milhares 3 3 4 5 4 2 2" xfId="49075"/>
    <cellStyle name="Separador de milhares 3 3 4 5 4 3" xfId="31339"/>
    <cellStyle name="Separador de milhares 3 3 4 5 5" xfId="18094"/>
    <cellStyle name="Separador de milhares 3 3 4 5 5 2" xfId="43161"/>
    <cellStyle name="Separador de milhares 3 3 4 5 6" xfId="11763"/>
    <cellStyle name="Separador de milhares 3 3 4 5 6 2" xfId="37250"/>
    <cellStyle name="Separador de milhares 3 3 4 5 7" xfId="29869"/>
    <cellStyle name="Separador de milhares 3 3 4 6" xfId="2820"/>
    <cellStyle name="Separador de milhares 3 3 4 6 2" xfId="7222"/>
    <cellStyle name="Separador de milhares 3 3 4 6 2 2" xfId="10366"/>
    <cellStyle name="Separador de milhares 3 3 4 6 2 2 2" xfId="28580"/>
    <cellStyle name="Separador de milhares 3 3 4 6 2 2 2 2" xfId="53647"/>
    <cellStyle name="Separador de milhares 3 3 4 6 2 2 3" xfId="22666"/>
    <cellStyle name="Separador de milhares 3 3 4 6 2 2 3 2" xfId="47733"/>
    <cellStyle name="Separador de milhares 3 3 4 6 2 2 4" xfId="16752"/>
    <cellStyle name="Separador de milhares 3 3 4 6 2 2 4 2" xfId="41819"/>
    <cellStyle name="Separador de milhares 3 3 4 6 2 2 5" xfId="35911"/>
    <cellStyle name="Separador de milhares 3 3 4 6 2 3" xfId="25623"/>
    <cellStyle name="Separador de milhares 3 3 4 6 2 3 2" xfId="50690"/>
    <cellStyle name="Separador de milhares 3 3 4 6 2 4" xfId="19709"/>
    <cellStyle name="Separador de milhares 3 3 4 6 2 4 2" xfId="44776"/>
    <cellStyle name="Separador de milhares 3 3 4 6 2 5" xfId="13611"/>
    <cellStyle name="Separador de milhares 3 3 4 6 2 5 2" xfId="38865"/>
    <cellStyle name="Separador de milhares 3 3 4 6 2 6" xfId="32954"/>
    <cellStyle name="Separador de milhares 3 3 4 6 3" xfId="8898"/>
    <cellStyle name="Separador de milhares 3 3 4 6 3 2" xfId="27112"/>
    <cellStyle name="Separador de milhares 3 3 4 6 3 2 2" xfId="52179"/>
    <cellStyle name="Separador de milhares 3 3 4 6 3 3" xfId="21198"/>
    <cellStyle name="Separador de milhares 3 3 4 6 3 3 2" xfId="46265"/>
    <cellStyle name="Separador de milhares 3 3 4 6 3 4" xfId="15284"/>
    <cellStyle name="Separador de milhares 3 3 4 6 3 4 2" xfId="40351"/>
    <cellStyle name="Separador de milhares 3 3 4 6 3 5" xfId="34443"/>
    <cellStyle name="Separador de milhares 3 3 4 6 4" xfId="5523"/>
    <cellStyle name="Separador de milhares 3 3 4 6 4 2" xfId="24155"/>
    <cellStyle name="Separador de milhares 3 3 4 6 4 2 2" xfId="49222"/>
    <cellStyle name="Separador de milhares 3 3 4 6 4 3" xfId="31486"/>
    <cellStyle name="Separador de milhares 3 3 4 6 5" xfId="18241"/>
    <cellStyle name="Separador de milhares 3 3 4 6 5 2" xfId="43308"/>
    <cellStyle name="Separador de milhares 3 3 4 6 6" xfId="11910"/>
    <cellStyle name="Separador de milhares 3 3 4 6 6 2" xfId="37397"/>
    <cellStyle name="Separador de milhares 3 3 4 6 7" xfId="30016"/>
    <cellStyle name="Separador de milhares 3 3 4 7" xfId="3347"/>
    <cellStyle name="Separador de milhares 3 3 4 7 2" xfId="7369"/>
    <cellStyle name="Separador de milhares 3 3 4 7 2 2" xfId="10513"/>
    <cellStyle name="Separador de milhares 3 3 4 7 2 2 2" xfId="28727"/>
    <cellStyle name="Separador de milhares 3 3 4 7 2 2 2 2" xfId="53794"/>
    <cellStyle name="Separador de milhares 3 3 4 7 2 2 3" xfId="22813"/>
    <cellStyle name="Separador de milhares 3 3 4 7 2 2 3 2" xfId="47880"/>
    <cellStyle name="Separador de milhares 3 3 4 7 2 2 4" xfId="16899"/>
    <cellStyle name="Separador de milhares 3 3 4 7 2 2 4 2" xfId="41966"/>
    <cellStyle name="Separador de milhares 3 3 4 7 2 2 5" xfId="36058"/>
    <cellStyle name="Separador de milhares 3 3 4 7 2 3" xfId="25770"/>
    <cellStyle name="Separador de milhares 3 3 4 7 2 3 2" xfId="50837"/>
    <cellStyle name="Separador de milhares 3 3 4 7 2 4" xfId="19856"/>
    <cellStyle name="Separador de milhares 3 3 4 7 2 4 2" xfId="44923"/>
    <cellStyle name="Separador de milhares 3 3 4 7 2 5" xfId="13758"/>
    <cellStyle name="Separador de milhares 3 3 4 7 2 5 2" xfId="39012"/>
    <cellStyle name="Separador de milhares 3 3 4 7 2 6" xfId="33101"/>
    <cellStyle name="Separador de milhares 3 3 4 7 3" xfId="9045"/>
    <cellStyle name="Separador de milhares 3 3 4 7 3 2" xfId="27259"/>
    <cellStyle name="Separador de milhares 3 3 4 7 3 2 2" xfId="52326"/>
    <cellStyle name="Separador de milhares 3 3 4 7 3 3" xfId="21345"/>
    <cellStyle name="Separador de milhares 3 3 4 7 3 3 2" xfId="46412"/>
    <cellStyle name="Separador de milhares 3 3 4 7 3 4" xfId="15431"/>
    <cellStyle name="Separador de milhares 3 3 4 7 3 4 2" xfId="40498"/>
    <cellStyle name="Separador de milhares 3 3 4 7 3 5" xfId="34590"/>
    <cellStyle name="Separador de milhares 3 3 4 7 4" xfId="5670"/>
    <cellStyle name="Separador de milhares 3 3 4 7 4 2" xfId="24302"/>
    <cellStyle name="Separador de milhares 3 3 4 7 4 2 2" xfId="49369"/>
    <cellStyle name="Separador de milhares 3 3 4 7 4 3" xfId="31633"/>
    <cellStyle name="Separador de milhares 3 3 4 7 5" xfId="18388"/>
    <cellStyle name="Separador de milhares 3 3 4 7 5 2" xfId="43455"/>
    <cellStyle name="Separador de milhares 3 3 4 7 6" xfId="12057"/>
    <cellStyle name="Separador de milhares 3 3 4 7 6 2" xfId="37544"/>
    <cellStyle name="Separador de milhares 3 3 4 7 7" xfId="30163"/>
    <cellStyle name="Separador de milhares 3 3 4 8" xfId="3874"/>
    <cellStyle name="Separador de milhares 3 3 4 8 2" xfId="7516"/>
    <cellStyle name="Separador de milhares 3 3 4 8 2 2" xfId="10660"/>
    <cellStyle name="Separador de milhares 3 3 4 8 2 2 2" xfId="28874"/>
    <cellStyle name="Separador de milhares 3 3 4 8 2 2 2 2" xfId="53941"/>
    <cellStyle name="Separador de milhares 3 3 4 8 2 2 3" xfId="22960"/>
    <cellStyle name="Separador de milhares 3 3 4 8 2 2 3 2" xfId="48027"/>
    <cellStyle name="Separador de milhares 3 3 4 8 2 2 4" xfId="17046"/>
    <cellStyle name="Separador de milhares 3 3 4 8 2 2 4 2" xfId="42113"/>
    <cellStyle name="Separador de milhares 3 3 4 8 2 2 5" xfId="36205"/>
    <cellStyle name="Separador de milhares 3 3 4 8 2 3" xfId="25917"/>
    <cellStyle name="Separador de milhares 3 3 4 8 2 3 2" xfId="50984"/>
    <cellStyle name="Separador de milhares 3 3 4 8 2 4" xfId="20003"/>
    <cellStyle name="Separador de milhares 3 3 4 8 2 4 2" xfId="45070"/>
    <cellStyle name="Separador de milhares 3 3 4 8 2 5" xfId="13905"/>
    <cellStyle name="Separador de milhares 3 3 4 8 2 5 2" xfId="39159"/>
    <cellStyle name="Separador de milhares 3 3 4 8 2 6" xfId="33248"/>
    <cellStyle name="Separador de milhares 3 3 4 8 3" xfId="9192"/>
    <cellStyle name="Separador de milhares 3 3 4 8 3 2" xfId="27406"/>
    <cellStyle name="Separador de milhares 3 3 4 8 3 2 2" xfId="52473"/>
    <cellStyle name="Separador de milhares 3 3 4 8 3 3" xfId="21492"/>
    <cellStyle name="Separador de milhares 3 3 4 8 3 3 2" xfId="46559"/>
    <cellStyle name="Separador de milhares 3 3 4 8 3 4" xfId="15578"/>
    <cellStyle name="Separador de milhares 3 3 4 8 3 4 2" xfId="40645"/>
    <cellStyle name="Separador de milhares 3 3 4 8 3 5" xfId="34737"/>
    <cellStyle name="Separador de milhares 3 3 4 8 4" xfId="5817"/>
    <cellStyle name="Separador de milhares 3 3 4 8 4 2" xfId="24449"/>
    <cellStyle name="Separador de milhares 3 3 4 8 4 2 2" xfId="49516"/>
    <cellStyle name="Separador de milhares 3 3 4 8 4 3" xfId="31780"/>
    <cellStyle name="Separador de milhares 3 3 4 8 5" xfId="18535"/>
    <cellStyle name="Separador de milhares 3 3 4 8 5 2" xfId="43602"/>
    <cellStyle name="Separador de milhares 3 3 4 8 6" xfId="12204"/>
    <cellStyle name="Separador de milhares 3 3 4 8 6 2" xfId="37691"/>
    <cellStyle name="Separador de milhares 3 3 4 8 7" xfId="30310"/>
    <cellStyle name="Separador de milhares 3 3 4 9" xfId="675"/>
    <cellStyle name="Separador de milhares 3 3 4 9 2" xfId="6610"/>
    <cellStyle name="Separador de milhares 3 3 4 9 2 2" xfId="9757"/>
    <cellStyle name="Separador de milhares 3 3 4 9 2 2 2" xfId="27971"/>
    <cellStyle name="Separador de milhares 3 3 4 9 2 2 2 2" xfId="53038"/>
    <cellStyle name="Separador de milhares 3 3 4 9 2 2 3" xfId="22057"/>
    <cellStyle name="Separador de milhares 3 3 4 9 2 2 3 2" xfId="47124"/>
    <cellStyle name="Separador de milhares 3 3 4 9 2 2 4" xfId="16143"/>
    <cellStyle name="Separador de milhares 3 3 4 9 2 2 4 2" xfId="41210"/>
    <cellStyle name="Separador de milhares 3 3 4 9 2 2 5" xfId="35302"/>
    <cellStyle name="Separador de milhares 3 3 4 9 2 3" xfId="25014"/>
    <cellStyle name="Separador de milhares 3 3 4 9 2 3 2" xfId="50081"/>
    <cellStyle name="Separador de milhares 3 3 4 9 2 4" xfId="19100"/>
    <cellStyle name="Separador de milhares 3 3 4 9 2 4 2" xfId="44167"/>
    <cellStyle name="Separador de milhares 3 3 4 9 2 5" xfId="12999"/>
    <cellStyle name="Separador de milhares 3 3 4 9 2 5 2" xfId="38256"/>
    <cellStyle name="Separador de milhares 3 3 4 9 2 6" xfId="32345"/>
    <cellStyle name="Separador de milhares 3 3 4 9 3" xfId="8289"/>
    <cellStyle name="Separador de milhares 3 3 4 9 3 2" xfId="26503"/>
    <cellStyle name="Separador de milhares 3 3 4 9 3 2 2" xfId="51570"/>
    <cellStyle name="Separador de milhares 3 3 4 9 3 3" xfId="20589"/>
    <cellStyle name="Separador de milhares 3 3 4 9 3 3 2" xfId="45656"/>
    <cellStyle name="Separador de milhares 3 3 4 9 3 4" xfId="14675"/>
    <cellStyle name="Separador de milhares 3 3 4 9 3 4 2" xfId="39742"/>
    <cellStyle name="Separador de milhares 3 3 4 9 3 5" xfId="33834"/>
    <cellStyle name="Separador de milhares 3 3 4 9 4" xfId="4911"/>
    <cellStyle name="Separador de milhares 3 3 4 9 4 2" xfId="23546"/>
    <cellStyle name="Separador de milhares 3 3 4 9 4 2 2" xfId="48613"/>
    <cellStyle name="Separador de milhares 3 3 4 9 4 3" xfId="30877"/>
    <cellStyle name="Separador de milhares 3 3 4 9 5" xfId="17632"/>
    <cellStyle name="Separador de milhares 3 3 4 9 5 2" xfId="42699"/>
    <cellStyle name="Separador de milhares 3 3 4 9 6" xfId="11298"/>
    <cellStyle name="Separador de milhares 3 3 4 9 6 2" xfId="36788"/>
    <cellStyle name="Separador de milhares 3 3 4 9 7" xfId="29407"/>
    <cellStyle name="Separador de milhares 3 3 5" xfId="589"/>
    <cellStyle name="Separador de milhares 3 3 5 10" xfId="4875"/>
    <cellStyle name="Separador de milhares 3 3 5 10 2" xfId="23509"/>
    <cellStyle name="Separador de milhares 3 3 5 10 2 2" xfId="48576"/>
    <cellStyle name="Separador de milhares 3 3 5 10 3" xfId="30841"/>
    <cellStyle name="Separador de milhares 3 3 5 11" xfId="17595"/>
    <cellStyle name="Separador de milhares 3 3 5 11 2" xfId="42662"/>
    <cellStyle name="Separador de milhares 3 3 5 12" xfId="11264"/>
    <cellStyle name="Separador de milhares 3 3 5 12 2" xfId="36754"/>
    <cellStyle name="Separador de milhares 3 3 5 13" xfId="29370"/>
    <cellStyle name="Separador de milhares 3 3 5 2" xfId="1412"/>
    <cellStyle name="Separador de milhares 3 3 5 2 2" xfId="6827"/>
    <cellStyle name="Separador de milhares 3 3 5 2 2 2" xfId="9974"/>
    <cellStyle name="Separador de milhares 3 3 5 2 2 2 2" xfId="28188"/>
    <cellStyle name="Separador de milhares 3 3 5 2 2 2 2 2" xfId="53255"/>
    <cellStyle name="Separador de milhares 3 3 5 2 2 2 3" xfId="22274"/>
    <cellStyle name="Separador de milhares 3 3 5 2 2 2 3 2" xfId="47341"/>
    <cellStyle name="Separador de milhares 3 3 5 2 2 2 4" xfId="16360"/>
    <cellStyle name="Separador de milhares 3 3 5 2 2 2 4 2" xfId="41427"/>
    <cellStyle name="Separador de milhares 3 3 5 2 2 2 5" xfId="35519"/>
    <cellStyle name="Separador de milhares 3 3 5 2 2 3" xfId="25231"/>
    <cellStyle name="Separador de milhares 3 3 5 2 2 3 2" xfId="50298"/>
    <cellStyle name="Separador de milhares 3 3 5 2 2 4" xfId="19317"/>
    <cellStyle name="Separador de milhares 3 3 5 2 2 4 2" xfId="44384"/>
    <cellStyle name="Separador de milhares 3 3 5 2 2 5" xfId="13216"/>
    <cellStyle name="Separador de milhares 3 3 5 2 2 5 2" xfId="38473"/>
    <cellStyle name="Separador de milhares 3 3 5 2 2 6" xfId="32562"/>
    <cellStyle name="Separador de milhares 3 3 5 2 3" xfId="8506"/>
    <cellStyle name="Separador de milhares 3 3 5 2 3 2" xfId="26720"/>
    <cellStyle name="Separador de milhares 3 3 5 2 3 2 2" xfId="51787"/>
    <cellStyle name="Separador de milhares 3 3 5 2 3 3" xfId="20806"/>
    <cellStyle name="Separador de milhares 3 3 5 2 3 3 2" xfId="45873"/>
    <cellStyle name="Separador de milhares 3 3 5 2 3 4" xfId="14892"/>
    <cellStyle name="Separador de milhares 3 3 5 2 3 4 2" xfId="39959"/>
    <cellStyle name="Separador de milhares 3 3 5 2 3 5" xfId="34051"/>
    <cellStyle name="Separador de milhares 3 3 5 2 4" xfId="5128"/>
    <cellStyle name="Separador de milhares 3 3 5 2 4 2" xfId="23763"/>
    <cellStyle name="Separador de milhares 3 3 5 2 4 2 2" xfId="48830"/>
    <cellStyle name="Separador de milhares 3 3 5 2 4 3" xfId="31094"/>
    <cellStyle name="Separador de milhares 3 3 5 2 5" xfId="17849"/>
    <cellStyle name="Separador de milhares 3 3 5 2 5 2" xfId="42916"/>
    <cellStyle name="Separador de milhares 3 3 5 2 6" xfId="11515"/>
    <cellStyle name="Separador de milhares 3 3 5 2 6 2" xfId="37005"/>
    <cellStyle name="Separador de milhares 3 3 5 2 7" xfId="29624"/>
    <cellStyle name="Separador de milhares 3 3 5 3" xfId="1847"/>
    <cellStyle name="Separador de milhares 3 3 5 3 2" xfId="6946"/>
    <cellStyle name="Separador de milhares 3 3 5 3 2 2" xfId="10093"/>
    <cellStyle name="Separador de milhares 3 3 5 3 2 2 2" xfId="28307"/>
    <cellStyle name="Separador de milhares 3 3 5 3 2 2 2 2" xfId="53374"/>
    <cellStyle name="Separador de milhares 3 3 5 3 2 2 3" xfId="22393"/>
    <cellStyle name="Separador de milhares 3 3 5 3 2 2 3 2" xfId="47460"/>
    <cellStyle name="Separador de milhares 3 3 5 3 2 2 4" xfId="16479"/>
    <cellStyle name="Separador de milhares 3 3 5 3 2 2 4 2" xfId="41546"/>
    <cellStyle name="Separador de milhares 3 3 5 3 2 2 5" xfId="35638"/>
    <cellStyle name="Separador de milhares 3 3 5 3 2 3" xfId="25350"/>
    <cellStyle name="Separador de milhares 3 3 5 3 2 3 2" xfId="50417"/>
    <cellStyle name="Separador de milhares 3 3 5 3 2 4" xfId="19436"/>
    <cellStyle name="Separador de milhares 3 3 5 3 2 4 2" xfId="44503"/>
    <cellStyle name="Separador de milhares 3 3 5 3 2 5" xfId="13335"/>
    <cellStyle name="Separador de milhares 3 3 5 3 2 5 2" xfId="38592"/>
    <cellStyle name="Separador de milhares 3 3 5 3 2 6" xfId="32681"/>
    <cellStyle name="Separador de milhares 3 3 5 3 3" xfId="8625"/>
    <cellStyle name="Separador de milhares 3 3 5 3 3 2" xfId="26839"/>
    <cellStyle name="Separador de milhares 3 3 5 3 3 2 2" xfId="51906"/>
    <cellStyle name="Separador de milhares 3 3 5 3 3 3" xfId="20925"/>
    <cellStyle name="Separador de milhares 3 3 5 3 3 3 2" xfId="45992"/>
    <cellStyle name="Separador de milhares 3 3 5 3 3 4" xfId="15011"/>
    <cellStyle name="Separador de milhares 3 3 5 3 3 4 2" xfId="40078"/>
    <cellStyle name="Separador de milhares 3 3 5 3 3 5" xfId="34170"/>
    <cellStyle name="Separador de milhares 3 3 5 3 4" xfId="5247"/>
    <cellStyle name="Separador de milhares 3 3 5 3 4 2" xfId="23882"/>
    <cellStyle name="Separador de milhares 3 3 5 3 4 2 2" xfId="48949"/>
    <cellStyle name="Separador de milhares 3 3 5 3 4 3" xfId="31213"/>
    <cellStyle name="Separador de milhares 3 3 5 3 5" xfId="17968"/>
    <cellStyle name="Separador de milhares 3 3 5 3 5 2" xfId="43035"/>
    <cellStyle name="Separador de milhares 3 3 5 3 6" xfId="11634"/>
    <cellStyle name="Separador de milhares 3 3 5 3 6 2" xfId="37124"/>
    <cellStyle name="Separador de milhares 3 3 5 3 7" xfId="29743"/>
    <cellStyle name="Separador de milhares 3 3 5 4" xfId="2377"/>
    <cellStyle name="Separador de milhares 3 3 5 4 2" xfId="7096"/>
    <cellStyle name="Separador de milhares 3 3 5 4 2 2" xfId="10240"/>
    <cellStyle name="Separador de milhares 3 3 5 4 2 2 2" xfId="28454"/>
    <cellStyle name="Separador de milhares 3 3 5 4 2 2 2 2" xfId="53521"/>
    <cellStyle name="Separador de milhares 3 3 5 4 2 2 3" xfId="22540"/>
    <cellStyle name="Separador de milhares 3 3 5 4 2 2 3 2" xfId="47607"/>
    <cellStyle name="Separador de milhares 3 3 5 4 2 2 4" xfId="16626"/>
    <cellStyle name="Separador de milhares 3 3 5 4 2 2 4 2" xfId="41693"/>
    <cellStyle name="Separador de milhares 3 3 5 4 2 2 5" xfId="35785"/>
    <cellStyle name="Separador de milhares 3 3 5 4 2 3" xfId="25497"/>
    <cellStyle name="Separador de milhares 3 3 5 4 2 3 2" xfId="50564"/>
    <cellStyle name="Separador de milhares 3 3 5 4 2 4" xfId="19583"/>
    <cellStyle name="Separador de milhares 3 3 5 4 2 4 2" xfId="44650"/>
    <cellStyle name="Separador de milhares 3 3 5 4 2 5" xfId="13485"/>
    <cellStyle name="Separador de milhares 3 3 5 4 2 5 2" xfId="38739"/>
    <cellStyle name="Separador de milhares 3 3 5 4 2 6" xfId="32828"/>
    <cellStyle name="Separador de milhares 3 3 5 4 3" xfId="8772"/>
    <cellStyle name="Separador de milhares 3 3 5 4 3 2" xfId="26986"/>
    <cellStyle name="Separador de milhares 3 3 5 4 3 2 2" xfId="52053"/>
    <cellStyle name="Separador de milhares 3 3 5 4 3 3" xfId="21072"/>
    <cellStyle name="Separador de milhares 3 3 5 4 3 3 2" xfId="46139"/>
    <cellStyle name="Separador de milhares 3 3 5 4 3 4" xfId="15158"/>
    <cellStyle name="Separador de milhares 3 3 5 4 3 4 2" xfId="40225"/>
    <cellStyle name="Separador de milhares 3 3 5 4 3 5" xfId="34317"/>
    <cellStyle name="Separador de milhares 3 3 5 4 4" xfId="5397"/>
    <cellStyle name="Separador de milhares 3 3 5 4 4 2" xfId="24029"/>
    <cellStyle name="Separador de milhares 3 3 5 4 4 2 2" xfId="49096"/>
    <cellStyle name="Separador de milhares 3 3 5 4 4 3" xfId="31360"/>
    <cellStyle name="Separador de milhares 3 3 5 4 5" xfId="18115"/>
    <cellStyle name="Separador de milhares 3 3 5 4 5 2" xfId="43182"/>
    <cellStyle name="Separador de milhares 3 3 5 4 6" xfId="11784"/>
    <cellStyle name="Separador de milhares 3 3 5 4 6 2" xfId="37271"/>
    <cellStyle name="Separador de milhares 3 3 5 4 7" xfId="29890"/>
    <cellStyle name="Separador de milhares 3 3 5 5" xfId="2904"/>
    <cellStyle name="Separador de milhares 3 3 5 5 2" xfId="7243"/>
    <cellStyle name="Separador de milhares 3 3 5 5 2 2" xfId="10387"/>
    <cellStyle name="Separador de milhares 3 3 5 5 2 2 2" xfId="28601"/>
    <cellStyle name="Separador de milhares 3 3 5 5 2 2 2 2" xfId="53668"/>
    <cellStyle name="Separador de milhares 3 3 5 5 2 2 3" xfId="22687"/>
    <cellStyle name="Separador de milhares 3 3 5 5 2 2 3 2" xfId="47754"/>
    <cellStyle name="Separador de milhares 3 3 5 5 2 2 4" xfId="16773"/>
    <cellStyle name="Separador de milhares 3 3 5 5 2 2 4 2" xfId="41840"/>
    <cellStyle name="Separador de milhares 3 3 5 5 2 2 5" xfId="35932"/>
    <cellStyle name="Separador de milhares 3 3 5 5 2 3" xfId="25644"/>
    <cellStyle name="Separador de milhares 3 3 5 5 2 3 2" xfId="50711"/>
    <cellStyle name="Separador de milhares 3 3 5 5 2 4" xfId="19730"/>
    <cellStyle name="Separador de milhares 3 3 5 5 2 4 2" xfId="44797"/>
    <cellStyle name="Separador de milhares 3 3 5 5 2 5" xfId="13632"/>
    <cellStyle name="Separador de milhares 3 3 5 5 2 5 2" xfId="38886"/>
    <cellStyle name="Separador de milhares 3 3 5 5 2 6" xfId="32975"/>
    <cellStyle name="Separador de milhares 3 3 5 5 3" xfId="8919"/>
    <cellStyle name="Separador de milhares 3 3 5 5 3 2" xfId="27133"/>
    <cellStyle name="Separador de milhares 3 3 5 5 3 2 2" xfId="52200"/>
    <cellStyle name="Separador de milhares 3 3 5 5 3 3" xfId="21219"/>
    <cellStyle name="Separador de milhares 3 3 5 5 3 3 2" xfId="46286"/>
    <cellStyle name="Separador de milhares 3 3 5 5 3 4" xfId="15305"/>
    <cellStyle name="Separador de milhares 3 3 5 5 3 4 2" xfId="40372"/>
    <cellStyle name="Separador de milhares 3 3 5 5 3 5" xfId="34464"/>
    <cellStyle name="Separador de milhares 3 3 5 5 4" xfId="5544"/>
    <cellStyle name="Separador de milhares 3 3 5 5 4 2" xfId="24176"/>
    <cellStyle name="Separador de milhares 3 3 5 5 4 2 2" xfId="49243"/>
    <cellStyle name="Separador de milhares 3 3 5 5 4 3" xfId="31507"/>
    <cellStyle name="Separador de milhares 3 3 5 5 5" xfId="18262"/>
    <cellStyle name="Separador de milhares 3 3 5 5 5 2" xfId="43329"/>
    <cellStyle name="Separador de milhares 3 3 5 5 6" xfId="11931"/>
    <cellStyle name="Separador de milhares 3 3 5 5 6 2" xfId="37418"/>
    <cellStyle name="Separador de milhares 3 3 5 5 7" xfId="30037"/>
    <cellStyle name="Separador de milhares 3 3 5 6" xfId="3431"/>
    <cellStyle name="Separador de milhares 3 3 5 6 2" xfId="7390"/>
    <cellStyle name="Separador de milhares 3 3 5 6 2 2" xfId="10534"/>
    <cellStyle name="Separador de milhares 3 3 5 6 2 2 2" xfId="28748"/>
    <cellStyle name="Separador de milhares 3 3 5 6 2 2 2 2" xfId="53815"/>
    <cellStyle name="Separador de milhares 3 3 5 6 2 2 3" xfId="22834"/>
    <cellStyle name="Separador de milhares 3 3 5 6 2 2 3 2" xfId="47901"/>
    <cellStyle name="Separador de milhares 3 3 5 6 2 2 4" xfId="16920"/>
    <cellStyle name="Separador de milhares 3 3 5 6 2 2 4 2" xfId="41987"/>
    <cellStyle name="Separador de milhares 3 3 5 6 2 2 5" xfId="36079"/>
    <cellStyle name="Separador de milhares 3 3 5 6 2 3" xfId="25791"/>
    <cellStyle name="Separador de milhares 3 3 5 6 2 3 2" xfId="50858"/>
    <cellStyle name="Separador de milhares 3 3 5 6 2 4" xfId="19877"/>
    <cellStyle name="Separador de milhares 3 3 5 6 2 4 2" xfId="44944"/>
    <cellStyle name="Separador de milhares 3 3 5 6 2 5" xfId="13779"/>
    <cellStyle name="Separador de milhares 3 3 5 6 2 5 2" xfId="39033"/>
    <cellStyle name="Separador de milhares 3 3 5 6 2 6" xfId="33122"/>
    <cellStyle name="Separador de milhares 3 3 5 6 3" xfId="9066"/>
    <cellStyle name="Separador de milhares 3 3 5 6 3 2" xfId="27280"/>
    <cellStyle name="Separador de milhares 3 3 5 6 3 2 2" xfId="52347"/>
    <cellStyle name="Separador de milhares 3 3 5 6 3 3" xfId="21366"/>
    <cellStyle name="Separador de milhares 3 3 5 6 3 3 2" xfId="46433"/>
    <cellStyle name="Separador de milhares 3 3 5 6 3 4" xfId="15452"/>
    <cellStyle name="Separador de milhares 3 3 5 6 3 4 2" xfId="40519"/>
    <cellStyle name="Separador de milhares 3 3 5 6 3 5" xfId="34611"/>
    <cellStyle name="Separador de milhares 3 3 5 6 4" xfId="5691"/>
    <cellStyle name="Separador de milhares 3 3 5 6 4 2" xfId="24323"/>
    <cellStyle name="Separador de milhares 3 3 5 6 4 2 2" xfId="49390"/>
    <cellStyle name="Separador de milhares 3 3 5 6 4 3" xfId="31654"/>
    <cellStyle name="Separador de milhares 3 3 5 6 5" xfId="18409"/>
    <cellStyle name="Separador de milhares 3 3 5 6 5 2" xfId="43476"/>
    <cellStyle name="Separador de milhares 3 3 5 6 6" xfId="12078"/>
    <cellStyle name="Separador de milhares 3 3 5 6 6 2" xfId="37565"/>
    <cellStyle name="Separador de milhares 3 3 5 6 7" xfId="30184"/>
    <cellStyle name="Separador de milhares 3 3 5 7" xfId="3958"/>
    <cellStyle name="Separador de milhares 3 3 5 7 2" xfId="7537"/>
    <cellStyle name="Separador de milhares 3 3 5 7 2 2" xfId="10681"/>
    <cellStyle name="Separador de milhares 3 3 5 7 2 2 2" xfId="28895"/>
    <cellStyle name="Separador de milhares 3 3 5 7 2 2 2 2" xfId="53962"/>
    <cellStyle name="Separador de milhares 3 3 5 7 2 2 3" xfId="22981"/>
    <cellStyle name="Separador de milhares 3 3 5 7 2 2 3 2" xfId="48048"/>
    <cellStyle name="Separador de milhares 3 3 5 7 2 2 4" xfId="17067"/>
    <cellStyle name="Separador de milhares 3 3 5 7 2 2 4 2" xfId="42134"/>
    <cellStyle name="Separador de milhares 3 3 5 7 2 2 5" xfId="36226"/>
    <cellStyle name="Separador de milhares 3 3 5 7 2 3" xfId="25938"/>
    <cellStyle name="Separador de milhares 3 3 5 7 2 3 2" xfId="51005"/>
    <cellStyle name="Separador de milhares 3 3 5 7 2 4" xfId="20024"/>
    <cellStyle name="Separador de milhares 3 3 5 7 2 4 2" xfId="45091"/>
    <cellStyle name="Separador de milhares 3 3 5 7 2 5" xfId="13926"/>
    <cellStyle name="Separador de milhares 3 3 5 7 2 5 2" xfId="39180"/>
    <cellStyle name="Separador de milhares 3 3 5 7 2 6" xfId="33269"/>
    <cellStyle name="Separador de milhares 3 3 5 7 3" xfId="9213"/>
    <cellStyle name="Separador de milhares 3 3 5 7 3 2" xfId="27427"/>
    <cellStyle name="Separador de milhares 3 3 5 7 3 2 2" xfId="52494"/>
    <cellStyle name="Separador de milhares 3 3 5 7 3 3" xfId="21513"/>
    <cellStyle name="Separador de milhares 3 3 5 7 3 3 2" xfId="46580"/>
    <cellStyle name="Separador de milhares 3 3 5 7 3 4" xfId="15599"/>
    <cellStyle name="Separador de milhares 3 3 5 7 3 4 2" xfId="40666"/>
    <cellStyle name="Separador de milhares 3 3 5 7 3 5" xfId="34758"/>
    <cellStyle name="Separador de milhares 3 3 5 7 4" xfId="5838"/>
    <cellStyle name="Separador de milhares 3 3 5 7 4 2" xfId="24470"/>
    <cellStyle name="Separador de milhares 3 3 5 7 4 2 2" xfId="49537"/>
    <cellStyle name="Separador de milhares 3 3 5 7 4 3" xfId="31801"/>
    <cellStyle name="Separador de milhares 3 3 5 7 5" xfId="18556"/>
    <cellStyle name="Separador de milhares 3 3 5 7 5 2" xfId="43623"/>
    <cellStyle name="Separador de milhares 3 3 5 7 6" xfId="12225"/>
    <cellStyle name="Separador de milhares 3 3 5 7 6 2" xfId="37712"/>
    <cellStyle name="Separador de milhares 3 3 5 7 7" xfId="30331"/>
    <cellStyle name="Separador de milhares 3 3 5 8" xfId="6576"/>
    <cellStyle name="Separador de milhares 3 3 5 8 2" xfId="9723"/>
    <cellStyle name="Separador de milhares 3 3 5 8 2 2" xfId="27937"/>
    <cellStyle name="Separador de milhares 3 3 5 8 2 2 2" xfId="53004"/>
    <cellStyle name="Separador de milhares 3 3 5 8 2 3" xfId="22023"/>
    <cellStyle name="Separador de milhares 3 3 5 8 2 3 2" xfId="47090"/>
    <cellStyle name="Separador de milhares 3 3 5 8 2 4" xfId="16109"/>
    <cellStyle name="Separador de milhares 3 3 5 8 2 4 2" xfId="41176"/>
    <cellStyle name="Separador de milhares 3 3 5 8 2 5" xfId="35268"/>
    <cellStyle name="Separador de milhares 3 3 5 8 3" xfId="24980"/>
    <cellStyle name="Separador de milhares 3 3 5 8 3 2" xfId="50047"/>
    <cellStyle name="Separador de milhares 3 3 5 8 4" xfId="19066"/>
    <cellStyle name="Separador de milhares 3 3 5 8 4 2" xfId="44133"/>
    <cellStyle name="Separador de milhares 3 3 5 8 5" xfId="12965"/>
    <cellStyle name="Separador de milhares 3 3 5 8 5 2" xfId="38222"/>
    <cellStyle name="Separador de milhares 3 3 5 8 6" xfId="32311"/>
    <cellStyle name="Separador de milhares 3 3 5 9" xfId="8252"/>
    <cellStyle name="Separador de milhares 3 3 5 9 2" xfId="26466"/>
    <cellStyle name="Separador de milhares 3 3 5 9 2 2" xfId="51533"/>
    <cellStyle name="Separador de milhares 3 3 5 9 3" xfId="20552"/>
    <cellStyle name="Separador de milhares 3 3 5 9 3 2" xfId="45619"/>
    <cellStyle name="Separador de milhares 3 3 5 9 4" xfId="14641"/>
    <cellStyle name="Separador de milhares 3 3 5 9 4 2" xfId="39708"/>
    <cellStyle name="Separador de milhares 3 3 5 9 5" xfId="33797"/>
    <cellStyle name="Separador de milhares 3 3 6" xfId="710"/>
    <cellStyle name="Separador de milhares 3 3 6 2" xfId="4134"/>
    <cellStyle name="Separador de milhares 3 3 6 2 2" xfId="7586"/>
    <cellStyle name="Separador de milhares 3 3 6 2 2 2" xfId="10730"/>
    <cellStyle name="Separador de milhares 3 3 6 2 2 2 2" xfId="28944"/>
    <cellStyle name="Separador de milhares 3 3 6 2 2 2 2 2" xfId="54011"/>
    <cellStyle name="Separador de milhares 3 3 6 2 2 2 3" xfId="23030"/>
    <cellStyle name="Separador de milhares 3 3 6 2 2 2 3 2" xfId="48097"/>
    <cellStyle name="Separador de milhares 3 3 6 2 2 2 4" xfId="17116"/>
    <cellStyle name="Separador de milhares 3 3 6 2 2 2 4 2" xfId="42183"/>
    <cellStyle name="Separador de milhares 3 3 6 2 2 2 5" xfId="36275"/>
    <cellStyle name="Separador de milhares 3 3 6 2 2 3" xfId="25987"/>
    <cellStyle name="Separador de milhares 3 3 6 2 2 3 2" xfId="51054"/>
    <cellStyle name="Separador de milhares 3 3 6 2 2 4" xfId="20073"/>
    <cellStyle name="Separador de milhares 3 3 6 2 2 4 2" xfId="45140"/>
    <cellStyle name="Separador de milhares 3 3 6 2 2 5" xfId="13975"/>
    <cellStyle name="Separador de milhares 3 3 6 2 2 5 2" xfId="39229"/>
    <cellStyle name="Separador de milhares 3 3 6 2 2 6" xfId="33318"/>
    <cellStyle name="Separador de milhares 3 3 6 2 3" xfId="9262"/>
    <cellStyle name="Separador de milhares 3 3 6 2 3 2" xfId="27476"/>
    <cellStyle name="Separador de milhares 3 3 6 2 3 2 2" xfId="52543"/>
    <cellStyle name="Separador de milhares 3 3 6 2 3 3" xfId="21562"/>
    <cellStyle name="Separador de milhares 3 3 6 2 3 3 2" xfId="46629"/>
    <cellStyle name="Separador de milhares 3 3 6 2 3 4" xfId="15648"/>
    <cellStyle name="Separador de milhares 3 3 6 2 3 4 2" xfId="40715"/>
    <cellStyle name="Separador de milhares 3 3 6 2 3 5" xfId="34807"/>
    <cellStyle name="Separador de milhares 3 3 6 2 4" xfId="5887"/>
    <cellStyle name="Separador de milhares 3 3 6 2 4 2" xfId="24519"/>
    <cellStyle name="Separador de milhares 3 3 6 2 4 2 2" xfId="49586"/>
    <cellStyle name="Separador de milhares 3 3 6 2 4 3" xfId="31850"/>
    <cellStyle name="Separador de milhares 3 3 6 2 5" xfId="18605"/>
    <cellStyle name="Separador de milhares 3 3 6 2 5 2" xfId="43672"/>
    <cellStyle name="Separador de milhares 3 3 6 2 6" xfId="12274"/>
    <cellStyle name="Separador de milhares 3 3 6 2 6 2" xfId="37761"/>
    <cellStyle name="Separador de milhares 3 3 6 2 7" xfId="30380"/>
    <cellStyle name="Separador de milhares 3 3 6 3" xfId="6631"/>
    <cellStyle name="Separador de milhares 3 3 6 3 2" xfId="9778"/>
    <cellStyle name="Separador de milhares 3 3 6 3 2 2" xfId="27992"/>
    <cellStyle name="Separador de milhares 3 3 6 3 2 2 2" xfId="53059"/>
    <cellStyle name="Separador de milhares 3 3 6 3 2 3" xfId="22078"/>
    <cellStyle name="Separador de milhares 3 3 6 3 2 3 2" xfId="47145"/>
    <cellStyle name="Separador de milhares 3 3 6 3 2 4" xfId="16164"/>
    <cellStyle name="Separador de milhares 3 3 6 3 2 4 2" xfId="41231"/>
    <cellStyle name="Separador de milhares 3 3 6 3 2 5" xfId="35323"/>
    <cellStyle name="Separador de milhares 3 3 6 3 3" xfId="25035"/>
    <cellStyle name="Separador de milhares 3 3 6 3 3 2" xfId="50102"/>
    <cellStyle name="Separador de milhares 3 3 6 3 4" xfId="19121"/>
    <cellStyle name="Separador de milhares 3 3 6 3 4 2" xfId="44188"/>
    <cellStyle name="Separador de milhares 3 3 6 3 5" xfId="13020"/>
    <cellStyle name="Separador de milhares 3 3 6 3 5 2" xfId="38277"/>
    <cellStyle name="Separador de milhares 3 3 6 3 6" xfId="32366"/>
    <cellStyle name="Separador de milhares 3 3 6 4" xfId="8310"/>
    <cellStyle name="Separador de milhares 3 3 6 4 2" xfId="26524"/>
    <cellStyle name="Separador de milhares 3 3 6 4 2 2" xfId="51591"/>
    <cellStyle name="Separador de milhares 3 3 6 4 3" xfId="20610"/>
    <cellStyle name="Separador de milhares 3 3 6 4 3 2" xfId="45677"/>
    <cellStyle name="Separador de milhares 3 3 6 4 4" xfId="14696"/>
    <cellStyle name="Separador de milhares 3 3 6 4 4 2" xfId="39763"/>
    <cellStyle name="Separador de milhares 3 3 6 4 5" xfId="33855"/>
    <cellStyle name="Separador de milhares 3 3 6 5" xfId="4932"/>
    <cellStyle name="Separador de milhares 3 3 6 5 2" xfId="23567"/>
    <cellStyle name="Separador de milhares 3 3 6 5 2 2" xfId="48634"/>
    <cellStyle name="Separador de milhares 3 3 6 5 3" xfId="30898"/>
    <cellStyle name="Separador de milhares 3 3 6 6" xfId="17653"/>
    <cellStyle name="Separador de milhares 3 3 6 6 2" xfId="42720"/>
    <cellStyle name="Separador de milhares 3 3 6 7" xfId="11319"/>
    <cellStyle name="Separador de milhares 3 3 6 7 2" xfId="36809"/>
    <cellStyle name="Separador de milhares 3 3 6 8" xfId="29428"/>
    <cellStyle name="Separador de milhares 3 3 7" xfId="1061"/>
    <cellStyle name="Separador de milhares 3 3 7 2" xfId="6729"/>
    <cellStyle name="Separador de milhares 3 3 7 2 2" xfId="9876"/>
    <cellStyle name="Separador de milhares 3 3 7 2 2 2" xfId="28090"/>
    <cellStyle name="Separador de milhares 3 3 7 2 2 2 2" xfId="53157"/>
    <cellStyle name="Separador de milhares 3 3 7 2 2 3" xfId="22176"/>
    <cellStyle name="Separador de milhares 3 3 7 2 2 3 2" xfId="47243"/>
    <cellStyle name="Separador de milhares 3 3 7 2 2 4" xfId="16262"/>
    <cellStyle name="Separador de milhares 3 3 7 2 2 4 2" xfId="41329"/>
    <cellStyle name="Separador de milhares 3 3 7 2 2 5" xfId="35421"/>
    <cellStyle name="Separador de milhares 3 3 7 2 3" xfId="25133"/>
    <cellStyle name="Separador de milhares 3 3 7 2 3 2" xfId="50200"/>
    <cellStyle name="Separador de milhares 3 3 7 2 4" xfId="19219"/>
    <cellStyle name="Separador de milhares 3 3 7 2 4 2" xfId="44286"/>
    <cellStyle name="Separador de milhares 3 3 7 2 5" xfId="13118"/>
    <cellStyle name="Separador de milhares 3 3 7 2 5 2" xfId="38375"/>
    <cellStyle name="Separador de milhares 3 3 7 2 6" xfId="32464"/>
    <cellStyle name="Separador de milhares 3 3 7 3" xfId="8408"/>
    <cellStyle name="Separador de milhares 3 3 7 3 2" xfId="26622"/>
    <cellStyle name="Separador de milhares 3 3 7 3 2 2" xfId="51689"/>
    <cellStyle name="Separador de milhares 3 3 7 3 3" xfId="20708"/>
    <cellStyle name="Separador de milhares 3 3 7 3 3 2" xfId="45775"/>
    <cellStyle name="Separador de milhares 3 3 7 3 4" xfId="14794"/>
    <cellStyle name="Separador de milhares 3 3 7 3 4 2" xfId="39861"/>
    <cellStyle name="Separador de milhares 3 3 7 3 5" xfId="33953"/>
    <cellStyle name="Separador de milhares 3 3 7 4" xfId="5030"/>
    <cellStyle name="Separador de milhares 3 3 7 4 2" xfId="23665"/>
    <cellStyle name="Separador de milhares 3 3 7 4 2 2" xfId="48732"/>
    <cellStyle name="Separador de milhares 3 3 7 4 3" xfId="30996"/>
    <cellStyle name="Separador de milhares 3 3 7 5" xfId="17751"/>
    <cellStyle name="Separador de milhares 3 3 7 5 2" xfId="42818"/>
    <cellStyle name="Separador de milhares 3 3 7 6" xfId="11417"/>
    <cellStyle name="Separador de milhares 3 3 7 6 2" xfId="36907"/>
    <cellStyle name="Separador de milhares 3 3 7 7" xfId="29526"/>
    <cellStyle name="Separador de milhares 3 3 8" xfId="1496"/>
    <cellStyle name="Separador de milhares 3 3 8 2" xfId="6848"/>
    <cellStyle name="Separador de milhares 3 3 8 2 2" xfId="9995"/>
    <cellStyle name="Separador de milhares 3 3 8 2 2 2" xfId="28209"/>
    <cellStyle name="Separador de milhares 3 3 8 2 2 2 2" xfId="53276"/>
    <cellStyle name="Separador de milhares 3 3 8 2 2 3" xfId="22295"/>
    <cellStyle name="Separador de milhares 3 3 8 2 2 3 2" xfId="47362"/>
    <cellStyle name="Separador de milhares 3 3 8 2 2 4" xfId="16381"/>
    <cellStyle name="Separador de milhares 3 3 8 2 2 4 2" xfId="41448"/>
    <cellStyle name="Separador de milhares 3 3 8 2 2 5" xfId="35540"/>
    <cellStyle name="Separador de milhares 3 3 8 2 3" xfId="25252"/>
    <cellStyle name="Separador de milhares 3 3 8 2 3 2" xfId="50319"/>
    <cellStyle name="Separador de milhares 3 3 8 2 4" xfId="19338"/>
    <cellStyle name="Separador de milhares 3 3 8 2 4 2" xfId="44405"/>
    <cellStyle name="Separador de milhares 3 3 8 2 5" xfId="13237"/>
    <cellStyle name="Separador de milhares 3 3 8 2 5 2" xfId="38494"/>
    <cellStyle name="Separador de milhares 3 3 8 2 6" xfId="32583"/>
    <cellStyle name="Separador de milhares 3 3 8 3" xfId="8527"/>
    <cellStyle name="Separador de milhares 3 3 8 3 2" xfId="26741"/>
    <cellStyle name="Separador de milhares 3 3 8 3 2 2" xfId="51808"/>
    <cellStyle name="Separador de milhares 3 3 8 3 3" xfId="20827"/>
    <cellStyle name="Separador de milhares 3 3 8 3 3 2" xfId="45894"/>
    <cellStyle name="Separador de milhares 3 3 8 3 4" xfId="14913"/>
    <cellStyle name="Separador de milhares 3 3 8 3 4 2" xfId="39980"/>
    <cellStyle name="Separador de milhares 3 3 8 3 5" xfId="34072"/>
    <cellStyle name="Separador de milhares 3 3 8 4" xfId="5149"/>
    <cellStyle name="Separador de milhares 3 3 8 4 2" xfId="23784"/>
    <cellStyle name="Separador de milhares 3 3 8 4 2 2" xfId="48851"/>
    <cellStyle name="Separador de milhares 3 3 8 4 3" xfId="31115"/>
    <cellStyle name="Separador de milhares 3 3 8 5" xfId="17870"/>
    <cellStyle name="Separador de milhares 3 3 8 5 2" xfId="42937"/>
    <cellStyle name="Separador de milhares 3 3 8 6" xfId="11536"/>
    <cellStyle name="Separador de milhares 3 3 8 6 2" xfId="37026"/>
    <cellStyle name="Separador de milhares 3 3 8 7" xfId="29645"/>
    <cellStyle name="Separador de milhares 3 3 9" xfId="2026"/>
    <cellStyle name="Separador de milhares 3 3 9 2" xfId="6998"/>
    <cellStyle name="Separador de milhares 3 3 9 2 2" xfId="10142"/>
    <cellStyle name="Separador de milhares 3 3 9 2 2 2" xfId="28356"/>
    <cellStyle name="Separador de milhares 3 3 9 2 2 2 2" xfId="53423"/>
    <cellStyle name="Separador de milhares 3 3 9 2 2 3" xfId="22442"/>
    <cellStyle name="Separador de milhares 3 3 9 2 2 3 2" xfId="47509"/>
    <cellStyle name="Separador de milhares 3 3 9 2 2 4" xfId="16528"/>
    <cellStyle name="Separador de milhares 3 3 9 2 2 4 2" xfId="41595"/>
    <cellStyle name="Separador de milhares 3 3 9 2 2 5" xfId="35687"/>
    <cellStyle name="Separador de milhares 3 3 9 2 3" xfId="25399"/>
    <cellStyle name="Separador de milhares 3 3 9 2 3 2" xfId="50466"/>
    <cellStyle name="Separador de milhares 3 3 9 2 4" xfId="19485"/>
    <cellStyle name="Separador de milhares 3 3 9 2 4 2" xfId="44552"/>
    <cellStyle name="Separador de milhares 3 3 9 2 5" xfId="13387"/>
    <cellStyle name="Separador de milhares 3 3 9 2 5 2" xfId="38641"/>
    <cellStyle name="Separador de milhares 3 3 9 2 6" xfId="32730"/>
    <cellStyle name="Separador de milhares 3 3 9 3" xfId="8674"/>
    <cellStyle name="Separador de milhares 3 3 9 3 2" xfId="26888"/>
    <cellStyle name="Separador de milhares 3 3 9 3 2 2" xfId="51955"/>
    <cellStyle name="Separador de milhares 3 3 9 3 3" xfId="20974"/>
    <cellStyle name="Separador de milhares 3 3 9 3 3 2" xfId="46041"/>
    <cellStyle name="Separador de milhares 3 3 9 3 4" xfId="15060"/>
    <cellStyle name="Separador de milhares 3 3 9 3 4 2" xfId="40127"/>
    <cellStyle name="Separador de milhares 3 3 9 3 5" xfId="34219"/>
    <cellStyle name="Separador de milhares 3 3 9 4" xfId="5299"/>
    <cellStyle name="Separador de milhares 3 3 9 4 2" xfId="23931"/>
    <cellStyle name="Separador de milhares 3 3 9 4 2 2" xfId="48998"/>
    <cellStyle name="Separador de milhares 3 3 9 4 3" xfId="31262"/>
    <cellStyle name="Separador de milhares 3 3 9 5" xfId="18017"/>
    <cellStyle name="Separador de milhares 3 3 9 5 2" xfId="43084"/>
    <cellStyle name="Separador de milhares 3 3 9 6" xfId="11686"/>
    <cellStyle name="Separador de milhares 3 3 9 6 2" xfId="37173"/>
    <cellStyle name="Separador de milhares 3 3 9 7" xfId="29792"/>
    <cellStyle name="Separador de milhares 3 30" xfId="17447"/>
    <cellStyle name="Separador de milhares 3 30 2" xfId="42514"/>
    <cellStyle name="Separador de milhares 3 31" xfId="11107"/>
    <cellStyle name="Separador de milhares 3 31 2" xfId="36606"/>
    <cellStyle name="Separador de milhares 3 32" xfId="29221"/>
    <cellStyle name="Separador de milhares 3 4" xfId="54"/>
    <cellStyle name="Separador de milhares 3 4 10" xfId="2557"/>
    <cellStyle name="Separador de milhares 3 4 10 2" xfId="7146"/>
    <cellStyle name="Separador de milhares 3 4 10 2 2" xfId="10290"/>
    <cellStyle name="Separador de milhares 3 4 10 2 2 2" xfId="28504"/>
    <cellStyle name="Separador de milhares 3 4 10 2 2 2 2" xfId="53571"/>
    <cellStyle name="Separador de milhares 3 4 10 2 2 3" xfId="22590"/>
    <cellStyle name="Separador de milhares 3 4 10 2 2 3 2" xfId="47657"/>
    <cellStyle name="Separador de milhares 3 4 10 2 2 4" xfId="16676"/>
    <cellStyle name="Separador de milhares 3 4 10 2 2 4 2" xfId="41743"/>
    <cellStyle name="Separador de milhares 3 4 10 2 2 5" xfId="35835"/>
    <cellStyle name="Separador de milhares 3 4 10 2 3" xfId="25547"/>
    <cellStyle name="Separador de milhares 3 4 10 2 3 2" xfId="50614"/>
    <cellStyle name="Separador de milhares 3 4 10 2 4" xfId="19633"/>
    <cellStyle name="Separador de milhares 3 4 10 2 4 2" xfId="44700"/>
    <cellStyle name="Separador de milhares 3 4 10 2 5" xfId="13535"/>
    <cellStyle name="Separador de milhares 3 4 10 2 5 2" xfId="38789"/>
    <cellStyle name="Separador de milhares 3 4 10 2 6" xfId="32878"/>
    <cellStyle name="Separador de milhares 3 4 10 3" xfId="8822"/>
    <cellStyle name="Separador de milhares 3 4 10 3 2" xfId="27036"/>
    <cellStyle name="Separador de milhares 3 4 10 3 2 2" xfId="52103"/>
    <cellStyle name="Separador de milhares 3 4 10 3 3" xfId="21122"/>
    <cellStyle name="Separador de milhares 3 4 10 3 3 2" xfId="46189"/>
    <cellStyle name="Separador de milhares 3 4 10 3 4" xfId="15208"/>
    <cellStyle name="Separador de milhares 3 4 10 3 4 2" xfId="40275"/>
    <cellStyle name="Separador de milhares 3 4 10 3 5" xfId="34367"/>
    <cellStyle name="Separador de milhares 3 4 10 4" xfId="5447"/>
    <cellStyle name="Separador de milhares 3 4 10 4 2" xfId="24079"/>
    <cellStyle name="Separador de milhares 3 4 10 4 2 2" xfId="49146"/>
    <cellStyle name="Separador de milhares 3 4 10 4 3" xfId="31410"/>
    <cellStyle name="Separador de milhares 3 4 10 5" xfId="18165"/>
    <cellStyle name="Separador de milhares 3 4 10 5 2" xfId="43232"/>
    <cellStyle name="Separador de milhares 3 4 10 6" xfId="11834"/>
    <cellStyle name="Separador de milhares 3 4 10 6 2" xfId="37321"/>
    <cellStyle name="Separador de milhares 3 4 10 7" xfId="29940"/>
    <cellStyle name="Separador de milhares 3 4 11" xfId="3084"/>
    <cellStyle name="Separador de milhares 3 4 11 2" xfId="7293"/>
    <cellStyle name="Separador de milhares 3 4 11 2 2" xfId="10437"/>
    <cellStyle name="Separador de milhares 3 4 11 2 2 2" xfId="28651"/>
    <cellStyle name="Separador de milhares 3 4 11 2 2 2 2" xfId="53718"/>
    <cellStyle name="Separador de milhares 3 4 11 2 2 3" xfId="22737"/>
    <cellStyle name="Separador de milhares 3 4 11 2 2 3 2" xfId="47804"/>
    <cellStyle name="Separador de milhares 3 4 11 2 2 4" xfId="16823"/>
    <cellStyle name="Separador de milhares 3 4 11 2 2 4 2" xfId="41890"/>
    <cellStyle name="Separador de milhares 3 4 11 2 2 5" xfId="35982"/>
    <cellStyle name="Separador de milhares 3 4 11 2 3" xfId="25694"/>
    <cellStyle name="Separador de milhares 3 4 11 2 3 2" xfId="50761"/>
    <cellStyle name="Separador de milhares 3 4 11 2 4" xfId="19780"/>
    <cellStyle name="Separador de milhares 3 4 11 2 4 2" xfId="44847"/>
    <cellStyle name="Separador de milhares 3 4 11 2 5" xfId="13682"/>
    <cellStyle name="Separador de milhares 3 4 11 2 5 2" xfId="38936"/>
    <cellStyle name="Separador de milhares 3 4 11 2 6" xfId="33025"/>
    <cellStyle name="Separador de milhares 3 4 11 3" xfId="8969"/>
    <cellStyle name="Separador de milhares 3 4 11 3 2" xfId="27183"/>
    <cellStyle name="Separador de milhares 3 4 11 3 2 2" xfId="52250"/>
    <cellStyle name="Separador de milhares 3 4 11 3 3" xfId="21269"/>
    <cellStyle name="Separador de milhares 3 4 11 3 3 2" xfId="46336"/>
    <cellStyle name="Separador de milhares 3 4 11 3 4" xfId="15355"/>
    <cellStyle name="Separador de milhares 3 4 11 3 4 2" xfId="40422"/>
    <cellStyle name="Separador de milhares 3 4 11 3 5" xfId="34514"/>
    <cellStyle name="Separador de milhares 3 4 11 4" xfId="5594"/>
    <cellStyle name="Separador de milhares 3 4 11 4 2" xfId="24226"/>
    <cellStyle name="Separador de milhares 3 4 11 4 2 2" xfId="49293"/>
    <cellStyle name="Separador de milhares 3 4 11 4 3" xfId="31557"/>
    <cellStyle name="Separador de milhares 3 4 11 5" xfId="18312"/>
    <cellStyle name="Separador de milhares 3 4 11 5 2" xfId="43379"/>
    <cellStyle name="Separador de milhares 3 4 11 6" xfId="11981"/>
    <cellStyle name="Separador de milhares 3 4 11 6 2" xfId="37468"/>
    <cellStyle name="Separador de milhares 3 4 11 7" xfId="30087"/>
    <cellStyle name="Separador de milhares 3 4 12" xfId="3611"/>
    <cellStyle name="Separador de milhares 3 4 12 2" xfId="7440"/>
    <cellStyle name="Separador de milhares 3 4 12 2 2" xfId="10584"/>
    <cellStyle name="Separador de milhares 3 4 12 2 2 2" xfId="28798"/>
    <cellStyle name="Separador de milhares 3 4 12 2 2 2 2" xfId="53865"/>
    <cellStyle name="Separador de milhares 3 4 12 2 2 3" xfId="22884"/>
    <cellStyle name="Separador de milhares 3 4 12 2 2 3 2" xfId="47951"/>
    <cellStyle name="Separador de milhares 3 4 12 2 2 4" xfId="16970"/>
    <cellStyle name="Separador de milhares 3 4 12 2 2 4 2" xfId="42037"/>
    <cellStyle name="Separador de milhares 3 4 12 2 2 5" xfId="36129"/>
    <cellStyle name="Separador de milhares 3 4 12 2 3" xfId="25841"/>
    <cellStyle name="Separador de milhares 3 4 12 2 3 2" xfId="50908"/>
    <cellStyle name="Separador de milhares 3 4 12 2 4" xfId="19927"/>
    <cellStyle name="Separador de milhares 3 4 12 2 4 2" xfId="44994"/>
    <cellStyle name="Separador de milhares 3 4 12 2 5" xfId="13829"/>
    <cellStyle name="Separador de milhares 3 4 12 2 5 2" xfId="39083"/>
    <cellStyle name="Separador de milhares 3 4 12 2 6" xfId="33172"/>
    <cellStyle name="Separador de milhares 3 4 12 3" xfId="9116"/>
    <cellStyle name="Separador de milhares 3 4 12 3 2" xfId="27330"/>
    <cellStyle name="Separador de milhares 3 4 12 3 2 2" xfId="52397"/>
    <cellStyle name="Separador de milhares 3 4 12 3 3" xfId="21416"/>
    <cellStyle name="Separador de milhares 3 4 12 3 3 2" xfId="46483"/>
    <cellStyle name="Separador de milhares 3 4 12 3 4" xfId="15502"/>
    <cellStyle name="Separador de milhares 3 4 12 3 4 2" xfId="40569"/>
    <cellStyle name="Separador de milhares 3 4 12 3 5" xfId="34661"/>
    <cellStyle name="Separador de milhares 3 4 12 4" xfId="5741"/>
    <cellStyle name="Separador de milhares 3 4 12 4 2" xfId="24373"/>
    <cellStyle name="Separador de milhares 3 4 12 4 2 2" xfId="49440"/>
    <cellStyle name="Separador de milhares 3 4 12 4 3" xfId="31704"/>
    <cellStyle name="Separador de milhares 3 4 12 5" xfId="18459"/>
    <cellStyle name="Separador de milhares 3 4 12 5 2" xfId="43526"/>
    <cellStyle name="Separador de milhares 3 4 12 6" xfId="12128"/>
    <cellStyle name="Separador de milhares 3 4 12 6 2" xfId="37615"/>
    <cellStyle name="Separador de milhares 3 4 12 7" xfId="30234"/>
    <cellStyle name="Separador de milhares 3 4 13" xfId="6424"/>
    <cellStyle name="Separador de milhares 3 4 13 2" xfId="9580"/>
    <cellStyle name="Separador de milhares 3 4 13 2 2" xfId="27794"/>
    <cellStyle name="Separador de milhares 3 4 13 2 2 2" xfId="52861"/>
    <cellStyle name="Separador de milhares 3 4 13 2 3" xfId="21880"/>
    <cellStyle name="Separador de milhares 3 4 13 2 3 2" xfId="46947"/>
    <cellStyle name="Separador de milhares 3 4 13 2 4" xfId="15966"/>
    <cellStyle name="Separador de milhares 3 4 13 2 4 2" xfId="41033"/>
    <cellStyle name="Separador de milhares 3 4 13 2 5" xfId="35125"/>
    <cellStyle name="Separador de milhares 3 4 13 3" xfId="24837"/>
    <cellStyle name="Separador de milhares 3 4 13 3 2" xfId="49904"/>
    <cellStyle name="Separador de milhares 3 4 13 4" xfId="18923"/>
    <cellStyle name="Separador de milhares 3 4 13 4 2" xfId="43990"/>
    <cellStyle name="Separador de milhares 3 4 13 5" xfId="12813"/>
    <cellStyle name="Separador de milhares 3 4 13 5 2" xfId="38079"/>
    <cellStyle name="Separador de milhares 3 4 13 6" xfId="32168"/>
    <cellStyle name="Separador de milhares 3 4 14" xfId="8109"/>
    <cellStyle name="Separador de milhares 3 4 14 2" xfId="26323"/>
    <cellStyle name="Separador de milhares 3 4 14 2 2" xfId="51390"/>
    <cellStyle name="Separador de milhares 3 4 14 3" xfId="20409"/>
    <cellStyle name="Separador de milhares 3 4 14 3 2" xfId="45476"/>
    <cellStyle name="Separador de milhares 3 4 14 4" xfId="14498"/>
    <cellStyle name="Separador de milhares 3 4 14 4 2" xfId="39565"/>
    <cellStyle name="Separador de milhares 3 4 14 5" xfId="33654"/>
    <cellStyle name="Separador de milhares 3 4 15" xfId="4722"/>
    <cellStyle name="Separador de milhares 3 4 15 2" xfId="23366"/>
    <cellStyle name="Separador de milhares 3 4 15 2 2" xfId="48433"/>
    <cellStyle name="Separador de milhares 3 4 15 3" xfId="30698"/>
    <cellStyle name="Separador de milhares 3 4 16" xfId="17452"/>
    <cellStyle name="Separador de milhares 3 4 16 2" xfId="42519"/>
    <cellStyle name="Separador de milhares 3 4 17" xfId="11112"/>
    <cellStyle name="Separador de milhares 3 4 17 2" xfId="36611"/>
    <cellStyle name="Separador de milhares 3 4 18" xfId="29226"/>
    <cellStyle name="Separador de milhares 3 4 2" xfId="148"/>
    <cellStyle name="Separador de milhares 3 4 2 10" xfId="6453"/>
    <cellStyle name="Separador de milhares 3 4 2 10 2" xfId="9607"/>
    <cellStyle name="Separador de milhares 3 4 2 10 2 2" xfId="27821"/>
    <cellStyle name="Separador de milhares 3 4 2 10 2 2 2" xfId="52888"/>
    <cellStyle name="Separador de milhares 3 4 2 10 2 3" xfId="21907"/>
    <cellStyle name="Separador de milhares 3 4 2 10 2 3 2" xfId="46974"/>
    <cellStyle name="Separador de milhares 3 4 2 10 2 4" xfId="15993"/>
    <cellStyle name="Separador de milhares 3 4 2 10 2 4 2" xfId="41060"/>
    <cellStyle name="Separador de milhares 3 4 2 10 2 5" xfId="35152"/>
    <cellStyle name="Separador de milhares 3 4 2 10 3" xfId="24864"/>
    <cellStyle name="Separador de milhares 3 4 2 10 3 2" xfId="49931"/>
    <cellStyle name="Separador de milhares 3 4 2 10 4" xfId="18950"/>
    <cellStyle name="Separador de milhares 3 4 2 10 4 2" xfId="44017"/>
    <cellStyle name="Separador de milhares 3 4 2 10 5" xfId="12842"/>
    <cellStyle name="Separador de milhares 3 4 2 10 5 2" xfId="38106"/>
    <cellStyle name="Separador de milhares 3 4 2 10 6" xfId="32195"/>
    <cellStyle name="Separador de milhares 3 4 2 11" xfId="8136"/>
    <cellStyle name="Separador de milhares 3 4 2 11 2" xfId="26350"/>
    <cellStyle name="Separador de milhares 3 4 2 11 2 2" xfId="51417"/>
    <cellStyle name="Separador de milhares 3 4 2 11 3" xfId="20436"/>
    <cellStyle name="Separador de milhares 3 4 2 11 3 2" xfId="45503"/>
    <cellStyle name="Separador de milhares 3 4 2 11 4" xfId="14525"/>
    <cellStyle name="Separador de milhares 3 4 2 11 4 2" xfId="39592"/>
    <cellStyle name="Separador de milhares 3 4 2 11 5" xfId="33681"/>
    <cellStyle name="Separador de milhares 3 4 2 12" xfId="4752"/>
    <cellStyle name="Separador de milhares 3 4 2 12 2" xfId="23393"/>
    <cellStyle name="Separador de milhares 3 4 2 12 2 2" xfId="48460"/>
    <cellStyle name="Separador de milhares 3 4 2 12 3" xfId="30725"/>
    <cellStyle name="Separador de milhares 3 4 2 13" xfId="17479"/>
    <cellStyle name="Separador de milhares 3 4 2 13 2" xfId="42546"/>
    <cellStyle name="Separador de milhares 3 4 2 14" xfId="11141"/>
    <cellStyle name="Separador de milhares 3 4 2 14 2" xfId="36638"/>
    <cellStyle name="Separador de milhares 3 4 2 15" xfId="29254"/>
    <cellStyle name="Separador de milhares 3 4 2 2" xfId="421"/>
    <cellStyle name="Separador de milhares 3 4 2 2 10" xfId="17553"/>
    <cellStyle name="Separador de milhares 3 4 2 2 10 2" xfId="42620"/>
    <cellStyle name="Separador de milhares 3 4 2 2 11" xfId="11222"/>
    <cellStyle name="Separador de milhares 3 4 2 2 11 2" xfId="36712"/>
    <cellStyle name="Separador de milhares 3 4 2 2 12" xfId="29328"/>
    <cellStyle name="Separador de milhares 3 4 2 2 2" xfId="1940"/>
    <cellStyle name="Separador de milhares 3 4 2 2 2 2" xfId="6972"/>
    <cellStyle name="Separador de milhares 3 4 2 2 2 2 2" xfId="10119"/>
    <cellStyle name="Separador de milhares 3 4 2 2 2 2 2 2" xfId="28333"/>
    <cellStyle name="Separador de milhares 3 4 2 2 2 2 2 2 2" xfId="53400"/>
    <cellStyle name="Separador de milhares 3 4 2 2 2 2 2 3" xfId="22419"/>
    <cellStyle name="Separador de milhares 3 4 2 2 2 2 2 3 2" xfId="47486"/>
    <cellStyle name="Separador de milhares 3 4 2 2 2 2 2 4" xfId="16505"/>
    <cellStyle name="Separador de milhares 3 4 2 2 2 2 2 4 2" xfId="41572"/>
    <cellStyle name="Separador de milhares 3 4 2 2 2 2 2 5" xfId="35664"/>
    <cellStyle name="Separador de milhares 3 4 2 2 2 2 3" xfId="25376"/>
    <cellStyle name="Separador de milhares 3 4 2 2 2 2 3 2" xfId="50443"/>
    <cellStyle name="Separador de milhares 3 4 2 2 2 2 4" xfId="19462"/>
    <cellStyle name="Separador de milhares 3 4 2 2 2 2 4 2" xfId="44529"/>
    <cellStyle name="Separador de milhares 3 4 2 2 2 2 5" xfId="13361"/>
    <cellStyle name="Separador de milhares 3 4 2 2 2 2 5 2" xfId="38618"/>
    <cellStyle name="Separador de milhares 3 4 2 2 2 2 6" xfId="32707"/>
    <cellStyle name="Separador de milhares 3 4 2 2 2 3" xfId="8651"/>
    <cellStyle name="Separador de milhares 3 4 2 2 2 3 2" xfId="26865"/>
    <cellStyle name="Separador de milhares 3 4 2 2 2 3 2 2" xfId="51932"/>
    <cellStyle name="Separador de milhares 3 4 2 2 2 3 3" xfId="20951"/>
    <cellStyle name="Separador de milhares 3 4 2 2 2 3 3 2" xfId="46018"/>
    <cellStyle name="Separador de milhares 3 4 2 2 2 3 4" xfId="15037"/>
    <cellStyle name="Separador de milhares 3 4 2 2 2 3 4 2" xfId="40104"/>
    <cellStyle name="Separador de milhares 3 4 2 2 2 3 5" xfId="34196"/>
    <cellStyle name="Separador de milhares 3 4 2 2 2 4" xfId="5273"/>
    <cellStyle name="Separador de milhares 3 4 2 2 2 4 2" xfId="23908"/>
    <cellStyle name="Separador de milhares 3 4 2 2 2 4 2 2" xfId="48975"/>
    <cellStyle name="Separador de milhares 3 4 2 2 2 4 3" xfId="31239"/>
    <cellStyle name="Separador de milhares 3 4 2 2 2 5" xfId="17994"/>
    <cellStyle name="Separador de milhares 3 4 2 2 2 5 2" xfId="43061"/>
    <cellStyle name="Separador de milhares 3 4 2 2 2 6" xfId="11660"/>
    <cellStyle name="Separador de milhares 3 4 2 2 2 6 2" xfId="37150"/>
    <cellStyle name="Separador de milhares 3 4 2 2 2 7" xfId="29769"/>
    <cellStyle name="Separador de milhares 3 4 2 2 3" xfId="2470"/>
    <cellStyle name="Separador de milhares 3 4 2 2 3 2" xfId="7122"/>
    <cellStyle name="Separador de milhares 3 4 2 2 3 2 2" xfId="10266"/>
    <cellStyle name="Separador de milhares 3 4 2 2 3 2 2 2" xfId="28480"/>
    <cellStyle name="Separador de milhares 3 4 2 2 3 2 2 2 2" xfId="53547"/>
    <cellStyle name="Separador de milhares 3 4 2 2 3 2 2 3" xfId="22566"/>
    <cellStyle name="Separador de milhares 3 4 2 2 3 2 2 3 2" xfId="47633"/>
    <cellStyle name="Separador de milhares 3 4 2 2 3 2 2 4" xfId="16652"/>
    <cellStyle name="Separador de milhares 3 4 2 2 3 2 2 4 2" xfId="41719"/>
    <cellStyle name="Separador de milhares 3 4 2 2 3 2 2 5" xfId="35811"/>
    <cellStyle name="Separador de milhares 3 4 2 2 3 2 3" xfId="25523"/>
    <cellStyle name="Separador de milhares 3 4 2 2 3 2 3 2" xfId="50590"/>
    <cellStyle name="Separador de milhares 3 4 2 2 3 2 4" xfId="19609"/>
    <cellStyle name="Separador de milhares 3 4 2 2 3 2 4 2" xfId="44676"/>
    <cellStyle name="Separador de milhares 3 4 2 2 3 2 5" xfId="13511"/>
    <cellStyle name="Separador de milhares 3 4 2 2 3 2 5 2" xfId="38765"/>
    <cellStyle name="Separador de milhares 3 4 2 2 3 2 6" xfId="32854"/>
    <cellStyle name="Separador de milhares 3 4 2 2 3 3" xfId="8798"/>
    <cellStyle name="Separador de milhares 3 4 2 2 3 3 2" xfId="27012"/>
    <cellStyle name="Separador de milhares 3 4 2 2 3 3 2 2" xfId="52079"/>
    <cellStyle name="Separador de milhares 3 4 2 2 3 3 3" xfId="21098"/>
    <cellStyle name="Separador de milhares 3 4 2 2 3 3 3 2" xfId="46165"/>
    <cellStyle name="Separador de milhares 3 4 2 2 3 3 4" xfId="15184"/>
    <cellStyle name="Separador de milhares 3 4 2 2 3 3 4 2" xfId="40251"/>
    <cellStyle name="Separador de milhares 3 4 2 2 3 3 5" xfId="34343"/>
    <cellStyle name="Separador de milhares 3 4 2 2 3 4" xfId="5423"/>
    <cellStyle name="Separador de milhares 3 4 2 2 3 4 2" xfId="24055"/>
    <cellStyle name="Separador de milhares 3 4 2 2 3 4 2 2" xfId="49122"/>
    <cellStyle name="Separador de milhares 3 4 2 2 3 4 3" xfId="31386"/>
    <cellStyle name="Separador de milhares 3 4 2 2 3 5" xfId="18141"/>
    <cellStyle name="Separador de milhares 3 4 2 2 3 5 2" xfId="43208"/>
    <cellStyle name="Separador de milhares 3 4 2 2 3 6" xfId="11810"/>
    <cellStyle name="Separador de milhares 3 4 2 2 3 6 2" xfId="37297"/>
    <cellStyle name="Separador de milhares 3 4 2 2 3 7" xfId="29916"/>
    <cellStyle name="Separador de milhares 3 4 2 2 4" xfId="2997"/>
    <cellStyle name="Separador de milhares 3 4 2 2 4 2" xfId="7269"/>
    <cellStyle name="Separador de milhares 3 4 2 2 4 2 2" xfId="10413"/>
    <cellStyle name="Separador de milhares 3 4 2 2 4 2 2 2" xfId="28627"/>
    <cellStyle name="Separador de milhares 3 4 2 2 4 2 2 2 2" xfId="53694"/>
    <cellStyle name="Separador de milhares 3 4 2 2 4 2 2 3" xfId="22713"/>
    <cellStyle name="Separador de milhares 3 4 2 2 4 2 2 3 2" xfId="47780"/>
    <cellStyle name="Separador de milhares 3 4 2 2 4 2 2 4" xfId="16799"/>
    <cellStyle name="Separador de milhares 3 4 2 2 4 2 2 4 2" xfId="41866"/>
    <cellStyle name="Separador de milhares 3 4 2 2 4 2 2 5" xfId="35958"/>
    <cellStyle name="Separador de milhares 3 4 2 2 4 2 3" xfId="25670"/>
    <cellStyle name="Separador de milhares 3 4 2 2 4 2 3 2" xfId="50737"/>
    <cellStyle name="Separador de milhares 3 4 2 2 4 2 4" xfId="19756"/>
    <cellStyle name="Separador de milhares 3 4 2 2 4 2 4 2" xfId="44823"/>
    <cellStyle name="Separador de milhares 3 4 2 2 4 2 5" xfId="13658"/>
    <cellStyle name="Separador de milhares 3 4 2 2 4 2 5 2" xfId="38912"/>
    <cellStyle name="Separador de milhares 3 4 2 2 4 2 6" xfId="33001"/>
    <cellStyle name="Separador de milhares 3 4 2 2 4 3" xfId="8945"/>
    <cellStyle name="Separador de milhares 3 4 2 2 4 3 2" xfId="27159"/>
    <cellStyle name="Separador de milhares 3 4 2 2 4 3 2 2" xfId="52226"/>
    <cellStyle name="Separador de milhares 3 4 2 2 4 3 3" xfId="21245"/>
    <cellStyle name="Separador de milhares 3 4 2 2 4 3 3 2" xfId="46312"/>
    <cellStyle name="Separador de milhares 3 4 2 2 4 3 4" xfId="15331"/>
    <cellStyle name="Separador de milhares 3 4 2 2 4 3 4 2" xfId="40398"/>
    <cellStyle name="Separador de milhares 3 4 2 2 4 3 5" xfId="34490"/>
    <cellStyle name="Separador de milhares 3 4 2 2 4 4" xfId="5570"/>
    <cellStyle name="Separador de milhares 3 4 2 2 4 4 2" xfId="24202"/>
    <cellStyle name="Separador de milhares 3 4 2 2 4 4 2 2" xfId="49269"/>
    <cellStyle name="Separador de milhares 3 4 2 2 4 4 3" xfId="31533"/>
    <cellStyle name="Separador de milhares 3 4 2 2 4 5" xfId="18288"/>
    <cellStyle name="Separador de milhares 3 4 2 2 4 5 2" xfId="43355"/>
    <cellStyle name="Separador de milhares 3 4 2 2 4 6" xfId="11957"/>
    <cellStyle name="Separador de milhares 3 4 2 2 4 6 2" xfId="37444"/>
    <cellStyle name="Separador de milhares 3 4 2 2 4 7" xfId="30063"/>
    <cellStyle name="Separador de milhares 3 4 2 2 5" xfId="3524"/>
    <cellStyle name="Separador de milhares 3 4 2 2 5 2" xfId="7416"/>
    <cellStyle name="Separador de milhares 3 4 2 2 5 2 2" xfId="10560"/>
    <cellStyle name="Separador de milhares 3 4 2 2 5 2 2 2" xfId="28774"/>
    <cellStyle name="Separador de milhares 3 4 2 2 5 2 2 2 2" xfId="53841"/>
    <cellStyle name="Separador de milhares 3 4 2 2 5 2 2 3" xfId="22860"/>
    <cellStyle name="Separador de milhares 3 4 2 2 5 2 2 3 2" xfId="47927"/>
    <cellStyle name="Separador de milhares 3 4 2 2 5 2 2 4" xfId="16946"/>
    <cellStyle name="Separador de milhares 3 4 2 2 5 2 2 4 2" xfId="42013"/>
    <cellStyle name="Separador de milhares 3 4 2 2 5 2 2 5" xfId="36105"/>
    <cellStyle name="Separador de milhares 3 4 2 2 5 2 3" xfId="25817"/>
    <cellStyle name="Separador de milhares 3 4 2 2 5 2 3 2" xfId="50884"/>
    <cellStyle name="Separador de milhares 3 4 2 2 5 2 4" xfId="19903"/>
    <cellStyle name="Separador de milhares 3 4 2 2 5 2 4 2" xfId="44970"/>
    <cellStyle name="Separador de milhares 3 4 2 2 5 2 5" xfId="13805"/>
    <cellStyle name="Separador de milhares 3 4 2 2 5 2 5 2" xfId="39059"/>
    <cellStyle name="Separador de milhares 3 4 2 2 5 2 6" xfId="33148"/>
    <cellStyle name="Separador de milhares 3 4 2 2 5 3" xfId="9092"/>
    <cellStyle name="Separador de milhares 3 4 2 2 5 3 2" xfId="27306"/>
    <cellStyle name="Separador de milhares 3 4 2 2 5 3 2 2" xfId="52373"/>
    <cellStyle name="Separador de milhares 3 4 2 2 5 3 3" xfId="21392"/>
    <cellStyle name="Separador de milhares 3 4 2 2 5 3 3 2" xfId="46459"/>
    <cellStyle name="Separador de milhares 3 4 2 2 5 3 4" xfId="15478"/>
    <cellStyle name="Separador de milhares 3 4 2 2 5 3 4 2" xfId="40545"/>
    <cellStyle name="Separador de milhares 3 4 2 2 5 3 5" xfId="34637"/>
    <cellStyle name="Separador de milhares 3 4 2 2 5 4" xfId="5717"/>
    <cellStyle name="Separador de milhares 3 4 2 2 5 4 2" xfId="24349"/>
    <cellStyle name="Separador de milhares 3 4 2 2 5 4 2 2" xfId="49416"/>
    <cellStyle name="Separador de milhares 3 4 2 2 5 4 3" xfId="31680"/>
    <cellStyle name="Separador de milhares 3 4 2 2 5 5" xfId="18435"/>
    <cellStyle name="Separador de milhares 3 4 2 2 5 5 2" xfId="43502"/>
    <cellStyle name="Separador de milhares 3 4 2 2 5 6" xfId="12104"/>
    <cellStyle name="Separador de milhares 3 4 2 2 5 6 2" xfId="37591"/>
    <cellStyle name="Separador de milhares 3 4 2 2 5 7" xfId="30210"/>
    <cellStyle name="Separador de milhares 3 4 2 2 6" xfId="4051"/>
    <cellStyle name="Separador de milhares 3 4 2 2 6 2" xfId="7563"/>
    <cellStyle name="Separador de milhares 3 4 2 2 6 2 2" xfId="10707"/>
    <cellStyle name="Separador de milhares 3 4 2 2 6 2 2 2" xfId="28921"/>
    <cellStyle name="Separador de milhares 3 4 2 2 6 2 2 2 2" xfId="53988"/>
    <cellStyle name="Separador de milhares 3 4 2 2 6 2 2 3" xfId="23007"/>
    <cellStyle name="Separador de milhares 3 4 2 2 6 2 2 3 2" xfId="48074"/>
    <cellStyle name="Separador de milhares 3 4 2 2 6 2 2 4" xfId="17093"/>
    <cellStyle name="Separador de milhares 3 4 2 2 6 2 2 4 2" xfId="42160"/>
    <cellStyle name="Separador de milhares 3 4 2 2 6 2 2 5" xfId="36252"/>
    <cellStyle name="Separador de milhares 3 4 2 2 6 2 3" xfId="25964"/>
    <cellStyle name="Separador de milhares 3 4 2 2 6 2 3 2" xfId="51031"/>
    <cellStyle name="Separador de milhares 3 4 2 2 6 2 4" xfId="20050"/>
    <cellStyle name="Separador de milhares 3 4 2 2 6 2 4 2" xfId="45117"/>
    <cellStyle name="Separador de milhares 3 4 2 2 6 2 5" xfId="13952"/>
    <cellStyle name="Separador de milhares 3 4 2 2 6 2 5 2" xfId="39206"/>
    <cellStyle name="Separador de milhares 3 4 2 2 6 2 6" xfId="33295"/>
    <cellStyle name="Separador de milhares 3 4 2 2 6 3" xfId="9239"/>
    <cellStyle name="Separador de milhares 3 4 2 2 6 3 2" xfId="27453"/>
    <cellStyle name="Separador de milhares 3 4 2 2 6 3 2 2" xfId="52520"/>
    <cellStyle name="Separador de milhares 3 4 2 2 6 3 3" xfId="21539"/>
    <cellStyle name="Separador de milhares 3 4 2 2 6 3 3 2" xfId="46606"/>
    <cellStyle name="Separador de milhares 3 4 2 2 6 3 4" xfId="15625"/>
    <cellStyle name="Separador de milhares 3 4 2 2 6 3 4 2" xfId="40692"/>
    <cellStyle name="Separador de milhares 3 4 2 2 6 3 5" xfId="34784"/>
    <cellStyle name="Separador de milhares 3 4 2 2 6 4" xfId="5864"/>
    <cellStyle name="Separador de milhares 3 4 2 2 6 4 2" xfId="24496"/>
    <cellStyle name="Separador de milhares 3 4 2 2 6 4 2 2" xfId="49563"/>
    <cellStyle name="Separador de milhares 3 4 2 2 6 4 3" xfId="31827"/>
    <cellStyle name="Separador de milhares 3 4 2 2 6 5" xfId="18582"/>
    <cellStyle name="Separador de milhares 3 4 2 2 6 5 2" xfId="43649"/>
    <cellStyle name="Separador de milhares 3 4 2 2 6 6" xfId="12251"/>
    <cellStyle name="Separador de milhares 3 4 2 2 6 6 2" xfId="37738"/>
    <cellStyle name="Separador de milhares 3 4 2 2 6 7" xfId="30357"/>
    <cellStyle name="Separador de milhares 3 4 2 2 7" xfId="6534"/>
    <cellStyle name="Separador de milhares 3 4 2 2 7 2" xfId="9681"/>
    <cellStyle name="Separador de milhares 3 4 2 2 7 2 2" xfId="27895"/>
    <cellStyle name="Separador de milhares 3 4 2 2 7 2 2 2" xfId="52962"/>
    <cellStyle name="Separador de milhares 3 4 2 2 7 2 3" xfId="21981"/>
    <cellStyle name="Separador de milhares 3 4 2 2 7 2 3 2" xfId="47048"/>
    <cellStyle name="Separador de milhares 3 4 2 2 7 2 4" xfId="16067"/>
    <cellStyle name="Separador de milhares 3 4 2 2 7 2 4 2" xfId="41134"/>
    <cellStyle name="Separador de milhares 3 4 2 2 7 2 5" xfId="35226"/>
    <cellStyle name="Separador de milhares 3 4 2 2 7 3" xfId="24938"/>
    <cellStyle name="Separador de milhares 3 4 2 2 7 3 2" xfId="50005"/>
    <cellStyle name="Separador de milhares 3 4 2 2 7 4" xfId="19024"/>
    <cellStyle name="Separador de milhares 3 4 2 2 7 4 2" xfId="44091"/>
    <cellStyle name="Separador de milhares 3 4 2 2 7 5" xfId="12923"/>
    <cellStyle name="Separador de milhares 3 4 2 2 7 5 2" xfId="38180"/>
    <cellStyle name="Separador de milhares 3 4 2 2 7 6" xfId="32269"/>
    <cellStyle name="Separador de milhares 3 4 2 2 8" xfId="8210"/>
    <cellStyle name="Separador de milhares 3 4 2 2 8 2" xfId="26424"/>
    <cellStyle name="Separador de milhares 3 4 2 2 8 2 2" xfId="51491"/>
    <cellStyle name="Separador de milhares 3 4 2 2 8 3" xfId="20510"/>
    <cellStyle name="Separador de milhares 3 4 2 2 8 3 2" xfId="45577"/>
    <cellStyle name="Separador de milhares 3 4 2 2 8 4" xfId="14599"/>
    <cellStyle name="Separador de milhares 3 4 2 2 8 4 2" xfId="39666"/>
    <cellStyle name="Separador de milhares 3 4 2 2 8 5" xfId="33755"/>
    <cellStyle name="Separador de milhares 3 4 2 2 9" xfId="4833"/>
    <cellStyle name="Separador de milhares 3 4 2 2 9 2" xfId="23467"/>
    <cellStyle name="Separador de milhares 3 4 2 2 9 2 2" xfId="48534"/>
    <cellStyle name="Separador de milhares 3 4 2 2 9 3" xfId="30799"/>
    <cellStyle name="Separador de milhares 3 4 2 3" xfId="894"/>
    <cellStyle name="Separador de milhares 3 4 2 3 2" xfId="6685"/>
    <cellStyle name="Separador de milhares 3 4 2 3 2 2" xfId="9832"/>
    <cellStyle name="Separador de milhares 3 4 2 3 2 2 2" xfId="28046"/>
    <cellStyle name="Separador de milhares 3 4 2 3 2 2 2 2" xfId="53113"/>
    <cellStyle name="Separador de milhares 3 4 2 3 2 2 3" xfId="22132"/>
    <cellStyle name="Separador de milhares 3 4 2 3 2 2 3 2" xfId="47199"/>
    <cellStyle name="Separador de milhares 3 4 2 3 2 2 4" xfId="16218"/>
    <cellStyle name="Separador de milhares 3 4 2 3 2 2 4 2" xfId="41285"/>
    <cellStyle name="Separador de milhares 3 4 2 3 2 2 5" xfId="35377"/>
    <cellStyle name="Separador de milhares 3 4 2 3 2 3" xfId="25089"/>
    <cellStyle name="Separador de milhares 3 4 2 3 2 3 2" xfId="50156"/>
    <cellStyle name="Separador de milhares 3 4 2 3 2 4" xfId="19175"/>
    <cellStyle name="Separador de milhares 3 4 2 3 2 4 2" xfId="44242"/>
    <cellStyle name="Separador de milhares 3 4 2 3 2 5" xfId="13074"/>
    <cellStyle name="Separador de milhares 3 4 2 3 2 5 2" xfId="38331"/>
    <cellStyle name="Separador de milhares 3 4 2 3 2 6" xfId="32420"/>
    <cellStyle name="Separador de milhares 3 4 2 3 3" xfId="8364"/>
    <cellStyle name="Separador de milhares 3 4 2 3 3 2" xfId="26578"/>
    <cellStyle name="Separador de milhares 3 4 2 3 3 2 2" xfId="51645"/>
    <cellStyle name="Separador de milhares 3 4 2 3 3 3" xfId="20664"/>
    <cellStyle name="Separador de milhares 3 4 2 3 3 3 2" xfId="45731"/>
    <cellStyle name="Separador de milhares 3 4 2 3 3 4" xfId="14750"/>
    <cellStyle name="Separador de milhares 3 4 2 3 3 4 2" xfId="39817"/>
    <cellStyle name="Separador de milhares 3 4 2 3 3 5" xfId="33909"/>
    <cellStyle name="Separador de milhares 3 4 2 3 4" xfId="4986"/>
    <cellStyle name="Separador de milhares 3 4 2 3 4 2" xfId="23621"/>
    <cellStyle name="Separador de milhares 3 4 2 3 4 2 2" xfId="48688"/>
    <cellStyle name="Separador de milhares 3 4 2 3 4 3" xfId="30952"/>
    <cellStyle name="Separador de milhares 3 4 2 3 5" xfId="17707"/>
    <cellStyle name="Separador de milhares 3 4 2 3 5 2" xfId="42774"/>
    <cellStyle name="Separador de milhares 3 4 2 3 6" xfId="11373"/>
    <cellStyle name="Separador de milhares 3 4 2 3 6 2" xfId="36863"/>
    <cellStyle name="Separador de milhares 3 4 2 3 7" xfId="29482"/>
    <cellStyle name="Separador de milhares 3 4 2 4" xfId="1245"/>
    <cellStyle name="Separador de milhares 3 4 2 4 2" xfId="6783"/>
    <cellStyle name="Separador de milhares 3 4 2 4 2 2" xfId="9930"/>
    <cellStyle name="Separador de milhares 3 4 2 4 2 2 2" xfId="28144"/>
    <cellStyle name="Separador de milhares 3 4 2 4 2 2 2 2" xfId="53211"/>
    <cellStyle name="Separador de milhares 3 4 2 4 2 2 3" xfId="22230"/>
    <cellStyle name="Separador de milhares 3 4 2 4 2 2 3 2" xfId="47297"/>
    <cellStyle name="Separador de milhares 3 4 2 4 2 2 4" xfId="16316"/>
    <cellStyle name="Separador de milhares 3 4 2 4 2 2 4 2" xfId="41383"/>
    <cellStyle name="Separador de milhares 3 4 2 4 2 2 5" xfId="35475"/>
    <cellStyle name="Separador de milhares 3 4 2 4 2 3" xfId="25187"/>
    <cellStyle name="Separador de milhares 3 4 2 4 2 3 2" xfId="50254"/>
    <cellStyle name="Separador de milhares 3 4 2 4 2 4" xfId="19273"/>
    <cellStyle name="Separador de milhares 3 4 2 4 2 4 2" xfId="44340"/>
    <cellStyle name="Separador de milhares 3 4 2 4 2 5" xfId="13172"/>
    <cellStyle name="Separador de milhares 3 4 2 4 2 5 2" xfId="38429"/>
    <cellStyle name="Separador de milhares 3 4 2 4 2 6" xfId="32518"/>
    <cellStyle name="Separador de milhares 3 4 2 4 3" xfId="8462"/>
    <cellStyle name="Separador de milhares 3 4 2 4 3 2" xfId="26676"/>
    <cellStyle name="Separador de milhares 3 4 2 4 3 2 2" xfId="51743"/>
    <cellStyle name="Separador de milhares 3 4 2 4 3 3" xfId="20762"/>
    <cellStyle name="Separador de milhares 3 4 2 4 3 3 2" xfId="45829"/>
    <cellStyle name="Separador de milhares 3 4 2 4 3 4" xfId="14848"/>
    <cellStyle name="Separador de milhares 3 4 2 4 3 4 2" xfId="39915"/>
    <cellStyle name="Separador de milhares 3 4 2 4 3 5" xfId="34007"/>
    <cellStyle name="Separador de milhares 3 4 2 4 4" xfId="5084"/>
    <cellStyle name="Separador de milhares 3 4 2 4 4 2" xfId="23719"/>
    <cellStyle name="Separador de milhares 3 4 2 4 4 2 2" xfId="48786"/>
    <cellStyle name="Separador de milhares 3 4 2 4 4 3" xfId="31050"/>
    <cellStyle name="Separador de milhares 3 4 2 4 5" xfId="17805"/>
    <cellStyle name="Separador de milhares 3 4 2 4 5 2" xfId="42872"/>
    <cellStyle name="Separador de milhares 3 4 2 4 6" xfId="11471"/>
    <cellStyle name="Separador de milhares 3 4 2 4 6 2" xfId="36961"/>
    <cellStyle name="Separador de milhares 3 4 2 4 7" xfId="29580"/>
    <cellStyle name="Separador de milhares 3 4 2 5" xfId="1680"/>
    <cellStyle name="Separador de milhares 3 4 2 5 2" xfId="6902"/>
    <cellStyle name="Separador de milhares 3 4 2 5 2 2" xfId="10049"/>
    <cellStyle name="Separador de milhares 3 4 2 5 2 2 2" xfId="28263"/>
    <cellStyle name="Separador de milhares 3 4 2 5 2 2 2 2" xfId="53330"/>
    <cellStyle name="Separador de milhares 3 4 2 5 2 2 3" xfId="22349"/>
    <cellStyle name="Separador de milhares 3 4 2 5 2 2 3 2" xfId="47416"/>
    <cellStyle name="Separador de milhares 3 4 2 5 2 2 4" xfId="16435"/>
    <cellStyle name="Separador de milhares 3 4 2 5 2 2 4 2" xfId="41502"/>
    <cellStyle name="Separador de milhares 3 4 2 5 2 2 5" xfId="35594"/>
    <cellStyle name="Separador de milhares 3 4 2 5 2 3" xfId="25306"/>
    <cellStyle name="Separador de milhares 3 4 2 5 2 3 2" xfId="50373"/>
    <cellStyle name="Separador de milhares 3 4 2 5 2 4" xfId="19392"/>
    <cellStyle name="Separador de milhares 3 4 2 5 2 4 2" xfId="44459"/>
    <cellStyle name="Separador de milhares 3 4 2 5 2 5" xfId="13291"/>
    <cellStyle name="Separador de milhares 3 4 2 5 2 5 2" xfId="38548"/>
    <cellStyle name="Separador de milhares 3 4 2 5 2 6" xfId="32637"/>
    <cellStyle name="Separador de milhares 3 4 2 5 3" xfId="8581"/>
    <cellStyle name="Separador de milhares 3 4 2 5 3 2" xfId="26795"/>
    <cellStyle name="Separador de milhares 3 4 2 5 3 2 2" xfId="51862"/>
    <cellStyle name="Separador de milhares 3 4 2 5 3 3" xfId="20881"/>
    <cellStyle name="Separador de milhares 3 4 2 5 3 3 2" xfId="45948"/>
    <cellStyle name="Separador de milhares 3 4 2 5 3 4" xfId="14967"/>
    <cellStyle name="Separador de milhares 3 4 2 5 3 4 2" xfId="40034"/>
    <cellStyle name="Separador de milhares 3 4 2 5 3 5" xfId="34126"/>
    <cellStyle name="Separador de milhares 3 4 2 5 4" xfId="5203"/>
    <cellStyle name="Separador de milhares 3 4 2 5 4 2" xfId="23838"/>
    <cellStyle name="Separador de milhares 3 4 2 5 4 2 2" xfId="48905"/>
    <cellStyle name="Separador de milhares 3 4 2 5 4 3" xfId="31169"/>
    <cellStyle name="Separador de milhares 3 4 2 5 5" xfId="17924"/>
    <cellStyle name="Separador de milhares 3 4 2 5 5 2" xfId="42991"/>
    <cellStyle name="Separador de milhares 3 4 2 5 6" xfId="11590"/>
    <cellStyle name="Separador de milhares 3 4 2 5 6 2" xfId="37080"/>
    <cellStyle name="Separador de milhares 3 4 2 5 7" xfId="29699"/>
    <cellStyle name="Separador de milhares 3 4 2 6" xfId="2210"/>
    <cellStyle name="Separador de milhares 3 4 2 6 2" xfId="7052"/>
    <cellStyle name="Separador de milhares 3 4 2 6 2 2" xfId="10196"/>
    <cellStyle name="Separador de milhares 3 4 2 6 2 2 2" xfId="28410"/>
    <cellStyle name="Separador de milhares 3 4 2 6 2 2 2 2" xfId="53477"/>
    <cellStyle name="Separador de milhares 3 4 2 6 2 2 3" xfId="22496"/>
    <cellStyle name="Separador de milhares 3 4 2 6 2 2 3 2" xfId="47563"/>
    <cellStyle name="Separador de milhares 3 4 2 6 2 2 4" xfId="16582"/>
    <cellStyle name="Separador de milhares 3 4 2 6 2 2 4 2" xfId="41649"/>
    <cellStyle name="Separador de milhares 3 4 2 6 2 2 5" xfId="35741"/>
    <cellStyle name="Separador de milhares 3 4 2 6 2 3" xfId="25453"/>
    <cellStyle name="Separador de milhares 3 4 2 6 2 3 2" xfId="50520"/>
    <cellStyle name="Separador de milhares 3 4 2 6 2 4" xfId="19539"/>
    <cellStyle name="Separador de milhares 3 4 2 6 2 4 2" xfId="44606"/>
    <cellStyle name="Separador de milhares 3 4 2 6 2 5" xfId="13441"/>
    <cellStyle name="Separador de milhares 3 4 2 6 2 5 2" xfId="38695"/>
    <cellStyle name="Separador de milhares 3 4 2 6 2 6" xfId="32784"/>
    <cellStyle name="Separador de milhares 3 4 2 6 3" xfId="8728"/>
    <cellStyle name="Separador de milhares 3 4 2 6 3 2" xfId="26942"/>
    <cellStyle name="Separador de milhares 3 4 2 6 3 2 2" xfId="52009"/>
    <cellStyle name="Separador de milhares 3 4 2 6 3 3" xfId="21028"/>
    <cellStyle name="Separador de milhares 3 4 2 6 3 3 2" xfId="46095"/>
    <cellStyle name="Separador de milhares 3 4 2 6 3 4" xfId="15114"/>
    <cellStyle name="Separador de milhares 3 4 2 6 3 4 2" xfId="40181"/>
    <cellStyle name="Separador de milhares 3 4 2 6 3 5" xfId="34273"/>
    <cellStyle name="Separador de milhares 3 4 2 6 4" xfId="5353"/>
    <cellStyle name="Separador de milhares 3 4 2 6 4 2" xfId="23985"/>
    <cellStyle name="Separador de milhares 3 4 2 6 4 2 2" xfId="49052"/>
    <cellStyle name="Separador de milhares 3 4 2 6 4 3" xfId="31316"/>
    <cellStyle name="Separador de milhares 3 4 2 6 5" xfId="18071"/>
    <cellStyle name="Separador de milhares 3 4 2 6 5 2" xfId="43138"/>
    <cellStyle name="Separador de milhares 3 4 2 6 6" xfId="11740"/>
    <cellStyle name="Separador de milhares 3 4 2 6 6 2" xfId="37227"/>
    <cellStyle name="Separador de milhares 3 4 2 6 7" xfId="29846"/>
    <cellStyle name="Separador de milhares 3 4 2 7" xfId="2737"/>
    <cellStyle name="Separador de milhares 3 4 2 7 2" xfId="7199"/>
    <cellStyle name="Separador de milhares 3 4 2 7 2 2" xfId="10343"/>
    <cellStyle name="Separador de milhares 3 4 2 7 2 2 2" xfId="28557"/>
    <cellStyle name="Separador de milhares 3 4 2 7 2 2 2 2" xfId="53624"/>
    <cellStyle name="Separador de milhares 3 4 2 7 2 2 3" xfId="22643"/>
    <cellStyle name="Separador de milhares 3 4 2 7 2 2 3 2" xfId="47710"/>
    <cellStyle name="Separador de milhares 3 4 2 7 2 2 4" xfId="16729"/>
    <cellStyle name="Separador de milhares 3 4 2 7 2 2 4 2" xfId="41796"/>
    <cellStyle name="Separador de milhares 3 4 2 7 2 2 5" xfId="35888"/>
    <cellStyle name="Separador de milhares 3 4 2 7 2 3" xfId="25600"/>
    <cellStyle name="Separador de milhares 3 4 2 7 2 3 2" xfId="50667"/>
    <cellStyle name="Separador de milhares 3 4 2 7 2 4" xfId="19686"/>
    <cellStyle name="Separador de milhares 3 4 2 7 2 4 2" xfId="44753"/>
    <cellStyle name="Separador de milhares 3 4 2 7 2 5" xfId="13588"/>
    <cellStyle name="Separador de milhares 3 4 2 7 2 5 2" xfId="38842"/>
    <cellStyle name="Separador de milhares 3 4 2 7 2 6" xfId="32931"/>
    <cellStyle name="Separador de milhares 3 4 2 7 3" xfId="8875"/>
    <cellStyle name="Separador de milhares 3 4 2 7 3 2" xfId="27089"/>
    <cellStyle name="Separador de milhares 3 4 2 7 3 2 2" xfId="52156"/>
    <cellStyle name="Separador de milhares 3 4 2 7 3 3" xfId="21175"/>
    <cellStyle name="Separador de milhares 3 4 2 7 3 3 2" xfId="46242"/>
    <cellStyle name="Separador de milhares 3 4 2 7 3 4" xfId="15261"/>
    <cellStyle name="Separador de milhares 3 4 2 7 3 4 2" xfId="40328"/>
    <cellStyle name="Separador de milhares 3 4 2 7 3 5" xfId="34420"/>
    <cellStyle name="Separador de milhares 3 4 2 7 4" xfId="5500"/>
    <cellStyle name="Separador de milhares 3 4 2 7 4 2" xfId="24132"/>
    <cellStyle name="Separador de milhares 3 4 2 7 4 2 2" xfId="49199"/>
    <cellStyle name="Separador de milhares 3 4 2 7 4 3" xfId="31463"/>
    <cellStyle name="Separador de milhares 3 4 2 7 5" xfId="18218"/>
    <cellStyle name="Separador de milhares 3 4 2 7 5 2" xfId="43285"/>
    <cellStyle name="Separador de milhares 3 4 2 7 6" xfId="11887"/>
    <cellStyle name="Separador de milhares 3 4 2 7 6 2" xfId="37374"/>
    <cellStyle name="Separador de milhares 3 4 2 7 7" xfId="29993"/>
    <cellStyle name="Separador de milhares 3 4 2 8" xfId="3264"/>
    <cellStyle name="Separador de milhares 3 4 2 8 2" xfId="7346"/>
    <cellStyle name="Separador de milhares 3 4 2 8 2 2" xfId="10490"/>
    <cellStyle name="Separador de milhares 3 4 2 8 2 2 2" xfId="28704"/>
    <cellStyle name="Separador de milhares 3 4 2 8 2 2 2 2" xfId="53771"/>
    <cellStyle name="Separador de milhares 3 4 2 8 2 2 3" xfId="22790"/>
    <cellStyle name="Separador de milhares 3 4 2 8 2 2 3 2" xfId="47857"/>
    <cellStyle name="Separador de milhares 3 4 2 8 2 2 4" xfId="16876"/>
    <cellStyle name="Separador de milhares 3 4 2 8 2 2 4 2" xfId="41943"/>
    <cellStyle name="Separador de milhares 3 4 2 8 2 2 5" xfId="36035"/>
    <cellStyle name="Separador de milhares 3 4 2 8 2 3" xfId="25747"/>
    <cellStyle name="Separador de milhares 3 4 2 8 2 3 2" xfId="50814"/>
    <cellStyle name="Separador de milhares 3 4 2 8 2 4" xfId="19833"/>
    <cellStyle name="Separador de milhares 3 4 2 8 2 4 2" xfId="44900"/>
    <cellStyle name="Separador de milhares 3 4 2 8 2 5" xfId="13735"/>
    <cellStyle name="Separador de milhares 3 4 2 8 2 5 2" xfId="38989"/>
    <cellStyle name="Separador de milhares 3 4 2 8 2 6" xfId="33078"/>
    <cellStyle name="Separador de milhares 3 4 2 8 3" xfId="9022"/>
    <cellStyle name="Separador de milhares 3 4 2 8 3 2" xfId="27236"/>
    <cellStyle name="Separador de milhares 3 4 2 8 3 2 2" xfId="52303"/>
    <cellStyle name="Separador de milhares 3 4 2 8 3 3" xfId="21322"/>
    <cellStyle name="Separador de milhares 3 4 2 8 3 3 2" xfId="46389"/>
    <cellStyle name="Separador de milhares 3 4 2 8 3 4" xfId="15408"/>
    <cellStyle name="Separador de milhares 3 4 2 8 3 4 2" xfId="40475"/>
    <cellStyle name="Separador de milhares 3 4 2 8 3 5" xfId="34567"/>
    <cellStyle name="Separador de milhares 3 4 2 8 4" xfId="5647"/>
    <cellStyle name="Separador de milhares 3 4 2 8 4 2" xfId="24279"/>
    <cellStyle name="Separador de milhares 3 4 2 8 4 2 2" xfId="49346"/>
    <cellStyle name="Separador de milhares 3 4 2 8 4 3" xfId="31610"/>
    <cellStyle name="Separador de milhares 3 4 2 8 5" xfId="18365"/>
    <cellStyle name="Separador de milhares 3 4 2 8 5 2" xfId="43432"/>
    <cellStyle name="Separador de milhares 3 4 2 8 6" xfId="12034"/>
    <cellStyle name="Separador de milhares 3 4 2 8 6 2" xfId="37521"/>
    <cellStyle name="Separador de milhares 3 4 2 8 7" xfId="30140"/>
    <cellStyle name="Separador de milhares 3 4 2 9" xfId="3791"/>
    <cellStyle name="Separador de milhares 3 4 2 9 2" xfId="7493"/>
    <cellStyle name="Separador de milhares 3 4 2 9 2 2" xfId="10637"/>
    <cellStyle name="Separador de milhares 3 4 2 9 2 2 2" xfId="28851"/>
    <cellStyle name="Separador de milhares 3 4 2 9 2 2 2 2" xfId="53918"/>
    <cellStyle name="Separador de milhares 3 4 2 9 2 2 3" xfId="22937"/>
    <cellStyle name="Separador de milhares 3 4 2 9 2 2 3 2" xfId="48004"/>
    <cellStyle name="Separador de milhares 3 4 2 9 2 2 4" xfId="17023"/>
    <cellStyle name="Separador de milhares 3 4 2 9 2 2 4 2" xfId="42090"/>
    <cellStyle name="Separador de milhares 3 4 2 9 2 2 5" xfId="36182"/>
    <cellStyle name="Separador de milhares 3 4 2 9 2 3" xfId="25894"/>
    <cellStyle name="Separador de milhares 3 4 2 9 2 3 2" xfId="50961"/>
    <cellStyle name="Separador de milhares 3 4 2 9 2 4" xfId="19980"/>
    <cellStyle name="Separador de milhares 3 4 2 9 2 4 2" xfId="45047"/>
    <cellStyle name="Separador de milhares 3 4 2 9 2 5" xfId="13882"/>
    <cellStyle name="Separador de milhares 3 4 2 9 2 5 2" xfId="39136"/>
    <cellStyle name="Separador de milhares 3 4 2 9 2 6" xfId="33225"/>
    <cellStyle name="Separador de milhares 3 4 2 9 3" xfId="9169"/>
    <cellStyle name="Separador de milhares 3 4 2 9 3 2" xfId="27383"/>
    <cellStyle name="Separador de milhares 3 4 2 9 3 2 2" xfId="52450"/>
    <cellStyle name="Separador de milhares 3 4 2 9 3 3" xfId="21469"/>
    <cellStyle name="Separador de milhares 3 4 2 9 3 3 2" xfId="46536"/>
    <cellStyle name="Separador de milhares 3 4 2 9 3 4" xfId="15555"/>
    <cellStyle name="Separador de milhares 3 4 2 9 3 4 2" xfId="40622"/>
    <cellStyle name="Separador de milhares 3 4 2 9 3 5" xfId="34714"/>
    <cellStyle name="Separador de milhares 3 4 2 9 4" xfId="5794"/>
    <cellStyle name="Separador de milhares 3 4 2 9 4 2" xfId="24426"/>
    <cellStyle name="Separador de milhares 3 4 2 9 4 2 2" xfId="49493"/>
    <cellStyle name="Separador de milhares 3 4 2 9 4 3" xfId="31757"/>
    <cellStyle name="Separador de milhares 3 4 2 9 5" xfId="18512"/>
    <cellStyle name="Separador de milhares 3 4 2 9 5 2" xfId="43579"/>
    <cellStyle name="Separador de milhares 3 4 2 9 6" xfId="12181"/>
    <cellStyle name="Separador de milhares 3 4 2 9 6 2" xfId="37668"/>
    <cellStyle name="Separador de milhares 3 4 2 9 7" xfId="30287"/>
    <cellStyle name="Separador de milhares 3 4 3" xfId="243"/>
    <cellStyle name="Separador de milhares 3 4 3 10" xfId="6484"/>
    <cellStyle name="Separador de milhares 3 4 3 10 2" xfId="9635"/>
    <cellStyle name="Separador de milhares 3 4 3 10 2 2" xfId="27849"/>
    <cellStyle name="Separador de milhares 3 4 3 10 2 2 2" xfId="52916"/>
    <cellStyle name="Separador de milhares 3 4 3 10 2 3" xfId="21935"/>
    <cellStyle name="Separador de milhares 3 4 3 10 2 3 2" xfId="47002"/>
    <cellStyle name="Separador de milhares 3 4 3 10 2 4" xfId="16021"/>
    <cellStyle name="Separador de milhares 3 4 3 10 2 4 2" xfId="41088"/>
    <cellStyle name="Separador de milhares 3 4 3 10 2 5" xfId="35180"/>
    <cellStyle name="Separador de milhares 3 4 3 10 3" xfId="24892"/>
    <cellStyle name="Separador de milhares 3 4 3 10 3 2" xfId="49959"/>
    <cellStyle name="Separador de milhares 3 4 3 10 4" xfId="18978"/>
    <cellStyle name="Separador de milhares 3 4 3 10 4 2" xfId="44045"/>
    <cellStyle name="Separador de milhares 3 4 3 10 5" xfId="12873"/>
    <cellStyle name="Separador de milhares 3 4 3 10 5 2" xfId="38134"/>
    <cellStyle name="Separador de milhares 3 4 3 10 6" xfId="32223"/>
    <cellStyle name="Separador de milhares 3 4 3 11" xfId="8164"/>
    <cellStyle name="Separador de milhares 3 4 3 11 2" xfId="26378"/>
    <cellStyle name="Separador de milhares 3 4 3 11 2 2" xfId="51445"/>
    <cellStyle name="Separador de milhares 3 4 3 11 3" xfId="20464"/>
    <cellStyle name="Separador de milhares 3 4 3 11 3 2" xfId="45531"/>
    <cellStyle name="Separador de milhares 3 4 3 11 4" xfId="14553"/>
    <cellStyle name="Separador de milhares 3 4 3 11 4 2" xfId="39620"/>
    <cellStyle name="Separador de milhares 3 4 3 11 5" xfId="33709"/>
    <cellStyle name="Separador de milhares 3 4 3 12" xfId="4783"/>
    <cellStyle name="Separador de milhares 3 4 3 12 2" xfId="23421"/>
    <cellStyle name="Separador de milhares 3 4 3 12 2 2" xfId="48488"/>
    <cellStyle name="Separador de milhares 3 4 3 12 3" xfId="30753"/>
    <cellStyle name="Separador de milhares 3 4 3 13" xfId="17507"/>
    <cellStyle name="Separador de milhares 3 4 3 13 2" xfId="42574"/>
    <cellStyle name="Separador de milhares 3 4 3 14" xfId="11172"/>
    <cellStyle name="Separador de milhares 3 4 3 14 2" xfId="36666"/>
    <cellStyle name="Separador de milhares 3 4 3 15" xfId="29282"/>
    <cellStyle name="Separador de milhares 3 4 3 2" xfId="506"/>
    <cellStyle name="Separador de milhares 3 4 3 2 2" xfId="6555"/>
    <cellStyle name="Separador de milhares 3 4 3 2 2 2" xfId="9702"/>
    <cellStyle name="Separador de milhares 3 4 3 2 2 2 2" xfId="27916"/>
    <cellStyle name="Separador de milhares 3 4 3 2 2 2 2 2" xfId="52983"/>
    <cellStyle name="Separador de milhares 3 4 3 2 2 2 3" xfId="22002"/>
    <cellStyle name="Separador de milhares 3 4 3 2 2 2 3 2" xfId="47069"/>
    <cellStyle name="Separador de milhares 3 4 3 2 2 2 4" xfId="16088"/>
    <cellStyle name="Separador de milhares 3 4 3 2 2 2 4 2" xfId="41155"/>
    <cellStyle name="Separador de milhares 3 4 3 2 2 2 5" xfId="35247"/>
    <cellStyle name="Separador de milhares 3 4 3 2 2 3" xfId="24959"/>
    <cellStyle name="Separador de milhares 3 4 3 2 2 3 2" xfId="50026"/>
    <cellStyle name="Separador de milhares 3 4 3 2 2 4" xfId="19045"/>
    <cellStyle name="Separador de milhares 3 4 3 2 2 4 2" xfId="44112"/>
    <cellStyle name="Separador de milhares 3 4 3 2 2 5" xfId="12944"/>
    <cellStyle name="Separador de milhares 3 4 3 2 2 5 2" xfId="38201"/>
    <cellStyle name="Separador de milhares 3 4 3 2 2 6" xfId="32290"/>
    <cellStyle name="Separador de milhares 3 4 3 2 3" xfId="8231"/>
    <cellStyle name="Separador de milhares 3 4 3 2 3 2" xfId="26445"/>
    <cellStyle name="Separador de milhares 3 4 3 2 3 2 2" xfId="51512"/>
    <cellStyle name="Separador de milhares 3 4 3 2 3 3" xfId="20531"/>
    <cellStyle name="Separador de milhares 3 4 3 2 3 3 2" xfId="45598"/>
    <cellStyle name="Separador de milhares 3 4 3 2 3 4" xfId="14620"/>
    <cellStyle name="Separador de milhares 3 4 3 2 3 4 2" xfId="39687"/>
    <cellStyle name="Separador de milhares 3 4 3 2 3 5" xfId="33776"/>
    <cellStyle name="Separador de milhares 3 4 3 2 4" xfId="4854"/>
    <cellStyle name="Separador de milhares 3 4 3 2 4 2" xfId="23488"/>
    <cellStyle name="Separador de milhares 3 4 3 2 4 2 2" xfId="48555"/>
    <cellStyle name="Separador de milhares 3 4 3 2 4 3" xfId="30820"/>
    <cellStyle name="Separador de milhares 3 4 3 2 5" xfId="17574"/>
    <cellStyle name="Separador de milhares 3 4 3 2 5 2" xfId="42641"/>
    <cellStyle name="Separador de milhares 3 4 3 2 6" xfId="11243"/>
    <cellStyle name="Separador de milhares 3 4 3 2 6 2" xfId="36733"/>
    <cellStyle name="Separador de milhares 3 4 3 2 7" xfId="29349"/>
    <cellStyle name="Separador de milhares 3 4 3 3" xfId="803"/>
    <cellStyle name="Separador de milhares 3 4 3 3 2" xfId="6657"/>
    <cellStyle name="Separador de milhares 3 4 3 3 2 2" xfId="9804"/>
    <cellStyle name="Separador de milhares 3 4 3 3 2 2 2" xfId="28018"/>
    <cellStyle name="Separador de milhares 3 4 3 3 2 2 2 2" xfId="53085"/>
    <cellStyle name="Separador de milhares 3 4 3 3 2 2 3" xfId="22104"/>
    <cellStyle name="Separador de milhares 3 4 3 3 2 2 3 2" xfId="47171"/>
    <cellStyle name="Separador de milhares 3 4 3 3 2 2 4" xfId="16190"/>
    <cellStyle name="Separador de milhares 3 4 3 3 2 2 4 2" xfId="41257"/>
    <cellStyle name="Separador de milhares 3 4 3 3 2 2 5" xfId="35349"/>
    <cellStyle name="Separador de milhares 3 4 3 3 2 3" xfId="25061"/>
    <cellStyle name="Separador de milhares 3 4 3 3 2 3 2" xfId="50128"/>
    <cellStyle name="Separador de milhares 3 4 3 3 2 4" xfId="19147"/>
    <cellStyle name="Separador de milhares 3 4 3 3 2 4 2" xfId="44214"/>
    <cellStyle name="Separador de milhares 3 4 3 3 2 5" xfId="13046"/>
    <cellStyle name="Separador de milhares 3 4 3 3 2 5 2" xfId="38303"/>
    <cellStyle name="Separador de milhares 3 4 3 3 2 6" xfId="32392"/>
    <cellStyle name="Separador de milhares 3 4 3 3 3" xfId="8336"/>
    <cellStyle name="Separador de milhares 3 4 3 3 3 2" xfId="26550"/>
    <cellStyle name="Separador de milhares 3 4 3 3 3 2 2" xfId="51617"/>
    <cellStyle name="Separador de milhares 3 4 3 3 3 3" xfId="20636"/>
    <cellStyle name="Separador de milhares 3 4 3 3 3 3 2" xfId="45703"/>
    <cellStyle name="Separador de milhares 3 4 3 3 3 4" xfId="14722"/>
    <cellStyle name="Separador de milhares 3 4 3 3 3 4 2" xfId="39789"/>
    <cellStyle name="Separador de milhares 3 4 3 3 3 5" xfId="33881"/>
    <cellStyle name="Separador de milhares 3 4 3 3 4" xfId="4958"/>
    <cellStyle name="Separador de milhares 3 4 3 3 4 2" xfId="23593"/>
    <cellStyle name="Separador de milhares 3 4 3 3 4 2 2" xfId="48660"/>
    <cellStyle name="Separador de milhares 3 4 3 3 4 3" xfId="30924"/>
    <cellStyle name="Separador de milhares 3 4 3 3 5" xfId="17679"/>
    <cellStyle name="Separador de milhares 3 4 3 3 5 2" xfId="42746"/>
    <cellStyle name="Separador de milhares 3 4 3 3 6" xfId="11345"/>
    <cellStyle name="Separador de milhares 3 4 3 3 6 2" xfId="36835"/>
    <cellStyle name="Separador de milhares 3 4 3 3 7" xfId="29454"/>
    <cellStyle name="Separador de milhares 3 4 3 4" xfId="1154"/>
    <cellStyle name="Separador de milhares 3 4 3 4 2" xfId="6755"/>
    <cellStyle name="Separador de milhares 3 4 3 4 2 2" xfId="9902"/>
    <cellStyle name="Separador de milhares 3 4 3 4 2 2 2" xfId="28116"/>
    <cellStyle name="Separador de milhares 3 4 3 4 2 2 2 2" xfId="53183"/>
    <cellStyle name="Separador de milhares 3 4 3 4 2 2 3" xfId="22202"/>
    <cellStyle name="Separador de milhares 3 4 3 4 2 2 3 2" xfId="47269"/>
    <cellStyle name="Separador de milhares 3 4 3 4 2 2 4" xfId="16288"/>
    <cellStyle name="Separador de milhares 3 4 3 4 2 2 4 2" xfId="41355"/>
    <cellStyle name="Separador de milhares 3 4 3 4 2 2 5" xfId="35447"/>
    <cellStyle name="Separador de milhares 3 4 3 4 2 3" xfId="25159"/>
    <cellStyle name="Separador de milhares 3 4 3 4 2 3 2" xfId="50226"/>
    <cellStyle name="Separador de milhares 3 4 3 4 2 4" xfId="19245"/>
    <cellStyle name="Separador de milhares 3 4 3 4 2 4 2" xfId="44312"/>
    <cellStyle name="Separador de milhares 3 4 3 4 2 5" xfId="13144"/>
    <cellStyle name="Separador de milhares 3 4 3 4 2 5 2" xfId="38401"/>
    <cellStyle name="Separador de milhares 3 4 3 4 2 6" xfId="32490"/>
    <cellStyle name="Separador de milhares 3 4 3 4 3" xfId="8434"/>
    <cellStyle name="Separador de milhares 3 4 3 4 3 2" xfId="26648"/>
    <cellStyle name="Separador de milhares 3 4 3 4 3 2 2" xfId="51715"/>
    <cellStyle name="Separador de milhares 3 4 3 4 3 3" xfId="20734"/>
    <cellStyle name="Separador de milhares 3 4 3 4 3 3 2" xfId="45801"/>
    <cellStyle name="Separador de milhares 3 4 3 4 3 4" xfId="14820"/>
    <cellStyle name="Separador de milhares 3 4 3 4 3 4 2" xfId="39887"/>
    <cellStyle name="Separador de milhares 3 4 3 4 3 5" xfId="33979"/>
    <cellStyle name="Separador de milhares 3 4 3 4 4" xfId="5056"/>
    <cellStyle name="Separador de milhares 3 4 3 4 4 2" xfId="23691"/>
    <cellStyle name="Separador de milhares 3 4 3 4 4 2 2" xfId="48758"/>
    <cellStyle name="Separador de milhares 3 4 3 4 4 3" xfId="31022"/>
    <cellStyle name="Separador de milhares 3 4 3 4 5" xfId="17777"/>
    <cellStyle name="Separador de milhares 3 4 3 4 5 2" xfId="42844"/>
    <cellStyle name="Separador de milhares 3 4 3 4 6" xfId="11443"/>
    <cellStyle name="Separador de milhares 3 4 3 4 6 2" xfId="36933"/>
    <cellStyle name="Separador de milhares 3 4 3 4 7" xfId="29552"/>
    <cellStyle name="Separador de milhares 3 4 3 5" xfId="1589"/>
    <cellStyle name="Separador de milhares 3 4 3 5 2" xfId="6874"/>
    <cellStyle name="Separador de milhares 3 4 3 5 2 2" xfId="10021"/>
    <cellStyle name="Separador de milhares 3 4 3 5 2 2 2" xfId="28235"/>
    <cellStyle name="Separador de milhares 3 4 3 5 2 2 2 2" xfId="53302"/>
    <cellStyle name="Separador de milhares 3 4 3 5 2 2 3" xfId="22321"/>
    <cellStyle name="Separador de milhares 3 4 3 5 2 2 3 2" xfId="47388"/>
    <cellStyle name="Separador de milhares 3 4 3 5 2 2 4" xfId="16407"/>
    <cellStyle name="Separador de milhares 3 4 3 5 2 2 4 2" xfId="41474"/>
    <cellStyle name="Separador de milhares 3 4 3 5 2 2 5" xfId="35566"/>
    <cellStyle name="Separador de milhares 3 4 3 5 2 3" xfId="25278"/>
    <cellStyle name="Separador de milhares 3 4 3 5 2 3 2" xfId="50345"/>
    <cellStyle name="Separador de milhares 3 4 3 5 2 4" xfId="19364"/>
    <cellStyle name="Separador de milhares 3 4 3 5 2 4 2" xfId="44431"/>
    <cellStyle name="Separador de milhares 3 4 3 5 2 5" xfId="13263"/>
    <cellStyle name="Separador de milhares 3 4 3 5 2 5 2" xfId="38520"/>
    <cellStyle name="Separador de milhares 3 4 3 5 2 6" xfId="32609"/>
    <cellStyle name="Separador de milhares 3 4 3 5 3" xfId="8553"/>
    <cellStyle name="Separador de milhares 3 4 3 5 3 2" xfId="26767"/>
    <cellStyle name="Separador de milhares 3 4 3 5 3 2 2" xfId="51834"/>
    <cellStyle name="Separador de milhares 3 4 3 5 3 3" xfId="20853"/>
    <cellStyle name="Separador de milhares 3 4 3 5 3 3 2" xfId="45920"/>
    <cellStyle name="Separador de milhares 3 4 3 5 3 4" xfId="14939"/>
    <cellStyle name="Separador de milhares 3 4 3 5 3 4 2" xfId="40006"/>
    <cellStyle name="Separador de milhares 3 4 3 5 3 5" xfId="34098"/>
    <cellStyle name="Separador de milhares 3 4 3 5 4" xfId="5175"/>
    <cellStyle name="Separador de milhares 3 4 3 5 4 2" xfId="23810"/>
    <cellStyle name="Separador de milhares 3 4 3 5 4 2 2" xfId="48877"/>
    <cellStyle name="Separador de milhares 3 4 3 5 4 3" xfId="31141"/>
    <cellStyle name="Separador de milhares 3 4 3 5 5" xfId="17896"/>
    <cellStyle name="Separador de milhares 3 4 3 5 5 2" xfId="42963"/>
    <cellStyle name="Separador de milhares 3 4 3 5 6" xfId="11562"/>
    <cellStyle name="Separador de milhares 3 4 3 5 6 2" xfId="37052"/>
    <cellStyle name="Separador de milhares 3 4 3 5 7" xfId="29671"/>
    <cellStyle name="Separador de milhares 3 4 3 6" xfId="2119"/>
    <cellStyle name="Separador de milhares 3 4 3 6 2" xfId="7024"/>
    <cellStyle name="Separador de milhares 3 4 3 6 2 2" xfId="10168"/>
    <cellStyle name="Separador de milhares 3 4 3 6 2 2 2" xfId="28382"/>
    <cellStyle name="Separador de milhares 3 4 3 6 2 2 2 2" xfId="53449"/>
    <cellStyle name="Separador de milhares 3 4 3 6 2 2 3" xfId="22468"/>
    <cellStyle name="Separador de milhares 3 4 3 6 2 2 3 2" xfId="47535"/>
    <cellStyle name="Separador de milhares 3 4 3 6 2 2 4" xfId="16554"/>
    <cellStyle name="Separador de milhares 3 4 3 6 2 2 4 2" xfId="41621"/>
    <cellStyle name="Separador de milhares 3 4 3 6 2 2 5" xfId="35713"/>
    <cellStyle name="Separador de milhares 3 4 3 6 2 3" xfId="25425"/>
    <cellStyle name="Separador de milhares 3 4 3 6 2 3 2" xfId="50492"/>
    <cellStyle name="Separador de milhares 3 4 3 6 2 4" xfId="19511"/>
    <cellStyle name="Separador de milhares 3 4 3 6 2 4 2" xfId="44578"/>
    <cellStyle name="Separador de milhares 3 4 3 6 2 5" xfId="13413"/>
    <cellStyle name="Separador de milhares 3 4 3 6 2 5 2" xfId="38667"/>
    <cellStyle name="Separador de milhares 3 4 3 6 2 6" xfId="32756"/>
    <cellStyle name="Separador de milhares 3 4 3 6 3" xfId="8700"/>
    <cellStyle name="Separador de milhares 3 4 3 6 3 2" xfId="26914"/>
    <cellStyle name="Separador de milhares 3 4 3 6 3 2 2" xfId="51981"/>
    <cellStyle name="Separador de milhares 3 4 3 6 3 3" xfId="21000"/>
    <cellStyle name="Separador de milhares 3 4 3 6 3 3 2" xfId="46067"/>
    <cellStyle name="Separador de milhares 3 4 3 6 3 4" xfId="15086"/>
    <cellStyle name="Separador de milhares 3 4 3 6 3 4 2" xfId="40153"/>
    <cellStyle name="Separador de milhares 3 4 3 6 3 5" xfId="34245"/>
    <cellStyle name="Separador de milhares 3 4 3 6 4" xfId="5325"/>
    <cellStyle name="Separador de milhares 3 4 3 6 4 2" xfId="23957"/>
    <cellStyle name="Separador de milhares 3 4 3 6 4 2 2" xfId="49024"/>
    <cellStyle name="Separador de milhares 3 4 3 6 4 3" xfId="31288"/>
    <cellStyle name="Separador de milhares 3 4 3 6 5" xfId="18043"/>
    <cellStyle name="Separador de milhares 3 4 3 6 5 2" xfId="43110"/>
    <cellStyle name="Separador de milhares 3 4 3 6 6" xfId="11712"/>
    <cellStyle name="Separador de milhares 3 4 3 6 6 2" xfId="37199"/>
    <cellStyle name="Separador de milhares 3 4 3 6 7" xfId="29818"/>
    <cellStyle name="Separador de milhares 3 4 3 7" xfId="2646"/>
    <cellStyle name="Separador de milhares 3 4 3 7 2" xfId="7171"/>
    <cellStyle name="Separador de milhares 3 4 3 7 2 2" xfId="10315"/>
    <cellStyle name="Separador de milhares 3 4 3 7 2 2 2" xfId="28529"/>
    <cellStyle name="Separador de milhares 3 4 3 7 2 2 2 2" xfId="53596"/>
    <cellStyle name="Separador de milhares 3 4 3 7 2 2 3" xfId="22615"/>
    <cellStyle name="Separador de milhares 3 4 3 7 2 2 3 2" xfId="47682"/>
    <cellStyle name="Separador de milhares 3 4 3 7 2 2 4" xfId="16701"/>
    <cellStyle name="Separador de milhares 3 4 3 7 2 2 4 2" xfId="41768"/>
    <cellStyle name="Separador de milhares 3 4 3 7 2 2 5" xfId="35860"/>
    <cellStyle name="Separador de milhares 3 4 3 7 2 3" xfId="25572"/>
    <cellStyle name="Separador de milhares 3 4 3 7 2 3 2" xfId="50639"/>
    <cellStyle name="Separador de milhares 3 4 3 7 2 4" xfId="19658"/>
    <cellStyle name="Separador de milhares 3 4 3 7 2 4 2" xfId="44725"/>
    <cellStyle name="Separador de milhares 3 4 3 7 2 5" xfId="13560"/>
    <cellStyle name="Separador de milhares 3 4 3 7 2 5 2" xfId="38814"/>
    <cellStyle name="Separador de milhares 3 4 3 7 2 6" xfId="32903"/>
    <cellStyle name="Separador de milhares 3 4 3 7 3" xfId="8847"/>
    <cellStyle name="Separador de milhares 3 4 3 7 3 2" xfId="27061"/>
    <cellStyle name="Separador de milhares 3 4 3 7 3 2 2" xfId="52128"/>
    <cellStyle name="Separador de milhares 3 4 3 7 3 3" xfId="21147"/>
    <cellStyle name="Separador de milhares 3 4 3 7 3 3 2" xfId="46214"/>
    <cellStyle name="Separador de milhares 3 4 3 7 3 4" xfId="15233"/>
    <cellStyle name="Separador de milhares 3 4 3 7 3 4 2" xfId="40300"/>
    <cellStyle name="Separador de milhares 3 4 3 7 3 5" xfId="34392"/>
    <cellStyle name="Separador de milhares 3 4 3 7 4" xfId="5472"/>
    <cellStyle name="Separador de milhares 3 4 3 7 4 2" xfId="24104"/>
    <cellStyle name="Separador de milhares 3 4 3 7 4 2 2" xfId="49171"/>
    <cellStyle name="Separador de milhares 3 4 3 7 4 3" xfId="31435"/>
    <cellStyle name="Separador de milhares 3 4 3 7 5" xfId="18190"/>
    <cellStyle name="Separador de milhares 3 4 3 7 5 2" xfId="43257"/>
    <cellStyle name="Separador de milhares 3 4 3 7 6" xfId="11859"/>
    <cellStyle name="Separador de milhares 3 4 3 7 6 2" xfId="37346"/>
    <cellStyle name="Separador de milhares 3 4 3 7 7" xfId="29965"/>
    <cellStyle name="Separador de milhares 3 4 3 8" xfId="3173"/>
    <cellStyle name="Separador de milhares 3 4 3 8 2" xfId="7318"/>
    <cellStyle name="Separador de milhares 3 4 3 8 2 2" xfId="10462"/>
    <cellStyle name="Separador de milhares 3 4 3 8 2 2 2" xfId="28676"/>
    <cellStyle name="Separador de milhares 3 4 3 8 2 2 2 2" xfId="53743"/>
    <cellStyle name="Separador de milhares 3 4 3 8 2 2 3" xfId="22762"/>
    <cellStyle name="Separador de milhares 3 4 3 8 2 2 3 2" xfId="47829"/>
    <cellStyle name="Separador de milhares 3 4 3 8 2 2 4" xfId="16848"/>
    <cellStyle name="Separador de milhares 3 4 3 8 2 2 4 2" xfId="41915"/>
    <cellStyle name="Separador de milhares 3 4 3 8 2 2 5" xfId="36007"/>
    <cellStyle name="Separador de milhares 3 4 3 8 2 3" xfId="25719"/>
    <cellStyle name="Separador de milhares 3 4 3 8 2 3 2" xfId="50786"/>
    <cellStyle name="Separador de milhares 3 4 3 8 2 4" xfId="19805"/>
    <cellStyle name="Separador de milhares 3 4 3 8 2 4 2" xfId="44872"/>
    <cellStyle name="Separador de milhares 3 4 3 8 2 5" xfId="13707"/>
    <cellStyle name="Separador de milhares 3 4 3 8 2 5 2" xfId="38961"/>
    <cellStyle name="Separador de milhares 3 4 3 8 2 6" xfId="33050"/>
    <cellStyle name="Separador de milhares 3 4 3 8 3" xfId="8994"/>
    <cellStyle name="Separador de milhares 3 4 3 8 3 2" xfId="27208"/>
    <cellStyle name="Separador de milhares 3 4 3 8 3 2 2" xfId="52275"/>
    <cellStyle name="Separador de milhares 3 4 3 8 3 3" xfId="21294"/>
    <cellStyle name="Separador de milhares 3 4 3 8 3 3 2" xfId="46361"/>
    <cellStyle name="Separador de milhares 3 4 3 8 3 4" xfId="15380"/>
    <cellStyle name="Separador de milhares 3 4 3 8 3 4 2" xfId="40447"/>
    <cellStyle name="Separador de milhares 3 4 3 8 3 5" xfId="34539"/>
    <cellStyle name="Separador de milhares 3 4 3 8 4" xfId="5619"/>
    <cellStyle name="Separador de milhares 3 4 3 8 4 2" xfId="24251"/>
    <cellStyle name="Separador de milhares 3 4 3 8 4 2 2" xfId="49318"/>
    <cellStyle name="Separador de milhares 3 4 3 8 4 3" xfId="31582"/>
    <cellStyle name="Separador de milhares 3 4 3 8 5" xfId="18337"/>
    <cellStyle name="Separador de milhares 3 4 3 8 5 2" xfId="43404"/>
    <cellStyle name="Separador de milhares 3 4 3 8 6" xfId="12006"/>
    <cellStyle name="Separador de milhares 3 4 3 8 6 2" xfId="37493"/>
    <cellStyle name="Separador de milhares 3 4 3 8 7" xfId="30112"/>
    <cellStyle name="Separador de milhares 3 4 3 9" xfId="3700"/>
    <cellStyle name="Separador de milhares 3 4 3 9 2" xfId="7465"/>
    <cellStyle name="Separador de milhares 3 4 3 9 2 2" xfId="10609"/>
    <cellStyle name="Separador de milhares 3 4 3 9 2 2 2" xfId="28823"/>
    <cellStyle name="Separador de milhares 3 4 3 9 2 2 2 2" xfId="53890"/>
    <cellStyle name="Separador de milhares 3 4 3 9 2 2 3" xfId="22909"/>
    <cellStyle name="Separador de milhares 3 4 3 9 2 2 3 2" xfId="47976"/>
    <cellStyle name="Separador de milhares 3 4 3 9 2 2 4" xfId="16995"/>
    <cellStyle name="Separador de milhares 3 4 3 9 2 2 4 2" xfId="42062"/>
    <cellStyle name="Separador de milhares 3 4 3 9 2 2 5" xfId="36154"/>
    <cellStyle name="Separador de milhares 3 4 3 9 2 3" xfId="25866"/>
    <cellStyle name="Separador de milhares 3 4 3 9 2 3 2" xfId="50933"/>
    <cellStyle name="Separador de milhares 3 4 3 9 2 4" xfId="19952"/>
    <cellStyle name="Separador de milhares 3 4 3 9 2 4 2" xfId="45019"/>
    <cellStyle name="Separador de milhares 3 4 3 9 2 5" xfId="13854"/>
    <cellStyle name="Separador de milhares 3 4 3 9 2 5 2" xfId="39108"/>
    <cellStyle name="Separador de milhares 3 4 3 9 2 6" xfId="33197"/>
    <cellStyle name="Separador de milhares 3 4 3 9 3" xfId="9141"/>
    <cellStyle name="Separador de milhares 3 4 3 9 3 2" xfId="27355"/>
    <cellStyle name="Separador de milhares 3 4 3 9 3 2 2" xfId="52422"/>
    <cellStyle name="Separador de milhares 3 4 3 9 3 3" xfId="21441"/>
    <cellStyle name="Separador de milhares 3 4 3 9 3 3 2" xfId="46508"/>
    <cellStyle name="Separador de milhares 3 4 3 9 3 4" xfId="15527"/>
    <cellStyle name="Separador de milhares 3 4 3 9 3 4 2" xfId="40594"/>
    <cellStyle name="Separador de milhares 3 4 3 9 3 5" xfId="34686"/>
    <cellStyle name="Separador de milhares 3 4 3 9 4" xfId="5766"/>
    <cellStyle name="Separador de milhares 3 4 3 9 4 2" xfId="24398"/>
    <cellStyle name="Separador de milhares 3 4 3 9 4 2 2" xfId="49465"/>
    <cellStyle name="Separador de milhares 3 4 3 9 4 3" xfId="31729"/>
    <cellStyle name="Separador de milhares 3 4 3 9 5" xfId="18484"/>
    <cellStyle name="Separador de milhares 3 4 3 9 5 2" xfId="43551"/>
    <cellStyle name="Separador de milhares 3 4 3 9 6" xfId="12153"/>
    <cellStyle name="Separador de milhares 3 4 3 9 6 2" xfId="37640"/>
    <cellStyle name="Separador de milhares 3 4 3 9 7" xfId="30259"/>
    <cellStyle name="Separador de milhares 3 4 4" xfId="336"/>
    <cellStyle name="Separador de milhares 3 4 4 10" xfId="6512"/>
    <cellStyle name="Separador de milhares 3 4 4 10 2" xfId="9660"/>
    <cellStyle name="Separador de milhares 3 4 4 10 2 2" xfId="27874"/>
    <cellStyle name="Separador de milhares 3 4 4 10 2 2 2" xfId="52941"/>
    <cellStyle name="Separador de milhares 3 4 4 10 2 3" xfId="21960"/>
    <cellStyle name="Separador de milhares 3 4 4 10 2 3 2" xfId="47027"/>
    <cellStyle name="Separador de milhares 3 4 4 10 2 4" xfId="16046"/>
    <cellStyle name="Separador de milhares 3 4 4 10 2 4 2" xfId="41113"/>
    <cellStyle name="Separador de milhares 3 4 4 10 2 5" xfId="35205"/>
    <cellStyle name="Separador de milhares 3 4 4 10 3" xfId="24917"/>
    <cellStyle name="Separador de milhares 3 4 4 10 3 2" xfId="49984"/>
    <cellStyle name="Separador de milhares 3 4 4 10 4" xfId="19003"/>
    <cellStyle name="Separador de milhares 3 4 4 10 4 2" xfId="44070"/>
    <cellStyle name="Separador de milhares 3 4 4 10 5" xfId="12901"/>
    <cellStyle name="Separador de milhares 3 4 4 10 5 2" xfId="38159"/>
    <cellStyle name="Separador de milhares 3 4 4 10 6" xfId="32248"/>
    <cellStyle name="Separador de milhares 3 4 4 11" xfId="8189"/>
    <cellStyle name="Separador de milhares 3 4 4 11 2" xfId="26403"/>
    <cellStyle name="Separador de milhares 3 4 4 11 2 2" xfId="51470"/>
    <cellStyle name="Separador de milhares 3 4 4 11 3" xfId="20489"/>
    <cellStyle name="Separador de milhares 3 4 4 11 3 2" xfId="45556"/>
    <cellStyle name="Separador de milhares 3 4 4 11 4" xfId="14578"/>
    <cellStyle name="Separador de milhares 3 4 4 11 4 2" xfId="39645"/>
    <cellStyle name="Separador de milhares 3 4 4 11 5" xfId="33734"/>
    <cellStyle name="Separador de milhares 3 4 4 12" xfId="4811"/>
    <cellStyle name="Separador de milhares 3 4 4 12 2" xfId="23446"/>
    <cellStyle name="Separador de milhares 3 4 4 12 2 2" xfId="48513"/>
    <cellStyle name="Separador de milhares 3 4 4 12 3" xfId="30778"/>
    <cellStyle name="Separador de milhares 3 4 4 13" xfId="17532"/>
    <cellStyle name="Separador de milhares 3 4 4 13 2" xfId="42599"/>
    <cellStyle name="Separador de milhares 3 4 4 14" xfId="11200"/>
    <cellStyle name="Separador de milhares 3 4 4 14 2" xfId="36691"/>
    <cellStyle name="Separador de milhares 3 4 4 15" xfId="29307"/>
    <cellStyle name="Separador de milhares 3 4 4 2" xfId="981"/>
    <cellStyle name="Separador de milhares 3 4 4 2 2" xfId="6709"/>
    <cellStyle name="Separador de milhares 3 4 4 2 2 2" xfId="9856"/>
    <cellStyle name="Separador de milhares 3 4 4 2 2 2 2" xfId="28070"/>
    <cellStyle name="Separador de milhares 3 4 4 2 2 2 2 2" xfId="53137"/>
    <cellStyle name="Separador de milhares 3 4 4 2 2 2 3" xfId="22156"/>
    <cellStyle name="Separador de milhares 3 4 4 2 2 2 3 2" xfId="47223"/>
    <cellStyle name="Separador de milhares 3 4 4 2 2 2 4" xfId="16242"/>
    <cellStyle name="Separador de milhares 3 4 4 2 2 2 4 2" xfId="41309"/>
    <cellStyle name="Separador de milhares 3 4 4 2 2 2 5" xfId="35401"/>
    <cellStyle name="Separador de milhares 3 4 4 2 2 3" xfId="25113"/>
    <cellStyle name="Separador de milhares 3 4 4 2 2 3 2" xfId="50180"/>
    <cellStyle name="Separador de milhares 3 4 4 2 2 4" xfId="19199"/>
    <cellStyle name="Separador de milhares 3 4 4 2 2 4 2" xfId="44266"/>
    <cellStyle name="Separador de milhares 3 4 4 2 2 5" xfId="13098"/>
    <cellStyle name="Separador de milhares 3 4 4 2 2 5 2" xfId="38355"/>
    <cellStyle name="Separador de milhares 3 4 4 2 2 6" xfId="32444"/>
    <cellStyle name="Separador de milhares 3 4 4 2 3" xfId="8388"/>
    <cellStyle name="Separador de milhares 3 4 4 2 3 2" xfId="26602"/>
    <cellStyle name="Separador de milhares 3 4 4 2 3 2 2" xfId="51669"/>
    <cellStyle name="Separador de milhares 3 4 4 2 3 3" xfId="20688"/>
    <cellStyle name="Separador de milhares 3 4 4 2 3 3 2" xfId="45755"/>
    <cellStyle name="Separador de milhares 3 4 4 2 3 4" xfId="14774"/>
    <cellStyle name="Separador de milhares 3 4 4 2 3 4 2" xfId="39841"/>
    <cellStyle name="Separador de milhares 3 4 4 2 3 5" xfId="33933"/>
    <cellStyle name="Separador de milhares 3 4 4 2 4" xfId="5010"/>
    <cellStyle name="Separador de milhares 3 4 4 2 4 2" xfId="23645"/>
    <cellStyle name="Separador de milhares 3 4 4 2 4 2 2" xfId="48712"/>
    <cellStyle name="Separador de milhares 3 4 4 2 4 3" xfId="30976"/>
    <cellStyle name="Separador de milhares 3 4 4 2 5" xfId="17731"/>
    <cellStyle name="Separador de milhares 3 4 4 2 5 2" xfId="42798"/>
    <cellStyle name="Separador de milhares 3 4 4 2 6" xfId="11397"/>
    <cellStyle name="Separador de milhares 3 4 4 2 6 2" xfId="36887"/>
    <cellStyle name="Separador de milhares 3 4 4 2 7" xfId="29506"/>
    <cellStyle name="Separador de milhares 3 4 4 3" xfId="1332"/>
    <cellStyle name="Separador de milhares 3 4 4 3 2" xfId="6807"/>
    <cellStyle name="Separador de milhares 3 4 4 3 2 2" xfId="9954"/>
    <cellStyle name="Separador de milhares 3 4 4 3 2 2 2" xfId="28168"/>
    <cellStyle name="Separador de milhares 3 4 4 3 2 2 2 2" xfId="53235"/>
    <cellStyle name="Separador de milhares 3 4 4 3 2 2 3" xfId="22254"/>
    <cellStyle name="Separador de milhares 3 4 4 3 2 2 3 2" xfId="47321"/>
    <cellStyle name="Separador de milhares 3 4 4 3 2 2 4" xfId="16340"/>
    <cellStyle name="Separador de milhares 3 4 4 3 2 2 4 2" xfId="41407"/>
    <cellStyle name="Separador de milhares 3 4 4 3 2 2 5" xfId="35499"/>
    <cellStyle name="Separador de milhares 3 4 4 3 2 3" xfId="25211"/>
    <cellStyle name="Separador de milhares 3 4 4 3 2 3 2" xfId="50278"/>
    <cellStyle name="Separador de milhares 3 4 4 3 2 4" xfId="19297"/>
    <cellStyle name="Separador de milhares 3 4 4 3 2 4 2" xfId="44364"/>
    <cellStyle name="Separador de milhares 3 4 4 3 2 5" xfId="13196"/>
    <cellStyle name="Separador de milhares 3 4 4 3 2 5 2" xfId="38453"/>
    <cellStyle name="Separador de milhares 3 4 4 3 2 6" xfId="32542"/>
    <cellStyle name="Separador de milhares 3 4 4 3 3" xfId="8486"/>
    <cellStyle name="Separador de milhares 3 4 4 3 3 2" xfId="26700"/>
    <cellStyle name="Separador de milhares 3 4 4 3 3 2 2" xfId="51767"/>
    <cellStyle name="Separador de milhares 3 4 4 3 3 3" xfId="20786"/>
    <cellStyle name="Separador de milhares 3 4 4 3 3 3 2" xfId="45853"/>
    <cellStyle name="Separador de milhares 3 4 4 3 3 4" xfId="14872"/>
    <cellStyle name="Separador de milhares 3 4 4 3 3 4 2" xfId="39939"/>
    <cellStyle name="Separador de milhares 3 4 4 3 3 5" xfId="34031"/>
    <cellStyle name="Separador de milhares 3 4 4 3 4" xfId="5108"/>
    <cellStyle name="Separador de milhares 3 4 4 3 4 2" xfId="23743"/>
    <cellStyle name="Separador de milhares 3 4 4 3 4 2 2" xfId="48810"/>
    <cellStyle name="Separador de milhares 3 4 4 3 4 3" xfId="31074"/>
    <cellStyle name="Separador de milhares 3 4 4 3 5" xfId="17829"/>
    <cellStyle name="Separador de milhares 3 4 4 3 5 2" xfId="42896"/>
    <cellStyle name="Separador de milhares 3 4 4 3 6" xfId="11495"/>
    <cellStyle name="Separador de milhares 3 4 4 3 6 2" xfId="36985"/>
    <cellStyle name="Separador de milhares 3 4 4 3 7" xfId="29604"/>
    <cellStyle name="Separador de milhares 3 4 4 4" xfId="1767"/>
    <cellStyle name="Separador de milhares 3 4 4 4 2" xfId="6926"/>
    <cellStyle name="Separador de milhares 3 4 4 4 2 2" xfId="10073"/>
    <cellStyle name="Separador de milhares 3 4 4 4 2 2 2" xfId="28287"/>
    <cellStyle name="Separador de milhares 3 4 4 4 2 2 2 2" xfId="53354"/>
    <cellStyle name="Separador de milhares 3 4 4 4 2 2 3" xfId="22373"/>
    <cellStyle name="Separador de milhares 3 4 4 4 2 2 3 2" xfId="47440"/>
    <cellStyle name="Separador de milhares 3 4 4 4 2 2 4" xfId="16459"/>
    <cellStyle name="Separador de milhares 3 4 4 4 2 2 4 2" xfId="41526"/>
    <cellStyle name="Separador de milhares 3 4 4 4 2 2 5" xfId="35618"/>
    <cellStyle name="Separador de milhares 3 4 4 4 2 3" xfId="25330"/>
    <cellStyle name="Separador de milhares 3 4 4 4 2 3 2" xfId="50397"/>
    <cellStyle name="Separador de milhares 3 4 4 4 2 4" xfId="19416"/>
    <cellStyle name="Separador de milhares 3 4 4 4 2 4 2" xfId="44483"/>
    <cellStyle name="Separador de milhares 3 4 4 4 2 5" xfId="13315"/>
    <cellStyle name="Separador de milhares 3 4 4 4 2 5 2" xfId="38572"/>
    <cellStyle name="Separador de milhares 3 4 4 4 2 6" xfId="32661"/>
    <cellStyle name="Separador de milhares 3 4 4 4 3" xfId="8605"/>
    <cellStyle name="Separador de milhares 3 4 4 4 3 2" xfId="26819"/>
    <cellStyle name="Separador de milhares 3 4 4 4 3 2 2" xfId="51886"/>
    <cellStyle name="Separador de milhares 3 4 4 4 3 3" xfId="20905"/>
    <cellStyle name="Separador de milhares 3 4 4 4 3 3 2" xfId="45972"/>
    <cellStyle name="Separador de milhares 3 4 4 4 3 4" xfId="14991"/>
    <cellStyle name="Separador de milhares 3 4 4 4 3 4 2" xfId="40058"/>
    <cellStyle name="Separador de milhares 3 4 4 4 3 5" xfId="34150"/>
    <cellStyle name="Separador de milhares 3 4 4 4 4" xfId="5227"/>
    <cellStyle name="Separador de milhares 3 4 4 4 4 2" xfId="23862"/>
    <cellStyle name="Separador de milhares 3 4 4 4 4 2 2" xfId="48929"/>
    <cellStyle name="Separador de milhares 3 4 4 4 4 3" xfId="31193"/>
    <cellStyle name="Separador de milhares 3 4 4 4 5" xfId="17948"/>
    <cellStyle name="Separador de milhares 3 4 4 4 5 2" xfId="43015"/>
    <cellStyle name="Separador de milhares 3 4 4 4 6" xfId="11614"/>
    <cellStyle name="Separador de milhares 3 4 4 4 6 2" xfId="37104"/>
    <cellStyle name="Separador de milhares 3 4 4 4 7" xfId="29723"/>
    <cellStyle name="Separador de milhares 3 4 4 5" xfId="2297"/>
    <cellStyle name="Separador de milhares 3 4 4 5 2" xfId="7076"/>
    <cellStyle name="Separador de milhares 3 4 4 5 2 2" xfId="10220"/>
    <cellStyle name="Separador de milhares 3 4 4 5 2 2 2" xfId="28434"/>
    <cellStyle name="Separador de milhares 3 4 4 5 2 2 2 2" xfId="53501"/>
    <cellStyle name="Separador de milhares 3 4 4 5 2 2 3" xfId="22520"/>
    <cellStyle name="Separador de milhares 3 4 4 5 2 2 3 2" xfId="47587"/>
    <cellStyle name="Separador de milhares 3 4 4 5 2 2 4" xfId="16606"/>
    <cellStyle name="Separador de milhares 3 4 4 5 2 2 4 2" xfId="41673"/>
    <cellStyle name="Separador de milhares 3 4 4 5 2 2 5" xfId="35765"/>
    <cellStyle name="Separador de milhares 3 4 4 5 2 3" xfId="25477"/>
    <cellStyle name="Separador de milhares 3 4 4 5 2 3 2" xfId="50544"/>
    <cellStyle name="Separador de milhares 3 4 4 5 2 4" xfId="19563"/>
    <cellStyle name="Separador de milhares 3 4 4 5 2 4 2" xfId="44630"/>
    <cellStyle name="Separador de milhares 3 4 4 5 2 5" xfId="13465"/>
    <cellStyle name="Separador de milhares 3 4 4 5 2 5 2" xfId="38719"/>
    <cellStyle name="Separador de milhares 3 4 4 5 2 6" xfId="32808"/>
    <cellStyle name="Separador de milhares 3 4 4 5 3" xfId="8752"/>
    <cellStyle name="Separador de milhares 3 4 4 5 3 2" xfId="26966"/>
    <cellStyle name="Separador de milhares 3 4 4 5 3 2 2" xfId="52033"/>
    <cellStyle name="Separador de milhares 3 4 4 5 3 3" xfId="21052"/>
    <cellStyle name="Separador de milhares 3 4 4 5 3 3 2" xfId="46119"/>
    <cellStyle name="Separador de milhares 3 4 4 5 3 4" xfId="15138"/>
    <cellStyle name="Separador de milhares 3 4 4 5 3 4 2" xfId="40205"/>
    <cellStyle name="Separador de milhares 3 4 4 5 3 5" xfId="34297"/>
    <cellStyle name="Separador de milhares 3 4 4 5 4" xfId="5377"/>
    <cellStyle name="Separador de milhares 3 4 4 5 4 2" xfId="24009"/>
    <cellStyle name="Separador de milhares 3 4 4 5 4 2 2" xfId="49076"/>
    <cellStyle name="Separador de milhares 3 4 4 5 4 3" xfId="31340"/>
    <cellStyle name="Separador de milhares 3 4 4 5 5" xfId="18095"/>
    <cellStyle name="Separador de milhares 3 4 4 5 5 2" xfId="43162"/>
    <cellStyle name="Separador de milhares 3 4 4 5 6" xfId="11764"/>
    <cellStyle name="Separador de milhares 3 4 4 5 6 2" xfId="37251"/>
    <cellStyle name="Separador de milhares 3 4 4 5 7" xfId="29870"/>
    <cellStyle name="Separador de milhares 3 4 4 6" xfId="2824"/>
    <cellStyle name="Separador de milhares 3 4 4 6 2" xfId="7223"/>
    <cellStyle name="Separador de milhares 3 4 4 6 2 2" xfId="10367"/>
    <cellStyle name="Separador de milhares 3 4 4 6 2 2 2" xfId="28581"/>
    <cellStyle name="Separador de milhares 3 4 4 6 2 2 2 2" xfId="53648"/>
    <cellStyle name="Separador de milhares 3 4 4 6 2 2 3" xfId="22667"/>
    <cellStyle name="Separador de milhares 3 4 4 6 2 2 3 2" xfId="47734"/>
    <cellStyle name="Separador de milhares 3 4 4 6 2 2 4" xfId="16753"/>
    <cellStyle name="Separador de milhares 3 4 4 6 2 2 4 2" xfId="41820"/>
    <cellStyle name="Separador de milhares 3 4 4 6 2 2 5" xfId="35912"/>
    <cellStyle name="Separador de milhares 3 4 4 6 2 3" xfId="25624"/>
    <cellStyle name="Separador de milhares 3 4 4 6 2 3 2" xfId="50691"/>
    <cellStyle name="Separador de milhares 3 4 4 6 2 4" xfId="19710"/>
    <cellStyle name="Separador de milhares 3 4 4 6 2 4 2" xfId="44777"/>
    <cellStyle name="Separador de milhares 3 4 4 6 2 5" xfId="13612"/>
    <cellStyle name="Separador de milhares 3 4 4 6 2 5 2" xfId="38866"/>
    <cellStyle name="Separador de milhares 3 4 4 6 2 6" xfId="32955"/>
    <cellStyle name="Separador de milhares 3 4 4 6 3" xfId="8899"/>
    <cellStyle name="Separador de milhares 3 4 4 6 3 2" xfId="27113"/>
    <cellStyle name="Separador de milhares 3 4 4 6 3 2 2" xfId="52180"/>
    <cellStyle name="Separador de milhares 3 4 4 6 3 3" xfId="21199"/>
    <cellStyle name="Separador de milhares 3 4 4 6 3 3 2" xfId="46266"/>
    <cellStyle name="Separador de milhares 3 4 4 6 3 4" xfId="15285"/>
    <cellStyle name="Separador de milhares 3 4 4 6 3 4 2" xfId="40352"/>
    <cellStyle name="Separador de milhares 3 4 4 6 3 5" xfId="34444"/>
    <cellStyle name="Separador de milhares 3 4 4 6 4" xfId="5524"/>
    <cellStyle name="Separador de milhares 3 4 4 6 4 2" xfId="24156"/>
    <cellStyle name="Separador de milhares 3 4 4 6 4 2 2" xfId="49223"/>
    <cellStyle name="Separador de milhares 3 4 4 6 4 3" xfId="31487"/>
    <cellStyle name="Separador de milhares 3 4 4 6 5" xfId="18242"/>
    <cellStyle name="Separador de milhares 3 4 4 6 5 2" xfId="43309"/>
    <cellStyle name="Separador de milhares 3 4 4 6 6" xfId="11911"/>
    <cellStyle name="Separador de milhares 3 4 4 6 6 2" xfId="37398"/>
    <cellStyle name="Separador de milhares 3 4 4 6 7" xfId="30017"/>
    <cellStyle name="Separador de milhares 3 4 4 7" xfId="3351"/>
    <cellStyle name="Separador de milhares 3 4 4 7 2" xfId="7370"/>
    <cellStyle name="Separador de milhares 3 4 4 7 2 2" xfId="10514"/>
    <cellStyle name="Separador de milhares 3 4 4 7 2 2 2" xfId="28728"/>
    <cellStyle name="Separador de milhares 3 4 4 7 2 2 2 2" xfId="53795"/>
    <cellStyle name="Separador de milhares 3 4 4 7 2 2 3" xfId="22814"/>
    <cellStyle name="Separador de milhares 3 4 4 7 2 2 3 2" xfId="47881"/>
    <cellStyle name="Separador de milhares 3 4 4 7 2 2 4" xfId="16900"/>
    <cellStyle name="Separador de milhares 3 4 4 7 2 2 4 2" xfId="41967"/>
    <cellStyle name="Separador de milhares 3 4 4 7 2 2 5" xfId="36059"/>
    <cellStyle name="Separador de milhares 3 4 4 7 2 3" xfId="25771"/>
    <cellStyle name="Separador de milhares 3 4 4 7 2 3 2" xfId="50838"/>
    <cellStyle name="Separador de milhares 3 4 4 7 2 4" xfId="19857"/>
    <cellStyle name="Separador de milhares 3 4 4 7 2 4 2" xfId="44924"/>
    <cellStyle name="Separador de milhares 3 4 4 7 2 5" xfId="13759"/>
    <cellStyle name="Separador de milhares 3 4 4 7 2 5 2" xfId="39013"/>
    <cellStyle name="Separador de milhares 3 4 4 7 2 6" xfId="33102"/>
    <cellStyle name="Separador de milhares 3 4 4 7 3" xfId="9046"/>
    <cellStyle name="Separador de milhares 3 4 4 7 3 2" xfId="27260"/>
    <cellStyle name="Separador de milhares 3 4 4 7 3 2 2" xfId="52327"/>
    <cellStyle name="Separador de milhares 3 4 4 7 3 3" xfId="21346"/>
    <cellStyle name="Separador de milhares 3 4 4 7 3 3 2" xfId="46413"/>
    <cellStyle name="Separador de milhares 3 4 4 7 3 4" xfId="15432"/>
    <cellStyle name="Separador de milhares 3 4 4 7 3 4 2" xfId="40499"/>
    <cellStyle name="Separador de milhares 3 4 4 7 3 5" xfId="34591"/>
    <cellStyle name="Separador de milhares 3 4 4 7 4" xfId="5671"/>
    <cellStyle name="Separador de milhares 3 4 4 7 4 2" xfId="24303"/>
    <cellStyle name="Separador de milhares 3 4 4 7 4 2 2" xfId="49370"/>
    <cellStyle name="Separador de milhares 3 4 4 7 4 3" xfId="31634"/>
    <cellStyle name="Separador de milhares 3 4 4 7 5" xfId="18389"/>
    <cellStyle name="Separador de milhares 3 4 4 7 5 2" xfId="43456"/>
    <cellStyle name="Separador de milhares 3 4 4 7 6" xfId="12058"/>
    <cellStyle name="Separador de milhares 3 4 4 7 6 2" xfId="37545"/>
    <cellStyle name="Separador de milhares 3 4 4 7 7" xfId="30164"/>
    <cellStyle name="Separador de milhares 3 4 4 8" xfId="3878"/>
    <cellStyle name="Separador de milhares 3 4 4 8 2" xfId="7517"/>
    <cellStyle name="Separador de milhares 3 4 4 8 2 2" xfId="10661"/>
    <cellStyle name="Separador de milhares 3 4 4 8 2 2 2" xfId="28875"/>
    <cellStyle name="Separador de milhares 3 4 4 8 2 2 2 2" xfId="53942"/>
    <cellStyle name="Separador de milhares 3 4 4 8 2 2 3" xfId="22961"/>
    <cellStyle name="Separador de milhares 3 4 4 8 2 2 3 2" xfId="48028"/>
    <cellStyle name="Separador de milhares 3 4 4 8 2 2 4" xfId="17047"/>
    <cellStyle name="Separador de milhares 3 4 4 8 2 2 4 2" xfId="42114"/>
    <cellStyle name="Separador de milhares 3 4 4 8 2 2 5" xfId="36206"/>
    <cellStyle name="Separador de milhares 3 4 4 8 2 3" xfId="25918"/>
    <cellStyle name="Separador de milhares 3 4 4 8 2 3 2" xfId="50985"/>
    <cellStyle name="Separador de milhares 3 4 4 8 2 4" xfId="20004"/>
    <cellStyle name="Separador de milhares 3 4 4 8 2 4 2" xfId="45071"/>
    <cellStyle name="Separador de milhares 3 4 4 8 2 5" xfId="13906"/>
    <cellStyle name="Separador de milhares 3 4 4 8 2 5 2" xfId="39160"/>
    <cellStyle name="Separador de milhares 3 4 4 8 2 6" xfId="33249"/>
    <cellStyle name="Separador de milhares 3 4 4 8 3" xfId="9193"/>
    <cellStyle name="Separador de milhares 3 4 4 8 3 2" xfId="27407"/>
    <cellStyle name="Separador de milhares 3 4 4 8 3 2 2" xfId="52474"/>
    <cellStyle name="Separador de milhares 3 4 4 8 3 3" xfId="21493"/>
    <cellStyle name="Separador de milhares 3 4 4 8 3 3 2" xfId="46560"/>
    <cellStyle name="Separador de milhares 3 4 4 8 3 4" xfId="15579"/>
    <cellStyle name="Separador de milhares 3 4 4 8 3 4 2" xfId="40646"/>
    <cellStyle name="Separador de milhares 3 4 4 8 3 5" xfId="34738"/>
    <cellStyle name="Separador de milhares 3 4 4 8 4" xfId="5818"/>
    <cellStyle name="Separador de milhares 3 4 4 8 4 2" xfId="24450"/>
    <cellStyle name="Separador de milhares 3 4 4 8 4 2 2" xfId="49517"/>
    <cellStyle name="Separador de milhares 3 4 4 8 4 3" xfId="31781"/>
    <cellStyle name="Separador de milhares 3 4 4 8 5" xfId="18536"/>
    <cellStyle name="Separador de milhares 3 4 4 8 5 2" xfId="43603"/>
    <cellStyle name="Separador de milhares 3 4 4 8 6" xfId="12205"/>
    <cellStyle name="Separador de milhares 3 4 4 8 6 2" xfId="37692"/>
    <cellStyle name="Separador de milhares 3 4 4 8 7" xfId="30311"/>
    <cellStyle name="Separador de milhares 3 4 4 9" xfId="676"/>
    <cellStyle name="Separador de milhares 3 4 4 9 2" xfId="6611"/>
    <cellStyle name="Separador de milhares 3 4 4 9 2 2" xfId="9758"/>
    <cellStyle name="Separador de milhares 3 4 4 9 2 2 2" xfId="27972"/>
    <cellStyle name="Separador de milhares 3 4 4 9 2 2 2 2" xfId="53039"/>
    <cellStyle name="Separador de milhares 3 4 4 9 2 2 3" xfId="22058"/>
    <cellStyle name="Separador de milhares 3 4 4 9 2 2 3 2" xfId="47125"/>
    <cellStyle name="Separador de milhares 3 4 4 9 2 2 4" xfId="16144"/>
    <cellStyle name="Separador de milhares 3 4 4 9 2 2 4 2" xfId="41211"/>
    <cellStyle name="Separador de milhares 3 4 4 9 2 2 5" xfId="35303"/>
    <cellStyle name="Separador de milhares 3 4 4 9 2 3" xfId="25015"/>
    <cellStyle name="Separador de milhares 3 4 4 9 2 3 2" xfId="50082"/>
    <cellStyle name="Separador de milhares 3 4 4 9 2 4" xfId="19101"/>
    <cellStyle name="Separador de milhares 3 4 4 9 2 4 2" xfId="44168"/>
    <cellStyle name="Separador de milhares 3 4 4 9 2 5" xfId="13000"/>
    <cellStyle name="Separador de milhares 3 4 4 9 2 5 2" xfId="38257"/>
    <cellStyle name="Separador de milhares 3 4 4 9 2 6" xfId="32346"/>
    <cellStyle name="Separador de milhares 3 4 4 9 3" xfId="8290"/>
    <cellStyle name="Separador de milhares 3 4 4 9 3 2" xfId="26504"/>
    <cellStyle name="Separador de milhares 3 4 4 9 3 2 2" xfId="51571"/>
    <cellStyle name="Separador de milhares 3 4 4 9 3 3" xfId="20590"/>
    <cellStyle name="Separador de milhares 3 4 4 9 3 3 2" xfId="45657"/>
    <cellStyle name="Separador de milhares 3 4 4 9 3 4" xfId="14676"/>
    <cellStyle name="Separador de milhares 3 4 4 9 3 4 2" xfId="39743"/>
    <cellStyle name="Separador de milhares 3 4 4 9 3 5" xfId="33835"/>
    <cellStyle name="Separador de milhares 3 4 4 9 4" xfId="4912"/>
    <cellStyle name="Separador de milhares 3 4 4 9 4 2" xfId="23547"/>
    <cellStyle name="Separador de milhares 3 4 4 9 4 2 2" xfId="48614"/>
    <cellStyle name="Separador de milhares 3 4 4 9 4 3" xfId="30878"/>
    <cellStyle name="Separador de milhares 3 4 4 9 5" xfId="17633"/>
    <cellStyle name="Separador de milhares 3 4 4 9 5 2" xfId="42700"/>
    <cellStyle name="Separador de milhares 3 4 4 9 6" xfId="11299"/>
    <cellStyle name="Separador de milhares 3 4 4 9 6 2" xfId="36789"/>
    <cellStyle name="Separador de milhares 3 4 4 9 7" xfId="29408"/>
    <cellStyle name="Separador de milhares 3 4 5" xfId="593"/>
    <cellStyle name="Separador de milhares 3 4 5 10" xfId="4876"/>
    <cellStyle name="Separador de milhares 3 4 5 10 2" xfId="23510"/>
    <cellStyle name="Separador de milhares 3 4 5 10 2 2" xfId="48577"/>
    <cellStyle name="Separador de milhares 3 4 5 10 3" xfId="30842"/>
    <cellStyle name="Separador de milhares 3 4 5 11" xfId="17596"/>
    <cellStyle name="Separador de milhares 3 4 5 11 2" xfId="42663"/>
    <cellStyle name="Separador de milhares 3 4 5 12" xfId="11265"/>
    <cellStyle name="Separador de milhares 3 4 5 12 2" xfId="36755"/>
    <cellStyle name="Separador de milhares 3 4 5 13" xfId="29371"/>
    <cellStyle name="Separador de milhares 3 4 5 2" xfId="1416"/>
    <cellStyle name="Separador de milhares 3 4 5 2 2" xfId="6828"/>
    <cellStyle name="Separador de milhares 3 4 5 2 2 2" xfId="9975"/>
    <cellStyle name="Separador de milhares 3 4 5 2 2 2 2" xfId="28189"/>
    <cellStyle name="Separador de milhares 3 4 5 2 2 2 2 2" xfId="53256"/>
    <cellStyle name="Separador de milhares 3 4 5 2 2 2 3" xfId="22275"/>
    <cellStyle name="Separador de milhares 3 4 5 2 2 2 3 2" xfId="47342"/>
    <cellStyle name="Separador de milhares 3 4 5 2 2 2 4" xfId="16361"/>
    <cellStyle name="Separador de milhares 3 4 5 2 2 2 4 2" xfId="41428"/>
    <cellStyle name="Separador de milhares 3 4 5 2 2 2 5" xfId="35520"/>
    <cellStyle name="Separador de milhares 3 4 5 2 2 3" xfId="25232"/>
    <cellStyle name="Separador de milhares 3 4 5 2 2 3 2" xfId="50299"/>
    <cellStyle name="Separador de milhares 3 4 5 2 2 4" xfId="19318"/>
    <cellStyle name="Separador de milhares 3 4 5 2 2 4 2" xfId="44385"/>
    <cellStyle name="Separador de milhares 3 4 5 2 2 5" xfId="13217"/>
    <cellStyle name="Separador de milhares 3 4 5 2 2 5 2" xfId="38474"/>
    <cellStyle name="Separador de milhares 3 4 5 2 2 6" xfId="32563"/>
    <cellStyle name="Separador de milhares 3 4 5 2 3" xfId="8507"/>
    <cellStyle name="Separador de milhares 3 4 5 2 3 2" xfId="26721"/>
    <cellStyle name="Separador de milhares 3 4 5 2 3 2 2" xfId="51788"/>
    <cellStyle name="Separador de milhares 3 4 5 2 3 3" xfId="20807"/>
    <cellStyle name="Separador de milhares 3 4 5 2 3 3 2" xfId="45874"/>
    <cellStyle name="Separador de milhares 3 4 5 2 3 4" xfId="14893"/>
    <cellStyle name="Separador de milhares 3 4 5 2 3 4 2" xfId="39960"/>
    <cellStyle name="Separador de milhares 3 4 5 2 3 5" xfId="34052"/>
    <cellStyle name="Separador de milhares 3 4 5 2 4" xfId="5129"/>
    <cellStyle name="Separador de milhares 3 4 5 2 4 2" xfId="23764"/>
    <cellStyle name="Separador de milhares 3 4 5 2 4 2 2" xfId="48831"/>
    <cellStyle name="Separador de milhares 3 4 5 2 4 3" xfId="31095"/>
    <cellStyle name="Separador de milhares 3 4 5 2 5" xfId="17850"/>
    <cellStyle name="Separador de milhares 3 4 5 2 5 2" xfId="42917"/>
    <cellStyle name="Separador de milhares 3 4 5 2 6" xfId="11516"/>
    <cellStyle name="Separador de milhares 3 4 5 2 6 2" xfId="37006"/>
    <cellStyle name="Separador de milhares 3 4 5 2 7" xfId="29625"/>
    <cellStyle name="Separador de milhares 3 4 5 3" xfId="1851"/>
    <cellStyle name="Separador de milhares 3 4 5 3 2" xfId="6947"/>
    <cellStyle name="Separador de milhares 3 4 5 3 2 2" xfId="10094"/>
    <cellStyle name="Separador de milhares 3 4 5 3 2 2 2" xfId="28308"/>
    <cellStyle name="Separador de milhares 3 4 5 3 2 2 2 2" xfId="53375"/>
    <cellStyle name="Separador de milhares 3 4 5 3 2 2 3" xfId="22394"/>
    <cellStyle name="Separador de milhares 3 4 5 3 2 2 3 2" xfId="47461"/>
    <cellStyle name="Separador de milhares 3 4 5 3 2 2 4" xfId="16480"/>
    <cellStyle name="Separador de milhares 3 4 5 3 2 2 4 2" xfId="41547"/>
    <cellStyle name="Separador de milhares 3 4 5 3 2 2 5" xfId="35639"/>
    <cellStyle name="Separador de milhares 3 4 5 3 2 3" xfId="25351"/>
    <cellStyle name="Separador de milhares 3 4 5 3 2 3 2" xfId="50418"/>
    <cellStyle name="Separador de milhares 3 4 5 3 2 4" xfId="19437"/>
    <cellStyle name="Separador de milhares 3 4 5 3 2 4 2" xfId="44504"/>
    <cellStyle name="Separador de milhares 3 4 5 3 2 5" xfId="13336"/>
    <cellStyle name="Separador de milhares 3 4 5 3 2 5 2" xfId="38593"/>
    <cellStyle name="Separador de milhares 3 4 5 3 2 6" xfId="32682"/>
    <cellStyle name="Separador de milhares 3 4 5 3 3" xfId="8626"/>
    <cellStyle name="Separador de milhares 3 4 5 3 3 2" xfId="26840"/>
    <cellStyle name="Separador de milhares 3 4 5 3 3 2 2" xfId="51907"/>
    <cellStyle name="Separador de milhares 3 4 5 3 3 3" xfId="20926"/>
    <cellStyle name="Separador de milhares 3 4 5 3 3 3 2" xfId="45993"/>
    <cellStyle name="Separador de milhares 3 4 5 3 3 4" xfId="15012"/>
    <cellStyle name="Separador de milhares 3 4 5 3 3 4 2" xfId="40079"/>
    <cellStyle name="Separador de milhares 3 4 5 3 3 5" xfId="34171"/>
    <cellStyle name="Separador de milhares 3 4 5 3 4" xfId="5248"/>
    <cellStyle name="Separador de milhares 3 4 5 3 4 2" xfId="23883"/>
    <cellStyle name="Separador de milhares 3 4 5 3 4 2 2" xfId="48950"/>
    <cellStyle name="Separador de milhares 3 4 5 3 4 3" xfId="31214"/>
    <cellStyle name="Separador de milhares 3 4 5 3 5" xfId="17969"/>
    <cellStyle name="Separador de milhares 3 4 5 3 5 2" xfId="43036"/>
    <cellStyle name="Separador de milhares 3 4 5 3 6" xfId="11635"/>
    <cellStyle name="Separador de milhares 3 4 5 3 6 2" xfId="37125"/>
    <cellStyle name="Separador de milhares 3 4 5 3 7" xfId="29744"/>
    <cellStyle name="Separador de milhares 3 4 5 4" xfId="2381"/>
    <cellStyle name="Separador de milhares 3 4 5 4 2" xfId="7097"/>
    <cellStyle name="Separador de milhares 3 4 5 4 2 2" xfId="10241"/>
    <cellStyle name="Separador de milhares 3 4 5 4 2 2 2" xfId="28455"/>
    <cellStyle name="Separador de milhares 3 4 5 4 2 2 2 2" xfId="53522"/>
    <cellStyle name="Separador de milhares 3 4 5 4 2 2 3" xfId="22541"/>
    <cellStyle name="Separador de milhares 3 4 5 4 2 2 3 2" xfId="47608"/>
    <cellStyle name="Separador de milhares 3 4 5 4 2 2 4" xfId="16627"/>
    <cellStyle name="Separador de milhares 3 4 5 4 2 2 4 2" xfId="41694"/>
    <cellStyle name="Separador de milhares 3 4 5 4 2 2 5" xfId="35786"/>
    <cellStyle name="Separador de milhares 3 4 5 4 2 3" xfId="25498"/>
    <cellStyle name="Separador de milhares 3 4 5 4 2 3 2" xfId="50565"/>
    <cellStyle name="Separador de milhares 3 4 5 4 2 4" xfId="19584"/>
    <cellStyle name="Separador de milhares 3 4 5 4 2 4 2" xfId="44651"/>
    <cellStyle name="Separador de milhares 3 4 5 4 2 5" xfId="13486"/>
    <cellStyle name="Separador de milhares 3 4 5 4 2 5 2" xfId="38740"/>
    <cellStyle name="Separador de milhares 3 4 5 4 2 6" xfId="32829"/>
    <cellStyle name="Separador de milhares 3 4 5 4 3" xfId="8773"/>
    <cellStyle name="Separador de milhares 3 4 5 4 3 2" xfId="26987"/>
    <cellStyle name="Separador de milhares 3 4 5 4 3 2 2" xfId="52054"/>
    <cellStyle name="Separador de milhares 3 4 5 4 3 3" xfId="21073"/>
    <cellStyle name="Separador de milhares 3 4 5 4 3 3 2" xfId="46140"/>
    <cellStyle name="Separador de milhares 3 4 5 4 3 4" xfId="15159"/>
    <cellStyle name="Separador de milhares 3 4 5 4 3 4 2" xfId="40226"/>
    <cellStyle name="Separador de milhares 3 4 5 4 3 5" xfId="34318"/>
    <cellStyle name="Separador de milhares 3 4 5 4 4" xfId="5398"/>
    <cellStyle name="Separador de milhares 3 4 5 4 4 2" xfId="24030"/>
    <cellStyle name="Separador de milhares 3 4 5 4 4 2 2" xfId="49097"/>
    <cellStyle name="Separador de milhares 3 4 5 4 4 3" xfId="31361"/>
    <cellStyle name="Separador de milhares 3 4 5 4 5" xfId="18116"/>
    <cellStyle name="Separador de milhares 3 4 5 4 5 2" xfId="43183"/>
    <cellStyle name="Separador de milhares 3 4 5 4 6" xfId="11785"/>
    <cellStyle name="Separador de milhares 3 4 5 4 6 2" xfId="37272"/>
    <cellStyle name="Separador de milhares 3 4 5 4 7" xfId="29891"/>
    <cellStyle name="Separador de milhares 3 4 5 5" xfId="2908"/>
    <cellStyle name="Separador de milhares 3 4 5 5 2" xfId="7244"/>
    <cellStyle name="Separador de milhares 3 4 5 5 2 2" xfId="10388"/>
    <cellStyle name="Separador de milhares 3 4 5 5 2 2 2" xfId="28602"/>
    <cellStyle name="Separador de milhares 3 4 5 5 2 2 2 2" xfId="53669"/>
    <cellStyle name="Separador de milhares 3 4 5 5 2 2 3" xfId="22688"/>
    <cellStyle name="Separador de milhares 3 4 5 5 2 2 3 2" xfId="47755"/>
    <cellStyle name="Separador de milhares 3 4 5 5 2 2 4" xfId="16774"/>
    <cellStyle name="Separador de milhares 3 4 5 5 2 2 4 2" xfId="41841"/>
    <cellStyle name="Separador de milhares 3 4 5 5 2 2 5" xfId="35933"/>
    <cellStyle name="Separador de milhares 3 4 5 5 2 3" xfId="25645"/>
    <cellStyle name="Separador de milhares 3 4 5 5 2 3 2" xfId="50712"/>
    <cellStyle name="Separador de milhares 3 4 5 5 2 4" xfId="19731"/>
    <cellStyle name="Separador de milhares 3 4 5 5 2 4 2" xfId="44798"/>
    <cellStyle name="Separador de milhares 3 4 5 5 2 5" xfId="13633"/>
    <cellStyle name="Separador de milhares 3 4 5 5 2 5 2" xfId="38887"/>
    <cellStyle name="Separador de milhares 3 4 5 5 2 6" xfId="32976"/>
    <cellStyle name="Separador de milhares 3 4 5 5 3" xfId="8920"/>
    <cellStyle name="Separador de milhares 3 4 5 5 3 2" xfId="27134"/>
    <cellStyle name="Separador de milhares 3 4 5 5 3 2 2" xfId="52201"/>
    <cellStyle name="Separador de milhares 3 4 5 5 3 3" xfId="21220"/>
    <cellStyle name="Separador de milhares 3 4 5 5 3 3 2" xfId="46287"/>
    <cellStyle name="Separador de milhares 3 4 5 5 3 4" xfId="15306"/>
    <cellStyle name="Separador de milhares 3 4 5 5 3 4 2" xfId="40373"/>
    <cellStyle name="Separador de milhares 3 4 5 5 3 5" xfId="34465"/>
    <cellStyle name="Separador de milhares 3 4 5 5 4" xfId="5545"/>
    <cellStyle name="Separador de milhares 3 4 5 5 4 2" xfId="24177"/>
    <cellStyle name="Separador de milhares 3 4 5 5 4 2 2" xfId="49244"/>
    <cellStyle name="Separador de milhares 3 4 5 5 4 3" xfId="31508"/>
    <cellStyle name="Separador de milhares 3 4 5 5 5" xfId="18263"/>
    <cellStyle name="Separador de milhares 3 4 5 5 5 2" xfId="43330"/>
    <cellStyle name="Separador de milhares 3 4 5 5 6" xfId="11932"/>
    <cellStyle name="Separador de milhares 3 4 5 5 6 2" xfId="37419"/>
    <cellStyle name="Separador de milhares 3 4 5 5 7" xfId="30038"/>
    <cellStyle name="Separador de milhares 3 4 5 6" xfId="3435"/>
    <cellStyle name="Separador de milhares 3 4 5 6 2" xfId="7391"/>
    <cellStyle name="Separador de milhares 3 4 5 6 2 2" xfId="10535"/>
    <cellStyle name="Separador de milhares 3 4 5 6 2 2 2" xfId="28749"/>
    <cellStyle name="Separador de milhares 3 4 5 6 2 2 2 2" xfId="53816"/>
    <cellStyle name="Separador de milhares 3 4 5 6 2 2 3" xfId="22835"/>
    <cellStyle name="Separador de milhares 3 4 5 6 2 2 3 2" xfId="47902"/>
    <cellStyle name="Separador de milhares 3 4 5 6 2 2 4" xfId="16921"/>
    <cellStyle name="Separador de milhares 3 4 5 6 2 2 4 2" xfId="41988"/>
    <cellStyle name="Separador de milhares 3 4 5 6 2 2 5" xfId="36080"/>
    <cellStyle name="Separador de milhares 3 4 5 6 2 3" xfId="25792"/>
    <cellStyle name="Separador de milhares 3 4 5 6 2 3 2" xfId="50859"/>
    <cellStyle name="Separador de milhares 3 4 5 6 2 4" xfId="19878"/>
    <cellStyle name="Separador de milhares 3 4 5 6 2 4 2" xfId="44945"/>
    <cellStyle name="Separador de milhares 3 4 5 6 2 5" xfId="13780"/>
    <cellStyle name="Separador de milhares 3 4 5 6 2 5 2" xfId="39034"/>
    <cellStyle name="Separador de milhares 3 4 5 6 2 6" xfId="33123"/>
    <cellStyle name="Separador de milhares 3 4 5 6 3" xfId="9067"/>
    <cellStyle name="Separador de milhares 3 4 5 6 3 2" xfId="27281"/>
    <cellStyle name="Separador de milhares 3 4 5 6 3 2 2" xfId="52348"/>
    <cellStyle name="Separador de milhares 3 4 5 6 3 3" xfId="21367"/>
    <cellStyle name="Separador de milhares 3 4 5 6 3 3 2" xfId="46434"/>
    <cellStyle name="Separador de milhares 3 4 5 6 3 4" xfId="15453"/>
    <cellStyle name="Separador de milhares 3 4 5 6 3 4 2" xfId="40520"/>
    <cellStyle name="Separador de milhares 3 4 5 6 3 5" xfId="34612"/>
    <cellStyle name="Separador de milhares 3 4 5 6 4" xfId="5692"/>
    <cellStyle name="Separador de milhares 3 4 5 6 4 2" xfId="24324"/>
    <cellStyle name="Separador de milhares 3 4 5 6 4 2 2" xfId="49391"/>
    <cellStyle name="Separador de milhares 3 4 5 6 4 3" xfId="31655"/>
    <cellStyle name="Separador de milhares 3 4 5 6 5" xfId="18410"/>
    <cellStyle name="Separador de milhares 3 4 5 6 5 2" xfId="43477"/>
    <cellStyle name="Separador de milhares 3 4 5 6 6" xfId="12079"/>
    <cellStyle name="Separador de milhares 3 4 5 6 6 2" xfId="37566"/>
    <cellStyle name="Separador de milhares 3 4 5 6 7" xfId="30185"/>
    <cellStyle name="Separador de milhares 3 4 5 7" xfId="3962"/>
    <cellStyle name="Separador de milhares 3 4 5 7 2" xfId="7538"/>
    <cellStyle name="Separador de milhares 3 4 5 7 2 2" xfId="10682"/>
    <cellStyle name="Separador de milhares 3 4 5 7 2 2 2" xfId="28896"/>
    <cellStyle name="Separador de milhares 3 4 5 7 2 2 2 2" xfId="53963"/>
    <cellStyle name="Separador de milhares 3 4 5 7 2 2 3" xfId="22982"/>
    <cellStyle name="Separador de milhares 3 4 5 7 2 2 3 2" xfId="48049"/>
    <cellStyle name="Separador de milhares 3 4 5 7 2 2 4" xfId="17068"/>
    <cellStyle name="Separador de milhares 3 4 5 7 2 2 4 2" xfId="42135"/>
    <cellStyle name="Separador de milhares 3 4 5 7 2 2 5" xfId="36227"/>
    <cellStyle name="Separador de milhares 3 4 5 7 2 3" xfId="25939"/>
    <cellStyle name="Separador de milhares 3 4 5 7 2 3 2" xfId="51006"/>
    <cellStyle name="Separador de milhares 3 4 5 7 2 4" xfId="20025"/>
    <cellStyle name="Separador de milhares 3 4 5 7 2 4 2" xfId="45092"/>
    <cellStyle name="Separador de milhares 3 4 5 7 2 5" xfId="13927"/>
    <cellStyle name="Separador de milhares 3 4 5 7 2 5 2" xfId="39181"/>
    <cellStyle name="Separador de milhares 3 4 5 7 2 6" xfId="33270"/>
    <cellStyle name="Separador de milhares 3 4 5 7 3" xfId="9214"/>
    <cellStyle name="Separador de milhares 3 4 5 7 3 2" xfId="27428"/>
    <cellStyle name="Separador de milhares 3 4 5 7 3 2 2" xfId="52495"/>
    <cellStyle name="Separador de milhares 3 4 5 7 3 3" xfId="21514"/>
    <cellStyle name="Separador de milhares 3 4 5 7 3 3 2" xfId="46581"/>
    <cellStyle name="Separador de milhares 3 4 5 7 3 4" xfId="15600"/>
    <cellStyle name="Separador de milhares 3 4 5 7 3 4 2" xfId="40667"/>
    <cellStyle name="Separador de milhares 3 4 5 7 3 5" xfId="34759"/>
    <cellStyle name="Separador de milhares 3 4 5 7 4" xfId="5839"/>
    <cellStyle name="Separador de milhares 3 4 5 7 4 2" xfId="24471"/>
    <cellStyle name="Separador de milhares 3 4 5 7 4 2 2" xfId="49538"/>
    <cellStyle name="Separador de milhares 3 4 5 7 4 3" xfId="31802"/>
    <cellStyle name="Separador de milhares 3 4 5 7 5" xfId="18557"/>
    <cellStyle name="Separador de milhares 3 4 5 7 5 2" xfId="43624"/>
    <cellStyle name="Separador de milhares 3 4 5 7 6" xfId="12226"/>
    <cellStyle name="Separador de milhares 3 4 5 7 6 2" xfId="37713"/>
    <cellStyle name="Separador de milhares 3 4 5 7 7" xfId="30332"/>
    <cellStyle name="Separador de milhares 3 4 5 8" xfId="6577"/>
    <cellStyle name="Separador de milhares 3 4 5 8 2" xfId="9724"/>
    <cellStyle name="Separador de milhares 3 4 5 8 2 2" xfId="27938"/>
    <cellStyle name="Separador de milhares 3 4 5 8 2 2 2" xfId="53005"/>
    <cellStyle name="Separador de milhares 3 4 5 8 2 3" xfId="22024"/>
    <cellStyle name="Separador de milhares 3 4 5 8 2 3 2" xfId="47091"/>
    <cellStyle name="Separador de milhares 3 4 5 8 2 4" xfId="16110"/>
    <cellStyle name="Separador de milhares 3 4 5 8 2 4 2" xfId="41177"/>
    <cellStyle name="Separador de milhares 3 4 5 8 2 5" xfId="35269"/>
    <cellStyle name="Separador de milhares 3 4 5 8 3" xfId="24981"/>
    <cellStyle name="Separador de milhares 3 4 5 8 3 2" xfId="50048"/>
    <cellStyle name="Separador de milhares 3 4 5 8 4" xfId="19067"/>
    <cellStyle name="Separador de milhares 3 4 5 8 4 2" xfId="44134"/>
    <cellStyle name="Separador de milhares 3 4 5 8 5" xfId="12966"/>
    <cellStyle name="Separador de milhares 3 4 5 8 5 2" xfId="38223"/>
    <cellStyle name="Separador de milhares 3 4 5 8 6" xfId="32312"/>
    <cellStyle name="Separador de milhares 3 4 5 9" xfId="8253"/>
    <cellStyle name="Separador de milhares 3 4 5 9 2" xfId="26467"/>
    <cellStyle name="Separador de milhares 3 4 5 9 2 2" xfId="51534"/>
    <cellStyle name="Separador de milhares 3 4 5 9 3" xfId="20553"/>
    <cellStyle name="Separador de milhares 3 4 5 9 3 2" xfId="45620"/>
    <cellStyle name="Separador de milhares 3 4 5 9 4" xfId="14642"/>
    <cellStyle name="Separador de milhares 3 4 5 9 4 2" xfId="39709"/>
    <cellStyle name="Separador de milhares 3 4 5 9 5" xfId="33798"/>
    <cellStyle name="Separador de milhares 3 4 6" xfId="714"/>
    <cellStyle name="Separador de milhares 3 4 6 2" xfId="4138"/>
    <cellStyle name="Separador de milhares 3 4 6 2 2" xfId="7587"/>
    <cellStyle name="Separador de milhares 3 4 6 2 2 2" xfId="10731"/>
    <cellStyle name="Separador de milhares 3 4 6 2 2 2 2" xfId="28945"/>
    <cellStyle name="Separador de milhares 3 4 6 2 2 2 2 2" xfId="54012"/>
    <cellStyle name="Separador de milhares 3 4 6 2 2 2 3" xfId="23031"/>
    <cellStyle name="Separador de milhares 3 4 6 2 2 2 3 2" xfId="48098"/>
    <cellStyle name="Separador de milhares 3 4 6 2 2 2 4" xfId="17117"/>
    <cellStyle name="Separador de milhares 3 4 6 2 2 2 4 2" xfId="42184"/>
    <cellStyle name="Separador de milhares 3 4 6 2 2 2 5" xfId="36276"/>
    <cellStyle name="Separador de milhares 3 4 6 2 2 3" xfId="25988"/>
    <cellStyle name="Separador de milhares 3 4 6 2 2 3 2" xfId="51055"/>
    <cellStyle name="Separador de milhares 3 4 6 2 2 4" xfId="20074"/>
    <cellStyle name="Separador de milhares 3 4 6 2 2 4 2" xfId="45141"/>
    <cellStyle name="Separador de milhares 3 4 6 2 2 5" xfId="13976"/>
    <cellStyle name="Separador de milhares 3 4 6 2 2 5 2" xfId="39230"/>
    <cellStyle name="Separador de milhares 3 4 6 2 2 6" xfId="33319"/>
    <cellStyle name="Separador de milhares 3 4 6 2 3" xfId="9263"/>
    <cellStyle name="Separador de milhares 3 4 6 2 3 2" xfId="27477"/>
    <cellStyle name="Separador de milhares 3 4 6 2 3 2 2" xfId="52544"/>
    <cellStyle name="Separador de milhares 3 4 6 2 3 3" xfId="21563"/>
    <cellStyle name="Separador de milhares 3 4 6 2 3 3 2" xfId="46630"/>
    <cellStyle name="Separador de milhares 3 4 6 2 3 4" xfId="15649"/>
    <cellStyle name="Separador de milhares 3 4 6 2 3 4 2" xfId="40716"/>
    <cellStyle name="Separador de milhares 3 4 6 2 3 5" xfId="34808"/>
    <cellStyle name="Separador de milhares 3 4 6 2 4" xfId="5888"/>
    <cellStyle name="Separador de milhares 3 4 6 2 4 2" xfId="24520"/>
    <cellStyle name="Separador de milhares 3 4 6 2 4 2 2" xfId="49587"/>
    <cellStyle name="Separador de milhares 3 4 6 2 4 3" xfId="31851"/>
    <cellStyle name="Separador de milhares 3 4 6 2 5" xfId="18606"/>
    <cellStyle name="Separador de milhares 3 4 6 2 5 2" xfId="43673"/>
    <cellStyle name="Separador de milhares 3 4 6 2 6" xfId="12275"/>
    <cellStyle name="Separador de milhares 3 4 6 2 6 2" xfId="37762"/>
    <cellStyle name="Separador de milhares 3 4 6 2 7" xfId="30381"/>
    <cellStyle name="Separador de milhares 3 4 6 3" xfId="6632"/>
    <cellStyle name="Separador de milhares 3 4 6 3 2" xfId="9779"/>
    <cellStyle name="Separador de milhares 3 4 6 3 2 2" xfId="27993"/>
    <cellStyle name="Separador de milhares 3 4 6 3 2 2 2" xfId="53060"/>
    <cellStyle name="Separador de milhares 3 4 6 3 2 3" xfId="22079"/>
    <cellStyle name="Separador de milhares 3 4 6 3 2 3 2" xfId="47146"/>
    <cellStyle name="Separador de milhares 3 4 6 3 2 4" xfId="16165"/>
    <cellStyle name="Separador de milhares 3 4 6 3 2 4 2" xfId="41232"/>
    <cellStyle name="Separador de milhares 3 4 6 3 2 5" xfId="35324"/>
    <cellStyle name="Separador de milhares 3 4 6 3 3" xfId="25036"/>
    <cellStyle name="Separador de milhares 3 4 6 3 3 2" xfId="50103"/>
    <cellStyle name="Separador de milhares 3 4 6 3 4" xfId="19122"/>
    <cellStyle name="Separador de milhares 3 4 6 3 4 2" xfId="44189"/>
    <cellStyle name="Separador de milhares 3 4 6 3 5" xfId="13021"/>
    <cellStyle name="Separador de milhares 3 4 6 3 5 2" xfId="38278"/>
    <cellStyle name="Separador de milhares 3 4 6 3 6" xfId="32367"/>
    <cellStyle name="Separador de milhares 3 4 6 4" xfId="8311"/>
    <cellStyle name="Separador de milhares 3 4 6 4 2" xfId="26525"/>
    <cellStyle name="Separador de milhares 3 4 6 4 2 2" xfId="51592"/>
    <cellStyle name="Separador de milhares 3 4 6 4 3" xfId="20611"/>
    <cellStyle name="Separador de milhares 3 4 6 4 3 2" xfId="45678"/>
    <cellStyle name="Separador de milhares 3 4 6 4 4" xfId="14697"/>
    <cellStyle name="Separador de milhares 3 4 6 4 4 2" xfId="39764"/>
    <cellStyle name="Separador de milhares 3 4 6 4 5" xfId="33856"/>
    <cellStyle name="Separador de milhares 3 4 6 5" xfId="4933"/>
    <cellStyle name="Separador de milhares 3 4 6 5 2" xfId="23568"/>
    <cellStyle name="Separador de milhares 3 4 6 5 2 2" xfId="48635"/>
    <cellStyle name="Separador de milhares 3 4 6 5 3" xfId="30899"/>
    <cellStyle name="Separador de milhares 3 4 6 6" xfId="17654"/>
    <cellStyle name="Separador de milhares 3 4 6 6 2" xfId="42721"/>
    <cellStyle name="Separador de milhares 3 4 6 7" xfId="11320"/>
    <cellStyle name="Separador de milhares 3 4 6 7 2" xfId="36810"/>
    <cellStyle name="Separador de milhares 3 4 6 8" xfId="29429"/>
    <cellStyle name="Separador de milhares 3 4 7" xfId="1065"/>
    <cellStyle name="Separador de milhares 3 4 7 2" xfId="6730"/>
    <cellStyle name="Separador de milhares 3 4 7 2 2" xfId="9877"/>
    <cellStyle name="Separador de milhares 3 4 7 2 2 2" xfId="28091"/>
    <cellStyle name="Separador de milhares 3 4 7 2 2 2 2" xfId="53158"/>
    <cellStyle name="Separador de milhares 3 4 7 2 2 3" xfId="22177"/>
    <cellStyle name="Separador de milhares 3 4 7 2 2 3 2" xfId="47244"/>
    <cellStyle name="Separador de milhares 3 4 7 2 2 4" xfId="16263"/>
    <cellStyle name="Separador de milhares 3 4 7 2 2 4 2" xfId="41330"/>
    <cellStyle name="Separador de milhares 3 4 7 2 2 5" xfId="35422"/>
    <cellStyle name="Separador de milhares 3 4 7 2 3" xfId="25134"/>
    <cellStyle name="Separador de milhares 3 4 7 2 3 2" xfId="50201"/>
    <cellStyle name="Separador de milhares 3 4 7 2 4" xfId="19220"/>
    <cellStyle name="Separador de milhares 3 4 7 2 4 2" xfId="44287"/>
    <cellStyle name="Separador de milhares 3 4 7 2 5" xfId="13119"/>
    <cellStyle name="Separador de milhares 3 4 7 2 5 2" xfId="38376"/>
    <cellStyle name="Separador de milhares 3 4 7 2 6" xfId="32465"/>
    <cellStyle name="Separador de milhares 3 4 7 3" xfId="8409"/>
    <cellStyle name="Separador de milhares 3 4 7 3 2" xfId="26623"/>
    <cellStyle name="Separador de milhares 3 4 7 3 2 2" xfId="51690"/>
    <cellStyle name="Separador de milhares 3 4 7 3 3" xfId="20709"/>
    <cellStyle name="Separador de milhares 3 4 7 3 3 2" xfId="45776"/>
    <cellStyle name="Separador de milhares 3 4 7 3 4" xfId="14795"/>
    <cellStyle name="Separador de milhares 3 4 7 3 4 2" xfId="39862"/>
    <cellStyle name="Separador de milhares 3 4 7 3 5" xfId="33954"/>
    <cellStyle name="Separador de milhares 3 4 7 4" xfId="5031"/>
    <cellStyle name="Separador de milhares 3 4 7 4 2" xfId="23666"/>
    <cellStyle name="Separador de milhares 3 4 7 4 2 2" xfId="48733"/>
    <cellStyle name="Separador de milhares 3 4 7 4 3" xfId="30997"/>
    <cellStyle name="Separador de milhares 3 4 7 5" xfId="17752"/>
    <cellStyle name="Separador de milhares 3 4 7 5 2" xfId="42819"/>
    <cellStyle name="Separador de milhares 3 4 7 6" xfId="11418"/>
    <cellStyle name="Separador de milhares 3 4 7 6 2" xfId="36908"/>
    <cellStyle name="Separador de milhares 3 4 7 7" xfId="29527"/>
    <cellStyle name="Separador de milhares 3 4 8" xfId="1500"/>
    <cellStyle name="Separador de milhares 3 4 8 2" xfId="6849"/>
    <cellStyle name="Separador de milhares 3 4 8 2 2" xfId="9996"/>
    <cellStyle name="Separador de milhares 3 4 8 2 2 2" xfId="28210"/>
    <cellStyle name="Separador de milhares 3 4 8 2 2 2 2" xfId="53277"/>
    <cellStyle name="Separador de milhares 3 4 8 2 2 3" xfId="22296"/>
    <cellStyle name="Separador de milhares 3 4 8 2 2 3 2" xfId="47363"/>
    <cellStyle name="Separador de milhares 3 4 8 2 2 4" xfId="16382"/>
    <cellStyle name="Separador de milhares 3 4 8 2 2 4 2" xfId="41449"/>
    <cellStyle name="Separador de milhares 3 4 8 2 2 5" xfId="35541"/>
    <cellStyle name="Separador de milhares 3 4 8 2 3" xfId="25253"/>
    <cellStyle name="Separador de milhares 3 4 8 2 3 2" xfId="50320"/>
    <cellStyle name="Separador de milhares 3 4 8 2 4" xfId="19339"/>
    <cellStyle name="Separador de milhares 3 4 8 2 4 2" xfId="44406"/>
    <cellStyle name="Separador de milhares 3 4 8 2 5" xfId="13238"/>
    <cellStyle name="Separador de milhares 3 4 8 2 5 2" xfId="38495"/>
    <cellStyle name="Separador de milhares 3 4 8 2 6" xfId="32584"/>
    <cellStyle name="Separador de milhares 3 4 8 3" xfId="8528"/>
    <cellStyle name="Separador de milhares 3 4 8 3 2" xfId="26742"/>
    <cellStyle name="Separador de milhares 3 4 8 3 2 2" xfId="51809"/>
    <cellStyle name="Separador de milhares 3 4 8 3 3" xfId="20828"/>
    <cellStyle name="Separador de milhares 3 4 8 3 3 2" xfId="45895"/>
    <cellStyle name="Separador de milhares 3 4 8 3 4" xfId="14914"/>
    <cellStyle name="Separador de milhares 3 4 8 3 4 2" xfId="39981"/>
    <cellStyle name="Separador de milhares 3 4 8 3 5" xfId="34073"/>
    <cellStyle name="Separador de milhares 3 4 8 4" xfId="5150"/>
    <cellStyle name="Separador de milhares 3 4 8 4 2" xfId="23785"/>
    <cellStyle name="Separador de milhares 3 4 8 4 2 2" xfId="48852"/>
    <cellStyle name="Separador de milhares 3 4 8 4 3" xfId="31116"/>
    <cellStyle name="Separador de milhares 3 4 8 5" xfId="17871"/>
    <cellStyle name="Separador de milhares 3 4 8 5 2" xfId="42938"/>
    <cellStyle name="Separador de milhares 3 4 8 6" xfId="11537"/>
    <cellStyle name="Separador de milhares 3 4 8 6 2" xfId="37027"/>
    <cellStyle name="Separador de milhares 3 4 8 7" xfId="29646"/>
    <cellStyle name="Separador de milhares 3 4 9" xfId="2030"/>
    <cellStyle name="Separador de milhares 3 4 9 2" xfId="6999"/>
    <cellStyle name="Separador de milhares 3 4 9 2 2" xfId="10143"/>
    <cellStyle name="Separador de milhares 3 4 9 2 2 2" xfId="28357"/>
    <cellStyle name="Separador de milhares 3 4 9 2 2 2 2" xfId="53424"/>
    <cellStyle name="Separador de milhares 3 4 9 2 2 3" xfId="22443"/>
    <cellStyle name="Separador de milhares 3 4 9 2 2 3 2" xfId="47510"/>
    <cellStyle name="Separador de milhares 3 4 9 2 2 4" xfId="16529"/>
    <cellStyle name="Separador de milhares 3 4 9 2 2 4 2" xfId="41596"/>
    <cellStyle name="Separador de milhares 3 4 9 2 2 5" xfId="35688"/>
    <cellStyle name="Separador de milhares 3 4 9 2 3" xfId="25400"/>
    <cellStyle name="Separador de milhares 3 4 9 2 3 2" xfId="50467"/>
    <cellStyle name="Separador de milhares 3 4 9 2 4" xfId="19486"/>
    <cellStyle name="Separador de milhares 3 4 9 2 4 2" xfId="44553"/>
    <cellStyle name="Separador de milhares 3 4 9 2 5" xfId="13388"/>
    <cellStyle name="Separador de milhares 3 4 9 2 5 2" xfId="38642"/>
    <cellStyle name="Separador de milhares 3 4 9 2 6" xfId="32731"/>
    <cellStyle name="Separador de milhares 3 4 9 3" xfId="8675"/>
    <cellStyle name="Separador de milhares 3 4 9 3 2" xfId="26889"/>
    <cellStyle name="Separador de milhares 3 4 9 3 2 2" xfId="51956"/>
    <cellStyle name="Separador de milhares 3 4 9 3 3" xfId="20975"/>
    <cellStyle name="Separador de milhares 3 4 9 3 3 2" xfId="46042"/>
    <cellStyle name="Separador de milhares 3 4 9 3 4" xfId="15061"/>
    <cellStyle name="Separador de milhares 3 4 9 3 4 2" xfId="40128"/>
    <cellStyle name="Separador de milhares 3 4 9 3 5" xfId="34220"/>
    <cellStyle name="Separador de milhares 3 4 9 4" xfId="5300"/>
    <cellStyle name="Separador de milhares 3 4 9 4 2" xfId="23932"/>
    <cellStyle name="Separador de milhares 3 4 9 4 2 2" xfId="48999"/>
    <cellStyle name="Separador de milhares 3 4 9 4 3" xfId="31263"/>
    <cellStyle name="Separador de milhares 3 4 9 5" xfId="18018"/>
    <cellStyle name="Separador de milhares 3 4 9 5 2" xfId="43085"/>
    <cellStyle name="Separador de milhares 3 4 9 6" xfId="11687"/>
    <cellStyle name="Separador de milhares 3 4 9 6 2" xfId="37174"/>
    <cellStyle name="Separador de milhares 3 4 9 7" xfId="29793"/>
    <cellStyle name="Separador de milhares 3 5" xfId="58"/>
    <cellStyle name="Separador de milhares 3 5 10" xfId="2561"/>
    <cellStyle name="Separador de milhares 3 5 10 2" xfId="7147"/>
    <cellStyle name="Separador de milhares 3 5 10 2 2" xfId="10291"/>
    <cellStyle name="Separador de milhares 3 5 10 2 2 2" xfId="28505"/>
    <cellStyle name="Separador de milhares 3 5 10 2 2 2 2" xfId="53572"/>
    <cellStyle name="Separador de milhares 3 5 10 2 2 3" xfId="22591"/>
    <cellStyle name="Separador de milhares 3 5 10 2 2 3 2" xfId="47658"/>
    <cellStyle name="Separador de milhares 3 5 10 2 2 4" xfId="16677"/>
    <cellStyle name="Separador de milhares 3 5 10 2 2 4 2" xfId="41744"/>
    <cellStyle name="Separador de milhares 3 5 10 2 2 5" xfId="35836"/>
    <cellStyle name="Separador de milhares 3 5 10 2 3" xfId="25548"/>
    <cellStyle name="Separador de milhares 3 5 10 2 3 2" xfId="50615"/>
    <cellStyle name="Separador de milhares 3 5 10 2 4" xfId="19634"/>
    <cellStyle name="Separador de milhares 3 5 10 2 4 2" xfId="44701"/>
    <cellStyle name="Separador de milhares 3 5 10 2 5" xfId="13536"/>
    <cellStyle name="Separador de milhares 3 5 10 2 5 2" xfId="38790"/>
    <cellStyle name="Separador de milhares 3 5 10 2 6" xfId="32879"/>
    <cellStyle name="Separador de milhares 3 5 10 3" xfId="8823"/>
    <cellStyle name="Separador de milhares 3 5 10 3 2" xfId="27037"/>
    <cellStyle name="Separador de milhares 3 5 10 3 2 2" xfId="52104"/>
    <cellStyle name="Separador de milhares 3 5 10 3 3" xfId="21123"/>
    <cellStyle name="Separador de milhares 3 5 10 3 3 2" xfId="46190"/>
    <cellStyle name="Separador de milhares 3 5 10 3 4" xfId="15209"/>
    <cellStyle name="Separador de milhares 3 5 10 3 4 2" xfId="40276"/>
    <cellStyle name="Separador de milhares 3 5 10 3 5" xfId="34368"/>
    <cellStyle name="Separador de milhares 3 5 10 4" xfId="5448"/>
    <cellStyle name="Separador de milhares 3 5 10 4 2" xfId="24080"/>
    <cellStyle name="Separador de milhares 3 5 10 4 2 2" xfId="49147"/>
    <cellStyle name="Separador de milhares 3 5 10 4 3" xfId="31411"/>
    <cellStyle name="Separador de milhares 3 5 10 5" xfId="18166"/>
    <cellStyle name="Separador de milhares 3 5 10 5 2" xfId="43233"/>
    <cellStyle name="Separador de milhares 3 5 10 6" xfId="11835"/>
    <cellStyle name="Separador de milhares 3 5 10 6 2" xfId="37322"/>
    <cellStyle name="Separador de milhares 3 5 10 7" xfId="29941"/>
    <cellStyle name="Separador de milhares 3 5 11" xfId="3088"/>
    <cellStyle name="Separador de milhares 3 5 11 2" xfId="7294"/>
    <cellStyle name="Separador de milhares 3 5 11 2 2" xfId="10438"/>
    <cellStyle name="Separador de milhares 3 5 11 2 2 2" xfId="28652"/>
    <cellStyle name="Separador de milhares 3 5 11 2 2 2 2" xfId="53719"/>
    <cellStyle name="Separador de milhares 3 5 11 2 2 3" xfId="22738"/>
    <cellStyle name="Separador de milhares 3 5 11 2 2 3 2" xfId="47805"/>
    <cellStyle name="Separador de milhares 3 5 11 2 2 4" xfId="16824"/>
    <cellStyle name="Separador de milhares 3 5 11 2 2 4 2" xfId="41891"/>
    <cellStyle name="Separador de milhares 3 5 11 2 2 5" xfId="35983"/>
    <cellStyle name="Separador de milhares 3 5 11 2 3" xfId="25695"/>
    <cellStyle name="Separador de milhares 3 5 11 2 3 2" xfId="50762"/>
    <cellStyle name="Separador de milhares 3 5 11 2 4" xfId="19781"/>
    <cellStyle name="Separador de milhares 3 5 11 2 4 2" xfId="44848"/>
    <cellStyle name="Separador de milhares 3 5 11 2 5" xfId="13683"/>
    <cellStyle name="Separador de milhares 3 5 11 2 5 2" xfId="38937"/>
    <cellStyle name="Separador de milhares 3 5 11 2 6" xfId="33026"/>
    <cellStyle name="Separador de milhares 3 5 11 3" xfId="8970"/>
    <cellStyle name="Separador de milhares 3 5 11 3 2" xfId="27184"/>
    <cellStyle name="Separador de milhares 3 5 11 3 2 2" xfId="52251"/>
    <cellStyle name="Separador de milhares 3 5 11 3 3" xfId="21270"/>
    <cellStyle name="Separador de milhares 3 5 11 3 3 2" xfId="46337"/>
    <cellStyle name="Separador de milhares 3 5 11 3 4" xfId="15356"/>
    <cellStyle name="Separador de milhares 3 5 11 3 4 2" xfId="40423"/>
    <cellStyle name="Separador de milhares 3 5 11 3 5" xfId="34515"/>
    <cellStyle name="Separador de milhares 3 5 11 4" xfId="5595"/>
    <cellStyle name="Separador de milhares 3 5 11 4 2" xfId="24227"/>
    <cellStyle name="Separador de milhares 3 5 11 4 2 2" xfId="49294"/>
    <cellStyle name="Separador de milhares 3 5 11 4 3" xfId="31558"/>
    <cellStyle name="Separador de milhares 3 5 11 5" xfId="18313"/>
    <cellStyle name="Separador de milhares 3 5 11 5 2" xfId="43380"/>
    <cellStyle name="Separador de milhares 3 5 11 6" xfId="11982"/>
    <cellStyle name="Separador de milhares 3 5 11 6 2" xfId="37469"/>
    <cellStyle name="Separador de milhares 3 5 11 7" xfId="30088"/>
    <cellStyle name="Separador de milhares 3 5 12" xfId="3615"/>
    <cellStyle name="Separador de milhares 3 5 12 2" xfId="7441"/>
    <cellStyle name="Separador de milhares 3 5 12 2 2" xfId="10585"/>
    <cellStyle name="Separador de milhares 3 5 12 2 2 2" xfId="28799"/>
    <cellStyle name="Separador de milhares 3 5 12 2 2 2 2" xfId="53866"/>
    <cellStyle name="Separador de milhares 3 5 12 2 2 3" xfId="22885"/>
    <cellStyle name="Separador de milhares 3 5 12 2 2 3 2" xfId="47952"/>
    <cellStyle name="Separador de milhares 3 5 12 2 2 4" xfId="16971"/>
    <cellStyle name="Separador de milhares 3 5 12 2 2 4 2" xfId="42038"/>
    <cellStyle name="Separador de milhares 3 5 12 2 2 5" xfId="36130"/>
    <cellStyle name="Separador de milhares 3 5 12 2 3" xfId="25842"/>
    <cellStyle name="Separador de milhares 3 5 12 2 3 2" xfId="50909"/>
    <cellStyle name="Separador de milhares 3 5 12 2 4" xfId="19928"/>
    <cellStyle name="Separador de milhares 3 5 12 2 4 2" xfId="44995"/>
    <cellStyle name="Separador de milhares 3 5 12 2 5" xfId="13830"/>
    <cellStyle name="Separador de milhares 3 5 12 2 5 2" xfId="39084"/>
    <cellStyle name="Separador de milhares 3 5 12 2 6" xfId="33173"/>
    <cellStyle name="Separador de milhares 3 5 12 3" xfId="9117"/>
    <cellStyle name="Separador de milhares 3 5 12 3 2" xfId="27331"/>
    <cellStyle name="Separador de milhares 3 5 12 3 2 2" xfId="52398"/>
    <cellStyle name="Separador de milhares 3 5 12 3 3" xfId="21417"/>
    <cellStyle name="Separador de milhares 3 5 12 3 3 2" xfId="46484"/>
    <cellStyle name="Separador de milhares 3 5 12 3 4" xfId="15503"/>
    <cellStyle name="Separador de milhares 3 5 12 3 4 2" xfId="40570"/>
    <cellStyle name="Separador de milhares 3 5 12 3 5" xfId="34662"/>
    <cellStyle name="Separador de milhares 3 5 12 4" xfId="5742"/>
    <cellStyle name="Separador de milhares 3 5 12 4 2" xfId="24374"/>
    <cellStyle name="Separador de milhares 3 5 12 4 2 2" xfId="49441"/>
    <cellStyle name="Separador de milhares 3 5 12 4 3" xfId="31705"/>
    <cellStyle name="Separador de milhares 3 5 12 5" xfId="18460"/>
    <cellStyle name="Separador de milhares 3 5 12 5 2" xfId="43527"/>
    <cellStyle name="Separador de milhares 3 5 12 6" xfId="12129"/>
    <cellStyle name="Separador de milhares 3 5 12 6 2" xfId="37616"/>
    <cellStyle name="Separador de milhares 3 5 12 7" xfId="30235"/>
    <cellStyle name="Separador de milhares 3 5 13" xfId="6425"/>
    <cellStyle name="Separador de milhares 3 5 13 2" xfId="9581"/>
    <cellStyle name="Separador de milhares 3 5 13 2 2" xfId="27795"/>
    <cellStyle name="Separador de milhares 3 5 13 2 2 2" xfId="52862"/>
    <cellStyle name="Separador de milhares 3 5 13 2 3" xfId="21881"/>
    <cellStyle name="Separador de milhares 3 5 13 2 3 2" xfId="46948"/>
    <cellStyle name="Separador de milhares 3 5 13 2 4" xfId="15967"/>
    <cellStyle name="Separador de milhares 3 5 13 2 4 2" xfId="41034"/>
    <cellStyle name="Separador de milhares 3 5 13 2 5" xfId="35126"/>
    <cellStyle name="Separador de milhares 3 5 13 3" xfId="24838"/>
    <cellStyle name="Separador de milhares 3 5 13 3 2" xfId="49905"/>
    <cellStyle name="Separador de milhares 3 5 13 4" xfId="18924"/>
    <cellStyle name="Separador de milhares 3 5 13 4 2" xfId="43991"/>
    <cellStyle name="Separador de milhares 3 5 13 5" xfId="12814"/>
    <cellStyle name="Separador de milhares 3 5 13 5 2" xfId="38080"/>
    <cellStyle name="Separador de milhares 3 5 13 6" xfId="32169"/>
    <cellStyle name="Separador de milhares 3 5 14" xfId="8110"/>
    <cellStyle name="Separador de milhares 3 5 14 2" xfId="26324"/>
    <cellStyle name="Separador de milhares 3 5 14 2 2" xfId="51391"/>
    <cellStyle name="Separador de milhares 3 5 14 3" xfId="20410"/>
    <cellStyle name="Separador de milhares 3 5 14 3 2" xfId="45477"/>
    <cellStyle name="Separador de milhares 3 5 14 4" xfId="14499"/>
    <cellStyle name="Separador de milhares 3 5 14 4 2" xfId="39566"/>
    <cellStyle name="Separador de milhares 3 5 14 5" xfId="33655"/>
    <cellStyle name="Separador de milhares 3 5 15" xfId="4723"/>
    <cellStyle name="Separador de milhares 3 5 15 2" xfId="23367"/>
    <cellStyle name="Separador de milhares 3 5 15 2 2" xfId="48434"/>
    <cellStyle name="Separador de milhares 3 5 15 3" xfId="30699"/>
    <cellStyle name="Separador de milhares 3 5 16" xfId="17453"/>
    <cellStyle name="Separador de milhares 3 5 16 2" xfId="42520"/>
    <cellStyle name="Separador de milhares 3 5 17" xfId="11113"/>
    <cellStyle name="Separador de milhares 3 5 17 2" xfId="36612"/>
    <cellStyle name="Separador de milhares 3 5 18" xfId="29227"/>
    <cellStyle name="Separador de milhares 3 5 2" xfId="152"/>
    <cellStyle name="Separador de milhares 3 5 2 10" xfId="6454"/>
    <cellStyle name="Separador de milhares 3 5 2 10 2" xfId="9608"/>
    <cellStyle name="Separador de milhares 3 5 2 10 2 2" xfId="27822"/>
    <cellStyle name="Separador de milhares 3 5 2 10 2 2 2" xfId="52889"/>
    <cellStyle name="Separador de milhares 3 5 2 10 2 3" xfId="21908"/>
    <cellStyle name="Separador de milhares 3 5 2 10 2 3 2" xfId="46975"/>
    <cellStyle name="Separador de milhares 3 5 2 10 2 4" xfId="15994"/>
    <cellStyle name="Separador de milhares 3 5 2 10 2 4 2" xfId="41061"/>
    <cellStyle name="Separador de milhares 3 5 2 10 2 5" xfId="35153"/>
    <cellStyle name="Separador de milhares 3 5 2 10 3" xfId="24865"/>
    <cellStyle name="Separador de milhares 3 5 2 10 3 2" xfId="49932"/>
    <cellStyle name="Separador de milhares 3 5 2 10 4" xfId="18951"/>
    <cellStyle name="Separador de milhares 3 5 2 10 4 2" xfId="44018"/>
    <cellStyle name="Separador de milhares 3 5 2 10 5" xfId="12843"/>
    <cellStyle name="Separador de milhares 3 5 2 10 5 2" xfId="38107"/>
    <cellStyle name="Separador de milhares 3 5 2 10 6" xfId="32196"/>
    <cellStyle name="Separador de milhares 3 5 2 11" xfId="8137"/>
    <cellStyle name="Separador de milhares 3 5 2 11 2" xfId="26351"/>
    <cellStyle name="Separador de milhares 3 5 2 11 2 2" xfId="51418"/>
    <cellStyle name="Separador de milhares 3 5 2 11 3" xfId="20437"/>
    <cellStyle name="Separador de milhares 3 5 2 11 3 2" xfId="45504"/>
    <cellStyle name="Separador de milhares 3 5 2 11 4" xfId="14526"/>
    <cellStyle name="Separador de milhares 3 5 2 11 4 2" xfId="39593"/>
    <cellStyle name="Separador de milhares 3 5 2 11 5" xfId="33682"/>
    <cellStyle name="Separador de milhares 3 5 2 12" xfId="4753"/>
    <cellStyle name="Separador de milhares 3 5 2 12 2" xfId="23394"/>
    <cellStyle name="Separador de milhares 3 5 2 12 2 2" xfId="48461"/>
    <cellStyle name="Separador de milhares 3 5 2 12 3" xfId="30726"/>
    <cellStyle name="Separador de milhares 3 5 2 13" xfId="17480"/>
    <cellStyle name="Separador de milhares 3 5 2 13 2" xfId="42547"/>
    <cellStyle name="Separador de milhares 3 5 2 14" xfId="11142"/>
    <cellStyle name="Separador de milhares 3 5 2 14 2" xfId="36639"/>
    <cellStyle name="Separador de milhares 3 5 2 15" xfId="29255"/>
    <cellStyle name="Separador de milhares 3 5 2 2" xfId="425"/>
    <cellStyle name="Separador de milhares 3 5 2 2 10" xfId="17554"/>
    <cellStyle name="Separador de milhares 3 5 2 2 10 2" xfId="42621"/>
    <cellStyle name="Separador de milhares 3 5 2 2 11" xfId="11223"/>
    <cellStyle name="Separador de milhares 3 5 2 2 11 2" xfId="36713"/>
    <cellStyle name="Separador de milhares 3 5 2 2 12" xfId="29329"/>
    <cellStyle name="Separador de milhares 3 5 2 2 2" xfId="1944"/>
    <cellStyle name="Separador de milhares 3 5 2 2 2 2" xfId="6973"/>
    <cellStyle name="Separador de milhares 3 5 2 2 2 2 2" xfId="10120"/>
    <cellStyle name="Separador de milhares 3 5 2 2 2 2 2 2" xfId="28334"/>
    <cellStyle name="Separador de milhares 3 5 2 2 2 2 2 2 2" xfId="53401"/>
    <cellStyle name="Separador de milhares 3 5 2 2 2 2 2 3" xfId="22420"/>
    <cellStyle name="Separador de milhares 3 5 2 2 2 2 2 3 2" xfId="47487"/>
    <cellStyle name="Separador de milhares 3 5 2 2 2 2 2 4" xfId="16506"/>
    <cellStyle name="Separador de milhares 3 5 2 2 2 2 2 4 2" xfId="41573"/>
    <cellStyle name="Separador de milhares 3 5 2 2 2 2 2 5" xfId="35665"/>
    <cellStyle name="Separador de milhares 3 5 2 2 2 2 3" xfId="25377"/>
    <cellStyle name="Separador de milhares 3 5 2 2 2 2 3 2" xfId="50444"/>
    <cellStyle name="Separador de milhares 3 5 2 2 2 2 4" xfId="19463"/>
    <cellStyle name="Separador de milhares 3 5 2 2 2 2 4 2" xfId="44530"/>
    <cellStyle name="Separador de milhares 3 5 2 2 2 2 5" xfId="13362"/>
    <cellStyle name="Separador de milhares 3 5 2 2 2 2 5 2" xfId="38619"/>
    <cellStyle name="Separador de milhares 3 5 2 2 2 2 6" xfId="32708"/>
    <cellStyle name="Separador de milhares 3 5 2 2 2 3" xfId="8652"/>
    <cellStyle name="Separador de milhares 3 5 2 2 2 3 2" xfId="26866"/>
    <cellStyle name="Separador de milhares 3 5 2 2 2 3 2 2" xfId="51933"/>
    <cellStyle name="Separador de milhares 3 5 2 2 2 3 3" xfId="20952"/>
    <cellStyle name="Separador de milhares 3 5 2 2 2 3 3 2" xfId="46019"/>
    <cellStyle name="Separador de milhares 3 5 2 2 2 3 4" xfId="15038"/>
    <cellStyle name="Separador de milhares 3 5 2 2 2 3 4 2" xfId="40105"/>
    <cellStyle name="Separador de milhares 3 5 2 2 2 3 5" xfId="34197"/>
    <cellStyle name="Separador de milhares 3 5 2 2 2 4" xfId="5274"/>
    <cellStyle name="Separador de milhares 3 5 2 2 2 4 2" xfId="23909"/>
    <cellStyle name="Separador de milhares 3 5 2 2 2 4 2 2" xfId="48976"/>
    <cellStyle name="Separador de milhares 3 5 2 2 2 4 3" xfId="31240"/>
    <cellStyle name="Separador de milhares 3 5 2 2 2 5" xfId="17995"/>
    <cellStyle name="Separador de milhares 3 5 2 2 2 5 2" xfId="43062"/>
    <cellStyle name="Separador de milhares 3 5 2 2 2 6" xfId="11661"/>
    <cellStyle name="Separador de milhares 3 5 2 2 2 6 2" xfId="37151"/>
    <cellStyle name="Separador de milhares 3 5 2 2 2 7" xfId="29770"/>
    <cellStyle name="Separador de milhares 3 5 2 2 3" xfId="2474"/>
    <cellStyle name="Separador de milhares 3 5 2 2 3 2" xfId="7123"/>
    <cellStyle name="Separador de milhares 3 5 2 2 3 2 2" xfId="10267"/>
    <cellStyle name="Separador de milhares 3 5 2 2 3 2 2 2" xfId="28481"/>
    <cellStyle name="Separador de milhares 3 5 2 2 3 2 2 2 2" xfId="53548"/>
    <cellStyle name="Separador de milhares 3 5 2 2 3 2 2 3" xfId="22567"/>
    <cellStyle name="Separador de milhares 3 5 2 2 3 2 2 3 2" xfId="47634"/>
    <cellStyle name="Separador de milhares 3 5 2 2 3 2 2 4" xfId="16653"/>
    <cellStyle name="Separador de milhares 3 5 2 2 3 2 2 4 2" xfId="41720"/>
    <cellStyle name="Separador de milhares 3 5 2 2 3 2 2 5" xfId="35812"/>
    <cellStyle name="Separador de milhares 3 5 2 2 3 2 3" xfId="25524"/>
    <cellStyle name="Separador de milhares 3 5 2 2 3 2 3 2" xfId="50591"/>
    <cellStyle name="Separador de milhares 3 5 2 2 3 2 4" xfId="19610"/>
    <cellStyle name="Separador de milhares 3 5 2 2 3 2 4 2" xfId="44677"/>
    <cellStyle name="Separador de milhares 3 5 2 2 3 2 5" xfId="13512"/>
    <cellStyle name="Separador de milhares 3 5 2 2 3 2 5 2" xfId="38766"/>
    <cellStyle name="Separador de milhares 3 5 2 2 3 2 6" xfId="32855"/>
    <cellStyle name="Separador de milhares 3 5 2 2 3 3" xfId="8799"/>
    <cellStyle name="Separador de milhares 3 5 2 2 3 3 2" xfId="27013"/>
    <cellStyle name="Separador de milhares 3 5 2 2 3 3 2 2" xfId="52080"/>
    <cellStyle name="Separador de milhares 3 5 2 2 3 3 3" xfId="21099"/>
    <cellStyle name="Separador de milhares 3 5 2 2 3 3 3 2" xfId="46166"/>
    <cellStyle name="Separador de milhares 3 5 2 2 3 3 4" xfId="15185"/>
    <cellStyle name="Separador de milhares 3 5 2 2 3 3 4 2" xfId="40252"/>
    <cellStyle name="Separador de milhares 3 5 2 2 3 3 5" xfId="34344"/>
    <cellStyle name="Separador de milhares 3 5 2 2 3 4" xfId="5424"/>
    <cellStyle name="Separador de milhares 3 5 2 2 3 4 2" xfId="24056"/>
    <cellStyle name="Separador de milhares 3 5 2 2 3 4 2 2" xfId="49123"/>
    <cellStyle name="Separador de milhares 3 5 2 2 3 4 3" xfId="31387"/>
    <cellStyle name="Separador de milhares 3 5 2 2 3 5" xfId="18142"/>
    <cellStyle name="Separador de milhares 3 5 2 2 3 5 2" xfId="43209"/>
    <cellStyle name="Separador de milhares 3 5 2 2 3 6" xfId="11811"/>
    <cellStyle name="Separador de milhares 3 5 2 2 3 6 2" xfId="37298"/>
    <cellStyle name="Separador de milhares 3 5 2 2 3 7" xfId="29917"/>
    <cellStyle name="Separador de milhares 3 5 2 2 4" xfId="3001"/>
    <cellStyle name="Separador de milhares 3 5 2 2 4 2" xfId="7270"/>
    <cellStyle name="Separador de milhares 3 5 2 2 4 2 2" xfId="10414"/>
    <cellStyle name="Separador de milhares 3 5 2 2 4 2 2 2" xfId="28628"/>
    <cellStyle name="Separador de milhares 3 5 2 2 4 2 2 2 2" xfId="53695"/>
    <cellStyle name="Separador de milhares 3 5 2 2 4 2 2 3" xfId="22714"/>
    <cellStyle name="Separador de milhares 3 5 2 2 4 2 2 3 2" xfId="47781"/>
    <cellStyle name="Separador de milhares 3 5 2 2 4 2 2 4" xfId="16800"/>
    <cellStyle name="Separador de milhares 3 5 2 2 4 2 2 4 2" xfId="41867"/>
    <cellStyle name="Separador de milhares 3 5 2 2 4 2 2 5" xfId="35959"/>
    <cellStyle name="Separador de milhares 3 5 2 2 4 2 3" xfId="25671"/>
    <cellStyle name="Separador de milhares 3 5 2 2 4 2 3 2" xfId="50738"/>
    <cellStyle name="Separador de milhares 3 5 2 2 4 2 4" xfId="19757"/>
    <cellStyle name="Separador de milhares 3 5 2 2 4 2 4 2" xfId="44824"/>
    <cellStyle name="Separador de milhares 3 5 2 2 4 2 5" xfId="13659"/>
    <cellStyle name="Separador de milhares 3 5 2 2 4 2 5 2" xfId="38913"/>
    <cellStyle name="Separador de milhares 3 5 2 2 4 2 6" xfId="33002"/>
    <cellStyle name="Separador de milhares 3 5 2 2 4 3" xfId="8946"/>
    <cellStyle name="Separador de milhares 3 5 2 2 4 3 2" xfId="27160"/>
    <cellStyle name="Separador de milhares 3 5 2 2 4 3 2 2" xfId="52227"/>
    <cellStyle name="Separador de milhares 3 5 2 2 4 3 3" xfId="21246"/>
    <cellStyle name="Separador de milhares 3 5 2 2 4 3 3 2" xfId="46313"/>
    <cellStyle name="Separador de milhares 3 5 2 2 4 3 4" xfId="15332"/>
    <cellStyle name="Separador de milhares 3 5 2 2 4 3 4 2" xfId="40399"/>
    <cellStyle name="Separador de milhares 3 5 2 2 4 3 5" xfId="34491"/>
    <cellStyle name="Separador de milhares 3 5 2 2 4 4" xfId="5571"/>
    <cellStyle name="Separador de milhares 3 5 2 2 4 4 2" xfId="24203"/>
    <cellStyle name="Separador de milhares 3 5 2 2 4 4 2 2" xfId="49270"/>
    <cellStyle name="Separador de milhares 3 5 2 2 4 4 3" xfId="31534"/>
    <cellStyle name="Separador de milhares 3 5 2 2 4 5" xfId="18289"/>
    <cellStyle name="Separador de milhares 3 5 2 2 4 5 2" xfId="43356"/>
    <cellStyle name="Separador de milhares 3 5 2 2 4 6" xfId="11958"/>
    <cellStyle name="Separador de milhares 3 5 2 2 4 6 2" xfId="37445"/>
    <cellStyle name="Separador de milhares 3 5 2 2 4 7" xfId="30064"/>
    <cellStyle name="Separador de milhares 3 5 2 2 5" xfId="3528"/>
    <cellStyle name="Separador de milhares 3 5 2 2 5 2" xfId="7417"/>
    <cellStyle name="Separador de milhares 3 5 2 2 5 2 2" xfId="10561"/>
    <cellStyle name="Separador de milhares 3 5 2 2 5 2 2 2" xfId="28775"/>
    <cellStyle name="Separador de milhares 3 5 2 2 5 2 2 2 2" xfId="53842"/>
    <cellStyle name="Separador de milhares 3 5 2 2 5 2 2 3" xfId="22861"/>
    <cellStyle name="Separador de milhares 3 5 2 2 5 2 2 3 2" xfId="47928"/>
    <cellStyle name="Separador de milhares 3 5 2 2 5 2 2 4" xfId="16947"/>
    <cellStyle name="Separador de milhares 3 5 2 2 5 2 2 4 2" xfId="42014"/>
    <cellStyle name="Separador de milhares 3 5 2 2 5 2 2 5" xfId="36106"/>
    <cellStyle name="Separador de milhares 3 5 2 2 5 2 3" xfId="25818"/>
    <cellStyle name="Separador de milhares 3 5 2 2 5 2 3 2" xfId="50885"/>
    <cellStyle name="Separador de milhares 3 5 2 2 5 2 4" xfId="19904"/>
    <cellStyle name="Separador de milhares 3 5 2 2 5 2 4 2" xfId="44971"/>
    <cellStyle name="Separador de milhares 3 5 2 2 5 2 5" xfId="13806"/>
    <cellStyle name="Separador de milhares 3 5 2 2 5 2 5 2" xfId="39060"/>
    <cellStyle name="Separador de milhares 3 5 2 2 5 2 6" xfId="33149"/>
    <cellStyle name="Separador de milhares 3 5 2 2 5 3" xfId="9093"/>
    <cellStyle name="Separador de milhares 3 5 2 2 5 3 2" xfId="27307"/>
    <cellStyle name="Separador de milhares 3 5 2 2 5 3 2 2" xfId="52374"/>
    <cellStyle name="Separador de milhares 3 5 2 2 5 3 3" xfId="21393"/>
    <cellStyle name="Separador de milhares 3 5 2 2 5 3 3 2" xfId="46460"/>
    <cellStyle name="Separador de milhares 3 5 2 2 5 3 4" xfId="15479"/>
    <cellStyle name="Separador de milhares 3 5 2 2 5 3 4 2" xfId="40546"/>
    <cellStyle name="Separador de milhares 3 5 2 2 5 3 5" xfId="34638"/>
    <cellStyle name="Separador de milhares 3 5 2 2 5 4" xfId="5718"/>
    <cellStyle name="Separador de milhares 3 5 2 2 5 4 2" xfId="24350"/>
    <cellStyle name="Separador de milhares 3 5 2 2 5 4 2 2" xfId="49417"/>
    <cellStyle name="Separador de milhares 3 5 2 2 5 4 3" xfId="31681"/>
    <cellStyle name="Separador de milhares 3 5 2 2 5 5" xfId="18436"/>
    <cellStyle name="Separador de milhares 3 5 2 2 5 5 2" xfId="43503"/>
    <cellStyle name="Separador de milhares 3 5 2 2 5 6" xfId="12105"/>
    <cellStyle name="Separador de milhares 3 5 2 2 5 6 2" xfId="37592"/>
    <cellStyle name="Separador de milhares 3 5 2 2 5 7" xfId="30211"/>
    <cellStyle name="Separador de milhares 3 5 2 2 6" xfId="4055"/>
    <cellStyle name="Separador de milhares 3 5 2 2 6 2" xfId="7564"/>
    <cellStyle name="Separador de milhares 3 5 2 2 6 2 2" xfId="10708"/>
    <cellStyle name="Separador de milhares 3 5 2 2 6 2 2 2" xfId="28922"/>
    <cellStyle name="Separador de milhares 3 5 2 2 6 2 2 2 2" xfId="53989"/>
    <cellStyle name="Separador de milhares 3 5 2 2 6 2 2 3" xfId="23008"/>
    <cellStyle name="Separador de milhares 3 5 2 2 6 2 2 3 2" xfId="48075"/>
    <cellStyle name="Separador de milhares 3 5 2 2 6 2 2 4" xfId="17094"/>
    <cellStyle name="Separador de milhares 3 5 2 2 6 2 2 4 2" xfId="42161"/>
    <cellStyle name="Separador de milhares 3 5 2 2 6 2 2 5" xfId="36253"/>
    <cellStyle name="Separador de milhares 3 5 2 2 6 2 3" xfId="25965"/>
    <cellStyle name="Separador de milhares 3 5 2 2 6 2 3 2" xfId="51032"/>
    <cellStyle name="Separador de milhares 3 5 2 2 6 2 4" xfId="20051"/>
    <cellStyle name="Separador de milhares 3 5 2 2 6 2 4 2" xfId="45118"/>
    <cellStyle name="Separador de milhares 3 5 2 2 6 2 5" xfId="13953"/>
    <cellStyle name="Separador de milhares 3 5 2 2 6 2 5 2" xfId="39207"/>
    <cellStyle name="Separador de milhares 3 5 2 2 6 2 6" xfId="33296"/>
    <cellStyle name="Separador de milhares 3 5 2 2 6 3" xfId="9240"/>
    <cellStyle name="Separador de milhares 3 5 2 2 6 3 2" xfId="27454"/>
    <cellStyle name="Separador de milhares 3 5 2 2 6 3 2 2" xfId="52521"/>
    <cellStyle name="Separador de milhares 3 5 2 2 6 3 3" xfId="21540"/>
    <cellStyle name="Separador de milhares 3 5 2 2 6 3 3 2" xfId="46607"/>
    <cellStyle name="Separador de milhares 3 5 2 2 6 3 4" xfId="15626"/>
    <cellStyle name="Separador de milhares 3 5 2 2 6 3 4 2" xfId="40693"/>
    <cellStyle name="Separador de milhares 3 5 2 2 6 3 5" xfId="34785"/>
    <cellStyle name="Separador de milhares 3 5 2 2 6 4" xfId="5865"/>
    <cellStyle name="Separador de milhares 3 5 2 2 6 4 2" xfId="24497"/>
    <cellStyle name="Separador de milhares 3 5 2 2 6 4 2 2" xfId="49564"/>
    <cellStyle name="Separador de milhares 3 5 2 2 6 4 3" xfId="31828"/>
    <cellStyle name="Separador de milhares 3 5 2 2 6 5" xfId="18583"/>
    <cellStyle name="Separador de milhares 3 5 2 2 6 5 2" xfId="43650"/>
    <cellStyle name="Separador de milhares 3 5 2 2 6 6" xfId="12252"/>
    <cellStyle name="Separador de milhares 3 5 2 2 6 6 2" xfId="37739"/>
    <cellStyle name="Separador de milhares 3 5 2 2 6 7" xfId="30358"/>
    <cellStyle name="Separador de milhares 3 5 2 2 7" xfId="6535"/>
    <cellStyle name="Separador de milhares 3 5 2 2 7 2" xfId="9682"/>
    <cellStyle name="Separador de milhares 3 5 2 2 7 2 2" xfId="27896"/>
    <cellStyle name="Separador de milhares 3 5 2 2 7 2 2 2" xfId="52963"/>
    <cellStyle name="Separador de milhares 3 5 2 2 7 2 3" xfId="21982"/>
    <cellStyle name="Separador de milhares 3 5 2 2 7 2 3 2" xfId="47049"/>
    <cellStyle name="Separador de milhares 3 5 2 2 7 2 4" xfId="16068"/>
    <cellStyle name="Separador de milhares 3 5 2 2 7 2 4 2" xfId="41135"/>
    <cellStyle name="Separador de milhares 3 5 2 2 7 2 5" xfId="35227"/>
    <cellStyle name="Separador de milhares 3 5 2 2 7 3" xfId="24939"/>
    <cellStyle name="Separador de milhares 3 5 2 2 7 3 2" xfId="50006"/>
    <cellStyle name="Separador de milhares 3 5 2 2 7 4" xfId="19025"/>
    <cellStyle name="Separador de milhares 3 5 2 2 7 4 2" xfId="44092"/>
    <cellStyle name="Separador de milhares 3 5 2 2 7 5" xfId="12924"/>
    <cellStyle name="Separador de milhares 3 5 2 2 7 5 2" xfId="38181"/>
    <cellStyle name="Separador de milhares 3 5 2 2 7 6" xfId="32270"/>
    <cellStyle name="Separador de milhares 3 5 2 2 8" xfId="8211"/>
    <cellStyle name="Separador de milhares 3 5 2 2 8 2" xfId="26425"/>
    <cellStyle name="Separador de milhares 3 5 2 2 8 2 2" xfId="51492"/>
    <cellStyle name="Separador de milhares 3 5 2 2 8 3" xfId="20511"/>
    <cellStyle name="Separador de milhares 3 5 2 2 8 3 2" xfId="45578"/>
    <cellStyle name="Separador de milhares 3 5 2 2 8 4" xfId="14600"/>
    <cellStyle name="Separador de milhares 3 5 2 2 8 4 2" xfId="39667"/>
    <cellStyle name="Separador de milhares 3 5 2 2 8 5" xfId="33756"/>
    <cellStyle name="Separador de milhares 3 5 2 2 9" xfId="4834"/>
    <cellStyle name="Separador de milhares 3 5 2 2 9 2" xfId="23468"/>
    <cellStyle name="Separador de milhares 3 5 2 2 9 2 2" xfId="48535"/>
    <cellStyle name="Separador de milhares 3 5 2 2 9 3" xfId="30800"/>
    <cellStyle name="Separador de milhares 3 5 2 3" xfId="898"/>
    <cellStyle name="Separador de milhares 3 5 2 3 2" xfId="6686"/>
    <cellStyle name="Separador de milhares 3 5 2 3 2 2" xfId="9833"/>
    <cellStyle name="Separador de milhares 3 5 2 3 2 2 2" xfId="28047"/>
    <cellStyle name="Separador de milhares 3 5 2 3 2 2 2 2" xfId="53114"/>
    <cellStyle name="Separador de milhares 3 5 2 3 2 2 3" xfId="22133"/>
    <cellStyle name="Separador de milhares 3 5 2 3 2 2 3 2" xfId="47200"/>
    <cellStyle name="Separador de milhares 3 5 2 3 2 2 4" xfId="16219"/>
    <cellStyle name="Separador de milhares 3 5 2 3 2 2 4 2" xfId="41286"/>
    <cellStyle name="Separador de milhares 3 5 2 3 2 2 5" xfId="35378"/>
    <cellStyle name="Separador de milhares 3 5 2 3 2 3" xfId="25090"/>
    <cellStyle name="Separador de milhares 3 5 2 3 2 3 2" xfId="50157"/>
    <cellStyle name="Separador de milhares 3 5 2 3 2 4" xfId="19176"/>
    <cellStyle name="Separador de milhares 3 5 2 3 2 4 2" xfId="44243"/>
    <cellStyle name="Separador de milhares 3 5 2 3 2 5" xfId="13075"/>
    <cellStyle name="Separador de milhares 3 5 2 3 2 5 2" xfId="38332"/>
    <cellStyle name="Separador de milhares 3 5 2 3 2 6" xfId="32421"/>
    <cellStyle name="Separador de milhares 3 5 2 3 3" xfId="8365"/>
    <cellStyle name="Separador de milhares 3 5 2 3 3 2" xfId="26579"/>
    <cellStyle name="Separador de milhares 3 5 2 3 3 2 2" xfId="51646"/>
    <cellStyle name="Separador de milhares 3 5 2 3 3 3" xfId="20665"/>
    <cellStyle name="Separador de milhares 3 5 2 3 3 3 2" xfId="45732"/>
    <cellStyle name="Separador de milhares 3 5 2 3 3 4" xfId="14751"/>
    <cellStyle name="Separador de milhares 3 5 2 3 3 4 2" xfId="39818"/>
    <cellStyle name="Separador de milhares 3 5 2 3 3 5" xfId="33910"/>
    <cellStyle name="Separador de milhares 3 5 2 3 4" xfId="4987"/>
    <cellStyle name="Separador de milhares 3 5 2 3 4 2" xfId="23622"/>
    <cellStyle name="Separador de milhares 3 5 2 3 4 2 2" xfId="48689"/>
    <cellStyle name="Separador de milhares 3 5 2 3 4 3" xfId="30953"/>
    <cellStyle name="Separador de milhares 3 5 2 3 5" xfId="17708"/>
    <cellStyle name="Separador de milhares 3 5 2 3 5 2" xfId="42775"/>
    <cellStyle name="Separador de milhares 3 5 2 3 6" xfId="11374"/>
    <cellStyle name="Separador de milhares 3 5 2 3 6 2" xfId="36864"/>
    <cellStyle name="Separador de milhares 3 5 2 3 7" xfId="29483"/>
    <cellStyle name="Separador de milhares 3 5 2 4" xfId="1249"/>
    <cellStyle name="Separador de milhares 3 5 2 4 2" xfId="6784"/>
    <cellStyle name="Separador de milhares 3 5 2 4 2 2" xfId="9931"/>
    <cellStyle name="Separador de milhares 3 5 2 4 2 2 2" xfId="28145"/>
    <cellStyle name="Separador de milhares 3 5 2 4 2 2 2 2" xfId="53212"/>
    <cellStyle name="Separador de milhares 3 5 2 4 2 2 3" xfId="22231"/>
    <cellStyle name="Separador de milhares 3 5 2 4 2 2 3 2" xfId="47298"/>
    <cellStyle name="Separador de milhares 3 5 2 4 2 2 4" xfId="16317"/>
    <cellStyle name="Separador de milhares 3 5 2 4 2 2 4 2" xfId="41384"/>
    <cellStyle name="Separador de milhares 3 5 2 4 2 2 5" xfId="35476"/>
    <cellStyle name="Separador de milhares 3 5 2 4 2 3" xfId="25188"/>
    <cellStyle name="Separador de milhares 3 5 2 4 2 3 2" xfId="50255"/>
    <cellStyle name="Separador de milhares 3 5 2 4 2 4" xfId="19274"/>
    <cellStyle name="Separador de milhares 3 5 2 4 2 4 2" xfId="44341"/>
    <cellStyle name="Separador de milhares 3 5 2 4 2 5" xfId="13173"/>
    <cellStyle name="Separador de milhares 3 5 2 4 2 5 2" xfId="38430"/>
    <cellStyle name="Separador de milhares 3 5 2 4 2 6" xfId="32519"/>
    <cellStyle name="Separador de milhares 3 5 2 4 3" xfId="8463"/>
    <cellStyle name="Separador de milhares 3 5 2 4 3 2" xfId="26677"/>
    <cellStyle name="Separador de milhares 3 5 2 4 3 2 2" xfId="51744"/>
    <cellStyle name="Separador de milhares 3 5 2 4 3 3" xfId="20763"/>
    <cellStyle name="Separador de milhares 3 5 2 4 3 3 2" xfId="45830"/>
    <cellStyle name="Separador de milhares 3 5 2 4 3 4" xfId="14849"/>
    <cellStyle name="Separador de milhares 3 5 2 4 3 4 2" xfId="39916"/>
    <cellStyle name="Separador de milhares 3 5 2 4 3 5" xfId="34008"/>
    <cellStyle name="Separador de milhares 3 5 2 4 4" xfId="5085"/>
    <cellStyle name="Separador de milhares 3 5 2 4 4 2" xfId="23720"/>
    <cellStyle name="Separador de milhares 3 5 2 4 4 2 2" xfId="48787"/>
    <cellStyle name="Separador de milhares 3 5 2 4 4 3" xfId="31051"/>
    <cellStyle name="Separador de milhares 3 5 2 4 5" xfId="17806"/>
    <cellStyle name="Separador de milhares 3 5 2 4 5 2" xfId="42873"/>
    <cellStyle name="Separador de milhares 3 5 2 4 6" xfId="11472"/>
    <cellStyle name="Separador de milhares 3 5 2 4 6 2" xfId="36962"/>
    <cellStyle name="Separador de milhares 3 5 2 4 7" xfId="29581"/>
    <cellStyle name="Separador de milhares 3 5 2 5" xfId="1684"/>
    <cellStyle name="Separador de milhares 3 5 2 5 2" xfId="6903"/>
    <cellStyle name="Separador de milhares 3 5 2 5 2 2" xfId="10050"/>
    <cellStyle name="Separador de milhares 3 5 2 5 2 2 2" xfId="28264"/>
    <cellStyle name="Separador de milhares 3 5 2 5 2 2 2 2" xfId="53331"/>
    <cellStyle name="Separador de milhares 3 5 2 5 2 2 3" xfId="22350"/>
    <cellStyle name="Separador de milhares 3 5 2 5 2 2 3 2" xfId="47417"/>
    <cellStyle name="Separador de milhares 3 5 2 5 2 2 4" xfId="16436"/>
    <cellStyle name="Separador de milhares 3 5 2 5 2 2 4 2" xfId="41503"/>
    <cellStyle name="Separador de milhares 3 5 2 5 2 2 5" xfId="35595"/>
    <cellStyle name="Separador de milhares 3 5 2 5 2 3" xfId="25307"/>
    <cellStyle name="Separador de milhares 3 5 2 5 2 3 2" xfId="50374"/>
    <cellStyle name="Separador de milhares 3 5 2 5 2 4" xfId="19393"/>
    <cellStyle name="Separador de milhares 3 5 2 5 2 4 2" xfId="44460"/>
    <cellStyle name="Separador de milhares 3 5 2 5 2 5" xfId="13292"/>
    <cellStyle name="Separador de milhares 3 5 2 5 2 5 2" xfId="38549"/>
    <cellStyle name="Separador de milhares 3 5 2 5 2 6" xfId="32638"/>
    <cellStyle name="Separador de milhares 3 5 2 5 3" xfId="8582"/>
    <cellStyle name="Separador de milhares 3 5 2 5 3 2" xfId="26796"/>
    <cellStyle name="Separador de milhares 3 5 2 5 3 2 2" xfId="51863"/>
    <cellStyle name="Separador de milhares 3 5 2 5 3 3" xfId="20882"/>
    <cellStyle name="Separador de milhares 3 5 2 5 3 3 2" xfId="45949"/>
    <cellStyle name="Separador de milhares 3 5 2 5 3 4" xfId="14968"/>
    <cellStyle name="Separador de milhares 3 5 2 5 3 4 2" xfId="40035"/>
    <cellStyle name="Separador de milhares 3 5 2 5 3 5" xfId="34127"/>
    <cellStyle name="Separador de milhares 3 5 2 5 4" xfId="5204"/>
    <cellStyle name="Separador de milhares 3 5 2 5 4 2" xfId="23839"/>
    <cellStyle name="Separador de milhares 3 5 2 5 4 2 2" xfId="48906"/>
    <cellStyle name="Separador de milhares 3 5 2 5 4 3" xfId="31170"/>
    <cellStyle name="Separador de milhares 3 5 2 5 5" xfId="17925"/>
    <cellStyle name="Separador de milhares 3 5 2 5 5 2" xfId="42992"/>
    <cellStyle name="Separador de milhares 3 5 2 5 6" xfId="11591"/>
    <cellStyle name="Separador de milhares 3 5 2 5 6 2" xfId="37081"/>
    <cellStyle name="Separador de milhares 3 5 2 5 7" xfId="29700"/>
    <cellStyle name="Separador de milhares 3 5 2 6" xfId="2214"/>
    <cellStyle name="Separador de milhares 3 5 2 6 2" xfId="7053"/>
    <cellStyle name="Separador de milhares 3 5 2 6 2 2" xfId="10197"/>
    <cellStyle name="Separador de milhares 3 5 2 6 2 2 2" xfId="28411"/>
    <cellStyle name="Separador de milhares 3 5 2 6 2 2 2 2" xfId="53478"/>
    <cellStyle name="Separador de milhares 3 5 2 6 2 2 3" xfId="22497"/>
    <cellStyle name="Separador de milhares 3 5 2 6 2 2 3 2" xfId="47564"/>
    <cellStyle name="Separador de milhares 3 5 2 6 2 2 4" xfId="16583"/>
    <cellStyle name="Separador de milhares 3 5 2 6 2 2 4 2" xfId="41650"/>
    <cellStyle name="Separador de milhares 3 5 2 6 2 2 5" xfId="35742"/>
    <cellStyle name="Separador de milhares 3 5 2 6 2 3" xfId="25454"/>
    <cellStyle name="Separador de milhares 3 5 2 6 2 3 2" xfId="50521"/>
    <cellStyle name="Separador de milhares 3 5 2 6 2 4" xfId="19540"/>
    <cellStyle name="Separador de milhares 3 5 2 6 2 4 2" xfId="44607"/>
    <cellStyle name="Separador de milhares 3 5 2 6 2 5" xfId="13442"/>
    <cellStyle name="Separador de milhares 3 5 2 6 2 5 2" xfId="38696"/>
    <cellStyle name="Separador de milhares 3 5 2 6 2 6" xfId="32785"/>
    <cellStyle name="Separador de milhares 3 5 2 6 3" xfId="8729"/>
    <cellStyle name="Separador de milhares 3 5 2 6 3 2" xfId="26943"/>
    <cellStyle name="Separador de milhares 3 5 2 6 3 2 2" xfId="52010"/>
    <cellStyle name="Separador de milhares 3 5 2 6 3 3" xfId="21029"/>
    <cellStyle name="Separador de milhares 3 5 2 6 3 3 2" xfId="46096"/>
    <cellStyle name="Separador de milhares 3 5 2 6 3 4" xfId="15115"/>
    <cellStyle name="Separador de milhares 3 5 2 6 3 4 2" xfId="40182"/>
    <cellStyle name="Separador de milhares 3 5 2 6 3 5" xfId="34274"/>
    <cellStyle name="Separador de milhares 3 5 2 6 4" xfId="5354"/>
    <cellStyle name="Separador de milhares 3 5 2 6 4 2" xfId="23986"/>
    <cellStyle name="Separador de milhares 3 5 2 6 4 2 2" xfId="49053"/>
    <cellStyle name="Separador de milhares 3 5 2 6 4 3" xfId="31317"/>
    <cellStyle name="Separador de milhares 3 5 2 6 5" xfId="18072"/>
    <cellStyle name="Separador de milhares 3 5 2 6 5 2" xfId="43139"/>
    <cellStyle name="Separador de milhares 3 5 2 6 6" xfId="11741"/>
    <cellStyle name="Separador de milhares 3 5 2 6 6 2" xfId="37228"/>
    <cellStyle name="Separador de milhares 3 5 2 6 7" xfId="29847"/>
    <cellStyle name="Separador de milhares 3 5 2 7" xfId="2741"/>
    <cellStyle name="Separador de milhares 3 5 2 7 2" xfId="7200"/>
    <cellStyle name="Separador de milhares 3 5 2 7 2 2" xfId="10344"/>
    <cellStyle name="Separador de milhares 3 5 2 7 2 2 2" xfId="28558"/>
    <cellStyle name="Separador de milhares 3 5 2 7 2 2 2 2" xfId="53625"/>
    <cellStyle name="Separador de milhares 3 5 2 7 2 2 3" xfId="22644"/>
    <cellStyle name="Separador de milhares 3 5 2 7 2 2 3 2" xfId="47711"/>
    <cellStyle name="Separador de milhares 3 5 2 7 2 2 4" xfId="16730"/>
    <cellStyle name="Separador de milhares 3 5 2 7 2 2 4 2" xfId="41797"/>
    <cellStyle name="Separador de milhares 3 5 2 7 2 2 5" xfId="35889"/>
    <cellStyle name="Separador de milhares 3 5 2 7 2 3" xfId="25601"/>
    <cellStyle name="Separador de milhares 3 5 2 7 2 3 2" xfId="50668"/>
    <cellStyle name="Separador de milhares 3 5 2 7 2 4" xfId="19687"/>
    <cellStyle name="Separador de milhares 3 5 2 7 2 4 2" xfId="44754"/>
    <cellStyle name="Separador de milhares 3 5 2 7 2 5" xfId="13589"/>
    <cellStyle name="Separador de milhares 3 5 2 7 2 5 2" xfId="38843"/>
    <cellStyle name="Separador de milhares 3 5 2 7 2 6" xfId="32932"/>
    <cellStyle name="Separador de milhares 3 5 2 7 3" xfId="8876"/>
    <cellStyle name="Separador de milhares 3 5 2 7 3 2" xfId="27090"/>
    <cellStyle name="Separador de milhares 3 5 2 7 3 2 2" xfId="52157"/>
    <cellStyle name="Separador de milhares 3 5 2 7 3 3" xfId="21176"/>
    <cellStyle name="Separador de milhares 3 5 2 7 3 3 2" xfId="46243"/>
    <cellStyle name="Separador de milhares 3 5 2 7 3 4" xfId="15262"/>
    <cellStyle name="Separador de milhares 3 5 2 7 3 4 2" xfId="40329"/>
    <cellStyle name="Separador de milhares 3 5 2 7 3 5" xfId="34421"/>
    <cellStyle name="Separador de milhares 3 5 2 7 4" xfId="5501"/>
    <cellStyle name="Separador de milhares 3 5 2 7 4 2" xfId="24133"/>
    <cellStyle name="Separador de milhares 3 5 2 7 4 2 2" xfId="49200"/>
    <cellStyle name="Separador de milhares 3 5 2 7 4 3" xfId="31464"/>
    <cellStyle name="Separador de milhares 3 5 2 7 5" xfId="18219"/>
    <cellStyle name="Separador de milhares 3 5 2 7 5 2" xfId="43286"/>
    <cellStyle name="Separador de milhares 3 5 2 7 6" xfId="11888"/>
    <cellStyle name="Separador de milhares 3 5 2 7 6 2" xfId="37375"/>
    <cellStyle name="Separador de milhares 3 5 2 7 7" xfId="29994"/>
    <cellStyle name="Separador de milhares 3 5 2 8" xfId="3268"/>
    <cellStyle name="Separador de milhares 3 5 2 8 2" xfId="7347"/>
    <cellStyle name="Separador de milhares 3 5 2 8 2 2" xfId="10491"/>
    <cellStyle name="Separador de milhares 3 5 2 8 2 2 2" xfId="28705"/>
    <cellStyle name="Separador de milhares 3 5 2 8 2 2 2 2" xfId="53772"/>
    <cellStyle name="Separador de milhares 3 5 2 8 2 2 3" xfId="22791"/>
    <cellStyle name="Separador de milhares 3 5 2 8 2 2 3 2" xfId="47858"/>
    <cellStyle name="Separador de milhares 3 5 2 8 2 2 4" xfId="16877"/>
    <cellStyle name="Separador de milhares 3 5 2 8 2 2 4 2" xfId="41944"/>
    <cellStyle name="Separador de milhares 3 5 2 8 2 2 5" xfId="36036"/>
    <cellStyle name="Separador de milhares 3 5 2 8 2 3" xfId="25748"/>
    <cellStyle name="Separador de milhares 3 5 2 8 2 3 2" xfId="50815"/>
    <cellStyle name="Separador de milhares 3 5 2 8 2 4" xfId="19834"/>
    <cellStyle name="Separador de milhares 3 5 2 8 2 4 2" xfId="44901"/>
    <cellStyle name="Separador de milhares 3 5 2 8 2 5" xfId="13736"/>
    <cellStyle name="Separador de milhares 3 5 2 8 2 5 2" xfId="38990"/>
    <cellStyle name="Separador de milhares 3 5 2 8 2 6" xfId="33079"/>
    <cellStyle name="Separador de milhares 3 5 2 8 3" xfId="9023"/>
    <cellStyle name="Separador de milhares 3 5 2 8 3 2" xfId="27237"/>
    <cellStyle name="Separador de milhares 3 5 2 8 3 2 2" xfId="52304"/>
    <cellStyle name="Separador de milhares 3 5 2 8 3 3" xfId="21323"/>
    <cellStyle name="Separador de milhares 3 5 2 8 3 3 2" xfId="46390"/>
    <cellStyle name="Separador de milhares 3 5 2 8 3 4" xfId="15409"/>
    <cellStyle name="Separador de milhares 3 5 2 8 3 4 2" xfId="40476"/>
    <cellStyle name="Separador de milhares 3 5 2 8 3 5" xfId="34568"/>
    <cellStyle name="Separador de milhares 3 5 2 8 4" xfId="5648"/>
    <cellStyle name="Separador de milhares 3 5 2 8 4 2" xfId="24280"/>
    <cellStyle name="Separador de milhares 3 5 2 8 4 2 2" xfId="49347"/>
    <cellStyle name="Separador de milhares 3 5 2 8 4 3" xfId="31611"/>
    <cellStyle name="Separador de milhares 3 5 2 8 5" xfId="18366"/>
    <cellStyle name="Separador de milhares 3 5 2 8 5 2" xfId="43433"/>
    <cellStyle name="Separador de milhares 3 5 2 8 6" xfId="12035"/>
    <cellStyle name="Separador de milhares 3 5 2 8 6 2" xfId="37522"/>
    <cellStyle name="Separador de milhares 3 5 2 8 7" xfId="30141"/>
    <cellStyle name="Separador de milhares 3 5 2 9" xfId="3795"/>
    <cellStyle name="Separador de milhares 3 5 2 9 2" xfId="7494"/>
    <cellStyle name="Separador de milhares 3 5 2 9 2 2" xfId="10638"/>
    <cellStyle name="Separador de milhares 3 5 2 9 2 2 2" xfId="28852"/>
    <cellStyle name="Separador de milhares 3 5 2 9 2 2 2 2" xfId="53919"/>
    <cellStyle name="Separador de milhares 3 5 2 9 2 2 3" xfId="22938"/>
    <cellStyle name="Separador de milhares 3 5 2 9 2 2 3 2" xfId="48005"/>
    <cellStyle name="Separador de milhares 3 5 2 9 2 2 4" xfId="17024"/>
    <cellStyle name="Separador de milhares 3 5 2 9 2 2 4 2" xfId="42091"/>
    <cellStyle name="Separador de milhares 3 5 2 9 2 2 5" xfId="36183"/>
    <cellStyle name="Separador de milhares 3 5 2 9 2 3" xfId="25895"/>
    <cellStyle name="Separador de milhares 3 5 2 9 2 3 2" xfId="50962"/>
    <cellStyle name="Separador de milhares 3 5 2 9 2 4" xfId="19981"/>
    <cellStyle name="Separador de milhares 3 5 2 9 2 4 2" xfId="45048"/>
    <cellStyle name="Separador de milhares 3 5 2 9 2 5" xfId="13883"/>
    <cellStyle name="Separador de milhares 3 5 2 9 2 5 2" xfId="39137"/>
    <cellStyle name="Separador de milhares 3 5 2 9 2 6" xfId="33226"/>
    <cellStyle name="Separador de milhares 3 5 2 9 3" xfId="9170"/>
    <cellStyle name="Separador de milhares 3 5 2 9 3 2" xfId="27384"/>
    <cellStyle name="Separador de milhares 3 5 2 9 3 2 2" xfId="52451"/>
    <cellStyle name="Separador de milhares 3 5 2 9 3 3" xfId="21470"/>
    <cellStyle name="Separador de milhares 3 5 2 9 3 3 2" xfId="46537"/>
    <cellStyle name="Separador de milhares 3 5 2 9 3 4" xfId="15556"/>
    <cellStyle name="Separador de milhares 3 5 2 9 3 4 2" xfId="40623"/>
    <cellStyle name="Separador de milhares 3 5 2 9 3 5" xfId="34715"/>
    <cellStyle name="Separador de milhares 3 5 2 9 4" xfId="5795"/>
    <cellStyle name="Separador de milhares 3 5 2 9 4 2" xfId="24427"/>
    <cellStyle name="Separador de milhares 3 5 2 9 4 2 2" xfId="49494"/>
    <cellStyle name="Separador de milhares 3 5 2 9 4 3" xfId="31758"/>
    <cellStyle name="Separador de milhares 3 5 2 9 5" xfId="18513"/>
    <cellStyle name="Separador de milhares 3 5 2 9 5 2" xfId="43580"/>
    <cellStyle name="Separador de milhares 3 5 2 9 6" xfId="12182"/>
    <cellStyle name="Separador de milhares 3 5 2 9 6 2" xfId="37669"/>
    <cellStyle name="Separador de milhares 3 5 2 9 7" xfId="30288"/>
    <cellStyle name="Separador de milhares 3 5 3" xfId="247"/>
    <cellStyle name="Separador de milhares 3 5 3 10" xfId="6485"/>
    <cellStyle name="Separador de milhares 3 5 3 10 2" xfId="9636"/>
    <cellStyle name="Separador de milhares 3 5 3 10 2 2" xfId="27850"/>
    <cellStyle name="Separador de milhares 3 5 3 10 2 2 2" xfId="52917"/>
    <cellStyle name="Separador de milhares 3 5 3 10 2 3" xfId="21936"/>
    <cellStyle name="Separador de milhares 3 5 3 10 2 3 2" xfId="47003"/>
    <cellStyle name="Separador de milhares 3 5 3 10 2 4" xfId="16022"/>
    <cellStyle name="Separador de milhares 3 5 3 10 2 4 2" xfId="41089"/>
    <cellStyle name="Separador de milhares 3 5 3 10 2 5" xfId="35181"/>
    <cellStyle name="Separador de milhares 3 5 3 10 3" xfId="24893"/>
    <cellStyle name="Separador de milhares 3 5 3 10 3 2" xfId="49960"/>
    <cellStyle name="Separador de milhares 3 5 3 10 4" xfId="18979"/>
    <cellStyle name="Separador de milhares 3 5 3 10 4 2" xfId="44046"/>
    <cellStyle name="Separador de milhares 3 5 3 10 5" xfId="12874"/>
    <cellStyle name="Separador de milhares 3 5 3 10 5 2" xfId="38135"/>
    <cellStyle name="Separador de milhares 3 5 3 10 6" xfId="32224"/>
    <cellStyle name="Separador de milhares 3 5 3 11" xfId="8165"/>
    <cellStyle name="Separador de milhares 3 5 3 11 2" xfId="26379"/>
    <cellStyle name="Separador de milhares 3 5 3 11 2 2" xfId="51446"/>
    <cellStyle name="Separador de milhares 3 5 3 11 3" xfId="20465"/>
    <cellStyle name="Separador de milhares 3 5 3 11 3 2" xfId="45532"/>
    <cellStyle name="Separador de milhares 3 5 3 11 4" xfId="14554"/>
    <cellStyle name="Separador de milhares 3 5 3 11 4 2" xfId="39621"/>
    <cellStyle name="Separador de milhares 3 5 3 11 5" xfId="33710"/>
    <cellStyle name="Separador de milhares 3 5 3 12" xfId="4784"/>
    <cellStyle name="Separador de milhares 3 5 3 12 2" xfId="23422"/>
    <cellStyle name="Separador de milhares 3 5 3 12 2 2" xfId="48489"/>
    <cellStyle name="Separador de milhares 3 5 3 12 3" xfId="30754"/>
    <cellStyle name="Separador de milhares 3 5 3 13" xfId="17508"/>
    <cellStyle name="Separador de milhares 3 5 3 13 2" xfId="42575"/>
    <cellStyle name="Separador de milhares 3 5 3 14" xfId="11173"/>
    <cellStyle name="Separador de milhares 3 5 3 14 2" xfId="36667"/>
    <cellStyle name="Separador de milhares 3 5 3 15" xfId="29283"/>
    <cellStyle name="Separador de milhares 3 5 3 2" xfId="510"/>
    <cellStyle name="Separador de milhares 3 5 3 2 2" xfId="6556"/>
    <cellStyle name="Separador de milhares 3 5 3 2 2 2" xfId="9703"/>
    <cellStyle name="Separador de milhares 3 5 3 2 2 2 2" xfId="27917"/>
    <cellStyle name="Separador de milhares 3 5 3 2 2 2 2 2" xfId="52984"/>
    <cellStyle name="Separador de milhares 3 5 3 2 2 2 3" xfId="22003"/>
    <cellStyle name="Separador de milhares 3 5 3 2 2 2 3 2" xfId="47070"/>
    <cellStyle name="Separador de milhares 3 5 3 2 2 2 4" xfId="16089"/>
    <cellStyle name="Separador de milhares 3 5 3 2 2 2 4 2" xfId="41156"/>
    <cellStyle name="Separador de milhares 3 5 3 2 2 2 5" xfId="35248"/>
    <cellStyle name="Separador de milhares 3 5 3 2 2 3" xfId="24960"/>
    <cellStyle name="Separador de milhares 3 5 3 2 2 3 2" xfId="50027"/>
    <cellStyle name="Separador de milhares 3 5 3 2 2 4" xfId="19046"/>
    <cellStyle name="Separador de milhares 3 5 3 2 2 4 2" xfId="44113"/>
    <cellStyle name="Separador de milhares 3 5 3 2 2 5" xfId="12945"/>
    <cellStyle name="Separador de milhares 3 5 3 2 2 5 2" xfId="38202"/>
    <cellStyle name="Separador de milhares 3 5 3 2 2 6" xfId="32291"/>
    <cellStyle name="Separador de milhares 3 5 3 2 3" xfId="8232"/>
    <cellStyle name="Separador de milhares 3 5 3 2 3 2" xfId="26446"/>
    <cellStyle name="Separador de milhares 3 5 3 2 3 2 2" xfId="51513"/>
    <cellStyle name="Separador de milhares 3 5 3 2 3 3" xfId="20532"/>
    <cellStyle name="Separador de milhares 3 5 3 2 3 3 2" xfId="45599"/>
    <cellStyle name="Separador de milhares 3 5 3 2 3 4" xfId="14621"/>
    <cellStyle name="Separador de milhares 3 5 3 2 3 4 2" xfId="39688"/>
    <cellStyle name="Separador de milhares 3 5 3 2 3 5" xfId="33777"/>
    <cellStyle name="Separador de milhares 3 5 3 2 4" xfId="4855"/>
    <cellStyle name="Separador de milhares 3 5 3 2 4 2" xfId="23489"/>
    <cellStyle name="Separador de milhares 3 5 3 2 4 2 2" xfId="48556"/>
    <cellStyle name="Separador de milhares 3 5 3 2 4 3" xfId="30821"/>
    <cellStyle name="Separador de milhares 3 5 3 2 5" xfId="17575"/>
    <cellStyle name="Separador de milhares 3 5 3 2 5 2" xfId="42642"/>
    <cellStyle name="Separador de milhares 3 5 3 2 6" xfId="11244"/>
    <cellStyle name="Separador de milhares 3 5 3 2 6 2" xfId="36734"/>
    <cellStyle name="Separador de milhares 3 5 3 2 7" xfId="29350"/>
    <cellStyle name="Separador de milhares 3 5 3 3" xfId="807"/>
    <cellStyle name="Separador de milhares 3 5 3 3 2" xfId="6658"/>
    <cellStyle name="Separador de milhares 3 5 3 3 2 2" xfId="9805"/>
    <cellStyle name="Separador de milhares 3 5 3 3 2 2 2" xfId="28019"/>
    <cellStyle name="Separador de milhares 3 5 3 3 2 2 2 2" xfId="53086"/>
    <cellStyle name="Separador de milhares 3 5 3 3 2 2 3" xfId="22105"/>
    <cellStyle name="Separador de milhares 3 5 3 3 2 2 3 2" xfId="47172"/>
    <cellStyle name="Separador de milhares 3 5 3 3 2 2 4" xfId="16191"/>
    <cellStyle name="Separador de milhares 3 5 3 3 2 2 4 2" xfId="41258"/>
    <cellStyle name="Separador de milhares 3 5 3 3 2 2 5" xfId="35350"/>
    <cellStyle name="Separador de milhares 3 5 3 3 2 3" xfId="25062"/>
    <cellStyle name="Separador de milhares 3 5 3 3 2 3 2" xfId="50129"/>
    <cellStyle name="Separador de milhares 3 5 3 3 2 4" xfId="19148"/>
    <cellStyle name="Separador de milhares 3 5 3 3 2 4 2" xfId="44215"/>
    <cellStyle name="Separador de milhares 3 5 3 3 2 5" xfId="13047"/>
    <cellStyle name="Separador de milhares 3 5 3 3 2 5 2" xfId="38304"/>
    <cellStyle name="Separador de milhares 3 5 3 3 2 6" xfId="32393"/>
    <cellStyle name="Separador de milhares 3 5 3 3 3" xfId="8337"/>
    <cellStyle name="Separador de milhares 3 5 3 3 3 2" xfId="26551"/>
    <cellStyle name="Separador de milhares 3 5 3 3 3 2 2" xfId="51618"/>
    <cellStyle name="Separador de milhares 3 5 3 3 3 3" xfId="20637"/>
    <cellStyle name="Separador de milhares 3 5 3 3 3 3 2" xfId="45704"/>
    <cellStyle name="Separador de milhares 3 5 3 3 3 4" xfId="14723"/>
    <cellStyle name="Separador de milhares 3 5 3 3 3 4 2" xfId="39790"/>
    <cellStyle name="Separador de milhares 3 5 3 3 3 5" xfId="33882"/>
    <cellStyle name="Separador de milhares 3 5 3 3 4" xfId="4959"/>
    <cellStyle name="Separador de milhares 3 5 3 3 4 2" xfId="23594"/>
    <cellStyle name="Separador de milhares 3 5 3 3 4 2 2" xfId="48661"/>
    <cellStyle name="Separador de milhares 3 5 3 3 4 3" xfId="30925"/>
    <cellStyle name="Separador de milhares 3 5 3 3 5" xfId="17680"/>
    <cellStyle name="Separador de milhares 3 5 3 3 5 2" xfId="42747"/>
    <cellStyle name="Separador de milhares 3 5 3 3 6" xfId="11346"/>
    <cellStyle name="Separador de milhares 3 5 3 3 6 2" xfId="36836"/>
    <cellStyle name="Separador de milhares 3 5 3 3 7" xfId="29455"/>
    <cellStyle name="Separador de milhares 3 5 3 4" xfId="1158"/>
    <cellStyle name="Separador de milhares 3 5 3 4 2" xfId="6756"/>
    <cellStyle name="Separador de milhares 3 5 3 4 2 2" xfId="9903"/>
    <cellStyle name="Separador de milhares 3 5 3 4 2 2 2" xfId="28117"/>
    <cellStyle name="Separador de milhares 3 5 3 4 2 2 2 2" xfId="53184"/>
    <cellStyle name="Separador de milhares 3 5 3 4 2 2 3" xfId="22203"/>
    <cellStyle name="Separador de milhares 3 5 3 4 2 2 3 2" xfId="47270"/>
    <cellStyle name="Separador de milhares 3 5 3 4 2 2 4" xfId="16289"/>
    <cellStyle name="Separador de milhares 3 5 3 4 2 2 4 2" xfId="41356"/>
    <cellStyle name="Separador de milhares 3 5 3 4 2 2 5" xfId="35448"/>
    <cellStyle name="Separador de milhares 3 5 3 4 2 3" xfId="25160"/>
    <cellStyle name="Separador de milhares 3 5 3 4 2 3 2" xfId="50227"/>
    <cellStyle name="Separador de milhares 3 5 3 4 2 4" xfId="19246"/>
    <cellStyle name="Separador de milhares 3 5 3 4 2 4 2" xfId="44313"/>
    <cellStyle name="Separador de milhares 3 5 3 4 2 5" xfId="13145"/>
    <cellStyle name="Separador de milhares 3 5 3 4 2 5 2" xfId="38402"/>
    <cellStyle name="Separador de milhares 3 5 3 4 2 6" xfId="32491"/>
    <cellStyle name="Separador de milhares 3 5 3 4 3" xfId="8435"/>
    <cellStyle name="Separador de milhares 3 5 3 4 3 2" xfId="26649"/>
    <cellStyle name="Separador de milhares 3 5 3 4 3 2 2" xfId="51716"/>
    <cellStyle name="Separador de milhares 3 5 3 4 3 3" xfId="20735"/>
    <cellStyle name="Separador de milhares 3 5 3 4 3 3 2" xfId="45802"/>
    <cellStyle name="Separador de milhares 3 5 3 4 3 4" xfId="14821"/>
    <cellStyle name="Separador de milhares 3 5 3 4 3 4 2" xfId="39888"/>
    <cellStyle name="Separador de milhares 3 5 3 4 3 5" xfId="33980"/>
    <cellStyle name="Separador de milhares 3 5 3 4 4" xfId="5057"/>
    <cellStyle name="Separador de milhares 3 5 3 4 4 2" xfId="23692"/>
    <cellStyle name="Separador de milhares 3 5 3 4 4 2 2" xfId="48759"/>
    <cellStyle name="Separador de milhares 3 5 3 4 4 3" xfId="31023"/>
    <cellStyle name="Separador de milhares 3 5 3 4 5" xfId="17778"/>
    <cellStyle name="Separador de milhares 3 5 3 4 5 2" xfId="42845"/>
    <cellStyle name="Separador de milhares 3 5 3 4 6" xfId="11444"/>
    <cellStyle name="Separador de milhares 3 5 3 4 6 2" xfId="36934"/>
    <cellStyle name="Separador de milhares 3 5 3 4 7" xfId="29553"/>
    <cellStyle name="Separador de milhares 3 5 3 5" xfId="1593"/>
    <cellStyle name="Separador de milhares 3 5 3 5 2" xfId="6875"/>
    <cellStyle name="Separador de milhares 3 5 3 5 2 2" xfId="10022"/>
    <cellStyle name="Separador de milhares 3 5 3 5 2 2 2" xfId="28236"/>
    <cellStyle name="Separador de milhares 3 5 3 5 2 2 2 2" xfId="53303"/>
    <cellStyle name="Separador de milhares 3 5 3 5 2 2 3" xfId="22322"/>
    <cellStyle name="Separador de milhares 3 5 3 5 2 2 3 2" xfId="47389"/>
    <cellStyle name="Separador de milhares 3 5 3 5 2 2 4" xfId="16408"/>
    <cellStyle name="Separador de milhares 3 5 3 5 2 2 4 2" xfId="41475"/>
    <cellStyle name="Separador de milhares 3 5 3 5 2 2 5" xfId="35567"/>
    <cellStyle name="Separador de milhares 3 5 3 5 2 3" xfId="25279"/>
    <cellStyle name="Separador de milhares 3 5 3 5 2 3 2" xfId="50346"/>
    <cellStyle name="Separador de milhares 3 5 3 5 2 4" xfId="19365"/>
    <cellStyle name="Separador de milhares 3 5 3 5 2 4 2" xfId="44432"/>
    <cellStyle name="Separador de milhares 3 5 3 5 2 5" xfId="13264"/>
    <cellStyle name="Separador de milhares 3 5 3 5 2 5 2" xfId="38521"/>
    <cellStyle name="Separador de milhares 3 5 3 5 2 6" xfId="32610"/>
    <cellStyle name="Separador de milhares 3 5 3 5 3" xfId="8554"/>
    <cellStyle name="Separador de milhares 3 5 3 5 3 2" xfId="26768"/>
    <cellStyle name="Separador de milhares 3 5 3 5 3 2 2" xfId="51835"/>
    <cellStyle name="Separador de milhares 3 5 3 5 3 3" xfId="20854"/>
    <cellStyle name="Separador de milhares 3 5 3 5 3 3 2" xfId="45921"/>
    <cellStyle name="Separador de milhares 3 5 3 5 3 4" xfId="14940"/>
    <cellStyle name="Separador de milhares 3 5 3 5 3 4 2" xfId="40007"/>
    <cellStyle name="Separador de milhares 3 5 3 5 3 5" xfId="34099"/>
    <cellStyle name="Separador de milhares 3 5 3 5 4" xfId="5176"/>
    <cellStyle name="Separador de milhares 3 5 3 5 4 2" xfId="23811"/>
    <cellStyle name="Separador de milhares 3 5 3 5 4 2 2" xfId="48878"/>
    <cellStyle name="Separador de milhares 3 5 3 5 4 3" xfId="31142"/>
    <cellStyle name="Separador de milhares 3 5 3 5 5" xfId="17897"/>
    <cellStyle name="Separador de milhares 3 5 3 5 5 2" xfId="42964"/>
    <cellStyle name="Separador de milhares 3 5 3 5 6" xfId="11563"/>
    <cellStyle name="Separador de milhares 3 5 3 5 6 2" xfId="37053"/>
    <cellStyle name="Separador de milhares 3 5 3 5 7" xfId="29672"/>
    <cellStyle name="Separador de milhares 3 5 3 6" xfId="2123"/>
    <cellStyle name="Separador de milhares 3 5 3 6 2" xfId="7025"/>
    <cellStyle name="Separador de milhares 3 5 3 6 2 2" xfId="10169"/>
    <cellStyle name="Separador de milhares 3 5 3 6 2 2 2" xfId="28383"/>
    <cellStyle name="Separador de milhares 3 5 3 6 2 2 2 2" xfId="53450"/>
    <cellStyle name="Separador de milhares 3 5 3 6 2 2 3" xfId="22469"/>
    <cellStyle name="Separador de milhares 3 5 3 6 2 2 3 2" xfId="47536"/>
    <cellStyle name="Separador de milhares 3 5 3 6 2 2 4" xfId="16555"/>
    <cellStyle name="Separador de milhares 3 5 3 6 2 2 4 2" xfId="41622"/>
    <cellStyle name="Separador de milhares 3 5 3 6 2 2 5" xfId="35714"/>
    <cellStyle name="Separador de milhares 3 5 3 6 2 3" xfId="25426"/>
    <cellStyle name="Separador de milhares 3 5 3 6 2 3 2" xfId="50493"/>
    <cellStyle name="Separador de milhares 3 5 3 6 2 4" xfId="19512"/>
    <cellStyle name="Separador de milhares 3 5 3 6 2 4 2" xfId="44579"/>
    <cellStyle name="Separador de milhares 3 5 3 6 2 5" xfId="13414"/>
    <cellStyle name="Separador de milhares 3 5 3 6 2 5 2" xfId="38668"/>
    <cellStyle name="Separador de milhares 3 5 3 6 2 6" xfId="32757"/>
    <cellStyle name="Separador de milhares 3 5 3 6 3" xfId="8701"/>
    <cellStyle name="Separador de milhares 3 5 3 6 3 2" xfId="26915"/>
    <cellStyle name="Separador de milhares 3 5 3 6 3 2 2" xfId="51982"/>
    <cellStyle name="Separador de milhares 3 5 3 6 3 3" xfId="21001"/>
    <cellStyle name="Separador de milhares 3 5 3 6 3 3 2" xfId="46068"/>
    <cellStyle name="Separador de milhares 3 5 3 6 3 4" xfId="15087"/>
    <cellStyle name="Separador de milhares 3 5 3 6 3 4 2" xfId="40154"/>
    <cellStyle name="Separador de milhares 3 5 3 6 3 5" xfId="34246"/>
    <cellStyle name="Separador de milhares 3 5 3 6 4" xfId="5326"/>
    <cellStyle name="Separador de milhares 3 5 3 6 4 2" xfId="23958"/>
    <cellStyle name="Separador de milhares 3 5 3 6 4 2 2" xfId="49025"/>
    <cellStyle name="Separador de milhares 3 5 3 6 4 3" xfId="31289"/>
    <cellStyle name="Separador de milhares 3 5 3 6 5" xfId="18044"/>
    <cellStyle name="Separador de milhares 3 5 3 6 5 2" xfId="43111"/>
    <cellStyle name="Separador de milhares 3 5 3 6 6" xfId="11713"/>
    <cellStyle name="Separador de milhares 3 5 3 6 6 2" xfId="37200"/>
    <cellStyle name="Separador de milhares 3 5 3 6 7" xfId="29819"/>
    <cellStyle name="Separador de milhares 3 5 3 7" xfId="2650"/>
    <cellStyle name="Separador de milhares 3 5 3 7 2" xfId="7172"/>
    <cellStyle name="Separador de milhares 3 5 3 7 2 2" xfId="10316"/>
    <cellStyle name="Separador de milhares 3 5 3 7 2 2 2" xfId="28530"/>
    <cellStyle name="Separador de milhares 3 5 3 7 2 2 2 2" xfId="53597"/>
    <cellStyle name="Separador de milhares 3 5 3 7 2 2 3" xfId="22616"/>
    <cellStyle name="Separador de milhares 3 5 3 7 2 2 3 2" xfId="47683"/>
    <cellStyle name="Separador de milhares 3 5 3 7 2 2 4" xfId="16702"/>
    <cellStyle name="Separador de milhares 3 5 3 7 2 2 4 2" xfId="41769"/>
    <cellStyle name="Separador de milhares 3 5 3 7 2 2 5" xfId="35861"/>
    <cellStyle name="Separador de milhares 3 5 3 7 2 3" xfId="25573"/>
    <cellStyle name="Separador de milhares 3 5 3 7 2 3 2" xfId="50640"/>
    <cellStyle name="Separador de milhares 3 5 3 7 2 4" xfId="19659"/>
    <cellStyle name="Separador de milhares 3 5 3 7 2 4 2" xfId="44726"/>
    <cellStyle name="Separador de milhares 3 5 3 7 2 5" xfId="13561"/>
    <cellStyle name="Separador de milhares 3 5 3 7 2 5 2" xfId="38815"/>
    <cellStyle name="Separador de milhares 3 5 3 7 2 6" xfId="32904"/>
    <cellStyle name="Separador de milhares 3 5 3 7 3" xfId="8848"/>
    <cellStyle name="Separador de milhares 3 5 3 7 3 2" xfId="27062"/>
    <cellStyle name="Separador de milhares 3 5 3 7 3 2 2" xfId="52129"/>
    <cellStyle name="Separador de milhares 3 5 3 7 3 3" xfId="21148"/>
    <cellStyle name="Separador de milhares 3 5 3 7 3 3 2" xfId="46215"/>
    <cellStyle name="Separador de milhares 3 5 3 7 3 4" xfId="15234"/>
    <cellStyle name="Separador de milhares 3 5 3 7 3 4 2" xfId="40301"/>
    <cellStyle name="Separador de milhares 3 5 3 7 3 5" xfId="34393"/>
    <cellStyle name="Separador de milhares 3 5 3 7 4" xfId="5473"/>
    <cellStyle name="Separador de milhares 3 5 3 7 4 2" xfId="24105"/>
    <cellStyle name="Separador de milhares 3 5 3 7 4 2 2" xfId="49172"/>
    <cellStyle name="Separador de milhares 3 5 3 7 4 3" xfId="31436"/>
    <cellStyle name="Separador de milhares 3 5 3 7 5" xfId="18191"/>
    <cellStyle name="Separador de milhares 3 5 3 7 5 2" xfId="43258"/>
    <cellStyle name="Separador de milhares 3 5 3 7 6" xfId="11860"/>
    <cellStyle name="Separador de milhares 3 5 3 7 6 2" xfId="37347"/>
    <cellStyle name="Separador de milhares 3 5 3 7 7" xfId="29966"/>
    <cellStyle name="Separador de milhares 3 5 3 8" xfId="3177"/>
    <cellStyle name="Separador de milhares 3 5 3 8 2" xfId="7319"/>
    <cellStyle name="Separador de milhares 3 5 3 8 2 2" xfId="10463"/>
    <cellStyle name="Separador de milhares 3 5 3 8 2 2 2" xfId="28677"/>
    <cellStyle name="Separador de milhares 3 5 3 8 2 2 2 2" xfId="53744"/>
    <cellStyle name="Separador de milhares 3 5 3 8 2 2 3" xfId="22763"/>
    <cellStyle name="Separador de milhares 3 5 3 8 2 2 3 2" xfId="47830"/>
    <cellStyle name="Separador de milhares 3 5 3 8 2 2 4" xfId="16849"/>
    <cellStyle name="Separador de milhares 3 5 3 8 2 2 4 2" xfId="41916"/>
    <cellStyle name="Separador de milhares 3 5 3 8 2 2 5" xfId="36008"/>
    <cellStyle name="Separador de milhares 3 5 3 8 2 3" xfId="25720"/>
    <cellStyle name="Separador de milhares 3 5 3 8 2 3 2" xfId="50787"/>
    <cellStyle name="Separador de milhares 3 5 3 8 2 4" xfId="19806"/>
    <cellStyle name="Separador de milhares 3 5 3 8 2 4 2" xfId="44873"/>
    <cellStyle name="Separador de milhares 3 5 3 8 2 5" xfId="13708"/>
    <cellStyle name="Separador de milhares 3 5 3 8 2 5 2" xfId="38962"/>
    <cellStyle name="Separador de milhares 3 5 3 8 2 6" xfId="33051"/>
    <cellStyle name="Separador de milhares 3 5 3 8 3" xfId="8995"/>
    <cellStyle name="Separador de milhares 3 5 3 8 3 2" xfId="27209"/>
    <cellStyle name="Separador de milhares 3 5 3 8 3 2 2" xfId="52276"/>
    <cellStyle name="Separador de milhares 3 5 3 8 3 3" xfId="21295"/>
    <cellStyle name="Separador de milhares 3 5 3 8 3 3 2" xfId="46362"/>
    <cellStyle name="Separador de milhares 3 5 3 8 3 4" xfId="15381"/>
    <cellStyle name="Separador de milhares 3 5 3 8 3 4 2" xfId="40448"/>
    <cellStyle name="Separador de milhares 3 5 3 8 3 5" xfId="34540"/>
    <cellStyle name="Separador de milhares 3 5 3 8 4" xfId="5620"/>
    <cellStyle name="Separador de milhares 3 5 3 8 4 2" xfId="24252"/>
    <cellStyle name="Separador de milhares 3 5 3 8 4 2 2" xfId="49319"/>
    <cellStyle name="Separador de milhares 3 5 3 8 4 3" xfId="31583"/>
    <cellStyle name="Separador de milhares 3 5 3 8 5" xfId="18338"/>
    <cellStyle name="Separador de milhares 3 5 3 8 5 2" xfId="43405"/>
    <cellStyle name="Separador de milhares 3 5 3 8 6" xfId="12007"/>
    <cellStyle name="Separador de milhares 3 5 3 8 6 2" xfId="37494"/>
    <cellStyle name="Separador de milhares 3 5 3 8 7" xfId="30113"/>
    <cellStyle name="Separador de milhares 3 5 3 9" xfId="3704"/>
    <cellStyle name="Separador de milhares 3 5 3 9 2" xfId="7466"/>
    <cellStyle name="Separador de milhares 3 5 3 9 2 2" xfId="10610"/>
    <cellStyle name="Separador de milhares 3 5 3 9 2 2 2" xfId="28824"/>
    <cellStyle name="Separador de milhares 3 5 3 9 2 2 2 2" xfId="53891"/>
    <cellStyle name="Separador de milhares 3 5 3 9 2 2 3" xfId="22910"/>
    <cellStyle name="Separador de milhares 3 5 3 9 2 2 3 2" xfId="47977"/>
    <cellStyle name="Separador de milhares 3 5 3 9 2 2 4" xfId="16996"/>
    <cellStyle name="Separador de milhares 3 5 3 9 2 2 4 2" xfId="42063"/>
    <cellStyle name="Separador de milhares 3 5 3 9 2 2 5" xfId="36155"/>
    <cellStyle name="Separador de milhares 3 5 3 9 2 3" xfId="25867"/>
    <cellStyle name="Separador de milhares 3 5 3 9 2 3 2" xfId="50934"/>
    <cellStyle name="Separador de milhares 3 5 3 9 2 4" xfId="19953"/>
    <cellStyle name="Separador de milhares 3 5 3 9 2 4 2" xfId="45020"/>
    <cellStyle name="Separador de milhares 3 5 3 9 2 5" xfId="13855"/>
    <cellStyle name="Separador de milhares 3 5 3 9 2 5 2" xfId="39109"/>
    <cellStyle name="Separador de milhares 3 5 3 9 2 6" xfId="33198"/>
    <cellStyle name="Separador de milhares 3 5 3 9 3" xfId="9142"/>
    <cellStyle name="Separador de milhares 3 5 3 9 3 2" xfId="27356"/>
    <cellStyle name="Separador de milhares 3 5 3 9 3 2 2" xfId="52423"/>
    <cellStyle name="Separador de milhares 3 5 3 9 3 3" xfId="21442"/>
    <cellStyle name="Separador de milhares 3 5 3 9 3 3 2" xfId="46509"/>
    <cellStyle name="Separador de milhares 3 5 3 9 3 4" xfId="15528"/>
    <cellStyle name="Separador de milhares 3 5 3 9 3 4 2" xfId="40595"/>
    <cellStyle name="Separador de milhares 3 5 3 9 3 5" xfId="34687"/>
    <cellStyle name="Separador de milhares 3 5 3 9 4" xfId="5767"/>
    <cellStyle name="Separador de milhares 3 5 3 9 4 2" xfId="24399"/>
    <cellStyle name="Separador de milhares 3 5 3 9 4 2 2" xfId="49466"/>
    <cellStyle name="Separador de milhares 3 5 3 9 4 3" xfId="31730"/>
    <cellStyle name="Separador de milhares 3 5 3 9 5" xfId="18485"/>
    <cellStyle name="Separador de milhares 3 5 3 9 5 2" xfId="43552"/>
    <cellStyle name="Separador de milhares 3 5 3 9 6" xfId="12154"/>
    <cellStyle name="Separador de milhares 3 5 3 9 6 2" xfId="37641"/>
    <cellStyle name="Separador de milhares 3 5 3 9 7" xfId="30260"/>
    <cellStyle name="Separador de milhares 3 5 4" xfId="340"/>
    <cellStyle name="Separador de milhares 3 5 4 10" xfId="6513"/>
    <cellStyle name="Separador de milhares 3 5 4 10 2" xfId="9661"/>
    <cellStyle name="Separador de milhares 3 5 4 10 2 2" xfId="27875"/>
    <cellStyle name="Separador de milhares 3 5 4 10 2 2 2" xfId="52942"/>
    <cellStyle name="Separador de milhares 3 5 4 10 2 3" xfId="21961"/>
    <cellStyle name="Separador de milhares 3 5 4 10 2 3 2" xfId="47028"/>
    <cellStyle name="Separador de milhares 3 5 4 10 2 4" xfId="16047"/>
    <cellStyle name="Separador de milhares 3 5 4 10 2 4 2" xfId="41114"/>
    <cellStyle name="Separador de milhares 3 5 4 10 2 5" xfId="35206"/>
    <cellStyle name="Separador de milhares 3 5 4 10 3" xfId="24918"/>
    <cellStyle name="Separador de milhares 3 5 4 10 3 2" xfId="49985"/>
    <cellStyle name="Separador de milhares 3 5 4 10 4" xfId="19004"/>
    <cellStyle name="Separador de milhares 3 5 4 10 4 2" xfId="44071"/>
    <cellStyle name="Separador de milhares 3 5 4 10 5" xfId="12902"/>
    <cellStyle name="Separador de milhares 3 5 4 10 5 2" xfId="38160"/>
    <cellStyle name="Separador de milhares 3 5 4 10 6" xfId="32249"/>
    <cellStyle name="Separador de milhares 3 5 4 11" xfId="8190"/>
    <cellStyle name="Separador de milhares 3 5 4 11 2" xfId="26404"/>
    <cellStyle name="Separador de milhares 3 5 4 11 2 2" xfId="51471"/>
    <cellStyle name="Separador de milhares 3 5 4 11 3" xfId="20490"/>
    <cellStyle name="Separador de milhares 3 5 4 11 3 2" xfId="45557"/>
    <cellStyle name="Separador de milhares 3 5 4 11 4" xfId="14579"/>
    <cellStyle name="Separador de milhares 3 5 4 11 4 2" xfId="39646"/>
    <cellStyle name="Separador de milhares 3 5 4 11 5" xfId="33735"/>
    <cellStyle name="Separador de milhares 3 5 4 12" xfId="4812"/>
    <cellStyle name="Separador de milhares 3 5 4 12 2" xfId="23447"/>
    <cellStyle name="Separador de milhares 3 5 4 12 2 2" xfId="48514"/>
    <cellStyle name="Separador de milhares 3 5 4 12 3" xfId="30779"/>
    <cellStyle name="Separador de milhares 3 5 4 13" xfId="17533"/>
    <cellStyle name="Separador de milhares 3 5 4 13 2" xfId="42600"/>
    <cellStyle name="Separador de milhares 3 5 4 14" xfId="11201"/>
    <cellStyle name="Separador de milhares 3 5 4 14 2" xfId="36692"/>
    <cellStyle name="Separador de milhares 3 5 4 15" xfId="29308"/>
    <cellStyle name="Separador de milhares 3 5 4 2" xfId="985"/>
    <cellStyle name="Separador de milhares 3 5 4 2 2" xfId="6710"/>
    <cellStyle name="Separador de milhares 3 5 4 2 2 2" xfId="9857"/>
    <cellStyle name="Separador de milhares 3 5 4 2 2 2 2" xfId="28071"/>
    <cellStyle name="Separador de milhares 3 5 4 2 2 2 2 2" xfId="53138"/>
    <cellStyle name="Separador de milhares 3 5 4 2 2 2 3" xfId="22157"/>
    <cellStyle name="Separador de milhares 3 5 4 2 2 2 3 2" xfId="47224"/>
    <cellStyle name="Separador de milhares 3 5 4 2 2 2 4" xfId="16243"/>
    <cellStyle name="Separador de milhares 3 5 4 2 2 2 4 2" xfId="41310"/>
    <cellStyle name="Separador de milhares 3 5 4 2 2 2 5" xfId="35402"/>
    <cellStyle name="Separador de milhares 3 5 4 2 2 3" xfId="25114"/>
    <cellStyle name="Separador de milhares 3 5 4 2 2 3 2" xfId="50181"/>
    <cellStyle name="Separador de milhares 3 5 4 2 2 4" xfId="19200"/>
    <cellStyle name="Separador de milhares 3 5 4 2 2 4 2" xfId="44267"/>
    <cellStyle name="Separador de milhares 3 5 4 2 2 5" xfId="13099"/>
    <cellStyle name="Separador de milhares 3 5 4 2 2 5 2" xfId="38356"/>
    <cellStyle name="Separador de milhares 3 5 4 2 2 6" xfId="32445"/>
    <cellStyle name="Separador de milhares 3 5 4 2 3" xfId="8389"/>
    <cellStyle name="Separador de milhares 3 5 4 2 3 2" xfId="26603"/>
    <cellStyle name="Separador de milhares 3 5 4 2 3 2 2" xfId="51670"/>
    <cellStyle name="Separador de milhares 3 5 4 2 3 3" xfId="20689"/>
    <cellStyle name="Separador de milhares 3 5 4 2 3 3 2" xfId="45756"/>
    <cellStyle name="Separador de milhares 3 5 4 2 3 4" xfId="14775"/>
    <cellStyle name="Separador de milhares 3 5 4 2 3 4 2" xfId="39842"/>
    <cellStyle name="Separador de milhares 3 5 4 2 3 5" xfId="33934"/>
    <cellStyle name="Separador de milhares 3 5 4 2 4" xfId="5011"/>
    <cellStyle name="Separador de milhares 3 5 4 2 4 2" xfId="23646"/>
    <cellStyle name="Separador de milhares 3 5 4 2 4 2 2" xfId="48713"/>
    <cellStyle name="Separador de milhares 3 5 4 2 4 3" xfId="30977"/>
    <cellStyle name="Separador de milhares 3 5 4 2 5" xfId="17732"/>
    <cellStyle name="Separador de milhares 3 5 4 2 5 2" xfId="42799"/>
    <cellStyle name="Separador de milhares 3 5 4 2 6" xfId="11398"/>
    <cellStyle name="Separador de milhares 3 5 4 2 6 2" xfId="36888"/>
    <cellStyle name="Separador de milhares 3 5 4 2 7" xfId="29507"/>
    <cellStyle name="Separador de milhares 3 5 4 3" xfId="1336"/>
    <cellStyle name="Separador de milhares 3 5 4 3 2" xfId="6808"/>
    <cellStyle name="Separador de milhares 3 5 4 3 2 2" xfId="9955"/>
    <cellStyle name="Separador de milhares 3 5 4 3 2 2 2" xfId="28169"/>
    <cellStyle name="Separador de milhares 3 5 4 3 2 2 2 2" xfId="53236"/>
    <cellStyle name="Separador de milhares 3 5 4 3 2 2 3" xfId="22255"/>
    <cellStyle name="Separador de milhares 3 5 4 3 2 2 3 2" xfId="47322"/>
    <cellStyle name="Separador de milhares 3 5 4 3 2 2 4" xfId="16341"/>
    <cellStyle name="Separador de milhares 3 5 4 3 2 2 4 2" xfId="41408"/>
    <cellStyle name="Separador de milhares 3 5 4 3 2 2 5" xfId="35500"/>
    <cellStyle name="Separador de milhares 3 5 4 3 2 3" xfId="25212"/>
    <cellStyle name="Separador de milhares 3 5 4 3 2 3 2" xfId="50279"/>
    <cellStyle name="Separador de milhares 3 5 4 3 2 4" xfId="19298"/>
    <cellStyle name="Separador de milhares 3 5 4 3 2 4 2" xfId="44365"/>
    <cellStyle name="Separador de milhares 3 5 4 3 2 5" xfId="13197"/>
    <cellStyle name="Separador de milhares 3 5 4 3 2 5 2" xfId="38454"/>
    <cellStyle name="Separador de milhares 3 5 4 3 2 6" xfId="32543"/>
    <cellStyle name="Separador de milhares 3 5 4 3 3" xfId="8487"/>
    <cellStyle name="Separador de milhares 3 5 4 3 3 2" xfId="26701"/>
    <cellStyle name="Separador de milhares 3 5 4 3 3 2 2" xfId="51768"/>
    <cellStyle name="Separador de milhares 3 5 4 3 3 3" xfId="20787"/>
    <cellStyle name="Separador de milhares 3 5 4 3 3 3 2" xfId="45854"/>
    <cellStyle name="Separador de milhares 3 5 4 3 3 4" xfId="14873"/>
    <cellStyle name="Separador de milhares 3 5 4 3 3 4 2" xfId="39940"/>
    <cellStyle name="Separador de milhares 3 5 4 3 3 5" xfId="34032"/>
    <cellStyle name="Separador de milhares 3 5 4 3 4" xfId="5109"/>
    <cellStyle name="Separador de milhares 3 5 4 3 4 2" xfId="23744"/>
    <cellStyle name="Separador de milhares 3 5 4 3 4 2 2" xfId="48811"/>
    <cellStyle name="Separador de milhares 3 5 4 3 4 3" xfId="31075"/>
    <cellStyle name="Separador de milhares 3 5 4 3 5" xfId="17830"/>
    <cellStyle name="Separador de milhares 3 5 4 3 5 2" xfId="42897"/>
    <cellStyle name="Separador de milhares 3 5 4 3 6" xfId="11496"/>
    <cellStyle name="Separador de milhares 3 5 4 3 6 2" xfId="36986"/>
    <cellStyle name="Separador de milhares 3 5 4 3 7" xfId="29605"/>
    <cellStyle name="Separador de milhares 3 5 4 4" xfId="1771"/>
    <cellStyle name="Separador de milhares 3 5 4 4 2" xfId="6927"/>
    <cellStyle name="Separador de milhares 3 5 4 4 2 2" xfId="10074"/>
    <cellStyle name="Separador de milhares 3 5 4 4 2 2 2" xfId="28288"/>
    <cellStyle name="Separador de milhares 3 5 4 4 2 2 2 2" xfId="53355"/>
    <cellStyle name="Separador de milhares 3 5 4 4 2 2 3" xfId="22374"/>
    <cellStyle name="Separador de milhares 3 5 4 4 2 2 3 2" xfId="47441"/>
    <cellStyle name="Separador de milhares 3 5 4 4 2 2 4" xfId="16460"/>
    <cellStyle name="Separador de milhares 3 5 4 4 2 2 4 2" xfId="41527"/>
    <cellStyle name="Separador de milhares 3 5 4 4 2 2 5" xfId="35619"/>
    <cellStyle name="Separador de milhares 3 5 4 4 2 3" xfId="25331"/>
    <cellStyle name="Separador de milhares 3 5 4 4 2 3 2" xfId="50398"/>
    <cellStyle name="Separador de milhares 3 5 4 4 2 4" xfId="19417"/>
    <cellStyle name="Separador de milhares 3 5 4 4 2 4 2" xfId="44484"/>
    <cellStyle name="Separador de milhares 3 5 4 4 2 5" xfId="13316"/>
    <cellStyle name="Separador de milhares 3 5 4 4 2 5 2" xfId="38573"/>
    <cellStyle name="Separador de milhares 3 5 4 4 2 6" xfId="32662"/>
    <cellStyle name="Separador de milhares 3 5 4 4 3" xfId="8606"/>
    <cellStyle name="Separador de milhares 3 5 4 4 3 2" xfId="26820"/>
    <cellStyle name="Separador de milhares 3 5 4 4 3 2 2" xfId="51887"/>
    <cellStyle name="Separador de milhares 3 5 4 4 3 3" xfId="20906"/>
    <cellStyle name="Separador de milhares 3 5 4 4 3 3 2" xfId="45973"/>
    <cellStyle name="Separador de milhares 3 5 4 4 3 4" xfId="14992"/>
    <cellStyle name="Separador de milhares 3 5 4 4 3 4 2" xfId="40059"/>
    <cellStyle name="Separador de milhares 3 5 4 4 3 5" xfId="34151"/>
    <cellStyle name="Separador de milhares 3 5 4 4 4" xfId="5228"/>
    <cellStyle name="Separador de milhares 3 5 4 4 4 2" xfId="23863"/>
    <cellStyle name="Separador de milhares 3 5 4 4 4 2 2" xfId="48930"/>
    <cellStyle name="Separador de milhares 3 5 4 4 4 3" xfId="31194"/>
    <cellStyle name="Separador de milhares 3 5 4 4 5" xfId="17949"/>
    <cellStyle name="Separador de milhares 3 5 4 4 5 2" xfId="43016"/>
    <cellStyle name="Separador de milhares 3 5 4 4 6" xfId="11615"/>
    <cellStyle name="Separador de milhares 3 5 4 4 6 2" xfId="37105"/>
    <cellStyle name="Separador de milhares 3 5 4 4 7" xfId="29724"/>
    <cellStyle name="Separador de milhares 3 5 4 5" xfId="2301"/>
    <cellStyle name="Separador de milhares 3 5 4 5 2" xfId="7077"/>
    <cellStyle name="Separador de milhares 3 5 4 5 2 2" xfId="10221"/>
    <cellStyle name="Separador de milhares 3 5 4 5 2 2 2" xfId="28435"/>
    <cellStyle name="Separador de milhares 3 5 4 5 2 2 2 2" xfId="53502"/>
    <cellStyle name="Separador de milhares 3 5 4 5 2 2 3" xfId="22521"/>
    <cellStyle name="Separador de milhares 3 5 4 5 2 2 3 2" xfId="47588"/>
    <cellStyle name="Separador de milhares 3 5 4 5 2 2 4" xfId="16607"/>
    <cellStyle name="Separador de milhares 3 5 4 5 2 2 4 2" xfId="41674"/>
    <cellStyle name="Separador de milhares 3 5 4 5 2 2 5" xfId="35766"/>
    <cellStyle name="Separador de milhares 3 5 4 5 2 3" xfId="25478"/>
    <cellStyle name="Separador de milhares 3 5 4 5 2 3 2" xfId="50545"/>
    <cellStyle name="Separador de milhares 3 5 4 5 2 4" xfId="19564"/>
    <cellStyle name="Separador de milhares 3 5 4 5 2 4 2" xfId="44631"/>
    <cellStyle name="Separador de milhares 3 5 4 5 2 5" xfId="13466"/>
    <cellStyle name="Separador de milhares 3 5 4 5 2 5 2" xfId="38720"/>
    <cellStyle name="Separador de milhares 3 5 4 5 2 6" xfId="32809"/>
    <cellStyle name="Separador de milhares 3 5 4 5 3" xfId="8753"/>
    <cellStyle name="Separador de milhares 3 5 4 5 3 2" xfId="26967"/>
    <cellStyle name="Separador de milhares 3 5 4 5 3 2 2" xfId="52034"/>
    <cellStyle name="Separador de milhares 3 5 4 5 3 3" xfId="21053"/>
    <cellStyle name="Separador de milhares 3 5 4 5 3 3 2" xfId="46120"/>
    <cellStyle name="Separador de milhares 3 5 4 5 3 4" xfId="15139"/>
    <cellStyle name="Separador de milhares 3 5 4 5 3 4 2" xfId="40206"/>
    <cellStyle name="Separador de milhares 3 5 4 5 3 5" xfId="34298"/>
    <cellStyle name="Separador de milhares 3 5 4 5 4" xfId="5378"/>
    <cellStyle name="Separador de milhares 3 5 4 5 4 2" xfId="24010"/>
    <cellStyle name="Separador de milhares 3 5 4 5 4 2 2" xfId="49077"/>
    <cellStyle name="Separador de milhares 3 5 4 5 4 3" xfId="31341"/>
    <cellStyle name="Separador de milhares 3 5 4 5 5" xfId="18096"/>
    <cellStyle name="Separador de milhares 3 5 4 5 5 2" xfId="43163"/>
    <cellStyle name="Separador de milhares 3 5 4 5 6" xfId="11765"/>
    <cellStyle name="Separador de milhares 3 5 4 5 6 2" xfId="37252"/>
    <cellStyle name="Separador de milhares 3 5 4 5 7" xfId="29871"/>
    <cellStyle name="Separador de milhares 3 5 4 6" xfId="2828"/>
    <cellStyle name="Separador de milhares 3 5 4 6 2" xfId="7224"/>
    <cellStyle name="Separador de milhares 3 5 4 6 2 2" xfId="10368"/>
    <cellStyle name="Separador de milhares 3 5 4 6 2 2 2" xfId="28582"/>
    <cellStyle name="Separador de milhares 3 5 4 6 2 2 2 2" xfId="53649"/>
    <cellStyle name="Separador de milhares 3 5 4 6 2 2 3" xfId="22668"/>
    <cellStyle name="Separador de milhares 3 5 4 6 2 2 3 2" xfId="47735"/>
    <cellStyle name="Separador de milhares 3 5 4 6 2 2 4" xfId="16754"/>
    <cellStyle name="Separador de milhares 3 5 4 6 2 2 4 2" xfId="41821"/>
    <cellStyle name="Separador de milhares 3 5 4 6 2 2 5" xfId="35913"/>
    <cellStyle name="Separador de milhares 3 5 4 6 2 3" xfId="25625"/>
    <cellStyle name="Separador de milhares 3 5 4 6 2 3 2" xfId="50692"/>
    <cellStyle name="Separador de milhares 3 5 4 6 2 4" xfId="19711"/>
    <cellStyle name="Separador de milhares 3 5 4 6 2 4 2" xfId="44778"/>
    <cellStyle name="Separador de milhares 3 5 4 6 2 5" xfId="13613"/>
    <cellStyle name="Separador de milhares 3 5 4 6 2 5 2" xfId="38867"/>
    <cellStyle name="Separador de milhares 3 5 4 6 2 6" xfId="32956"/>
    <cellStyle name="Separador de milhares 3 5 4 6 3" xfId="8900"/>
    <cellStyle name="Separador de milhares 3 5 4 6 3 2" xfId="27114"/>
    <cellStyle name="Separador de milhares 3 5 4 6 3 2 2" xfId="52181"/>
    <cellStyle name="Separador de milhares 3 5 4 6 3 3" xfId="21200"/>
    <cellStyle name="Separador de milhares 3 5 4 6 3 3 2" xfId="46267"/>
    <cellStyle name="Separador de milhares 3 5 4 6 3 4" xfId="15286"/>
    <cellStyle name="Separador de milhares 3 5 4 6 3 4 2" xfId="40353"/>
    <cellStyle name="Separador de milhares 3 5 4 6 3 5" xfId="34445"/>
    <cellStyle name="Separador de milhares 3 5 4 6 4" xfId="5525"/>
    <cellStyle name="Separador de milhares 3 5 4 6 4 2" xfId="24157"/>
    <cellStyle name="Separador de milhares 3 5 4 6 4 2 2" xfId="49224"/>
    <cellStyle name="Separador de milhares 3 5 4 6 4 3" xfId="31488"/>
    <cellStyle name="Separador de milhares 3 5 4 6 5" xfId="18243"/>
    <cellStyle name="Separador de milhares 3 5 4 6 5 2" xfId="43310"/>
    <cellStyle name="Separador de milhares 3 5 4 6 6" xfId="11912"/>
    <cellStyle name="Separador de milhares 3 5 4 6 6 2" xfId="37399"/>
    <cellStyle name="Separador de milhares 3 5 4 6 7" xfId="30018"/>
    <cellStyle name="Separador de milhares 3 5 4 7" xfId="3355"/>
    <cellStyle name="Separador de milhares 3 5 4 7 2" xfId="7371"/>
    <cellStyle name="Separador de milhares 3 5 4 7 2 2" xfId="10515"/>
    <cellStyle name="Separador de milhares 3 5 4 7 2 2 2" xfId="28729"/>
    <cellStyle name="Separador de milhares 3 5 4 7 2 2 2 2" xfId="53796"/>
    <cellStyle name="Separador de milhares 3 5 4 7 2 2 3" xfId="22815"/>
    <cellStyle name="Separador de milhares 3 5 4 7 2 2 3 2" xfId="47882"/>
    <cellStyle name="Separador de milhares 3 5 4 7 2 2 4" xfId="16901"/>
    <cellStyle name="Separador de milhares 3 5 4 7 2 2 4 2" xfId="41968"/>
    <cellStyle name="Separador de milhares 3 5 4 7 2 2 5" xfId="36060"/>
    <cellStyle name="Separador de milhares 3 5 4 7 2 3" xfId="25772"/>
    <cellStyle name="Separador de milhares 3 5 4 7 2 3 2" xfId="50839"/>
    <cellStyle name="Separador de milhares 3 5 4 7 2 4" xfId="19858"/>
    <cellStyle name="Separador de milhares 3 5 4 7 2 4 2" xfId="44925"/>
    <cellStyle name="Separador de milhares 3 5 4 7 2 5" xfId="13760"/>
    <cellStyle name="Separador de milhares 3 5 4 7 2 5 2" xfId="39014"/>
    <cellStyle name="Separador de milhares 3 5 4 7 2 6" xfId="33103"/>
    <cellStyle name="Separador de milhares 3 5 4 7 3" xfId="9047"/>
    <cellStyle name="Separador de milhares 3 5 4 7 3 2" xfId="27261"/>
    <cellStyle name="Separador de milhares 3 5 4 7 3 2 2" xfId="52328"/>
    <cellStyle name="Separador de milhares 3 5 4 7 3 3" xfId="21347"/>
    <cellStyle name="Separador de milhares 3 5 4 7 3 3 2" xfId="46414"/>
    <cellStyle name="Separador de milhares 3 5 4 7 3 4" xfId="15433"/>
    <cellStyle name="Separador de milhares 3 5 4 7 3 4 2" xfId="40500"/>
    <cellStyle name="Separador de milhares 3 5 4 7 3 5" xfId="34592"/>
    <cellStyle name="Separador de milhares 3 5 4 7 4" xfId="5672"/>
    <cellStyle name="Separador de milhares 3 5 4 7 4 2" xfId="24304"/>
    <cellStyle name="Separador de milhares 3 5 4 7 4 2 2" xfId="49371"/>
    <cellStyle name="Separador de milhares 3 5 4 7 4 3" xfId="31635"/>
    <cellStyle name="Separador de milhares 3 5 4 7 5" xfId="18390"/>
    <cellStyle name="Separador de milhares 3 5 4 7 5 2" xfId="43457"/>
    <cellStyle name="Separador de milhares 3 5 4 7 6" xfId="12059"/>
    <cellStyle name="Separador de milhares 3 5 4 7 6 2" xfId="37546"/>
    <cellStyle name="Separador de milhares 3 5 4 7 7" xfId="30165"/>
    <cellStyle name="Separador de milhares 3 5 4 8" xfId="3882"/>
    <cellStyle name="Separador de milhares 3 5 4 8 2" xfId="7518"/>
    <cellStyle name="Separador de milhares 3 5 4 8 2 2" xfId="10662"/>
    <cellStyle name="Separador de milhares 3 5 4 8 2 2 2" xfId="28876"/>
    <cellStyle name="Separador de milhares 3 5 4 8 2 2 2 2" xfId="53943"/>
    <cellStyle name="Separador de milhares 3 5 4 8 2 2 3" xfId="22962"/>
    <cellStyle name="Separador de milhares 3 5 4 8 2 2 3 2" xfId="48029"/>
    <cellStyle name="Separador de milhares 3 5 4 8 2 2 4" xfId="17048"/>
    <cellStyle name="Separador de milhares 3 5 4 8 2 2 4 2" xfId="42115"/>
    <cellStyle name="Separador de milhares 3 5 4 8 2 2 5" xfId="36207"/>
    <cellStyle name="Separador de milhares 3 5 4 8 2 3" xfId="25919"/>
    <cellStyle name="Separador de milhares 3 5 4 8 2 3 2" xfId="50986"/>
    <cellStyle name="Separador de milhares 3 5 4 8 2 4" xfId="20005"/>
    <cellStyle name="Separador de milhares 3 5 4 8 2 4 2" xfId="45072"/>
    <cellStyle name="Separador de milhares 3 5 4 8 2 5" xfId="13907"/>
    <cellStyle name="Separador de milhares 3 5 4 8 2 5 2" xfId="39161"/>
    <cellStyle name="Separador de milhares 3 5 4 8 2 6" xfId="33250"/>
    <cellStyle name="Separador de milhares 3 5 4 8 3" xfId="9194"/>
    <cellStyle name="Separador de milhares 3 5 4 8 3 2" xfId="27408"/>
    <cellStyle name="Separador de milhares 3 5 4 8 3 2 2" xfId="52475"/>
    <cellStyle name="Separador de milhares 3 5 4 8 3 3" xfId="21494"/>
    <cellStyle name="Separador de milhares 3 5 4 8 3 3 2" xfId="46561"/>
    <cellStyle name="Separador de milhares 3 5 4 8 3 4" xfId="15580"/>
    <cellStyle name="Separador de milhares 3 5 4 8 3 4 2" xfId="40647"/>
    <cellStyle name="Separador de milhares 3 5 4 8 3 5" xfId="34739"/>
    <cellStyle name="Separador de milhares 3 5 4 8 4" xfId="5819"/>
    <cellStyle name="Separador de milhares 3 5 4 8 4 2" xfId="24451"/>
    <cellStyle name="Separador de milhares 3 5 4 8 4 2 2" xfId="49518"/>
    <cellStyle name="Separador de milhares 3 5 4 8 4 3" xfId="31782"/>
    <cellStyle name="Separador de milhares 3 5 4 8 5" xfId="18537"/>
    <cellStyle name="Separador de milhares 3 5 4 8 5 2" xfId="43604"/>
    <cellStyle name="Separador de milhares 3 5 4 8 6" xfId="12206"/>
    <cellStyle name="Separador de milhares 3 5 4 8 6 2" xfId="37693"/>
    <cellStyle name="Separador de milhares 3 5 4 8 7" xfId="30312"/>
    <cellStyle name="Separador de milhares 3 5 4 9" xfId="677"/>
    <cellStyle name="Separador de milhares 3 5 4 9 2" xfId="6612"/>
    <cellStyle name="Separador de milhares 3 5 4 9 2 2" xfId="9759"/>
    <cellStyle name="Separador de milhares 3 5 4 9 2 2 2" xfId="27973"/>
    <cellStyle name="Separador de milhares 3 5 4 9 2 2 2 2" xfId="53040"/>
    <cellStyle name="Separador de milhares 3 5 4 9 2 2 3" xfId="22059"/>
    <cellStyle name="Separador de milhares 3 5 4 9 2 2 3 2" xfId="47126"/>
    <cellStyle name="Separador de milhares 3 5 4 9 2 2 4" xfId="16145"/>
    <cellStyle name="Separador de milhares 3 5 4 9 2 2 4 2" xfId="41212"/>
    <cellStyle name="Separador de milhares 3 5 4 9 2 2 5" xfId="35304"/>
    <cellStyle name="Separador de milhares 3 5 4 9 2 3" xfId="25016"/>
    <cellStyle name="Separador de milhares 3 5 4 9 2 3 2" xfId="50083"/>
    <cellStyle name="Separador de milhares 3 5 4 9 2 4" xfId="19102"/>
    <cellStyle name="Separador de milhares 3 5 4 9 2 4 2" xfId="44169"/>
    <cellStyle name="Separador de milhares 3 5 4 9 2 5" xfId="13001"/>
    <cellStyle name="Separador de milhares 3 5 4 9 2 5 2" xfId="38258"/>
    <cellStyle name="Separador de milhares 3 5 4 9 2 6" xfId="32347"/>
    <cellStyle name="Separador de milhares 3 5 4 9 3" xfId="8291"/>
    <cellStyle name="Separador de milhares 3 5 4 9 3 2" xfId="26505"/>
    <cellStyle name="Separador de milhares 3 5 4 9 3 2 2" xfId="51572"/>
    <cellStyle name="Separador de milhares 3 5 4 9 3 3" xfId="20591"/>
    <cellStyle name="Separador de milhares 3 5 4 9 3 3 2" xfId="45658"/>
    <cellStyle name="Separador de milhares 3 5 4 9 3 4" xfId="14677"/>
    <cellStyle name="Separador de milhares 3 5 4 9 3 4 2" xfId="39744"/>
    <cellStyle name="Separador de milhares 3 5 4 9 3 5" xfId="33836"/>
    <cellStyle name="Separador de milhares 3 5 4 9 4" xfId="4913"/>
    <cellStyle name="Separador de milhares 3 5 4 9 4 2" xfId="23548"/>
    <cellStyle name="Separador de milhares 3 5 4 9 4 2 2" xfId="48615"/>
    <cellStyle name="Separador de milhares 3 5 4 9 4 3" xfId="30879"/>
    <cellStyle name="Separador de milhares 3 5 4 9 5" xfId="17634"/>
    <cellStyle name="Separador de milhares 3 5 4 9 5 2" xfId="42701"/>
    <cellStyle name="Separador de milhares 3 5 4 9 6" xfId="11300"/>
    <cellStyle name="Separador de milhares 3 5 4 9 6 2" xfId="36790"/>
    <cellStyle name="Separador de milhares 3 5 4 9 7" xfId="29409"/>
    <cellStyle name="Separador de milhares 3 5 5" xfId="597"/>
    <cellStyle name="Separador de milhares 3 5 5 10" xfId="4877"/>
    <cellStyle name="Separador de milhares 3 5 5 10 2" xfId="23511"/>
    <cellStyle name="Separador de milhares 3 5 5 10 2 2" xfId="48578"/>
    <cellStyle name="Separador de milhares 3 5 5 10 3" xfId="30843"/>
    <cellStyle name="Separador de milhares 3 5 5 11" xfId="17597"/>
    <cellStyle name="Separador de milhares 3 5 5 11 2" xfId="42664"/>
    <cellStyle name="Separador de milhares 3 5 5 12" xfId="11266"/>
    <cellStyle name="Separador de milhares 3 5 5 12 2" xfId="36756"/>
    <cellStyle name="Separador de milhares 3 5 5 13" xfId="29372"/>
    <cellStyle name="Separador de milhares 3 5 5 2" xfId="1420"/>
    <cellStyle name="Separador de milhares 3 5 5 2 2" xfId="6829"/>
    <cellStyle name="Separador de milhares 3 5 5 2 2 2" xfId="9976"/>
    <cellStyle name="Separador de milhares 3 5 5 2 2 2 2" xfId="28190"/>
    <cellStyle name="Separador de milhares 3 5 5 2 2 2 2 2" xfId="53257"/>
    <cellStyle name="Separador de milhares 3 5 5 2 2 2 3" xfId="22276"/>
    <cellStyle name="Separador de milhares 3 5 5 2 2 2 3 2" xfId="47343"/>
    <cellStyle name="Separador de milhares 3 5 5 2 2 2 4" xfId="16362"/>
    <cellStyle name="Separador de milhares 3 5 5 2 2 2 4 2" xfId="41429"/>
    <cellStyle name="Separador de milhares 3 5 5 2 2 2 5" xfId="35521"/>
    <cellStyle name="Separador de milhares 3 5 5 2 2 3" xfId="25233"/>
    <cellStyle name="Separador de milhares 3 5 5 2 2 3 2" xfId="50300"/>
    <cellStyle name="Separador de milhares 3 5 5 2 2 4" xfId="19319"/>
    <cellStyle name="Separador de milhares 3 5 5 2 2 4 2" xfId="44386"/>
    <cellStyle name="Separador de milhares 3 5 5 2 2 5" xfId="13218"/>
    <cellStyle name="Separador de milhares 3 5 5 2 2 5 2" xfId="38475"/>
    <cellStyle name="Separador de milhares 3 5 5 2 2 6" xfId="32564"/>
    <cellStyle name="Separador de milhares 3 5 5 2 3" xfId="8508"/>
    <cellStyle name="Separador de milhares 3 5 5 2 3 2" xfId="26722"/>
    <cellStyle name="Separador de milhares 3 5 5 2 3 2 2" xfId="51789"/>
    <cellStyle name="Separador de milhares 3 5 5 2 3 3" xfId="20808"/>
    <cellStyle name="Separador de milhares 3 5 5 2 3 3 2" xfId="45875"/>
    <cellStyle name="Separador de milhares 3 5 5 2 3 4" xfId="14894"/>
    <cellStyle name="Separador de milhares 3 5 5 2 3 4 2" xfId="39961"/>
    <cellStyle name="Separador de milhares 3 5 5 2 3 5" xfId="34053"/>
    <cellStyle name="Separador de milhares 3 5 5 2 4" xfId="5130"/>
    <cellStyle name="Separador de milhares 3 5 5 2 4 2" xfId="23765"/>
    <cellStyle name="Separador de milhares 3 5 5 2 4 2 2" xfId="48832"/>
    <cellStyle name="Separador de milhares 3 5 5 2 4 3" xfId="31096"/>
    <cellStyle name="Separador de milhares 3 5 5 2 5" xfId="17851"/>
    <cellStyle name="Separador de milhares 3 5 5 2 5 2" xfId="42918"/>
    <cellStyle name="Separador de milhares 3 5 5 2 6" xfId="11517"/>
    <cellStyle name="Separador de milhares 3 5 5 2 6 2" xfId="37007"/>
    <cellStyle name="Separador de milhares 3 5 5 2 7" xfId="29626"/>
    <cellStyle name="Separador de milhares 3 5 5 3" xfId="1855"/>
    <cellStyle name="Separador de milhares 3 5 5 3 2" xfId="6948"/>
    <cellStyle name="Separador de milhares 3 5 5 3 2 2" xfId="10095"/>
    <cellStyle name="Separador de milhares 3 5 5 3 2 2 2" xfId="28309"/>
    <cellStyle name="Separador de milhares 3 5 5 3 2 2 2 2" xfId="53376"/>
    <cellStyle name="Separador de milhares 3 5 5 3 2 2 3" xfId="22395"/>
    <cellStyle name="Separador de milhares 3 5 5 3 2 2 3 2" xfId="47462"/>
    <cellStyle name="Separador de milhares 3 5 5 3 2 2 4" xfId="16481"/>
    <cellStyle name="Separador de milhares 3 5 5 3 2 2 4 2" xfId="41548"/>
    <cellStyle name="Separador de milhares 3 5 5 3 2 2 5" xfId="35640"/>
    <cellStyle name="Separador de milhares 3 5 5 3 2 3" xfId="25352"/>
    <cellStyle name="Separador de milhares 3 5 5 3 2 3 2" xfId="50419"/>
    <cellStyle name="Separador de milhares 3 5 5 3 2 4" xfId="19438"/>
    <cellStyle name="Separador de milhares 3 5 5 3 2 4 2" xfId="44505"/>
    <cellStyle name="Separador de milhares 3 5 5 3 2 5" xfId="13337"/>
    <cellStyle name="Separador de milhares 3 5 5 3 2 5 2" xfId="38594"/>
    <cellStyle name="Separador de milhares 3 5 5 3 2 6" xfId="32683"/>
    <cellStyle name="Separador de milhares 3 5 5 3 3" xfId="8627"/>
    <cellStyle name="Separador de milhares 3 5 5 3 3 2" xfId="26841"/>
    <cellStyle name="Separador de milhares 3 5 5 3 3 2 2" xfId="51908"/>
    <cellStyle name="Separador de milhares 3 5 5 3 3 3" xfId="20927"/>
    <cellStyle name="Separador de milhares 3 5 5 3 3 3 2" xfId="45994"/>
    <cellStyle name="Separador de milhares 3 5 5 3 3 4" xfId="15013"/>
    <cellStyle name="Separador de milhares 3 5 5 3 3 4 2" xfId="40080"/>
    <cellStyle name="Separador de milhares 3 5 5 3 3 5" xfId="34172"/>
    <cellStyle name="Separador de milhares 3 5 5 3 4" xfId="5249"/>
    <cellStyle name="Separador de milhares 3 5 5 3 4 2" xfId="23884"/>
    <cellStyle name="Separador de milhares 3 5 5 3 4 2 2" xfId="48951"/>
    <cellStyle name="Separador de milhares 3 5 5 3 4 3" xfId="31215"/>
    <cellStyle name="Separador de milhares 3 5 5 3 5" xfId="17970"/>
    <cellStyle name="Separador de milhares 3 5 5 3 5 2" xfId="43037"/>
    <cellStyle name="Separador de milhares 3 5 5 3 6" xfId="11636"/>
    <cellStyle name="Separador de milhares 3 5 5 3 6 2" xfId="37126"/>
    <cellStyle name="Separador de milhares 3 5 5 3 7" xfId="29745"/>
    <cellStyle name="Separador de milhares 3 5 5 4" xfId="2385"/>
    <cellStyle name="Separador de milhares 3 5 5 4 2" xfId="7098"/>
    <cellStyle name="Separador de milhares 3 5 5 4 2 2" xfId="10242"/>
    <cellStyle name="Separador de milhares 3 5 5 4 2 2 2" xfId="28456"/>
    <cellStyle name="Separador de milhares 3 5 5 4 2 2 2 2" xfId="53523"/>
    <cellStyle name="Separador de milhares 3 5 5 4 2 2 3" xfId="22542"/>
    <cellStyle name="Separador de milhares 3 5 5 4 2 2 3 2" xfId="47609"/>
    <cellStyle name="Separador de milhares 3 5 5 4 2 2 4" xfId="16628"/>
    <cellStyle name="Separador de milhares 3 5 5 4 2 2 4 2" xfId="41695"/>
    <cellStyle name="Separador de milhares 3 5 5 4 2 2 5" xfId="35787"/>
    <cellStyle name="Separador de milhares 3 5 5 4 2 3" xfId="25499"/>
    <cellStyle name="Separador de milhares 3 5 5 4 2 3 2" xfId="50566"/>
    <cellStyle name="Separador de milhares 3 5 5 4 2 4" xfId="19585"/>
    <cellStyle name="Separador de milhares 3 5 5 4 2 4 2" xfId="44652"/>
    <cellStyle name="Separador de milhares 3 5 5 4 2 5" xfId="13487"/>
    <cellStyle name="Separador de milhares 3 5 5 4 2 5 2" xfId="38741"/>
    <cellStyle name="Separador de milhares 3 5 5 4 2 6" xfId="32830"/>
    <cellStyle name="Separador de milhares 3 5 5 4 3" xfId="8774"/>
    <cellStyle name="Separador de milhares 3 5 5 4 3 2" xfId="26988"/>
    <cellStyle name="Separador de milhares 3 5 5 4 3 2 2" xfId="52055"/>
    <cellStyle name="Separador de milhares 3 5 5 4 3 3" xfId="21074"/>
    <cellStyle name="Separador de milhares 3 5 5 4 3 3 2" xfId="46141"/>
    <cellStyle name="Separador de milhares 3 5 5 4 3 4" xfId="15160"/>
    <cellStyle name="Separador de milhares 3 5 5 4 3 4 2" xfId="40227"/>
    <cellStyle name="Separador de milhares 3 5 5 4 3 5" xfId="34319"/>
    <cellStyle name="Separador de milhares 3 5 5 4 4" xfId="5399"/>
    <cellStyle name="Separador de milhares 3 5 5 4 4 2" xfId="24031"/>
    <cellStyle name="Separador de milhares 3 5 5 4 4 2 2" xfId="49098"/>
    <cellStyle name="Separador de milhares 3 5 5 4 4 3" xfId="31362"/>
    <cellStyle name="Separador de milhares 3 5 5 4 5" xfId="18117"/>
    <cellStyle name="Separador de milhares 3 5 5 4 5 2" xfId="43184"/>
    <cellStyle name="Separador de milhares 3 5 5 4 6" xfId="11786"/>
    <cellStyle name="Separador de milhares 3 5 5 4 6 2" xfId="37273"/>
    <cellStyle name="Separador de milhares 3 5 5 4 7" xfId="29892"/>
    <cellStyle name="Separador de milhares 3 5 5 5" xfId="2912"/>
    <cellStyle name="Separador de milhares 3 5 5 5 2" xfId="7245"/>
    <cellStyle name="Separador de milhares 3 5 5 5 2 2" xfId="10389"/>
    <cellStyle name="Separador de milhares 3 5 5 5 2 2 2" xfId="28603"/>
    <cellStyle name="Separador de milhares 3 5 5 5 2 2 2 2" xfId="53670"/>
    <cellStyle name="Separador de milhares 3 5 5 5 2 2 3" xfId="22689"/>
    <cellStyle name="Separador de milhares 3 5 5 5 2 2 3 2" xfId="47756"/>
    <cellStyle name="Separador de milhares 3 5 5 5 2 2 4" xfId="16775"/>
    <cellStyle name="Separador de milhares 3 5 5 5 2 2 4 2" xfId="41842"/>
    <cellStyle name="Separador de milhares 3 5 5 5 2 2 5" xfId="35934"/>
    <cellStyle name="Separador de milhares 3 5 5 5 2 3" xfId="25646"/>
    <cellStyle name="Separador de milhares 3 5 5 5 2 3 2" xfId="50713"/>
    <cellStyle name="Separador de milhares 3 5 5 5 2 4" xfId="19732"/>
    <cellStyle name="Separador de milhares 3 5 5 5 2 4 2" xfId="44799"/>
    <cellStyle name="Separador de milhares 3 5 5 5 2 5" xfId="13634"/>
    <cellStyle name="Separador de milhares 3 5 5 5 2 5 2" xfId="38888"/>
    <cellStyle name="Separador de milhares 3 5 5 5 2 6" xfId="32977"/>
    <cellStyle name="Separador de milhares 3 5 5 5 3" xfId="8921"/>
    <cellStyle name="Separador de milhares 3 5 5 5 3 2" xfId="27135"/>
    <cellStyle name="Separador de milhares 3 5 5 5 3 2 2" xfId="52202"/>
    <cellStyle name="Separador de milhares 3 5 5 5 3 3" xfId="21221"/>
    <cellStyle name="Separador de milhares 3 5 5 5 3 3 2" xfId="46288"/>
    <cellStyle name="Separador de milhares 3 5 5 5 3 4" xfId="15307"/>
    <cellStyle name="Separador de milhares 3 5 5 5 3 4 2" xfId="40374"/>
    <cellStyle name="Separador de milhares 3 5 5 5 3 5" xfId="34466"/>
    <cellStyle name="Separador de milhares 3 5 5 5 4" xfId="5546"/>
    <cellStyle name="Separador de milhares 3 5 5 5 4 2" xfId="24178"/>
    <cellStyle name="Separador de milhares 3 5 5 5 4 2 2" xfId="49245"/>
    <cellStyle name="Separador de milhares 3 5 5 5 4 3" xfId="31509"/>
    <cellStyle name="Separador de milhares 3 5 5 5 5" xfId="18264"/>
    <cellStyle name="Separador de milhares 3 5 5 5 5 2" xfId="43331"/>
    <cellStyle name="Separador de milhares 3 5 5 5 6" xfId="11933"/>
    <cellStyle name="Separador de milhares 3 5 5 5 6 2" xfId="37420"/>
    <cellStyle name="Separador de milhares 3 5 5 5 7" xfId="30039"/>
    <cellStyle name="Separador de milhares 3 5 5 6" xfId="3439"/>
    <cellStyle name="Separador de milhares 3 5 5 6 2" xfId="7392"/>
    <cellStyle name="Separador de milhares 3 5 5 6 2 2" xfId="10536"/>
    <cellStyle name="Separador de milhares 3 5 5 6 2 2 2" xfId="28750"/>
    <cellStyle name="Separador de milhares 3 5 5 6 2 2 2 2" xfId="53817"/>
    <cellStyle name="Separador de milhares 3 5 5 6 2 2 3" xfId="22836"/>
    <cellStyle name="Separador de milhares 3 5 5 6 2 2 3 2" xfId="47903"/>
    <cellStyle name="Separador de milhares 3 5 5 6 2 2 4" xfId="16922"/>
    <cellStyle name="Separador de milhares 3 5 5 6 2 2 4 2" xfId="41989"/>
    <cellStyle name="Separador de milhares 3 5 5 6 2 2 5" xfId="36081"/>
    <cellStyle name="Separador de milhares 3 5 5 6 2 3" xfId="25793"/>
    <cellStyle name="Separador de milhares 3 5 5 6 2 3 2" xfId="50860"/>
    <cellStyle name="Separador de milhares 3 5 5 6 2 4" xfId="19879"/>
    <cellStyle name="Separador de milhares 3 5 5 6 2 4 2" xfId="44946"/>
    <cellStyle name="Separador de milhares 3 5 5 6 2 5" xfId="13781"/>
    <cellStyle name="Separador de milhares 3 5 5 6 2 5 2" xfId="39035"/>
    <cellStyle name="Separador de milhares 3 5 5 6 2 6" xfId="33124"/>
    <cellStyle name="Separador de milhares 3 5 5 6 3" xfId="9068"/>
    <cellStyle name="Separador de milhares 3 5 5 6 3 2" xfId="27282"/>
    <cellStyle name="Separador de milhares 3 5 5 6 3 2 2" xfId="52349"/>
    <cellStyle name="Separador de milhares 3 5 5 6 3 3" xfId="21368"/>
    <cellStyle name="Separador de milhares 3 5 5 6 3 3 2" xfId="46435"/>
    <cellStyle name="Separador de milhares 3 5 5 6 3 4" xfId="15454"/>
    <cellStyle name="Separador de milhares 3 5 5 6 3 4 2" xfId="40521"/>
    <cellStyle name="Separador de milhares 3 5 5 6 3 5" xfId="34613"/>
    <cellStyle name="Separador de milhares 3 5 5 6 4" xfId="5693"/>
    <cellStyle name="Separador de milhares 3 5 5 6 4 2" xfId="24325"/>
    <cellStyle name="Separador de milhares 3 5 5 6 4 2 2" xfId="49392"/>
    <cellStyle name="Separador de milhares 3 5 5 6 4 3" xfId="31656"/>
    <cellStyle name="Separador de milhares 3 5 5 6 5" xfId="18411"/>
    <cellStyle name="Separador de milhares 3 5 5 6 5 2" xfId="43478"/>
    <cellStyle name="Separador de milhares 3 5 5 6 6" xfId="12080"/>
    <cellStyle name="Separador de milhares 3 5 5 6 6 2" xfId="37567"/>
    <cellStyle name="Separador de milhares 3 5 5 6 7" xfId="30186"/>
    <cellStyle name="Separador de milhares 3 5 5 7" xfId="3966"/>
    <cellStyle name="Separador de milhares 3 5 5 7 2" xfId="7539"/>
    <cellStyle name="Separador de milhares 3 5 5 7 2 2" xfId="10683"/>
    <cellStyle name="Separador de milhares 3 5 5 7 2 2 2" xfId="28897"/>
    <cellStyle name="Separador de milhares 3 5 5 7 2 2 2 2" xfId="53964"/>
    <cellStyle name="Separador de milhares 3 5 5 7 2 2 3" xfId="22983"/>
    <cellStyle name="Separador de milhares 3 5 5 7 2 2 3 2" xfId="48050"/>
    <cellStyle name="Separador de milhares 3 5 5 7 2 2 4" xfId="17069"/>
    <cellStyle name="Separador de milhares 3 5 5 7 2 2 4 2" xfId="42136"/>
    <cellStyle name="Separador de milhares 3 5 5 7 2 2 5" xfId="36228"/>
    <cellStyle name="Separador de milhares 3 5 5 7 2 3" xfId="25940"/>
    <cellStyle name="Separador de milhares 3 5 5 7 2 3 2" xfId="51007"/>
    <cellStyle name="Separador de milhares 3 5 5 7 2 4" xfId="20026"/>
    <cellStyle name="Separador de milhares 3 5 5 7 2 4 2" xfId="45093"/>
    <cellStyle name="Separador de milhares 3 5 5 7 2 5" xfId="13928"/>
    <cellStyle name="Separador de milhares 3 5 5 7 2 5 2" xfId="39182"/>
    <cellStyle name="Separador de milhares 3 5 5 7 2 6" xfId="33271"/>
    <cellStyle name="Separador de milhares 3 5 5 7 3" xfId="9215"/>
    <cellStyle name="Separador de milhares 3 5 5 7 3 2" xfId="27429"/>
    <cellStyle name="Separador de milhares 3 5 5 7 3 2 2" xfId="52496"/>
    <cellStyle name="Separador de milhares 3 5 5 7 3 3" xfId="21515"/>
    <cellStyle name="Separador de milhares 3 5 5 7 3 3 2" xfId="46582"/>
    <cellStyle name="Separador de milhares 3 5 5 7 3 4" xfId="15601"/>
    <cellStyle name="Separador de milhares 3 5 5 7 3 4 2" xfId="40668"/>
    <cellStyle name="Separador de milhares 3 5 5 7 3 5" xfId="34760"/>
    <cellStyle name="Separador de milhares 3 5 5 7 4" xfId="5840"/>
    <cellStyle name="Separador de milhares 3 5 5 7 4 2" xfId="24472"/>
    <cellStyle name="Separador de milhares 3 5 5 7 4 2 2" xfId="49539"/>
    <cellStyle name="Separador de milhares 3 5 5 7 4 3" xfId="31803"/>
    <cellStyle name="Separador de milhares 3 5 5 7 5" xfId="18558"/>
    <cellStyle name="Separador de milhares 3 5 5 7 5 2" xfId="43625"/>
    <cellStyle name="Separador de milhares 3 5 5 7 6" xfId="12227"/>
    <cellStyle name="Separador de milhares 3 5 5 7 6 2" xfId="37714"/>
    <cellStyle name="Separador de milhares 3 5 5 7 7" xfId="30333"/>
    <cellStyle name="Separador de milhares 3 5 5 8" xfId="6578"/>
    <cellStyle name="Separador de milhares 3 5 5 8 2" xfId="9725"/>
    <cellStyle name="Separador de milhares 3 5 5 8 2 2" xfId="27939"/>
    <cellStyle name="Separador de milhares 3 5 5 8 2 2 2" xfId="53006"/>
    <cellStyle name="Separador de milhares 3 5 5 8 2 3" xfId="22025"/>
    <cellStyle name="Separador de milhares 3 5 5 8 2 3 2" xfId="47092"/>
    <cellStyle name="Separador de milhares 3 5 5 8 2 4" xfId="16111"/>
    <cellStyle name="Separador de milhares 3 5 5 8 2 4 2" xfId="41178"/>
    <cellStyle name="Separador de milhares 3 5 5 8 2 5" xfId="35270"/>
    <cellStyle name="Separador de milhares 3 5 5 8 3" xfId="24982"/>
    <cellStyle name="Separador de milhares 3 5 5 8 3 2" xfId="50049"/>
    <cellStyle name="Separador de milhares 3 5 5 8 4" xfId="19068"/>
    <cellStyle name="Separador de milhares 3 5 5 8 4 2" xfId="44135"/>
    <cellStyle name="Separador de milhares 3 5 5 8 5" xfId="12967"/>
    <cellStyle name="Separador de milhares 3 5 5 8 5 2" xfId="38224"/>
    <cellStyle name="Separador de milhares 3 5 5 8 6" xfId="32313"/>
    <cellStyle name="Separador de milhares 3 5 5 9" xfId="8254"/>
    <cellStyle name="Separador de milhares 3 5 5 9 2" xfId="26468"/>
    <cellStyle name="Separador de milhares 3 5 5 9 2 2" xfId="51535"/>
    <cellStyle name="Separador de milhares 3 5 5 9 3" xfId="20554"/>
    <cellStyle name="Separador de milhares 3 5 5 9 3 2" xfId="45621"/>
    <cellStyle name="Separador de milhares 3 5 5 9 4" xfId="14643"/>
    <cellStyle name="Separador de milhares 3 5 5 9 4 2" xfId="39710"/>
    <cellStyle name="Separador de milhares 3 5 5 9 5" xfId="33799"/>
    <cellStyle name="Separador de milhares 3 5 6" xfId="718"/>
    <cellStyle name="Separador de milhares 3 5 6 2" xfId="4142"/>
    <cellStyle name="Separador de milhares 3 5 6 2 2" xfId="7588"/>
    <cellStyle name="Separador de milhares 3 5 6 2 2 2" xfId="10732"/>
    <cellStyle name="Separador de milhares 3 5 6 2 2 2 2" xfId="28946"/>
    <cellStyle name="Separador de milhares 3 5 6 2 2 2 2 2" xfId="54013"/>
    <cellStyle name="Separador de milhares 3 5 6 2 2 2 3" xfId="23032"/>
    <cellStyle name="Separador de milhares 3 5 6 2 2 2 3 2" xfId="48099"/>
    <cellStyle name="Separador de milhares 3 5 6 2 2 2 4" xfId="17118"/>
    <cellStyle name="Separador de milhares 3 5 6 2 2 2 4 2" xfId="42185"/>
    <cellStyle name="Separador de milhares 3 5 6 2 2 2 5" xfId="36277"/>
    <cellStyle name="Separador de milhares 3 5 6 2 2 3" xfId="25989"/>
    <cellStyle name="Separador de milhares 3 5 6 2 2 3 2" xfId="51056"/>
    <cellStyle name="Separador de milhares 3 5 6 2 2 4" xfId="20075"/>
    <cellStyle name="Separador de milhares 3 5 6 2 2 4 2" xfId="45142"/>
    <cellStyle name="Separador de milhares 3 5 6 2 2 5" xfId="13977"/>
    <cellStyle name="Separador de milhares 3 5 6 2 2 5 2" xfId="39231"/>
    <cellStyle name="Separador de milhares 3 5 6 2 2 6" xfId="33320"/>
    <cellStyle name="Separador de milhares 3 5 6 2 3" xfId="9264"/>
    <cellStyle name="Separador de milhares 3 5 6 2 3 2" xfId="27478"/>
    <cellStyle name="Separador de milhares 3 5 6 2 3 2 2" xfId="52545"/>
    <cellStyle name="Separador de milhares 3 5 6 2 3 3" xfId="21564"/>
    <cellStyle name="Separador de milhares 3 5 6 2 3 3 2" xfId="46631"/>
    <cellStyle name="Separador de milhares 3 5 6 2 3 4" xfId="15650"/>
    <cellStyle name="Separador de milhares 3 5 6 2 3 4 2" xfId="40717"/>
    <cellStyle name="Separador de milhares 3 5 6 2 3 5" xfId="34809"/>
    <cellStyle name="Separador de milhares 3 5 6 2 4" xfId="5889"/>
    <cellStyle name="Separador de milhares 3 5 6 2 4 2" xfId="24521"/>
    <cellStyle name="Separador de milhares 3 5 6 2 4 2 2" xfId="49588"/>
    <cellStyle name="Separador de milhares 3 5 6 2 4 3" xfId="31852"/>
    <cellStyle name="Separador de milhares 3 5 6 2 5" xfId="18607"/>
    <cellStyle name="Separador de milhares 3 5 6 2 5 2" xfId="43674"/>
    <cellStyle name="Separador de milhares 3 5 6 2 6" xfId="12276"/>
    <cellStyle name="Separador de milhares 3 5 6 2 6 2" xfId="37763"/>
    <cellStyle name="Separador de milhares 3 5 6 2 7" xfId="30382"/>
    <cellStyle name="Separador de milhares 3 5 6 3" xfId="6633"/>
    <cellStyle name="Separador de milhares 3 5 6 3 2" xfId="9780"/>
    <cellStyle name="Separador de milhares 3 5 6 3 2 2" xfId="27994"/>
    <cellStyle name="Separador de milhares 3 5 6 3 2 2 2" xfId="53061"/>
    <cellStyle name="Separador de milhares 3 5 6 3 2 3" xfId="22080"/>
    <cellStyle name="Separador de milhares 3 5 6 3 2 3 2" xfId="47147"/>
    <cellStyle name="Separador de milhares 3 5 6 3 2 4" xfId="16166"/>
    <cellStyle name="Separador de milhares 3 5 6 3 2 4 2" xfId="41233"/>
    <cellStyle name="Separador de milhares 3 5 6 3 2 5" xfId="35325"/>
    <cellStyle name="Separador de milhares 3 5 6 3 3" xfId="25037"/>
    <cellStyle name="Separador de milhares 3 5 6 3 3 2" xfId="50104"/>
    <cellStyle name="Separador de milhares 3 5 6 3 4" xfId="19123"/>
    <cellStyle name="Separador de milhares 3 5 6 3 4 2" xfId="44190"/>
    <cellStyle name="Separador de milhares 3 5 6 3 5" xfId="13022"/>
    <cellStyle name="Separador de milhares 3 5 6 3 5 2" xfId="38279"/>
    <cellStyle name="Separador de milhares 3 5 6 3 6" xfId="32368"/>
    <cellStyle name="Separador de milhares 3 5 6 4" xfId="8312"/>
    <cellStyle name="Separador de milhares 3 5 6 4 2" xfId="26526"/>
    <cellStyle name="Separador de milhares 3 5 6 4 2 2" xfId="51593"/>
    <cellStyle name="Separador de milhares 3 5 6 4 3" xfId="20612"/>
    <cellStyle name="Separador de milhares 3 5 6 4 3 2" xfId="45679"/>
    <cellStyle name="Separador de milhares 3 5 6 4 4" xfId="14698"/>
    <cellStyle name="Separador de milhares 3 5 6 4 4 2" xfId="39765"/>
    <cellStyle name="Separador de milhares 3 5 6 4 5" xfId="33857"/>
    <cellStyle name="Separador de milhares 3 5 6 5" xfId="4934"/>
    <cellStyle name="Separador de milhares 3 5 6 5 2" xfId="23569"/>
    <cellStyle name="Separador de milhares 3 5 6 5 2 2" xfId="48636"/>
    <cellStyle name="Separador de milhares 3 5 6 5 3" xfId="30900"/>
    <cellStyle name="Separador de milhares 3 5 6 6" xfId="17655"/>
    <cellStyle name="Separador de milhares 3 5 6 6 2" xfId="42722"/>
    <cellStyle name="Separador de milhares 3 5 6 7" xfId="11321"/>
    <cellStyle name="Separador de milhares 3 5 6 7 2" xfId="36811"/>
    <cellStyle name="Separador de milhares 3 5 6 8" xfId="29430"/>
    <cellStyle name="Separador de milhares 3 5 7" xfId="1069"/>
    <cellStyle name="Separador de milhares 3 5 7 2" xfId="6731"/>
    <cellStyle name="Separador de milhares 3 5 7 2 2" xfId="9878"/>
    <cellStyle name="Separador de milhares 3 5 7 2 2 2" xfId="28092"/>
    <cellStyle name="Separador de milhares 3 5 7 2 2 2 2" xfId="53159"/>
    <cellStyle name="Separador de milhares 3 5 7 2 2 3" xfId="22178"/>
    <cellStyle name="Separador de milhares 3 5 7 2 2 3 2" xfId="47245"/>
    <cellStyle name="Separador de milhares 3 5 7 2 2 4" xfId="16264"/>
    <cellStyle name="Separador de milhares 3 5 7 2 2 4 2" xfId="41331"/>
    <cellStyle name="Separador de milhares 3 5 7 2 2 5" xfId="35423"/>
    <cellStyle name="Separador de milhares 3 5 7 2 3" xfId="25135"/>
    <cellStyle name="Separador de milhares 3 5 7 2 3 2" xfId="50202"/>
    <cellStyle name="Separador de milhares 3 5 7 2 4" xfId="19221"/>
    <cellStyle name="Separador de milhares 3 5 7 2 4 2" xfId="44288"/>
    <cellStyle name="Separador de milhares 3 5 7 2 5" xfId="13120"/>
    <cellStyle name="Separador de milhares 3 5 7 2 5 2" xfId="38377"/>
    <cellStyle name="Separador de milhares 3 5 7 2 6" xfId="32466"/>
    <cellStyle name="Separador de milhares 3 5 7 3" xfId="8410"/>
    <cellStyle name="Separador de milhares 3 5 7 3 2" xfId="26624"/>
    <cellStyle name="Separador de milhares 3 5 7 3 2 2" xfId="51691"/>
    <cellStyle name="Separador de milhares 3 5 7 3 3" xfId="20710"/>
    <cellStyle name="Separador de milhares 3 5 7 3 3 2" xfId="45777"/>
    <cellStyle name="Separador de milhares 3 5 7 3 4" xfId="14796"/>
    <cellStyle name="Separador de milhares 3 5 7 3 4 2" xfId="39863"/>
    <cellStyle name="Separador de milhares 3 5 7 3 5" xfId="33955"/>
    <cellStyle name="Separador de milhares 3 5 7 4" xfId="5032"/>
    <cellStyle name="Separador de milhares 3 5 7 4 2" xfId="23667"/>
    <cellStyle name="Separador de milhares 3 5 7 4 2 2" xfId="48734"/>
    <cellStyle name="Separador de milhares 3 5 7 4 3" xfId="30998"/>
    <cellStyle name="Separador de milhares 3 5 7 5" xfId="17753"/>
    <cellStyle name="Separador de milhares 3 5 7 5 2" xfId="42820"/>
    <cellStyle name="Separador de milhares 3 5 7 6" xfId="11419"/>
    <cellStyle name="Separador de milhares 3 5 7 6 2" xfId="36909"/>
    <cellStyle name="Separador de milhares 3 5 7 7" xfId="29528"/>
    <cellStyle name="Separador de milhares 3 5 8" xfId="1504"/>
    <cellStyle name="Separador de milhares 3 5 8 2" xfId="6850"/>
    <cellStyle name="Separador de milhares 3 5 8 2 2" xfId="9997"/>
    <cellStyle name="Separador de milhares 3 5 8 2 2 2" xfId="28211"/>
    <cellStyle name="Separador de milhares 3 5 8 2 2 2 2" xfId="53278"/>
    <cellStyle name="Separador de milhares 3 5 8 2 2 3" xfId="22297"/>
    <cellStyle name="Separador de milhares 3 5 8 2 2 3 2" xfId="47364"/>
    <cellStyle name="Separador de milhares 3 5 8 2 2 4" xfId="16383"/>
    <cellStyle name="Separador de milhares 3 5 8 2 2 4 2" xfId="41450"/>
    <cellStyle name="Separador de milhares 3 5 8 2 2 5" xfId="35542"/>
    <cellStyle name="Separador de milhares 3 5 8 2 3" xfId="25254"/>
    <cellStyle name="Separador de milhares 3 5 8 2 3 2" xfId="50321"/>
    <cellStyle name="Separador de milhares 3 5 8 2 4" xfId="19340"/>
    <cellStyle name="Separador de milhares 3 5 8 2 4 2" xfId="44407"/>
    <cellStyle name="Separador de milhares 3 5 8 2 5" xfId="13239"/>
    <cellStyle name="Separador de milhares 3 5 8 2 5 2" xfId="38496"/>
    <cellStyle name="Separador de milhares 3 5 8 2 6" xfId="32585"/>
    <cellStyle name="Separador de milhares 3 5 8 3" xfId="8529"/>
    <cellStyle name="Separador de milhares 3 5 8 3 2" xfId="26743"/>
    <cellStyle name="Separador de milhares 3 5 8 3 2 2" xfId="51810"/>
    <cellStyle name="Separador de milhares 3 5 8 3 3" xfId="20829"/>
    <cellStyle name="Separador de milhares 3 5 8 3 3 2" xfId="45896"/>
    <cellStyle name="Separador de milhares 3 5 8 3 4" xfId="14915"/>
    <cellStyle name="Separador de milhares 3 5 8 3 4 2" xfId="39982"/>
    <cellStyle name="Separador de milhares 3 5 8 3 5" xfId="34074"/>
    <cellStyle name="Separador de milhares 3 5 8 4" xfId="5151"/>
    <cellStyle name="Separador de milhares 3 5 8 4 2" xfId="23786"/>
    <cellStyle name="Separador de milhares 3 5 8 4 2 2" xfId="48853"/>
    <cellStyle name="Separador de milhares 3 5 8 4 3" xfId="31117"/>
    <cellStyle name="Separador de milhares 3 5 8 5" xfId="17872"/>
    <cellStyle name="Separador de milhares 3 5 8 5 2" xfId="42939"/>
    <cellStyle name="Separador de milhares 3 5 8 6" xfId="11538"/>
    <cellStyle name="Separador de milhares 3 5 8 6 2" xfId="37028"/>
    <cellStyle name="Separador de milhares 3 5 8 7" xfId="29647"/>
    <cellStyle name="Separador de milhares 3 5 9" xfId="2034"/>
    <cellStyle name="Separador de milhares 3 5 9 2" xfId="7000"/>
    <cellStyle name="Separador de milhares 3 5 9 2 2" xfId="10144"/>
    <cellStyle name="Separador de milhares 3 5 9 2 2 2" xfId="28358"/>
    <cellStyle name="Separador de milhares 3 5 9 2 2 2 2" xfId="53425"/>
    <cellStyle name="Separador de milhares 3 5 9 2 2 3" xfId="22444"/>
    <cellStyle name="Separador de milhares 3 5 9 2 2 3 2" xfId="47511"/>
    <cellStyle name="Separador de milhares 3 5 9 2 2 4" xfId="16530"/>
    <cellStyle name="Separador de milhares 3 5 9 2 2 4 2" xfId="41597"/>
    <cellStyle name="Separador de milhares 3 5 9 2 2 5" xfId="35689"/>
    <cellStyle name="Separador de milhares 3 5 9 2 3" xfId="25401"/>
    <cellStyle name="Separador de milhares 3 5 9 2 3 2" xfId="50468"/>
    <cellStyle name="Separador de milhares 3 5 9 2 4" xfId="19487"/>
    <cellStyle name="Separador de milhares 3 5 9 2 4 2" xfId="44554"/>
    <cellStyle name="Separador de milhares 3 5 9 2 5" xfId="13389"/>
    <cellStyle name="Separador de milhares 3 5 9 2 5 2" xfId="38643"/>
    <cellStyle name="Separador de milhares 3 5 9 2 6" xfId="32732"/>
    <cellStyle name="Separador de milhares 3 5 9 3" xfId="8676"/>
    <cellStyle name="Separador de milhares 3 5 9 3 2" xfId="26890"/>
    <cellStyle name="Separador de milhares 3 5 9 3 2 2" xfId="51957"/>
    <cellStyle name="Separador de milhares 3 5 9 3 3" xfId="20976"/>
    <cellStyle name="Separador de milhares 3 5 9 3 3 2" xfId="46043"/>
    <cellStyle name="Separador de milhares 3 5 9 3 4" xfId="15062"/>
    <cellStyle name="Separador de milhares 3 5 9 3 4 2" xfId="40129"/>
    <cellStyle name="Separador de milhares 3 5 9 3 5" xfId="34221"/>
    <cellStyle name="Separador de milhares 3 5 9 4" xfId="5301"/>
    <cellStyle name="Separador de milhares 3 5 9 4 2" xfId="23933"/>
    <cellStyle name="Separador de milhares 3 5 9 4 2 2" xfId="49000"/>
    <cellStyle name="Separador de milhares 3 5 9 4 3" xfId="31264"/>
    <cellStyle name="Separador de milhares 3 5 9 5" xfId="18019"/>
    <cellStyle name="Separador de milhares 3 5 9 5 2" xfId="43086"/>
    <cellStyle name="Separador de milhares 3 5 9 6" xfId="11688"/>
    <cellStyle name="Separador de milhares 3 5 9 6 2" xfId="37175"/>
    <cellStyle name="Separador de milhares 3 5 9 7" xfId="29794"/>
    <cellStyle name="Separador de milhares 3 6" xfId="62"/>
    <cellStyle name="Separador de milhares 3 6 10" xfId="2565"/>
    <cellStyle name="Separador de milhares 3 6 10 2" xfId="7148"/>
    <cellStyle name="Separador de milhares 3 6 10 2 2" xfId="10292"/>
    <cellStyle name="Separador de milhares 3 6 10 2 2 2" xfId="28506"/>
    <cellStyle name="Separador de milhares 3 6 10 2 2 2 2" xfId="53573"/>
    <cellStyle name="Separador de milhares 3 6 10 2 2 3" xfId="22592"/>
    <cellStyle name="Separador de milhares 3 6 10 2 2 3 2" xfId="47659"/>
    <cellStyle name="Separador de milhares 3 6 10 2 2 4" xfId="16678"/>
    <cellStyle name="Separador de milhares 3 6 10 2 2 4 2" xfId="41745"/>
    <cellStyle name="Separador de milhares 3 6 10 2 2 5" xfId="35837"/>
    <cellStyle name="Separador de milhares 3 6 10 2 3" xfId="25549"/>
    <cellStyle name="Separador de milhares 3 6 10 2 3 2" xfId="50616"/>
    <cellStyle name="Separador de milhares 3 6 10 2 4" xfId="19635"/>
    <cellStyle name="Separador de milhares 3 6 10 2 4 2" xfId="44702"/>
    <cellStyle name="Separador de milhares 3 6 10 2 5" xfId="13537"/>
    <cellStyle name="Separador de milhares 3 6 10 2 5 2" xfId="38791"/>
    <cellStyle name="Separador de milhares 3 6 10 2 6" xfId="32880"/>
    <cellStyle name="Separador de milhares 3 6 10 3" xfId="8824"/>
    <cellStyle name="Separador de milhares 3 6 10 3 2" xfId="27038"/>
    <cellStyle name="Separador de milhares 3 6 10 3 2 2" xfId="52105"/>
    <cellStyle name="Separador de milhares 3 6 10 3 3" xfId="21124"/>
    <cellStyle name="Separador de milhares 3 6 10 3 3 2" xfId="46191"/>
    <cellStyle name="Separador de milhares 3 6 10 3 4" xfId="15210"/>
    <cellStyle name="Separador de milhares 3 6 10 3 4 2" xfId="40277"/>
    <cellStyle name="Separador de milhares 3 6 10 3 5" xfId="34369"/>
    <cellStyle name="Separador de milhares 3 6 10 4" xfId="5449"/>
    <cellStyle name="Separador de milhares 3 6 10 4 2" xfId="24081"/>
    <cellStyle name="Separador de milhares 3 6 10 4 2 2" xfId="49148"/>
    <cellStyle name="Separador de milhares 3 6 10 4 3" xfId="31412"/>
    <cellStyle name="Separador de milhares 3 6 10 5" xfId="18167"/>
    <cellStyle name="Separador de milhares 3 6 10 5 2" xfId="43234"/>
    <cellStyle name="Separador de milhares 3 6 10 6" xfId="11836"/>
    <cellStyle name="Separador de milhares 3 6 10 6 2" xfId="37323"/>
    <cellStyle name="Separador de milhares 3 6 10 7" xfId="29942"/>
    <cellStyle name="Separador de milhares 3 6 11" xfId="3092"/>
    <cellStyle name="Separador de milhares 3 6 11 2" xfId="7295"/>
    <cellStyle name="Separador de milhares 3 6 11 2 2" xfId="10439"/>
    <cellStyle name="Separador de milhares 3 6 11 2 2 2" xfId="28653"/>
    <cellStyle name="Separador de milhares 3 6 11 2 2 2 2" xfId="53720"/>
    <cellStyle name="Separador de milhares 3 6 11 2 2 3" xfId="22739"/>
    <cellStyle name="Separador de milhares 3 6 11 2 2 3 2" xfId="47806"/>
    <cellStyle name="Separador de milhares 3 6 11 2 2 4" xfId="16825"/>
    <cellStyle name="Separador de milhares 3 6 11 2 2 4 2" xfId="41892"/>
    <cellStyle name="Separador de milhares 3 6 11 2 2 5" xfId="35984"/>
    <cellStyle name="Separador de milhares 3 6 11 2 3" xfId="25696"/>
    <cellStyle name="Separador de milhares 3 6 11 2 3 2" xfId="50763"/>
    <cellStyle name="Separador de milhares 3 6 11 2 4" xfId="19782"/>
    <cellStyle name="Separador de milhares 3 6 11 2 4 2" xfId="44849"/>
    <cellStyle name="Separador de milhares 3 6 11 2 5" xfId="13684"/>
    <cellStyle name="Separador de milhares 3 6 11 2 5 2" xfId="38938"/>
    <cellStyle name="Separador de milhares 3 6 11 2 6" xfId="33027"/>
    <cellStyle name="Separador de milhares 3 6 11 3" xfId="8971"/>
    <cellStyle name="Separador de milhares 3 6 11 3 2" xfId="27185"/>
    <cellStyle name="Separador de milhares 3 6 11 3 2 2" xfId="52252"/>
    <cellStyle name="Separador de milhares 3 6 11 3 3" xfId="21271"/>
    <cellStyle name="Separador de milhares 3 6 11 3 3 2" xfId="46338"/>
    <cellStyle name="Separador de milhares 3 6 11 3 4" xfId="15357"/>
    <cellStyle name="Separador de milhares 3 6 11 3 4 2" xfId="40424"/>
    <cellStyle name="Separador de milhares 3 6 11 3 5" xfId="34516"/>
    <cellStyle name="Separador de milhares 3 6 11 4" xfId="5596"/>
    <cellStyle name="Separador de milhares 3 6 11 4 2" xfId="24228"/>
    <cellStyle name="Separador de milhares 3 6 11 4 2 2" xfId="49295"/>
    <cellStyle name="Separador de milhares 3 6 11 4 3" xfId="31559"/>
    <cellStyle name="Separador de milhares 3 6 11 5" xfId="18314"/>
    <cellStyle name="Separador de milhares 3 6 11 5 2" xfId="43381"/>
    <cellStyle name="Separador de milhares 3 6 11 6" xfId="11983"/>
    <cellStyle name="Separador de milhares 3 6 11 6 2" xfId="37470"/>
    <cellStyle name="Separador de milhares 3 6 11 7" xfId="30089"/>
    <cellStyle name="Separador de milhares 3 6 12" xfId="3619"/>
    <cellStyle name="Separador de milhares 3 6 12 2" xfId="7442"/>
    <cellStyle name="Separador de milhares 3 6 12 2 2" xfId="10586"/>
    <cellStyle name="Separador de milhares 3 6 12 2 2 2" xfId="28800"/>
    <cellStyle name="Separador de milhares 3 6 12 2 2 2 2" xfId="53867"/>
    <cellStyle name="Separador de milhares 3 6 12 2 2 3" xfId="22886"/>
    <cellStyle name="Separador de milhares 3 6 12 2 2 3 2" xfId="47953"/>
    <cellStyle name="Separador de milhares 3 6 12 2 2 4" xfId="16972"/>
    <cellStyle name="Separador de milhares 3 6 12 2 2 4 2" xfId="42039"/>
    <cellStyle name="Separador de milhares 3 6 12 2 2 5" xfId="36131"/>
    <cellStyle name="Separador de milhares 3 6 12 2 3" xfId="25843"/>
    <cellStyle name="Separador de milhares 3 6 12 2 3 2" xfId="50910"/>
    <cellStyle name="Separador de milhares 3 6 12 2 4" xfId="19929"/>
    <cellStyle name="Separador de milhares 3 6 12 2 4 2" xfId="44996"/>
    <cellStyle name="Separador de milhares 3 6 12 2 5" xfId="13831"/>
    <cellStyle name="Separador de milhares 3 6 12 2 5 2" xfId="39085"/>
    <cellStyle name="Separador de milhares 3 6 12 2 6" xfId="33174"/>
    <cellStyle name="Separador de milhares 3 6 12 3" xfId="9118"/>
    <cellStyle name="Separador de milhares 3 6 12 3 2" xfId="27332"/>
    <cellStyle name="Separador de milhares 3 6 12 3 2 2" xfId="52399"/>
    <cellStyle name="Separador de milhares 3 6 12 3 3" xfId="21418"/>
    <cellStyle name="Separador de milhares 3 6 12 3 3 2" xfId="46485"/>
    <cellStyle name="Separador de milhares 3 6 12 3 4" xfId="15504"/>
    <cellStyle name="Separador de milhares 3 6 12 3 4 2" xfId="40571"/>
    <cellStyle name="Separador de milhares 3 6 12 3 5" xfId="34663"/>
    <cellStyle name="Separador de milhares 3 6 12 4" xfId="5743"/>
    <cellStyle name="Separador de milhares 3 6 12 4 2" xfId="24375"/>
    <cellStyle name="Separador de milhares 3 6 12 4 2 2" xfId="49442"/>
    <cellStyle name="Separador de milhares 3 6 12 4 3" xfId="31706"/>
    <cellStyle name="Separador de milhares 3 6 12 5" xfId="18461"/>
    <cellStyle name="Separador de milhares 3 6 12 5 2" xfId="43528"/>
    <cellStyle name="Separador de milhares 3 6 12 6" xfId="12130"/>
    <cellStyle name="Separador de milhares 3 6 12 6 2" xfId="37617"/>
    <cellStyle name="Separador de milhares 3 6 12 7" xfId="30236"/>
    <cellStyle name="Separador de milhares 3 6 13" xfId="6426"/>
    <cellStyle name="Separador de milhares 3 6 13 2" xfId="9582"/>
    <cellStyle name="Separador de milhares 3 6 13 2 2" xfId="27796"/>
    <cellStyle name="Separador de milhares 3 6 13 2 2 2" xfId="52863"/>
    <cellStyle name="Separador de milhares 3 6 13 2 3" xfId="21882"/>
    <cellStyle name="Separador de milhares 3 6 13 2 3 2" xfId="46949"/>
    <cellStyle name="Separador de milhares 3 6 13 2 4" xfId="15968"/>
    <cellStyle name="Separador de milhares 3 6 13 2 4 2" xfId="41035"/>
    <cellStyle name="Separador de milhares 3 6 13 2 5" xfId="35127"/>
    <cellStyle name="Separador de milhares 3 6 13 3" xfId="24839"/>
    <cellStyle name="Separador de milhares 3 6 13 3 2" xfId="49906"/>
    <cellStyle name="Separador de milhares 3 6 13 4" xfId="18925"/>
    <cellStyle name="Separador de milhares 3 6 13 4 2" xfId="43992"/>
    <cellStyle name="Separador de milhares 3 6 13 5" xfId="12815"/>
    <cellStyle name="Separador de milhares 3 6 13 5 2" xfId="38081"/>
    <cellStyle name="Separador de milhares 3 6 13 6" xfId="32170"/>
    <cellStyle name="Separador de milhares 3 6 14" xfId="8111"/>
    <cellStyle name="Separador de milhares 3 6 14 2" xfId="26325"/>
    <cellStyle name="Separador de milhares 3 6 14 2 2" xfId="51392"/>
    <cellStyle name="Separador de milhares 3 6 14 3" xfId="20411"/>
    <cellStyle name="Separador de milhares 3 6 14 3 2" xfId="45478"/>
    <cellStyle name="Separador de milhares 3 6 14 4" xfId="14500"/>
    <cellStyle name="Separador de milhares 3 6 14 4 2" xfId="39567"/>
    <cellStyle name="Separador de milhares 3 6 14 5" xfId="33656"/>
    <cellStyle name="Separador de milhares 3 6 15" xfId="4724"/>
    <cellStyle name="Separador de milhares 3 6 15 2" xfId="23368"/>
    <cellStyle name="Separador de milhares 3 6 15 2 2" xfId="48435"/>
    <cellStyle name="Separador de milhares 3 6 15 3" xfId="30700"/>
    <cellStyle name="Separador de milhares 3 6 16" xfId="17454"/>
    <cellStyle name="Separador de milhares 3 6 16 2" xfId="42521"/>
    <cellStyle name="Separador de milhares 3 6 17" xfId="11114"/>
    <cellStyle name="Separador de milhares 3 6 17 2" xfId="36613"/>
    <cellStyle name="Separador de milhares 3 6 18" xfId="29228"/>
    <cellStyle name="Separador de milhares 3 6 2" xfId="156"/>
    <cellStyle name="Separador de milhares 3 6 2 10" xfId="6455"/>
    <cellStyle name="Separador de milhares 3 6 2 10 2" xfId="9609"/>
    <cellStyle name="Separador de milhares 3 6 2 10 2 2" xfId="27823"/>
    <cellStyle name="Separador de milhares 3 6 2 10 2 2 2" xfId="52890"/>
    <cellStyle name="Separador de milhares 3 6 2 10 2 3" xfId="21909"/>
    <cellStyle name="Separador de milhares 3 6 2 10 2 3 2" xfId="46976"/>
    <cellStyle name="Separador de milhares 3 6 2 10 2 4" xfId="15995"/>
    <cellStyle name="Separador de milhares 3 6 2 10 2 4 2" xfId="41062"/>
    <cellStyle name="Separador de milhares 3 6 2 10 2 5" xfId="35154"/>
    <cellStyle name="Separador de milhares 3 6 2 10 3" xfId="24866"/>
    <cellStyle name="Separador de milhares 3 6 2 10 3 2" xfId="49933"/>
    <cellStyle name="Separador de milhares 3 6 2 10 4" xfId="18952"/>
    <cellStyle name="Separador de milhares 3 6 2 10 4 2" xfId="44019"/>
    <cellStyle name="Separador de milhares 3 6 2 10 5" xfId="12844"/>
    <cellStyle name="Separador de milhares 3 6 2 10 5 2" xfId="38108"/>
    <cellStyle name="Separador de milhares 3 6 2 10 6" xfId="32197"/>
    <cellStyle name="Separador de milhares 3 6 2 11" xfId="8138"/>
    <cellStyle name="Separador de milhares 3 6 2 11 2" xfId="26352"/>
    <cellStyle name="Separador de milhares 3 6 2 11 2 2" xfId="51419"/>
    <cellStyle name="Separador de milhares 3 6 2 11 3" xfId="20438"/>
    <cellStyle name="Separador de milhares 3 6 2 11 3 2" xfId="45505"/>
    <cellStyle name="Separador de milhares 3 6 2 11 4" xfId="14527"/>
    <cellStyle name="Separador de milhares 3 6 2 11 4 2" xfId="39594"/>
    <cellStyle name="Separador de milhares 3 6 2 11 5" xfId="33683"/>
    <cellStyle name="Separador de milhares 3 6 2 12" xfId="4754"/>
    <cellStyle name="Separador de milhares 3 6 2 12 2" xfId="23395"/>
    <cellStyle name="Separador de milhares 3 6 2 12 2 2" xfId="48462"/>
    <cellStyle name="Separador de milhares 3 6 2 12 3" xfId="30727"/>
    <cellStyle name="Separador de milhares 3 6 2 13" xfId="17481"/>
    <cellStyle name="Separador de milhares 3 6 2 13 2" xfId="42548"/>
    <cellStyle name="Separador de milhares 3 6 2 14" xfId="11143"/>
    <cellStyle name="Separador de milhares 3 6 2 14 2" xfId="36640"/>
    <cellStyle name="Separador de milhares 3 6 2 15" xfId="29256"/>
    <cellStyle name="Separador de milhares 3 6 2 2" xfId="429"/>
    <cellStyle name="Separador de milhares 3 6 2 2 10" xfId="17555"/>
    <cellStyle name="Separador de milhares 3 6 2 2 10 2" xfId="42622"/>
    <cellStyle name="Separador de milhares 3 6 2 2 11" xfId="11224"/>
    <cellStyle name="Separador de milhares 3 6 2 2 11 2" xfId="36714"/>
    <cellStyle name="Separador de milhares 3 6 2 2 12" xfId="29330"/>
    <cellStyle name="Separador de milhares 3 6 2 2 2" xfId="1948"/>
    <cellStyle name="Separador de milhares 3 6 2 2 2 2" xfId="6974"/>
    <cellStyle name="Separador de milhares 3 6 2 2 2 2 2" xfId="10121"/>
    <cellStyle name="Separador de milhares 3 6 2 2 2 2 2 2" xfId="28335"/>
    <cellStyle name="Separador de milhares 3 6 2 2 2 2 2 2 2" xfId="53402"/>
    <cellStyle name="Separador de milhares 3 6 2 2 2 2 2 3" xfId="22421"/>
    <cellStyle name="Separador de milhares 3 6 2 2 2 2 2 3 2" xfId="47488"/>
    <cellStyle name="Separador de milhares 3 6 2 2 2 2 2 4" xfId="16507"/>
    <cellStyle name="Separador de milhares 3 6 2 2 2 2 2 4 2" xfId="41574"/>
    <cellStyle name="Separador de milhares 3 6 2 2 2 2 2 5" xfId="35666"/>
    <cellStyle name="Separador de milhares 3 6 2 2 2 2 3" xfId="25378"/>
    <cellStyle name="Separador de milhares 3 6 2 2 2 2 3 2" xfId="50445"/>
    <cellStyle name="Separador de milhares 3 6 2 2 2 2 4" xfId="19464"/>
    <cellStyle name="Separador de milhares 3 6 2 2 2 2 4 2" xfId="44531"/>
    <cellStyle name="Separador de milhares 3 6 2 2 2 2 5" xfId="13363"/>
    <cellStyle name="Separador de milhares 3 6 2 2 2 2 5 2" xfId="38620"/>
    <cellStyle name="Separador de milhares 3 6 2 2 2 2 6" xfId="32709"/>
    <cellStyle name="Separador de milhares 3 6 2 2 2 3" xfId="8653"/>
    <cellStyle name="Separador de milhares 3 6 2 2 2 3 2" xfId="26867"/>
    <cellStyle name="Separador de milhares 3 6 2 2 2 3 2 2" xfId="51934"/>
    <cellStyle name="Separador de milhares 3 6 2 2 2 3 3" xfId="20953"/>
    <cellStyle name="Separador de milhares 3 6 2 2 2 3 3 2" xfId="46020"/>
    <cellStyle name="Separador de milhares 3 6 2 2 2 3 4" xfId="15039"/>
    <cellStyle name="Separador de milhares 3 6 2 2 2 3 4 2" xfId="40106"/>
    <cellStyle name="Separador de milhares 3 6 2 2 2 3 5" xfId="34198"/>
    <cellStyle name="Separador de milhares 3 6 2 2 2 4" xfId="5275"/>
    <cellStyle name="Separador de milhares 3 6 2 2 2 4 2" xfId="23910"/>
    <cellStyle name="Separador de milhares 3 6 2 2 2 4 2 2" xfId="48977"/>
    <cellStyle name="Separador de milhares 3 6 2 2 2 4 3" xfId="31241"/>
    <cellStyle name="Separador de milhares 3 6 2 2 2 5" xfId="17996"/>
    <cellStyle name="Separador de milhares 3 6 2 2 2 5 2" xfId="43063"/>
    <cellStyle name="Separador de milhares 3 6 2 2 2 6" xfId="11662"/>
    <cellStyle name="Separador de milhares 3 6 2 2 2 6 2" xfId="37152"/>
    <cellStyle name="Separador de milhares 3 6 2 2 2 7" xfId="29771"/>
    <cellStyle name="Separador de milhares 3 6 2 2 3" xfId="2478"/>
    <cellStyle name="Separador de milhares 3 6 2 2 3 2" xfId="7124"/>
    <cellStyle name="Separador de milhares 3 6 2 2 3 2 2" xfId="10268"/>
    <cellStyle name="Separador de milhares 3 6 2 2 3 2 2 2" xfId="28482"/>
    <cellStyle name="Separador de milhares 3 6 2 2 3 2 2 2 2" xfId="53549"/>
    <cellStyle name="Separador de milhares 3 6 2 2 3 2 2 3" xfId="22568"/>
    <cellStyle name="Separador de milhares 3 6 2 2 3 2 2 3 2" xfId="47635"/>
    <cellStyle name="Separador de milhares 3 6 2 2 3 2 2 4" xfId="16654"/>
    <cellStyle name="Separador de milhares 3 6 2 2 3 2 2 4 2" xfId="41721"/>
    <cellStyle name="Separador de milhares 3 6 2 2 3 2 2 5" xfId="35813"/>
    <cellStyle name="Separador de milhares 3 6 2 2 3 2 3" xfId="25525"/>
    <cellStyle name="Separador de milhares 3 6 2 2 3 2 3 2" xfId="50592"/>
    <cellStyle name="Separador de milhares 3 6 2 2 3 2 4" xfId="19611"/>
    <cellStyle name="Separador de milhares 3 6 2 2 3 2 4 2" xfId="44678"/>
    <cellStyle name="Separador de milhares 3 6 2 2 3 2 5" xfId="13513"/>
    <cellStyle name="Separador de milhares 3 6 2 2 3 2 5 2" xfId="38767"/>
    <cellStyle name="Separador de milhares 3 6 2 2 3 2 6" xfId="32856"/>
    <cellStyle name="Separador de milhares 3 6 2 2 3 3" xfId="8800"/>
    <cellStyle name="Separador de milhares 3 6 2 2 3 3 2" xfId="27014"/>
    <cellStyle name="Separador de milhares 3 6 2 2 3 3 2 2" xfId="52081"/>
    <cellStyle name="Separador de milhares 3 6 2 2 3 3 3" xfId="21100"/>
    <cellStyle name="Separador de milhares 3 6 2 2 3 3 3 2" xfId="46167"/>
    <cellStyle name="Separador de milhares 3 6 2 2 3 3 4" xfId="15186"/>
    <cellStyle name="Separador de milhares 3 6 2 2 3 3 4 2" xfId="40253"/>
    <cellStyle name="Separador de milhares 3 6 2 2 3 3 5" xfId="34345"/>
    <cellStyle name="Separador de milhares 3 6 2 2 3 4" xfId="5425"/>
    <cellStyle name="Separador de milhares 3 6 2 2 3 4 2" xfId="24057"/>
    <cellStyle name="Separador de milhares 3 6 2 2 3 4 2 2" xfId="49124"/>
    <cellStyle name="Separador de milhares 3 6 2 2 3 4 3" xfId="31388"/>
    <cellStyle name="Separador de milhares 3 6 2 2 3 5" xfId="18143"/>
    <cellStyle name="Separador de milhares 3 6 2 2 3 5 2" xfId="43210"/>
    <cellStyle name="Separador de milhares 3 6 2 2 3 6" xfId="11812"/>
    <cellStyle name="Separador de milhares 3 6 2 2 3 6 2" xfId="37299"/>
    <cellStyle name="Separador de milhares 3 6 2 2 3 7" xfId="29918"/>
    <cellStyle name="Separador de milhares 3 6 2 2 4" xfId="3005"/>
    <cellStyle name="Separador de milhares 3 6 2 2 4 2" xfId="7271"/>
    <cellStyle name="Separador de milhares 3 6 2 2 4 2 2" xfId="10415"/>
    <cellStyle name="Separador de milhares 3 6 2 2 4 2 2 2" xfId="28629"/>
    <cellStyle name="Separador de milhares 3 6 2 2 4 2 2 2 2" xfId="53696"/>
    <cellStyle name="Separador de milhares 3 6 2 2 4 2 2 3" xfId="22715"/>
    <cellStyle name="Separador de milhares 3 6 2 2 4 2 2 3 2" xfId="47782"/>
    <cellStyle name="Separador de milhares 3 6 2 2 4 2 2 4" xfId="16801"/>
    <cellStyle name="Separador de milhares 3 6 2 2 4 2 2 4 2" xfId="41868"/>
    <cellStyle name="Separador de milhares 3 6 2 2 4 2 2 5" xfId="35960"/>
    <cellStyle name="Separador de milhares 3 6 2 2 4 2 3" xfId="25672"/>
    <cellStyle name="Separador de milhares 3 6 2 2 4 2 3 2" xfId="50739"/>
    <cellStyle name="Separador de milhares 3 6 2 2 4 2 4" xfId="19758"/>
    <cellStyle name="Separador de milhares 3 6 2 2 4 2 4 2" xfId="44825"/>
    <cellStyle name="Separador de milhares 3 6 2 2 4 2 5" xfId="13660"/>
    <cellStyle name="Separador de milhares 3 6 2 2 4 2 5 2" xfId="38914"/>
    <cellStyle name="Separador de milhares 3 6 2 2 4 2 6" xfId="33003"/>
    <cellStyle name="Separador de milhares 3 6 2 2 4 3" xfId="8947"/>
    <cellStyle name="Separador de milhares 3 6 2 2 4 3 2" xfId="27161"/>
    <cellStyle name="Separador de milhares 3 6 2 2 4 3 2 2" xfId="52228"/>
    <cellStyle name="Separador de milhares 3 6 2 2 4 3 3" xfId="21247"/>
    <cellStyle name="Separador de milhares 3 6 2 2 4 3 3 2" xfId="46314"/>
    <cellStyle name="Separador de milhares 3 6 2 2 4 3 4" xfId="15333"/>
    <cellStyle name="Separador de milhares 3 6 2 2 4 3 4 2" xfId="40400"/>
    <cellStyle name="Separador de milhares 3 6 2 2 4 3 5" xfId="34492"/>
    <cellStyle name="Separador de milhares 3 6 2 2 4 4" xfId="5572"/>
    <cellStyle name="Separador de milhares 3 6 2 2 4 4 2" xfId="24204"/>
    <cellStyle name="Separador de milhares 3 6 2 2 4 4 2 2" xfId="49271"/>
    <cellStyle name="Separador de milhares 3 6 2 2 4 4 3" xfId="31535"/>
    <cellStyle name="Separador de milhares 3 6 2 2 4 5" xfId="18290"/>
    <cellStyle name="Separador de milhares 3 6 2 2 4 5 2" xfId="43357"/>
    <cellStyle name="Separador de milhares 3 6 2 2 4 6" xfId="11959"/>
    <cellStyle name="Separador de milhares 3 6 2 2 4 6 2" xfId="37446"/>
    <cellStyle name="Separador de milhares 3 6 2 2 4 7" xfId="30065"/>
    <cellStyle name="Separador de milhares 3 6 2 2 5" xfId="3532"/>
    <cellStyle name="Separador de milhares 3 6 2 2 5 2" xfId="7418"/>
    <cellStyle name="Separador de milhares 3 6 2 2 5 2 2" xfId="10562"/>
    <cellStyle name="Separador de milhares 3 6 2 2 5 2 2 2" xfId="28776"/>
    <cellStyle name="Separador de milhares 3 6 2 2 5 2 2 2 2" xfId="53843"/>
    <cellStyle name="Separador de milhares 3 6 2 2 5 2 2 3" xfId="22862"/>
    <cellStyle name="Separador de milhares 3 6 2 2 5 2 2 3 2" xfId="47929"/>
    <cellStyle name="Separador de milhares 3 6 2 2 5 2 2 4" xfId="16948"/>
    <cellStyle name="Separador de milhares 3 6 2 2 5 2 2 4 2" xfId="42015"/>
    <cellStyle name="Separador de milhares 3 6 2 2 5 2 2 5" xfId="36107"/>
    <cellStyle name="Separador de milhares 3 6 2 2 5 2 3" xfId="25819"/>
    <cellStyle name="Separador de milhares 3 6 2 2 5 2 3 2" xfId="50886"/>
    <cellStyle name="Separador de milhares 3 6 2 2 5 2 4" xfId="19905"/>
    <cellStyle name="Separador de milhares 3 6 2 2 5 2 4 2" xfId="44972"/>
    <cellStyle name="Separador de milhares 3 6 2 2 5 2 5" xfId="13807"/>
    <cellStyle name="Separador de milhares 3 6 2 2 5 2 5 2" xfId="39061"/>
    <cellStyle name="Separador de milhares 3 6 2 2 5 2 6" xfId="33150"/>
    <cellStyle name="Separador de milhares 3 6 2 2 5 3" xfId="9094"/>
    <cellStyle name="Separador de milhares 3 6 2 2 5 3 2" xfId="27308"/>
    <cellStyle name="Separador de milhares 3 6 2 2 5 3 2 2" xfId="52375"/>
    <cellStyle name="Separador de milhares 3 6 2 2 5 3 3" xfId="21394"/>
    <cellStyle name="Separador de milhares 3 6 2 2 5 3 3 2" xfId="46461"/>
    <cellStyle name="Separador de milhares 3 6 2 2 5 3 4" xfId="15480"/>
    <cellStyle name="Separador de milhares 3 6 2 2 5 3 4 2" xfId="40547"/>
    <cellStyle name="Separador de milhares 3 6 2 2 5 3 5" xfId="34639"/>
    <cellStyle name="Separador de milhares 3 6 2 2 5 4" xfId="5719"/>
    <cellStyle name="Separador de milhares 3 6 2 2 5 4 2" xfId="24351"/>
    <cellStyle name="Separador de milhares 3 6 2 2 5 4 2 2" xfId="49418"/>
    <cellStyle name="Separador de milhares 3 6 2 2 5 4 3" xfId="31682"/>
    <cellStyle name="Separador de milhares 3 6 2 2 5 5" xfId="18437"/>
    <cellStyle name="Separador de milhares 3 6 2 2 5 5 2" xfId="43504"/>
    <cellStyle name="Separador de milhares 3 6 2 2 5 6" xfId="12106"/>
    <cellStyle name="Separador de milhares 3 6 2 2 5 6 2" xfId="37593"/>
    <cellStyle name="Separador de milhares 3 6 2 2 5 7" xfId="30212"/>
    <cellStyle name="Separador de milhares 3 6 2 2 6" xfId="4059"/>
    <cellStyle name="Separador de milhares 3 6 2 2 6 2" xfId="7565"/>
    <cellStyle name="Separador de milhares 3 6 2 2 6 2 2" xfId="10709"/>
    <cellStyle name="Separador de milhares 3 6 2 2 6 2 2 2" xfId="28923"/>
    <cellStyle name="Separador de milhares 3 6 2 2 6 2 2 2 2" xfId="53990"/>
    <cellStyle name="Separador de milhares 3 6 2 2 6 2 2 3" xfId="23009"/>
    <cellStyle name="Separador de milhares 3 6 2 2 6 2 2 3 2" xfId="48076"/>
    <cellStyle name="Separador de milhares 3 6 2 2 6 2 2 4" xfId="17095"/>
    <cellStyle name="Separador de milhares 3 6 2 2 6 2 2 4 2" xfId="42162"/>
    <cellStyle name="Separador de milhares 3 6 2 2 6 2 2 5" xfId="36254"/>
    <cellStyle name="Separador de milhares 3 6 2 2 6 2 3" xfId="25966"/>
    <cellStyle name="Separador de milhares 3 6 2 2 6 2 3 2" xfId="51033"/>
    <cellStyle name="Separador de milhares 3 6 2 2 6 2 4" xfId="20052"/>
    <cellStyle name="Separador de milhares 3 6 2 2 6 2 4 2" xfId="45119"/>
    <cellStyle name="Separador de milhares 3 6 2 2 6 2 5" xfId="13954"/>
    <cellStyle name="Separador de milhares 3 6 2 2 6 2 5 2" xfId="39208"/>
    <cellStyle name="Separador de milhares 3 6 2 2 6 2 6" xfId="33297"/>
    <cellStyle name="Separador de milhares 3 6 2 2 6 3" xfId="9241"/>
    <cellStyle name="Separador de milhares 3 6 2 2 6 3 2" xfId="27455"/>
    <cellStyle name="Separador de milhares 3 6 2 2 6 3 2 2" xfId="52522"/>
    <cellStyle name="Separador de milhares 3 6 2 2 6 3 3" xfId="21541"/>
    <cellStyle name="Separador de milhares 3 6 2 2 6 3 3 2" xfId="46608"/>
    <cellStyle name="Separador de milhares 3 6 2 2 6 3 4" xfId="15627"/>
    <cellStyle name="Separador de milhares 3 6 2 2 6 3 4 2" xfId="40694"/>
    <cellStyle name="Separador de milhares 3 6 2 2 6 3 5" xfId="34786"/>
    <cellStyle name="Separador de milhares 3 6 2 2 6 4" xfId="5866"/>
    <cellStyle name="Separador de milhares 3 6 2 2 6 4 2" xfId="24498"/>
    <cellStyle name="Separador de milhares 3 6 2 2 6 4 2 2" xfId="49565"/>
    <cellStyle name="Separador de milhares 3 6 2 2 6 4 3" xfId="31829"/>
    <cellStyle name="Separador de milhares 3 6 2 2 6 5" xfId="18584"/>
    <cellStyle name="Separador de milhares 3 6 2 2 6 5 2" xfId="43651"/>
    <cellStyle name="Separador de milhares 3 6 2 2 6 6" xfId="12253"/>
    <cellStyle name="Separador de milhares 3 6 2 2 6 6 2" xfId="37740"/>
    <cellStyle name="Separador de milhares 3 6 2 2 6 7" xfId="30359"/>
    <cellStyle name="Separador de milhares 3 6 2 2 7" xfId="6536"/>
    <cellStyle name="Separador de milhares 3 6 2 2 7 2" xfId="9683"/>
    <cellStyle name="Separador de milhares 3 6 2 2 7 2 2" xfId="27897"/>
    <cellStyle name="Separador de milhares 3 6 2 2 7 2 2 2" xfId="52964"/>
    <cellStyle name="Separador de milhares 3 6 2 2 7 2 3" xfId="21983"/>
    <cellStyle name="Separador de milhares 3 6 2 2 7 2 3 2" xfId="47050"/>
    <cellStyle name="Separador de milhares 3 6 2 2 7 2 4" xfId="16069"/>
    <cellStyle name="Separador de milhares 3 6 2 2 7 2 4 2" xfId="41136"/>
    <cellStyle name="Separador de milhares 3 6 2 2 7 2 5" xfId="35228"/>
    <cellStyle name="Separador de milhares 3 6 2 2 7 3" xfId="24940"/>
    <cellStyle name="Separador de milhares 3 6 2 2 7 3 2" xfId="50007"/>
    <cellStyle name="Separador de milhares 3 6 2 2 7 4" xfId="19026"/>
    <cellStyle name="Separador de milhares 3 6 2 2 7 4 2" xfId="44093"/>
    <cellStyle name="Separador de milhares 3 6 2 2 7 5" xfId="12925"/>
    <cellStyle name="Separador de milhares 3 6 2 2 7 5 2" xfId="38182"/>
    <cellStyle name="Separador de milhares 3 6 2 2 7 6" xfId="32271"/>
    <cellStyle name="Separador de milhares 3 6 2 2 8" xfId="8212"/>
    <cellStyle name="Separador de milhares 3 6 2 2 8 2" xfId="26426"/>
    <cellStyle name="Separador de milhares 3 6 2 2 8 2 2" xfId="51493"/>
    <cellStyle name="Separador de milhares 3 6 2 2 8 3" xfId="20512"/>
    <cellStyle name="Separador de milhares 3 6 2 2 8 3 2" xfId="45579"/>
    <cellStyle name="Separador de milhares 3 6 2 2 8 4" xfId="14601"/>
    <cellStyle name="Separador de milhares 3 6 2 2 8 4 2" xfId="39668"/>
    <cellStyle name="Separador de milhares 3 6 2 2 8 5" xfId="33757"/>
    <cellStyle name="Separador de milhares 3 6 2 2 9" xfId="4835"/>
    <cellStyle name="Separador de milhares 3 6 2 2 9 2" xfId="23469"/>
    <cellStyle name="Separador de milhares 3 6 2 2 9 2 2" xfId="48536"/>
    <cellStyle name="Separador de milhares 3 6 2 2 9 3" xfId="30801"/>
    <cellStyle name="Separador de milhares 3 6 2 3" xfId="902"/>
    <cellStyle name="Separador de milhares 3 6 2 3 2" xfId="6687"/>
    <cellStyle name="Separador de milhares 3 6 2 3 2 2" xfId="9834"/>
    <cellStyle name="Separador de milhares 3 6 2 3 2 2 2" xfId="28048"/>
    <cellStyle name="Separador de milhares 3 6 2 3 2 2 2 2" xfId="53115"/>
    <cellStyle name="Separador de milhares 3 6 2 3 2 2 3" xfId="22134"/>
    <cellStyle name="Separador de milhares 3 6 2 3 2 2 3 2" xfId="47201"/>
    <cellStyle name="Separador de milhares 3 6 2 3 2 2 4" xfId="16220"/>
    <cellStyle name="Separador de milhares 3 6 2 3 2 2 4 2" xfId="41287"/>
    <cellStyle name="Separador de milhares 3 6 2 3 2 2 5" xfId="35379"/>
    <cellStyle name="Separador de milhares 3 6 2 3 2 3" xfId="25091"/>
    <cellStyle name="Separador de milhares 3 6 2 3 2 3 2" xfId="50158"/>
    <cellStyle name="Separador de milhares 3 6 2 3 2 4" xfId="19177"/>
    <cellStyle name="Separador de milhares 3 6 2 3 2 4 2" xfId="44244"/>
    <cellStyle name="Separador de milhares 3 6 2 3 2 5" xfId="13076"/>
    <cellStyle name="Separador de milhares 3 6 2 3 2 5 2" xfId="38333"/>
    <cellStyle name="Separador de milhares 3 6 2 3 2 6" xfId="32422"/>
    <cellStyle name="Separador de milhares 3 6 2 3 3" xfId="8366"/>
    <cellStyle name="Separador de milhares 3 6 2 3 3 2" xfId="26580"/>
    <cellStyle name="Separador de milhares 3 6 2 3 3 2 2" xfId="51647"/>
    <cellStyle name="Separador de milhares 3 6 2 3 3 3" xfId="20666"/>
    <cellStyle name="Separador de milhares 3 6 2 3 3 3 2" xfId="45733"/>
    <cellStyle name="Separador de milhares 3 6 2 3 3 4" xfId="14752"/>
    <cellStyle name="Separador de milhares 3 6 2 3 3 4 2" xfId="39819"/>
    <cellStyle name="Separador de milhares 3 6 2 3 3 5" xfId="33911"/>
    <cellStyle name="Separador de milhares 3 6 2 3 4" xfId="4988"/>
    <cellStyle name="Separador de milhares 3 6 2 3 4 2" xfId="23623"/>
    <cellStyle name="Separador de milhares 3 6 2 3 4 2 2" xfId="48690"/>
    <cellStyle name="Separador de milhares 3 6 2 3 4 3" xfId="30954"/>
    <cellStyle name="Separador de milhares 3 6 2 3 5" xfId="17709"/>
    <cellStyle name="Separador de milhares 3 6 2 3 5 2" xfId="42776"/>
    <cellStyle name="Separador de milhares 3 6 2 3 6" xfId="11375"/>
    <cellStyle name="Separador de milhares 3 6 2 3 6 2" xfId="36865"/>
    <cellStyle name="Separador de milhares 3 6 2 3 7" xfId="29484"/>
    <cellStyle name="Separador de milhares 3 6 2 4" xfId="1253"/>
    <cellStyle name="Separador de milhares 3 6 2 4 2" xfId="6785"/>
    <cellStyle name="Separador de milhares 3 6 2 4 2 2" xfId="9932"/>
    <cellStyle name="Separador de milhares 3 6 2 4 2 2 2" xfId="28146"/>
    <cellStyle name="Separador de milhares 3 6 2 4 2 2 2 2" xfId="53213"/>
    <cellStyle name="Separador de milhares 3 6 2 4 2 2 3" xfId="22232"/>
    <cellStyle name="Separador de milhares 3 6 2 4 2 2 3 2" xfId="47299"/>
    <cellStyle name="Separador de milhares 3 6 2 4 2 2 4" xfId="16318"/>
    <cellStyle name="Separador de milhares 3 6 2 4 2 2 4 2" xfId="41385"/>
    <cellStyle name="Separador de milhares 3 6 2 4 2 2 5" xfId="35477"/>
    <cellStyle name="Separador de milhares 3 6 2 4 2 3" xfId="25189"/>
    <cellStyle name="Separador de milhares 3 6 2 4 2 3 2" xfId="50256"/>
    <cellStyle name="Separador de milhares 3 6 2 4 2 4" xfId="19275"/>
    <cellStyle name="Separador de milhares 3 6 2 4 2 4 2" xfId="44342"/>
    <cellStyle name="Separador de milhares 3 6 2 4 2 5" xfId="13174"/>
    <cellStyle name="Separador de milhares 3 6 2 4 2 5 2" xfId="38431"/>
    <cellStyle name="Separador de milhares 3 6 2 4 2 6" xfId="32520"/>
    <cellStyle name="Separador de milhares 3 6 2 4 3" xfId="8464"/>
    <cellStyle name="Separador de milhares 3 6 2 4 3 2" xfId="26678"/>
    <cellStyle name="Separador de milhares 3 6 2 4 3 2 2" xfId="51745"/>
    <cellStyle name="Separador de milhares 3 6 2 4 3 3" xfId="20764"/>
    <cellStyle name="Separador de milhares 3 6 2 4 3 3 2" xfId="45831"/>
    <cellStyle name="Separador de milhares 3 6 2 4 3 4" xfId="14850"/>
    <cellStyle name="Separador de milhares 3 6 2 4 3 4 2" xfId="39917"/>
    <cellStyle name="Separador de milhares 3 6 2 4 3 5" xfId="34009"/>
    <cellStyle name="Separador de milhares 3 6 2 4 4" xfId="5086"/>
    <cellStyle name="Separador de milhares 3 6 2 4 4 2" xfId="23721"/>
    <cellStyle name="Separador de milhares 3 6 2 4 4 2 2" xfId="48788"/>
    <cellStyle name="Separador de milhares 3 6 2 4 4 3" xfId="31052"/>
    <cellStyle name="Separador de milhares 3 6 2 4 5" xfId="17807"/>
    <cellStyle name="Separador de milhares 3 6 2 4 5 2" xfId="42874"/>
    <cellStyle name="Separador de milhares 3 6 2 4 6" xfId="11473"/>
    <cellStyle name="Separador de milhares 3 6 2 4 6 2" xfId="36963"/>
    <cellStyle name="Separador de milhares 3 6 2 4 7" xfId="29582"/>
    <cellStyle name="Separador de milhares 3 6 2 5" xfId="1688"/>
    <cellStyle name="Separador de milhares 3 6 2 5 2" xfId="6904"/>
    <cellStyle name="Separador de milhares 3 6 2 5 2 2" xfId="10051"/>
    <cellStyle name="Separador de milhares 3 6 2 5 2 2 2" xfId="28265"/>
    <cellStyle name="Separador de milhares 3 6 2 5 2 2 2 2" xfId="53332"/>
    <cellStyle name="Separador de milhares 3 6 2 5 2 2 3" xfId="22351"/>
    <cellStyle name="Separador de milhares 3 6 2 5 2 2 3 2" xfId="47418"/>
    <cellStyle name="Separador de milhares 3 6 2 5 2 2 4" xfId="16437"/>
    <cellStyle name="Separador de milhares 3 6 2 5 2 2 4 2" xfId="41504"/>
    <cellStyle name="Separador de milhares 3 6 2 5 2 2 5" xfId="35596"/>
    <cellStyle name="Separador de milhares 3 6 2 5 2 3" xfId="25308"/>
    <cellStyle name="Separador de milhares 3 6 2 5 2 3 2" xfId="50375"/>
    <cellStyle name="Separador de milhares 3 6 2 5 2 4" xfId="19394"/>
    <cellStyle name="Separador de milhares 3 6 2 5 2 4 2" xfId="44461"/>
    <cellStyle name="Separador de milhares 3 6 2 5 2 5" xfId="13293"/>
    <cellStyle name="Separador de milhares 3 6 2 5 2 5 2" xfId="38550"/>
    <cellStyle name="Separador de milhares 3 6 2 5 2 6" xfId="32639"/>
    <cellStyle name="Separador de milhares 3 6 2 5 3" xfId="8583"/>
    <cellStyle name="Separador de milhares 3 6 2 5 3 2" xfId="26797"/>
    <cellStyle name="Separador de milhares 3 6 2 5 3 2 2" xfId="51864"/>
    <cellStyle name="Separador de milhares 3 6 2 5 3 3" xfId="20883"/>
    <cellStyle name="Separador de milhares 3 6 2 5 3 3 2" xfId="45950"/>
    <cellStyle name="Separador de milhares 3 6 2 5 3 4" xfId="14969"/>
    <cellStyle name="Separador de milhares 3 6 2 5 3 4 2" xfId="40036"/>
    <cellStyle name="Separador de milhares 3 6 2 5 3 5" xfId="34128"/>
    <cellStyle name="Separador de milhares 3 6 2 5 4" xfId="5205"/>
    <cellStyle name="Separador de milhares 3 6 2 5 4 2" xfId="23840"/>
    <cellStyle name="Separador de milhares 3 6 2 5 4 2 2" xfId="48907"/>
    <cellStyle name="Separador de milhares 3 6 2 5 4 3" xfId="31171"/>
    <cellStyle name="Separador de milhares 3 6 2 5 5" xfId="17926"/>
    <cellStyle name="Separador de milhares 3 6 2 5 5 2" xfId="42993"/>
    <cellStyle name="Separador de milhares 3 6 2 5 6" xfId="11592"/>
    <cellStyle name="Separador de milhares 3 6 2 5 6 2" xfId="37082"/>
    <cellStyle name="Separador de milhares 3 6 2 5 7" xfId="29701"/>
    <cellStyle name="Separador de milhares 3 6 2 6" xfId="2218"/>
    <cellStyle name="Separador de milhares 3 6 2 6 2" xfId="7054"/>
    <cellStyle name="Separador de milhares 3 6 2 6 2 2" xfId="10198"/>
    <cellStyle name="Separador de milhares 3 6 2 6 2 2 2" xfId="28412"/>
    <cellStyle name="Separador de milhares 3 6 2 6 2 2 2 2" xfId="53479"/>
    <cellStyle name="Separador de milhares 3 6 2 6 2 2 3" xfId="22498"/>
    <cellStyle name="Separador de milhares 3 6 2 6 2 2 3 2" xfId="47565"/>
    <cellStyle name="Separador de milhares 3 6 2 6 2 2 4" xfId="16584"/>
    <cellStyle name="Separador de milhares 3 6 2 6 2 2 4 2" xfId="41651"/>
    <cellStyle name="Separador de milhares 3 6 2 6 2 2 5" xfId="35743"/>
    <cellStyle name="Separador de milhares 3 6 2 6 2 3" xfId="25455"/>
    <cellStyle name="Separador de milhares 3 6 2 6 2 3 2" xfId="50522"/>
    <cellStyle name="Separador de milhares 3 6 2 6 2 4" xfId="19541"/>
    <cellStyle name="Separador de milhares 3 6 2 6 2 4 2" xfId="44608"/>
    <cellStyle name="Separador de milhares 3 6 2 6 2 5" xfId="13443"/>
    <cellStyle name="Separador de milhares 3 6 2 6 2 5 2" xfId="38697"/>
    <cellStyle name="Separador de milhares 3 6 2 6 2 6" xfId="32786"/>
    <cellStyle name="Separador de milhares 3 6 2 6 3" xfId="8730"/>
    <cellStyle name="Separador de milhares 3 6 2 6 3 2" xfId="26944"/>
    <cellStyle name="Separador de milhares 3 6 2 6 3 2 2" xfId="52011"/>
    <cellStyle name="Separador de milhares 3 6 2 6 3 3" xfId="21030"/>
    <cellStyle name="Separador de milhares 3 6 2 6 3 3 2" xfId="46097"/>
    <cellStyle name="Separador de milhares 3 6 2 6 3 4" xfId="15116"/>
    <cellStyle name="Separador de milhares 3 6 2 6 3 4 2" xfId="40183"/>
    <cellStyle name="Separador de milhares 3 6 2 6 3 5" xfId="34275"/>
    <cellStyle name="Separador de milhares 3 6 2 6 4" xfId="5355"/>
    <cellStyle name="Separador de milhares 3 6 2 6 4 2" xfId="23987"/>
    <cellStyle name="Separador de milhares 3 6 2 6 4 2 2" xfId="49054"/>
    <cellStyle name="Separador de milhares 3 6 2 6 4 3" xfId="31318"/>
    <cellStyle name="Separador de milhares 3 6 2 6 5" xfId="18073"/>
    <cellStyle name="Separador de milhares 3 6 2 6 5 2" xfId="43140"/>
    <cellStyle name="Separador de milhares 3 6 2 6 6" xfId="11742"/>
    <cellStyle name="Separador de milhares 3 6 2 6 6 2" xfId="37229"/>
    <cellStyle name="Separador de milhares 3 6 2 6 7" xfId="29848"/>
    <cellStyle name="Separador de milhares 3 6 2 7" xfId="2745"/>
    <cellStyle name="Separador de milhares 3 6 2 7 2" xfId="7201"/>
    <cellStyle name="Separador de milhares 3 6 2 7 2 2" xfId="10345"/>
    <cellStyle name="Separador de milhares 3 6 2 7 2 2 2" xfId="28559"/>
    <cellStyle name="Separador de milhares 3 6 2 7 2 2 2 2" xfId="53626"/>
    <cellStyle name="Separador de milhares 3 6 2 7 2 2 3" xfId="22645"/>
    <cellStyle name="Separador de milhares 3 6 2 7 2 2 3 2" xfId="47712"/>
    <cellStyle name="Separador de milhares 3 6 2 7 2 2 4" xfId="16731"/>
    <cellStyle name="Separador de milhares 3 6 2 7 2 2 4 2" xfId="41798"/>
    <cellStyle name="Separador de milhares 3 6 2 7 2 2 5" xfId="35890"/>
    <cellStyle name="Separador de milhares 3 6 2 7 2 3" xfId="25602"/>
    <cellStyle name="Separador de milhares 3 6 2 7 2 3 2" xfId="50669"/>
    <cellStyle name="Separador de milhares 3 6 2 7 2 4" xfId="19688"/>
    <cellStyle name="Separador de milhares 3 6 2 7 2 4 2" xfId="44755"/>
    <cellStyle name="Separador de milhares 3 6 2 7 2 5" xfId="13590"/>
    <cellStyle name="Separador de milhares 3 6 2 7 2 5 2" xfId="38844"/>
    <cellStyle name="Separador de milhares 3 6 2 7 2 6" xfId="32933"/>
    <cellStyle name="Separador de milhares 3 6 2 7 3" xfId="8877"/>
    <cellStyle name="Separador de milhares 3 6 2 7 3 2" xfId="27091"/>
    <cellStyle name="Separador de milhares 3 6 2 7 3 2 2" xfId="52158"/>
    <cellStyle name="Separador de milhares 3 6 2 7 3 3" xfId="21177"/>
    <cellStyle name="Separador de milhares 3 6 2 7 3 3 2" xfId="46244"/>
    <cellStyle name="Separador de milhares 3 6 2 7 3 4" xfId="15263"/>
    <cellStyle name="Separador de milhares 3 6 2 7 3 4 2" xfId="40330"/>
    <cellStyle name="Separador de milhares 3 6 2 7 3 5" xfId="34422"/>
    <cellStyle name="Separador de milhares 3 6 2 7 4" xfId="5502"/>
    <cellStyle name="Separador de milhares 3 6 2 7 4 2" xfId="24134"/>
    <cellStyle name="Separador de milhares 3 6 2 7 4 2 2" xfId="49201"/>
    <cellStyle name="Separador de milhares 3 6 2 7 4 3" xfId="31465"/>
    <cellStyle name="Separador de milhares 3 6 2 7 5" xfId="18220"/>
    <cellStyle name="Separador de milhares 3 6 2 7 5 2" xfId="43287"/>
    <cellStyle name="Separador de milhares 3 6 2 7 6" xfId="11889"/>
    <cellStyle name="Separador de milhares 3 6 2 7 6 2" xfId="37376"/>
    <cellStyle name="Separador de milhares 3 6 2 7 7" xfId="29995"/>
    <cellStyle name="Separador de milhares 3 6 2 8" xfId="3272"/>
    <cellStyle name="Separador de milhares 3 6 2 8 2" xfId="7348"/>
    <cellStyle name="Separador de milhares 3 6 2 8 2 2" xfId="10492"/>
    <cellStyle name="Separador de milhares 3 6 2 8 2 2 2" xfId="28706"/>
    <cellStyle name="Separador de milhares 3 6 2 8 2 2 2 2" xfId="53773"/>
    <cellStyle name="Separador de milhares 3 6 2 8 2 2 3" xfId="22792"/>
    <cellStyle name="Separador de milhares 3 6 2 8 2 2 3 2" xfId="47859"/>
    <cellStyle name="Separador de milhares 3 6 2 8 2 2 4" xfId="16878"/>
    <cellStyle name="Separador de milhares 3 6 2 8 2 2 4 2" xfId="41945"/>
    <cellStyle name="Separador de milhares 3 6 2 8 2 2 5" xfId="36037"/>
    <cellStyle name="Separador de milhares 3 6 2 8 2 3" xfId="25749"/>
    <cellStyle name="Separador de milhares 3 6 2 8 2 3 2" xfId="50816"/>
    <cellStyle name="Separador de milhares 3 6 2 8 2 4" xfId="19835"/>
    <cellStyle name="Separador de milhares 3 6 2 8 2 4 2" xfId="44902"/>
    <cellStyle name="Separador de milhares 3 6 2 8 2 5" xfId="13737"/>
    <cellStyle name="Separador de milhares 3 6 2 8 2 5 2" xfId="38991"/>
    <cellStyle name="Separador de milhares 3 6 2 8 2 6" xfId="33080"/>
    <cellStyle name="Separador de milhares 3 6 2 8 3" xfId="9024"/>
    <cellStyle name="Separador de milhares 3 6 2 8 3 2" xfId="27238"/>
    <cellStyle name="Separador de milhares 3 6 2 8 3 2 2" xfId="52305"/>
    <cellStyle name="Separador de milhares 3 6 2 8 3 3" xfId="21324"/>
    <cellStyle name="Separador de milhares 3 6 2 8 3 3 2" xfId="46391"/>
    <cellStyle name="Separador de milhares 3 6 2 8 3 4" xfId="15410"/>
    <cellStyle name="Separador de milhares 3 6 2 8 3 4 2" xfId="40477"/>
    <cellStyle name="Separador de milhares 3 6 2 8 3 5" xfId="34569"/>
    <cellStyle name="Separador de milhares 3 6 2 8 4" xfId="5649"/>
    <cellStyle name="Separador de milhares 3 6 2 8 4 2" xfId="24281"/>
    <cellStyle name="Separador de milhares 3 6 2 8 4 2 2" xfId="49348"/>
    <cellStyle name="Separador de milhares 3 6 2 8 4 3" xfId="31612"/>
    <cellStyle name="Separador de milhares 3 6 2 8 5" xfId="18367"/>
    <cellStyle name="Separador de milhares 3 6 2 8 5 2" xfId="43434"/>
    <cellStyle name="Separador de milhares 3 6 2 8 6" xfId="12036"/>
    <cellStyle name="Separador de milhares 3 6 2 8 6 2" xfId="37523"/>
    <cellStyle name="Separador de milhares 3 6 2 8 7" xfId="30142"/>
    <cellStyle name="Separador de milhares 3 6 2 9" xfId="3799"/>
    <cellStyle name="Separador de milhares 3 6 2 9 2" xfId="7495"/>
    <cellStyle name="Separador de milhares 3 6 2 9 2 2" xfId="10639"/>
    <cellStyle name="Separador de milhares 3 6 2 9 2 2 2" xfId="28853"/>
    <cellStyle name="Separador de milhares 3 6 2 9 2 2 2 2" xfId="53920"/>
    <cellStyle name="Separador de milhares 3 6 2 9 2 2 3" xfId="22939"/>
    <cellStyle name="Separador de milhares 3 6 2 9 2 2 3 2" xfId="48006"/>
    <cellStyle name="Separador de milhares 3 6 2 9 2 2 4" xfId="17025"/>
    <cellStyle name="Separador de milhares 3 6 2 9 2 2 4 2" xfId="42092"/>
    <cellStyle name="Separador de milhares 3 6 2 9 2 2 5" xfId="36184"/>
    <cellStyle name="Separador de milhares 3 6 2 9 2 3" xfId="25896"/>
    <cellStyle name="Separador de milhares 3 6 2 9 2 3 2" xfId="50963"/>
    <cellStyle name="Separador de milhares 3 6 2 9 2 4" xfId="19982"/>
    <cellStyle name="Separador de milhares 3 6 2 9 2 4 2" xfId="45049"/>
    <cellStyle name="Separador de milhares 3 6 2 9 2 5" xfId="13884"/>
    <cellStyle name="Separador de milhares 3 6 2 9 2 5 2" xfId="39138"/>
    <cellStyle name="Separador de milhares 3 6 2 9 2 6" xfId="33227"/>
    <cellStyle name="Separador de milhares 3 6 2 9 3" xfId="9171"/>
    <cellStyle name="Separador de milhares 3 6 2 9 3 2" xfId="27385"/>
    <cellStyle name="Separador de milhares 3 6 2 9 3 2 2" xfId="52452"/>
    <cellStyle name="Separador de milhares 3 6 2 9 3 3" xfId="21471"/>
    <cellStyle name="Separador de milhares 3 6 2 9 3 3 2" xfId="46538"/>
    <cellStyle name="Separador de milhares 3 6 2 9 3 4" xfId="15557"/>
    <cellStyle name="Separador de milhares 3 6 2 9 3 4 2" xfId="40624"/>
    <cellStyle name="Separador de milhares 3 6 2 9 3 5" xfId="34716"/>
    <cellStyle name="Separador de milhares 3 6 2 9 4" xfId="5796"/>
    <cellStyle name="Separador de milhares 3 6 2 9 4 2" xfId="24428"/>
    <cellStyle name="Separador de milhares 3 6 2 9 4 2 2" xfId="49495"/>
    <cellStyle name="Separador de milhares 3 6 2 9 4 3" xfId="31759"/>
    <cellStyle name="Separador de milhares 3 6 2 9 5" xfId="18514"/>
    <cellStyle name="Separador de milhares 3 6 2 9 5 2" xfId="43581"/>
    <cellStyle name="Separador de milhares 3 6 2 9 6" xfId="12183"/>
    <cellStyle name="Separador de milhares 3 6 2 9 6 2" xfId="37670"/>
    <cellStyle name="Separador de milhares 3 6 2 9 7" xfId="30289"/>
    <cellStyle name="Separador de milhares 3 6 3" xfId="251"/>
    <cellStyle name="Separador de milhares 3 6 3 10" xfId="6486"/>
    <cellStyle name="Separador de milhares 3 6 3 10 2" xfId="9637"/>
    <cellStyle name="Separador de milhares 3 6 3 10 2 2" xfId="27851"/>
    <cellStyle name="Separador de milhares 3 6 3 10 2 2 2" xfId="52918"/>
    <cellStyle name="Separador de milhares 3 6 3 10 2 3" xfId="21937"/>
    <cellStyle name="Separador de milhares 3 6 3 10 2 3 2" xfId="47004"/>
    <cellStyle name="Separador de milhares 3 6 3 10 2 4" xfId="16023"/>
    <cellStyle name="Separador de milhares 3 6 3 10 2 4 2" xfId="41090"/>
    <cellStyle name="Separador de milhares 3 6 3 10 2 5" xfId="35182"/>
    <cellStyle name="Separador de milhares 3 6 3 10 3" xfId="24894"/>
    <cellStyle name="Separador de milhares 3 6 3 10 3 2" xfId="49961"/>
    <cellStyle name="Separador de milhares 3 6 3 10 4" xfId="18980"/>
    <cellStyle name="Separador de milhares 3 6 3 10 4 2" xfId="44047"/>
    <cellStyle name="Separador de milhares 3 6 3 10 5" xfId="12875"/>
    <cellStyle name="Separador de milhares 3 6 3 10 5 2" xfId="38136"/>
    <cellStyle name="Separador de milhares 3 6 3 10 6" xfId="32225"/>
    <cellStyle name="Separador de milhares 3 6 3 11" xfId="8166"/>
    <cellStyle name="Separador de milhares 3 6 3 11 2" xfId="26380"/>
    <cellStyle name="Separador de milhares 3 6 3 11 2 2" xfId="51447"/>
    <cellStyle name="Separador de milhares 3 6 3 11 3" xfId="20466"/>
    <cellStyle name="Separador de milhares 3 6 3 11 3 2" xfId="45533"/>
    <cellStyle name="Separador de milhares 3 6 3 11 4" xfId="14555"/>
    <cellStyle name="Separador de milhares 3 6 3 11 4 2" xfId="39622"/>
    <cellStyle name="Separador de milhares 3 6 3 11 5" xfId="33711"/>
    <cellStyle name="Separador de milhares 3 6 3 12" xfId="4785"/>
    <cellStyle name="Separador de milhares 3 6 3 12 2" xfId="23423"/>
    <cellStyle name="Separador de milhares 3 6 3 12 2 2" xfId="48490"/>
    <cellStyle name="Separador de milhares 3 6 3 12 3" xfId="30755"/>
    <cellStyle name="Separador de milhares 3 6 3 13" xfId="17509"/>
    <cellStyle name="Separador de milhares 3 6 3 13 2" xfId="42576"/>
    <cellStyle name="Separador de milhares 3 6 3 14" xfId="11174"/>
    <cellStyle name="Separador de milhares 3 6 3 14 2" xfId="36668"/>
    <cellStyle name="Separador de milhares 3 6 3 15" xfId="29284"/>
    <cellStyle name="Separador de milhares 3 6 3 2" xfId="514"/>
    <cellStyle name="Separador de milhares 3 6 3 2 2" xfId="6557"/>
    <cellStyle name="Separador de milhares 3 6 3 2 2 2" xfId="9704"/>
    <cellStyle name="Separador de milhares 3 6 3 2 2 2 2" xfId="27918"/>
    <cellStyle name="Separador de milhares 3 6 3 2 2 2 2 2" xfId="52985"/>
    <cellStyle name="Separador de milhares 3 6 3 2 2 2 3" xfId="22004"/>
    <cellStyle name="Separador de milhares 3 6 3 2 2 2 3 2" xfId="47071"/>
    <cellStyle name="Separador de milhares 3 6 3 2 2 2 4" xfId="16090"/>
    <cellStyle name="Separador de milhares 3 6 3 2 2 2 4 2" xfId="41157"/>
    <cellStyle name="Separador de milhares 3 6 3 2 2 2 5" xfId="35249"/>
    <cellStyle name="Separador de milhares 3 6 3 2 2 3" xfId="24961"/>
    <cellStyle name="Separador de milhares 3 6 3 2 2 3 2" xfId="50028"/>
    <cellStyle name="Separador de milhares 3 6 3 2 2 4" xfId="19047"/>
    <cellStyle name="Separador de milhares 3 6 3 2 2 4 2" xfId="44114"/>
    <cellStyle name="Separador de milhares 3 6 3 2 2 5" xfId="12946"/>
    <cellStyle name="Separador de milhares 3 6 3 2 2 5 2" xfId="38203"/>
    <cellStyle name="Separador de milhares 3 6 3 2 2 6" xfId="32292"/>
    <cellStyle name="Separador de milhares 3 6 3 2 3" xfId="8233"/>
    <cellStyle name="Separador de milhares 3 6 3 2 3 2" xfId="26447"/>
    <cellStyle name="Separador de milhares 3 6 3 2 3 2 2" xfId="51514"/>
    <cellStyle name="Separador de milhares 3 6 3 2 3 3" xfId="20533"/>
    <cellStyle name="Separador de milhares 3 6 3 2 3 3 2" xfId="45600"/>
    <cellStyle name="Separador de milhares 3 6 3 2 3 4" xfId="14622"/>
    <cellStyle name="Separador de milhares 3 6 3 2 3 4 2" xfId="39689"/>
    <cellStyle name="Separador de milhares 3 6 3 2 3 5" xfId="33778"/>
    <cellStyle name="Separador de milhares 3 6 3 2 4" xfId="4856"/>
    <cellStyle name="Separador de milhares 3 6 3 2 4 2" xfId="23490"/>
    <cellStyle name="Separador de milhares 3 6 3 2 4 2 2" xfId="48557"/>
    <cellStyle name="Separador de milhares 3 6 3 2 4 3" xfId="30822"/>
    <cellStyle name="Separador de milhares 3 6 3 2 5" xfId="17576"/>
    <cellStyle name="Separador de milhares 3 6 3 2 5 2" xfId="42643"/>
    <cellStyle name="Separador de milhares 3 6 3 2 6" xfId="11245"/>
    <cellStyle name="Separador de milhares 3 6 3 2 6 2" xfId="36735"/>
    <cellStyle name="Separador de milhares 3 6 3 2 7" xfId="29351"/>
    <cellStyle name="Separador de milhares 3 6 3 3" xfId="811"/>
    <cellStyle name="Separador de milhares 3 6 3 3 2" xfId="6659"/>
    <cellStyle name="Separador de milhares 3 6 3 3 2 2" xfId="9806"/>
    <cellStyle name="Separador de milhares 3 6 3 3 2 2 2" xfId="28020"/>
    <cellStyle name="Separador de milhares 3 6 3 3 2 2 2 2" xfId="53087"/>
    <cellStyle name="Separador de milhares 3 6 3 3 2 2 3" xfId="22106"/>
    <cellStyle name="Separador de milhares 3 6 3 3 2 2 3 2" xfId="47173"/>
    <cellStyle name="Separador de milhares 3 6 3 3 2 2 4" xfId="16192"/>
    <cellStyle name="Separador de milhares 3 6 3 3 2 2 4 2" xfId="41259"/>
    <cellStyle name="Separador de milhares 3 6 3 3 2 2 5" xfId="35351"/>
    <cellStyle name="Separador de milhares 3 6 3 3 2 3" xfId="25063"/>
    <cellStyle name="Separador de milhares 3 6 3 3 2 3 2" xfId="50130"/>
    <cellStyle name="Separador de milhares 3 6 3 3 2 4" xfId="19149"/>
    <cellStyle name="Separador de milhares 3 6 3 3 2 4 2" xfId="44216"/>
    <cellStyle name="Separador de milhares 3 6 3 3 2 5" xfId="13048"/>
    <cellStyle name="Separador de milhares 3 6 3 3 2 5 2" xfId="38305"/>
    <cellStyle name="Separador de milhares 3 6 3 3 2 6" xfId="32394"/>
    <cellStyle name="Separador de milhares 3 6 3 3 3" xfId="8338"/>
    <cellStyle name="Separador de milhares 3 6 3 3 3 2" xfId="26552"/>
    <cellStyle name="Separador de milhares 3 6 3 3 3 2 2" xfId="51619"/>
    <cellStyle name="Separador de milhares 3 6 3 3 3 3" xfId="20638"/>
    <cellStyle name="Separador de milhares 3 6 3 3 3 3 2" xfId="45705"/>
    <cellStyle name="Separador de milhares 3 6 3 3 3 4" xfId="14724"/>
    <cellStyle name="Separador de milhares 3 6 3 3 3 4 2" xfId="39791"/>
    <cellStyle name="Separador de milhares 3 6 3 3 3 5" xfId="33883"/>
    <cellStyle name="Separador de milhares 3 6 3 3 4" xfId="4960"/>
    <cellStyle name="Separador de milhares 3 6 3 3 4 2" xfId="23595"/>
    <cellStyle name="Separador de milhares 3 6 3 3 4 2 2" xfId="48662"/>
    <cellStyle name="Separador de milhares 3 6 3 3 4 3" xfId="30926"/>
    <cellStyle name="Separador de milhares 3 6 3 3 5" xfId="17681"/>
    <cellStyle name="Separador de milhares 3 6 3 3 5 2" xfId="42748"/>
    <cellStyle name="Separador de milhares 3 6 3 3 6" xfId="11347"/>
    <cellStyle name="Separador de milhares 3 6 3 3 6 2" xfId="36837"/>
    <cellStyle name="Separador de milhares 3 6 3 3 7" xfId="29456"/>
    <cellStyle name="Separador de milhares 3 6 3 4" xfId="1162"/>
    <cellStyle name="Separador de milhares 3 6 3 4 2" xfId="6757"/>
    <cellStyle name="Separador de milhares 3 6 3 4 2 2" xfId="9904"/>
    <cellStyle name="Separador de milhares 3 6 3 4 2 2 2" xfId="28118"/>
    <cellStyle name="Separador de milhares 3 6 3 4 2 2 2 2" xfId="53185"/>
    <cellStyle name="Separador de milhares 3 6 3 4 2 2 3" xfId="22204"/>
    <cellStyle name="Separador de milhares 3 6 3 4 2 2 3 2" xfId="47271"/>
    <cellStyle name="Separador de milhares 3 6 3 4 2 2 4" xfId="16290"/>
    <cellStyle name="Separador de milhares 3 6 3 4 2 2 4 2" xfId="41357"/>
    <cellStyle name="Separador de milhares 3 6 3 4 2 2 5" xfId="35449"/>
    <cellStyle name="Separador de milhares 3 6 3 4 2 3" xfId="25161"/>
    <cellStyle name="Separador de milhares 3 6 3 4 2 3 2" xfId="50228"/>
    <cellStyle name="Separador de milhares 3 6 3 4 2 4" xfId="19247"/>
    <cellStyle name="Separador de milhares 3 6 3 4 2 4 2" xfId="44314"/>
    <cellStyle name="Separador de milhares 3 6 3 4 2 5" xfId="13146"/>
    <cellStyle name="Separador de milhares 3 6 3 4 2 5 2" xfId="38403"/>
    <cellStyle name="Separador de milhares 3 6 3 4 2 6" xfId="32492"/>
    <cellStyle name="Separador de milhares 3 6 3 4 3" xfId="8436"/>
    <cellStyle name="Separador de milhares 3 6 3 4 3 2" xfId="26650"/>
    <cellStyle name="Separador de milhares 3 6 3 4 3 2 2" xfId="51717"/>
    <cellStyle name="Separador de milhares 3 6 3 4 3 3" xfId="20736"/>
    <cellStyle name="Separador de milhares 3 6 3 4 3 3 2" xfId="45803"/>
    <cellStyle name="Separador de milhares 3 6 3 4 3 4" xfId="14822"/>
    <cellStyle name="Separador de milhares 3 6 3 4 3 4 2" xfId="39889"/>
    <cellStyle name="Separador de milhares 3 6 3 4 3 5" xfId="33981"/>
    <cellStyle name="Separador de milhares 3 6 3 4 4" xfId="5058"/>
    <cellStyle name="Separador de milhares 3 6 3 4 4 2" xfId="23693"/>
    <cellStyle name="Separador de milhares 3 6 3 4 4 2 2" xfId="48760"/>
    <cellStyle name="Separador de milhares 3 6 3 4 4 3" xfId="31024"/>
    <cellStyle name="Separador de milhares 3 6 3 4 5" xfId="17779"/>
    <cellStyle name="Separador de milhares 3 6 3 4 5 2" xfId="42846"/>
    <cellStyle name="Separador de milhares 3 6 3 4 6" xfId="11445"/>
    <cellStyle name="Separador de milhares 3 6 3 4 6 2" xfId="36935"/>
    <cellStyle name="Separador de milhares 3 6 3 4 7" xfId="29554"/>
    <cellStyle name="Separador de milhares 3 6 3 5" xfId="1597"/>
    <cellStyle name="Separador de milhares 3 6 3 5 2" xfId="6876"/>
    <cellStyle name="Separador de milhares 3 6 3 5 2 2" xfId="10023"/>
    <cellStyle name="Separador de milhares 3 6 3 5 2 2 2" xfId="28237"/>
    <cellStyle name="Separador de milhares 3 6 3 5 2 2 2 2" xfId="53304"/>
    <cellStyle name="Separador de milhares 3 6 3 5 2 2 3" xfId="22323"/>
    <cellStyle name="Separador de milhares 3 6 3 5 2 2 3 2" xfId="47390"/>
    <cellStyle name="Separador de milhares 3 6 3 5 2 2 4" xfId="16409"/>
    <cellStyle name="Separador de milhares 3 6 3 5 2 2 4 2" xfId="41476"/>
    <cellStyle name="Separador de milhares 3 6 3 5 2 2 5" xfId="35568"/>
    <cellStyle name="Separador de milhares 3 6 3 5 2 3" xfId="25280"/>
    <cellStyle name="Separador de milhares 3 6 3 5 2 3 2" xfId="50347"/>
    <cellStyle name="Separador de milhares 3 6 3 5 2 4" xfId="19366"/>
    <cellStyle name="Separador de milhares 3 6 3 5 2 4 2" xfId="44433"/>
    <cellStyle name="Separador de milhares 3 6 3 5 2 5" xfId="13265"/>
    <cellStyle name="Separador de milhares 3 6 3 5 2 5 2" xfId="38522"/>
    <cellStyle name="Separador de milhares 3 6 3 5 2 6" xfId="32611"/>
    <cellStyle name="Separador de milhares 3 6 3 5 3" xfId="8555"/>
    <cellStyle name="Separador de milhares 3 6 3 5 3 2" xfId="26769"/>
    <cellStyle name="Separador de milhares 3 6 3 5 3 2 2" xfId="51836"/>
    <cellStyle name="Separador de milhares 3 6 3 5 3 3" xfId="20855"/>
    <cellStyle name="Separador de milhares 3 6 3 5 3 3 2" xfId="45922"/>
    <cellStyle name="Separador de milhares 3 6 3 5 3 4" xfId="14941"/>
    <cellStyle name="Separador de milhares 3 6 3 5 3 4 2" xfId="40008"/>
    <cellStyle name="Separador de milhares 3 6 3 5 3 5" xfId="34100"/>
    <cellStyle name="Separador de milhares 3 6 3 5 4" xfId="5177"/>
    <cellStyle name="Separador de milhares 3 6 3 5 4 2" xfId="23812"/>
    <cellStyle name="Separador de milhares 3 6 3 5 4 2 2" xfId="48879"/>
    <cellStyle name="Separador de milhares 3 6 3 5 4 3" xfId="31143"/>
    <cellStyle name="Separador de milhares 3 6 3 5 5" xfId="17898"/>
    <cellStyle name="Separador de milhares 3 6 3 5 5 2" xfId="42965"/>
    <cellStyle name="Separador de milhares 3 6 3 5 6" xfId="11564"/>
    <cellStyle name="Separador de milhares 3 6 3 5 6 2" xfId="37054"/>
    <cellStyle name="Separador de milhares 3 6 3 5 7" xfId="29673"/>
    <cellStyle name="Separador de milhares 3 6 3 6" xfId="2127"/>
    <cellStyle name="Separador de milhares 3 6 3 6 2" xfId="7026"/>
    <cellStyle name="Separador de milhares 3 6 3 6 2 2" xfId="10170"/>
    <cellStyle name="Separador de milhares 3 6 3 6 2 2 2" xfId="28384"/>
    <cellStyle name="Separador de milhares 3 6 3 6 2 2 2 2" xfId="53451"/>
    <cellStyle name="Separador de milhares 3 6 3 6 2 2 3" xfId="22470"/>
    <cellStyle name="Separador de milhares 3 6 3 6 2 2 3 2" xfId="47537"/>
    <cellStyle name="Separador de milhares 3 6 3 6 2 2 4" xfId="16556"/>
    <cellStyle name="Separador de milhares 3 6 3 6 2 2 4 2" xfId="41623"/>
    <cellStyle name="Separador de milhares 3 6 3 6 2 2 5" xfId="35715"/>
    <cellStyle name="Separador de milhares 3 6 3 6 2 3" xfId="25427"/>
    <cellStyle name="Separador de milhares 3 6 3 6 2 3 2" xfId="50494"/>
    <cellStyle name="Separador de milhares 3 6 3 6 2 4" xfId="19513"/>
    <cellStyle name="Separador de milhares 3 6 3 6 2 4 2" xfId="44580"/>
    <cellStyle name="Separador de milhares 3 6 3 6 2 5" xfId="13415"/>
    <cellStyle name="Separador de milhares 3 6 3 6 2 5 2" xfId="38669"/>
    <cellStyle name="Separador de milhares 3 6 3 6 2 6" xfId="32758"/>
    <cellStyle name="Separador de milhares 3 6 3 6 3" xfId="8702"/>
    <cellStyle name="Separador de milhares 3 6 3 6 3 2" xfId="26916"/>
    <cellStyle name="Separador de milhares 3 6 3 6 3 2 2" xfId="51983"/>
    <cellStyle name="Separador de milhares 3 6 3 6 3 3" xfId="21002"/>
    <cellStyle name="Separador de milhares 3 6 3 6 3 3 2" xfId="46069"/>
    <cellStyle name="Separador de milhares 3 6 3 6 3 4" xfId="15088"/>
    <cellStyle name="Separador de milhares 3 6 3 6 3 4 2" xfId="40155"/>
    <cellStyle name="Separador de milhares 3 6 3 6 3 5" xfId="34247"/>
    <cellStyle name="Separador de milhares 3 6 3 6 4" xfId="5327"/>
    <cellStyle name="Separador de milhares 3 6 3 6 4 2" xfId="23959"/>
    <cellStyle name="Separador de milhares 3 6 3 6 4 2 2" xfId="49026"/>
    <cellStyle name="Separador de milhares 3 6 3 6 4 3" xfId="31290"/>
    <cellStyle name="Separador de milhares 3 6 3 6 5" xfId="18045"/>
    <cellStyle name="Separador de milhares 3 6 3 6 5 2" xfId="43112"/>
    <cellStyle name="Separador de milhares 3 6 3 6 6" xfId="11714"/>
    <cellStyle name="Separador de milhares 3 6 3 6 6 2" xfId="37201"/>
    <cellStyle name="Separador de milhares 3 6 3 6 7" xfId="29820"/>
    <cellStyle name="Separador de milhares 3 6 3 7" xfId="2654"/>
    <cellStyle name="Separador de milhares 3 6 3 7 2" xfId="7173"/>
    <cellStyle name="Separador de milhares 3 6 3 7 2 2" xfId="10317"/>
    <cellStyle name="Separador de milhares 3 6 3 7 2 2 2" xfId="28531"/>
    <cellStyle name="Separador de milhares 3 6 3 7 2 2 2 2" xfId="53598"/>
    <cellStyle name="Separador de milhares 3 6 3 7 2 2 3" xfId="22617"/>
    <cellStyle name="Separador de milhares 3 6 3 7 2 2 3 2" xfId="47684"/>
    <cellStyle name="Separador de milhares 3 6 3 7 2 2 4" xfId="16703"/>
    <cellStyle name="Separador de milhares 3 6 3 7 2 2 4 2" xfId="41770"/>
    <cellStyle name="Separador de milhares 3 6 3 7 2 2 5" xfId="35862"/>
    <cellStyle name="Separador de milhares 3 6 3 7 2 3" xfId="25574"/>
    <cellStyle name="Separador de milhares 3 6 3 7 2 3 2" xfId="50641"/>
    <cellStyle name="Separador de milhares 3 6 3 7 2 4" xfId="19660"/>
    <cellStyle name="Separador de milhares 3 6 3 7 2 4 2" xfId="44727"/>
    <cellStyle name="Separador de milhares 3 6 3 7 2 5" xfId="13562"/>
    <cellStyle name="Separador de milhares 3 6 3 7 2 5 2" xfId="38816"/>
    <cellStyle name="Separador de milhares 3 6 3 7 2 6" xfId="32905"/>
    <cellStyle name="Separador de milhares 3 6 3 7 3" xfId="8849"/>
    <cellStyle name="Separador de milhares 3 6 3 7 3 2" xfId="27063"/>
    <cellStyle name="Separador de milhares 3 6 3 7 3 2 2" xfId="52130"/>
    <cellStyle name="Separador de milhares 3 6 3 7 3 3" xfId="21149"/>
    <cellStyle name="Separador de milhares 3 6 3 7 3 3 2" xfId="46216"/>
    <cellStyle name="Separador de milhares 3 6 3 7 3 4" xfId="15235"/>
    <cellStyle name="Separador de milhares 3 6 3 7 3 4 2" xfId="40302"/>
    <cellStyle name="Separador de milhares 3 6 3 7 3 5" xfId="34394"/>
    <cellStyle name="Separador de milhares 3 6 3 7 4" xfId="5474"/>
    <cellStyle name="Separador de milhares 3 6 3 7 4 2" xfId="24106"/>
    <cellStyle name="Separador de milhares 3 6 3 7 4 2 2" xfId="49173"/>
    <cellStyle name="Separador de milhares 3 6 3 7 4 3" xfId="31437"/>
    <cellStyle name="Separador de milhares 3 6 3 7 5" xfId="18192"/>
    <cellStyle name="Separador de milhares 3 6 3 7 5 2" xfId="43259"/>
    <cellStyle name="Separador de milhares 3 6 3 7 6" xfId="11861"/>
    <cellStyle name="Separador de milhares 3 6 3 7 6 2" xfId="37348"/>
    <cellStyle name="Separador de milhares 3 6 3 7 7" xfId="29967"/>
    <cellStyle name="Separador de milhares 3 6 3 8" xfId="3181"/>
    <cellStyle name="Separador de milhares 3 6 3 8 2" xfId="7320"/>
    <cellStyle name="Separador de milhares 3 6 3 8 2 2" xfId="10464"/>
    <cellStyle name="Separador de milhares 3 6 3 8 2 2 2" xfId="28678"/>
    <cellStyle name="Separador de milhares 3 6 3 8 2 2 2 2" xfId="53745"/>
    <cellStyle name="Separador de milhares 3 6 3 8 2 2 3" xfId="22764"/>
    <cellStyle name="Separador de milhares 3 6 3 8 2 2 3 2" xfId="47831"/>
    <cellStyle name="Separador de milhares 3 6 3 8 2 2 4" xfId="16850"/>
    <cellStyle name="Separador de milhares 3 6 3 8 2 2 4 2" xfId="41917"/>
    <cellStyle name="Separador de milhares 3 6 3 8 2 2 5" xfId="36009"/>
    <cellStyle name="Separador de milhares 3 6 3 8 2 3" xfId="25721"/>
    <cellStyle name="Separador de milhares 3 6 3 8 2 3 2" xfId="50788"/>
    <cellStyle name="Separador de milhares 3 6 3 8 2 4" xfId="19807"/>
    <cellStyle name="Separador de milhares 3 6 3 8 2 4 2" xfId="44874"/>
    <cellStyle name="Separador de milhares 3 6 3 8 2 5" xfId="13709"/>
    <cellStyle name="Separador de milhares 3 6 3 8 2 5 2" xfId="38963"/>
    <cellStyle name="Separador de milhares 3 6 3 8 2 6" xfId="33052"/>
    <cellStyle name="Separador de milhares 3 6 3 8 3" xfId="8996"/>
    <cellStyle name="Separador de milhares 3 6 3 8 3 2" xfId="27210"/>
    <cellStyle name="Separador de milhares 3 6 3 8 3 2 2" xfId="52277"/>
    <cellStyle name="Separador de milhares 3 6 3 8 3 3" xfId="21296"/>
    <cellStyle name="Separador de milhares 3 6 3 8 3 3 2" xfId="46363"/>
    <cellStyle name="Separador de milhares 3 6 3 8 3 4" xfId="15382"/>
    <cellStyle name="Separador de milhares 3 6 3 8 3 4 2" xfId="40449"/>
    <cellStyle name="Separador de milhares 3 6 3 8 3 5" xfId="34541"/>
    <cellStyle name="Separador de milhares 3 6 3 8 4" xfId="5621"/>
    <cellStyle name="Separador de milhares 3 6 3 8 4 2" xfId="24253"/>
    <cellStyle name="Separador de milhares 3 6 3 8 4 2 2" xfId="49320"/>
    <cellStyle name="Separador de milhares 3 6 3 8 4 3" xfId="31584"/>
    <cellStyle name="Separador de milhares 3 6 3 8 5" xfId="18339"/>
    <cellStyle name="Separador de milhares 3 6 3 8 5 2" xfId="43406"/>
    <cellStyle name="Separador de milhares 3 6 3 8 6" xfId="12008"/>
    <cellStyle name="Separador de milhares 3 6 3 8 6 2" xfId="37495"/>
    <cellStyle name="Separador de milhares 3 6 3 8 7" xfId="30114"/>
    <cellStyle name="Separador de milhares 3 6 3 9" xfId="3708"/>
    <cellStyle name="Separador de milhares 3 6 3 9 2" xfId="7467"/>
    <cellStyle name="Separador de milhares 3 6 3 9 2 2" xfId="10611"/>
    <cellStyle name="Separador de milhares 3 6 3 9 2 2 2" xfId="28825"/>
    <cellStyle name="Separador de milhares 3 6 3 9 2 2 2 2" xfId="53892"/>
    <cellStyle name="Separador de milhares 3 6 3 9 2 2 3" xfId="22911"/>
    <cellStyle name="Separador de milhares 3 6 3 9 2 2 3 2" xfId="47978"/>
    <cellStyle name="Separador de milhares 3 6 3 9 2 2 4" xfId="16997"/>
    <cellStyle name="Separador de milhares 3 6 3 9 2 2 4 2" xfId="42064"/>
    <cellStyle name="Separador de milhares 3 6 3 9 2 2 5" xfId="36156"/>
    <cellStyle name="Separador de milhares 3 6 3 9 2 3" xfId="25868"/>
    <cellStyle name="Separador de milhares 3 6 3 9 2 3 2" xfId="50935"/>
    <cellStyle name="Separador de milhares 3 6 3 9 2 4" xfId="19954"/>
    <cellStyle name="Separador de milhares 3 6 3 9 2 4 2" xfId="45021"/>
    <cellStyle name="Separador de milhares 3 6 3 9 2 5" xfId="13856"/>
    <cellStyle name="Separador de milhares 3 6 3 9 2 5 2" xfId="39110"/>
    <cellStyle name="Separador de milhares 3 6 3 9 2 6" xfId="33199"/>
    <cellStyle name="Separador de milhares 3 6 3 9 3" xfId="9143"/>
    <cellStyle name="Separador de milhares 3 6 3 9 3 2" xfId="27357"/>
    <cellStyle name="Separador de milhares 3 6 3 9 3 2 2" xfId="52424"/>
    <cellStyle name="Separador de milhares 3 6 3 9 3 3" xfId="21443"/>
    <cellStyle name="Separador de milhares 3 6 3 9 3 3 2" xfId="46510"/>
    <cellStyle name="Separador de milhares 3 6 3 9 3 4" xfId="15529"/>
    <cellStyle name="Separador de milhares 3 6 3 9 3 4 2" xfId="40596"/>
    <cellStyle name="Separador de milhares 3 6 3 9 3 5" xfId="34688"/>
    <cellStyle name="Separador de milhares 3 6 3 9 4" xfId="5768"/>
    <cellStyle name="Separador de milhares 3 6 3 9 4 2" xfId="24400"/>
    <cellStyle name="Separador de milhares 3 6 3 9 4 2 2" xfId="49467"/>
    <cellStyle name="Separador de milhares 3 6 3 9 4 3" xfId="31731"/>
    <cellStyle name="Separador de milhares 3 6 3 9 5" xfId="18486"/>
    <cellStyle name="Separador de milhares 3 6 3 9 5 2" xfId="43553"/>
    <cellStyle name="Separador de milhares 3 6 3 9 6" xfId="12155"/>
    <cellStyle name="Separador de milhares 3 6 3 9 6 2" xfId="37642"/>
    <cellStyle name="Separador de milhares 3 6 3 9 7" xfId="30261"/>
    <cellStyle name="Separador de milhares 3 6 4" xfId="344"/>
    <cellStyle name="Separador de milhares 3 6 4 10" xfId="6514"/>
    <cellStyle name="Separador de milhares 3 6 4 10 2" xfId="9662"/>
    <cellStyle name="Separador de milhares 3 6 4 10 2 2" xfId="27876"/>
    <cellStyle name="Separador de milhares 3 6 4 10 2 2 2" xfId="52943"/>
    <cellStyle name="Separador de milhares 3 6 4 10 2 3" xfId="21962"/>
    <cellStyle name="Separador de milhares 3 6 4 10 2 3 2" xfId="47029"/>
    <cellStyle name="Separador de milhares 3 6 4 10 2 4" xfId="16048"/>
    <cellStyle name="Separador de milhares 3 6 4 10 2 4 2" xfId="41115"/>
    <cellStyle name="Separador de milhares 3 6 4 10 2 5" xfId="35207"/>
    <cellStyle name="Separador de milhares 3 6 4 10 3" xfId="24919"/>
    <cellStyle name="Separador de milhares 3 6 4 10 3 2" xfId="49986"/>
    <cellStyle name="Separador de milhares 3 6 4 10 4" xfId="19005"/>
    <cellStyle name="Separador de milhares 3 6 4 10 4 2" xfId="44072"/>
    <cellStyle name="Separador de milhares 3 6 4 10 5" xfId="12903"/>
    <cellStyle name="Separador de milhares 3 6 4 10 5 2" xfId="38161"/>
    <cellStyle name="Separador de milhares 3 6 4 10 6" xfId="32250"/>
    <cellStyle name="Separador de milhares 3 6 4 11" xfId="8191"/>
    <cellStyle name="Separador de milhares 3 6 4 11 2" xfId="26405"/>
    <cellStyle name="Separador de milhares 3 6 4 11 2 2" xfId="51472"/>
    <cellStyle name="Separador de milhares 3 6 4 11 3" xfId="20491"/>
    <cellStyle name="Separador de milhares 3 6 4 11 3 2" xfId="45558"/>
    <cellStyle name="Separador de milhares 3 6 4 11 4" xfId="14580"/>
    <cellStyle name="Separador de milhares 3 6 4 11 4 2" xfId="39647"/>
    <cellStyle name="Separador de milhares 3 6 4 11 5" xfId="33736"/>
    <cellStyle name="Separador de milhares 3 6 4 12" xfId="4813"/>
    <cellStyle name="Separador de milhares 3 6 4 12 2" xfId="23448"/>
    <cellStyle name="Separador de milhares 3 6 4 12 2 2" xfId="48515"/>
    <cellStyle name="Separador de milhares 3 6 4 12 3" xfId="30780"/>
    <cellStyle name="Separador de milhares 3 6 4 13" xfId="17534"/>
    <cellStyle name="Separador de milhares 3 6 4 13 2" xfId="42601"/>
    <cellStyle name="Separador de milhares 3 6 4 14" xfId="11202"/>
    <cellStyle name="Separador de milhares 3 6 4 14 2" xfId="36693"/>
    <cellStyle name="Separador de milhares 3 6 4 15" xfId="29309"/>
    <cellStyle name="Separador de milhares 3 6 4 2" xfId="989"/>
    <cellStyle name="Separador de milhares 3 6 4 2 2" xfId="6711"/>
    <cellStyle name="Separador de milhares 3 6 4 2 2 2" xfId="9858"/>
    <cellStyle name="Separador de milhares 3 6 4 2 2 2 2" xfId="28072"/>
    <cellStyle name="Separador de milhares 3 6 4 2 2 2 2 2" xfId="53139"/>
    <cellStyle name="Separador de milhares 3 6 4 2 2 2 3" xfId="22158"/>
    <cellStyle name="Separador de milhares 3 6 4 2 2 2 3 2" xfId="47225"/>
    <cellStyle name="Separador de milhares 3 6 4 2 2 2 4" xfId="16244"/>
    <cellStyle name="Separador de milhares 3 6 4 2 2 2 4 2" xfId="41311"/>
    <cellStyle name="Separador de milhares 3 6 4 2 2 2 5" xfId="35403"/>
    <cellStyle name="Separador de milhares 3 6 4 2 2 3" xfId="25115"/>
    <cellStyle name="Separador de milhares 3 6 4 2 2 3 2" xfId="50182"/>
    <cellStyle name="Separador de milhares 3 6 4 2 2 4" xfId="19201"/>
    <cellStyle name="Separador de milhares 3 6 4 2 2 4 2" xfId="44268"/>
    <cellStyle name="Separador de milhares 3 6 4 2 2 5" xfId="13100"/>
    <cellStyle name="Separador de milhares 3 6 4 2 2 5 2" xfId="38357"/>
    <cellStyle name="Separador de milhares 3 6 4 2 2 6" xfId="32446"/>
    <cellStyle name="Separador de milhares 3 6 4 2 3" xfId="8390"/>
    <cellStyle name="Separador de milhares 3 6 4 2 3 2" xfId="26604"/>
    <cellStyle name="Separador de milhares 3 6 4 2 3 2 2" xfId="51671"/>
    <cellStyle name="Separador de milhares 3 6 4 2 3 3" xfId="20690"/>
    <cellStyle name="Separador de milhares 3 6 4 2 3 3 2" xfId="45757"/>
    <cellStyle name="Separador de milhares 3 6 4 2 3 4" xfId="14776"/>
    <cellStyle name="Separador de milhares 3 6 4 2 3 4 2" xfId="39843"/>
    <cellStyle name="Separador de milhares 3 6 4 2 3 5" xfId="33935"/>
    <cellStyle name="Separador de milhares 3 6 4 2 4" xfId="5012"/>
    <cellStyle name="Separador de milhares 3 6 4 2 4 2" xfId="23647"/>
    <cellStyle name="Separador de milhares 3 6 4 2 4 2 2" xfId="48714"/>
    <cellStyle name="Separador de milhares 3 6 4 2 4 3" xfId="30978"/>
    <cellStyle name="Separador de milhares 3 6 4 2 5" xfId="17733"/>
    <cellStyle name="Separador de milhares 3 6 4 2 5 2" xfId="42800"/>
    <cellStyle name="Separador de milhares 3 6 4 2 6" xfId="11399"/>
    <cellStyle name="Separador de milhares 3 6 4 2 6 2" xfId="36889"/>
    <cellStyle name="Separador de milhares 3 6 4 2 7" xfId="29508"/>
    <cellStyle name="Separador de milhares 3 6 4 3" xfId="1340"/>
    <cellStyle name="Separador de milhares 3 6 4 3 2" xfId="6809"/>
    <cellStyle name="Separador de milhares 3 6 4 3 2 2" xfId="9956"/>
    <cellStyle name="Separador de milhares 3 6 4 3 2 2 2" xfId="28170"/>
    <cellStyle name="Separador de milhares 3 6 4 3 2 2 2 2" xfId="53237"/>
    <cellStyle name="Separador de milhares 3 6 4 3 2 2 3" xfId="22256"/>
    <cellStyle name="Separador de milhares 3 6 4 3 2 2 3 2" xfId="47323"/>
    <cellStyle name="Separador de milhares 3 6 4 3 2 2 4" xfId="16342"/>
    <cellStyle name="Separador de milhares 3 6 4 3 2 2 4 2" xfId="41409"/>
    <cellStyle name="Separador de milhares 3 6 4 3 2 2 5" xfId="35501"/>
    <cellStyle name="Separador de milhares 3 6 4 3 2 3" xfId="25213"/>
    <cellStyle name="Separador de milhares 3 6 4 3 2 3 2" xfId="50280"/>
    <cellStyle name="Separador de milhares 3 6 4 3 2 4" xfId="19299"/>
    <cellStyle name="Separador de milhares 3 6 4 3 2 4 2" xfId="44366"/>
    <cellStyle name="Separador de milhares 3 6 4 3 2 5" xfId="13198"/>
    <cellStyle name="Separador de milhares 3 6 4 3 2 5 2" xfId="38455"/>
    <cellStyle name="Separador de milhares 3 6 4 3 2 6" xfId="32544"/>
    <cellStyle name="Separador de milhares 3 6 4 3 3" xfId="8488"/>
    <cellStyle name="Separador de milhares 3 6 4 3 3 2" xfId="26702"/>
    <cellStyle name="Separador de milhares 3 6 4 3 3 2 2" xfId="51769"/>
    <cellStyle name="Separador de milhares 3 6 4 3 3 3" xfId="20788"/>
    <cellStyle name="Separador de milhares 3 6 4 3 3 3 2" xfId="45855"/>
    <cellStyle name="Separador de milhares 3 6 4 3 3 4" xfId="14874"/>
    <cellStyle name="Separador de milhares 3 6 4 3 3 4 2" xfId="39941"/>
    <cellStyle name="Separador de milhares 3 6 4 3 3 5" xfId="34033"/>
    <cellStyle name="Separador de milhares 3 6 4 3 4" xfId="5110"/>
    <cellStyle name="Separador de milhares 3 6 4 3 4 2" xfId="23745"/>
    <cellStyle name="Separador de milhares 3 6 4 3 4 2 2" xfId="48812"/>
    <cellStyle name="Separador de milhares 3 6 4 3 4 3" xfId="31076"/>
    <cellStyle name="Separador de milhares 3 6 4 3 5" xfId="17831"/>
    <cellStyle name="Separador de milhares 3 6 4 3 5 2" xfId="42898"/>
    <cellStyle name="Separador de milhares 3 6 4 3 6" xfId="11497"/>
    <cellStyle name="Separador de milhares 3 6 4 3 6 2" xfId="36987"/>
    <cellStyle name="Separador de milhares 3 6 4 3 7" xfId="29606"/>
    <cellStyle name="Separador de milhares 3 6 4 4" xfId="1775"/>
    <cellStyle name="Separador de milhares 3 6 4 4 2" xfId="6928"/>
    <cellStyle name="Separador de milhares 3 6 4 4 2 2" xfId="10075"/>
    <cellStyle name="Separador de milhares 3 6 4 4 2 2 2" xfId="28289"/>
    <cellStyle name="Separador de milhares 3 6 4 4 2 2 2 2" xfId="53356"/>
    <cellStyle name="Separador de milhares 3 6 4 4 2 2 3" xfId="22375"/>
    <cellStyle name="Separador de milhares 3 6 4 4 2 2 3 2" xfId="47442"/>
    <cellStyle name="Separador de milhares 3 6 4 4 2 2 4" xfId="16461"/>
    <cellStyle name="Separador de milhares 3 6 4 4 2 2 4 2" xfId="41528"/>
    <cellStyle name="Separador de milhares 3 6 4 4 2 2 5" xfId="35620"/>
    <cellStyle name="Separador de milhares 3 6 4 4 2 3" xfId="25332"/>
    <cellStyle name="Separador de milhares 3 6 4 4 2 3 2" xfId="50399"/>
    <cellStyle name="Separador de milhares 3 6 4 4 2 4" xfId="19418"/>
    <cellStyle name="Separador de milhares 3 6 4 4 2 4 2" xfId="44485"/>
    <cellStyle name="Separador de milhares 3 6 4 4 2 5" xfId="13317"/>
    <cellStyle name="Separador de milhares 3 6 4 4 2 5 2" xfId="38574"/>
    <cellStyle name="Separador de milhares 3 6 4 4 2 6" xfId="32663"/>
    <cellStyle name="Separador de milhares 3 6 4 4 3" xfId="8607"/>
    <cellStyle name="Separador de milhares 3 6 4 4 3 2" xfId="26821"/>
    <cellStyle name="Separador de milhares 3 6 4 4 3 2 2" xfId="51888"/>
    <cellStyle name="Separador de milhares 3 6 4 4 3 3" xfId="20907"/>
    <cellStyle name="Separador de milhares 3 6 4 4 3 3 2" xfId="45974"/>
    <cellStyle name="Separador de milhares 3 6 4 4 3 4" xfId="14993"/>
    <cellStyle name="Separador de milhares 3 6 4 4 3 4 2" xfId="40060"/>
    <cellStyle name="Separador de milhares 3 6 4 4 3 5" xfId="34152"/>
    <cellStyle name="Separador de milhares 3 6 4 4 4" xfId="5229"/>
    <cellStyle name="Separador de milhares 3 6 4 4 4 2" xfId="23864"/>
    <cellStyle name="Separador de milhares 3 6 4 4 4 2 2" xfId="48931"/>
    <cellStyle name="Separador de milhares 3 6 4 4 4 3" xfId="31195"/>
    <cellStyle name="Separador de milhares 3 6 4 4 5" xfId="17950"/>
    <cellStyle name="Separador de milhares 3 6 4 4 5 2" xfId="43017"/>
    <cellStyle name="Separador de milhares 3 6 4 4 6" xfId="11616"/>
    <cellStyle name="Separador de milhares 3 6 4 4 6 2" xfId="37106"/>
    <cellStyle name="Separador de milhares 3 6 4 4 7" xfId="29725"/>
    <cellStyle name="Separador de milhares 3 6 4 5" xfId="2305"/>
    <cellStyle name="Separador de milhares 3 6 4 5 2" xfId="7078"/>
    <cellStyle name="Separador de milhares 3 6 4 5 2 2" xfId="10222"/>
    <cellStyle name="Separador de milhares 3 6 4 5 2 2 2" xfId="28436"/>
    <cellStyle name="Separador de milhares 3 6 4 5 2 2 2 2" xfId="53503"/>
    <cellStyle name="Separador de milhares 3 6 4 5 2 2 3" xfId="22522"/>
    <cellStyle name="Separador de milhares 3 6 4 5 2 2 3 2" xfId="47589"/>
    <cellStyle name="Separador de milhares 3 6 4 5 2 2 4" xfId="16608"/>
    <cellStyle name="Separador de milhares 3 6 4 5 2 2 4 2" xfId="41675"/>
    <cellStyle name="Separador de milhares 3 6 4 5 2 2 5" xfId="35767"/>
    <cellStyle name="Separador de milhares 3 6 4 5 2 3" xfId="25479"/>
    <cellStyle name="Separador de milhares 3 6 4 5 2 3 2" xfId="50546"/>
    <cellStyle name="Separador de milhares 3 6 4 5 2 4" xfId="19565"/>
    <cellStyle name="Separador de milhares 3 6 4 5 2 4 2" xfId="44632"/>
    <cellStyle name="Separador de milhares 3 6 4 5 2 5" xfId="13467"/>
    <cellStyle name="Separador de milhares 3 6 4 5 2 5 2" xfId="38721"/>
    <cellStyle name="Separador de milhares 3 6 4 5 2 6" xfId="32810"/>
    <cellStyle name="Separador de milhares 3 6 4 5 3" xfId="8754"/>
    <cellStyle name="Separador de milhares 3 6 4 5 3 2" xfId="26968"/>
    <cellStyle name="Separador de milhares 3 6 4 5 3 2 2" xfId="52035"/>
    <cellStyle name="Separador de milhares 3 6 4 5 3 3" xfId="21054"/>
    <cellStyle name="Separador de milhares 3 6 4 5 3 3 2" xfId="46121"/>
    <cellStyle name="Separador de milhares 3 6 4 5 3 4" xfId="15140"/>
    <cellStyle name="Separador de milhares 3 6 4 5 3 4 2" xfId="40207"/>
    <cellStyle name="Separador de milhares 3 6 4 5 3 5" xfId="34299"/>
    <cellStyle name="Separador de milhares 3 6 4 5 4" xfId="5379"/>
    <cellStyle name="Separador de milhares 3 6 4 5 4 2" xfId="24011"/>
    <cellStyle name="Separador de milhares 3 6 4 5 4 2 2" xfId="49078"/>
    <cellStyle name="Separador de milhares 3 6 4 5 4 3" xfId="31342"/>
    <cellStyle name="Separador de milhares 3 6 4 5 5" xfId="18097"/>
    <cellStyle name="Separador de milhares 3 6 4 5 5 2" xfId="43164"/>
    <cellStyle name="Separador de milhares 3 6 4 5 6" xfId="11766"/>
    <cellStyle name="Separador de milhares 3 6 4 5 6 2" xfId="37253"/>
    <cellStyle name="Separador de milhares 3 6 4 5 7" xfId="29872"/>
    <cellStyle name="Separador de milhares 3 6 4 6" xfId="2832"/>
    <cellStyle name="Separador de milhares 3 6 4 6 2" xfId="7225"/>
    <cellStyle name="Separador de milhares 3 6 4 6 2 2" xfId="10369"/>
    <cellStyle name="Separador de milhares 3 6 4 6 2 2 2" xfId="28583"/>
    <cellStyle name="Separador de milhares 3 6 4 6 2 2 2 2" xfId="53650"/>
    <cellStyle name="Separador de milhares 3 6 4 6 2 2 3" xfId="22669"/>
    <cellStyle name="Separador de milhares 3 6 4 6 2 2 3 2" xfId="47736"/>
    <cellStyle name="Separador de milhares 3 6 4 6 2 2 4" xfId="16755"/>
    <cellStyle name="Separador de milhares 3 6 4 6 2 2 4 2" xfId="41822"/>
    <cellStyle name="Separador de milhares 3 6 4 6 2 2 5" xfId="35914"/>
    <cellStyle name="Separador de milhares 3 6 4 6 2 3" xfId="25626"/>
    <cellStyle name="Separador de milhares 3 6 4 6 2 3 2" xfId="50693"/>
    <cellStyle name="Separador de milhares 3 6 4 6 2 4" xfId="19712"/>
    <cellStyle name="Separador de milhares 3 6 4 6 2 4 2" xfId="44779"/>
    <cellStyle name="Separador de milhares 3 6 4 6 2 5" xfId="13614"/>
    <cellStyle name="Separador de milhares 3 6 4 6 2 5 2" xfId="38868"/>
    <cellStyle name="Separador de milhares 3 6 4 6 2 6" xfId="32957"/>
    <cellStyle name="Separador de milhares 3 6 4 6 3" xfId="8901"/>
    <cellStyle name="Separador de milhares 3 6 4 6 3 2" xfId="27115"/>
    <cellStyle name="Separador de milhares 3 6 4 6 3 2 2" xfId="52182"/>
    <cellStyle name="Separador de milhares 3 6 4 6 3 3" xfId="21201"/>
    <cellStyle name="Separador de milhares 3 6 4 6 3 3 2" xfId="46268"/>
    <cellStyle name="Separador de milhares 3 6 4 6 3 4" xfId="15287"/>
    <cellStyle name="Separador de milhares 3 6 4 6 3 4 2" xfId="40354"/>
    <cellStyle name="Separador de milhares 3 6 4 6 3 5" xfId="34446"/>
    <cellStyle name="Separador de milhares 3 6 4 6 4" xfId="5526"/>
    <cellStyle name="Separador de milhares 3 6 4 6 4 2" xfId="24158"/>
    <cellStyle name="Separador de milhares 3 6 4 6 4 2 2" xfId="49225"/>
    <cellStyle name="Separador de milhares 3 6 4 6 4 3" xfId="31489"/>
    <cellStyle name="Separador de milhares 3 6 4 6 5" xfId="18244"/>
    <cellStyle name="Separador de milhares 3 6 4 6 5 2" xfId="43311"/>
    <cellStyle name="Separador de milhares 3 6 4 6 6" xfId="11913"/>
    <cellStyle name="Separador de milhares 3 6 4 6 6 2" xfId="37400"/>
    <cellStyle name="Separador de milhares 3 6 4 6 7" xfId="30019"/>
    <cellStyle name="Separador de milhares 3 6 4 7" xfId="3359"/>
    <cellStyle name="Separador de milhares 3 6 4 7 2" xfId="7372"/>
    <cellStyle name="Separador de milhares 3 6 4 7 2 2" xfId="10516"/>
    <cellStyle name="Separador de milhares 3 6 4 7 2 2 2" xfId="28730"/>
    <cellStyle name="Separador de milhares 3 6 4 7 2 2 2 2" xfId="53797"/>
    <cellStyle name="Separador de milhares 3 6 4 7 2 2 3" xfId="22816"/>
    <cellStyle name="Separador de milhares 3 6 4 7 2 2 3 2" xfId="47883"/>
    <cellStyle name="Separador de milhares 3 6 4 7 2 2 4" xfId="16902"/>
    <cellStyle name="Separador de milhares 3 6 4 7 2 2 4 2" xfId="41969"/>
    <cellStyle name="Separador de milhares 3 6 4 7 2 2 5" xfId="36061"/>
    <cellStyle name="Separador de milhares 3 6 4 7 2 3" xfId="25773"/>
    <cellStyle name="Separador de milhares 3 6 4 7 2 3 2" xfId="50840"/>
    <cellStyle name="Separador de milhares 3 6 4 7 2 4" xfId="19859"/>
    <cellStyle name="Separador de milhares 3 6 4 7 2 4 2" xfId="44926"/>
    <cellStyle name="Separador de milhares 3 6 4 7 2 5" xfId="13761"/>
    <cellStyle name="Separador de milhares 3 6 4 7 2 5 2" xfId="39015"/>
    <cellStyle name="Separador de milhares 3 6 4 7 2 6" xfId="33104"/>
    <cellStyle name="Separador de milhares 3 6 4 7 3" xfId="9048"/>
    <cellStyle name="Separador de milhares 3 6 4 7 3 2" xfId="27262"/>
    <cellStyle name="Separador de milhares 3 6 4 7 3 2 2" xfId="52329"/>
    <cellStyle name="Separador de milhares 3 6 4 7 3 3" xfId="21348"/>
    <cellStyle name="Separador de milhares 3 6 4 7 3 3 2" xfId="46415"/>
    <cellStyle name="Separador de milhares 3 6 4 7 3 4" xfId="15434"/>
    <cellStyle name="Separador de milhares 3 6 4 7 3 4 2" xfId="40501"/>
    <cellStyle name="Separador de milhares 3 6 4 7 3 5" xfId="34593"/>
    <cellStyle name="Separador de milhares 3 6 4 7 4" xfId="5673"/>
    <cellStyle name="Separador de milhares 3 6 4 7 4 2" xfId="24305"/>
    <cellStyle name="Separador de milhares 3 6 4 7 4 2 2" xfId="49372"/>
    <cellStyle name="Separador de milhares 3 6 4 7 4 3" xfId="31636"/>
    <cellStyle name="Separador de milhares 3 6 4 7 5" xfId="18391"/>
    <cellStyle name="Separador de milhares 3 6 4 7 5 2" xfId="43458"/>
    <cellStyle name="Separador de milhares 3 6 4 7 6" xfId="12060"/>
    <cellStyle name="Separador de milhares 3 6 4 7 6 2" xfId="37547"/>
    <cellStyle name="Separador de milhares 3 6 4 7 7" xfId="30166"/>
    <cellStyle name="Separador de milhares 3 6 4 8" xfId="3886"/>
    <cellStyle name="Separador de milhares 3 6 4 8 2" xfId="7519"/>
    <cellStyle name="Separador de milhares 3 6 4 8 2 2" xfId="10663"/>
    <cellStyle name="Separador de milhares 3 6 4 8 2 2 2" xfId="28877"/>
    <cellStyle name="Separador de milhares 3 6 4 8 2 2 2 2" xfId="53944"/>
    <cellStyle name="Separador de milhares 3 6 4 8 2 2 3" xfId="22963"/>
    <cellStyle name="Separador de milhares 3 6 4 8 2 2 3 2" xfId="48030"/>
    <cellStyle name="Separador de milhares 3 6 4 8 2 2 4" xfId="17049"/>
    <cellStyle name="Separador de milhares 3 6 4 8 2 2 4 2" xfId="42116"/>
    <cellStyle name="Separador de milhares 3 6 4 8 2 2 5" xfId="36208"/>
    <cellStyle name="Separador de milhares 3 6 4 8 2 3" xfId="25920"/>
    <cellStyle name="Separador de milhares 3 6 4 8 2 3 2" xfId="50987"/>
    <cellStyle name="Separador de milhares 3 6 4 8 2 4" xfId="20006"/>
    <cellStyle name="Separador de milhares 3 6 4 8 2 4 2" xfId="45073"/>
    <cellStyle name="Separador de milhares 3 6 4 8 2 5" xfId="13908"/>
    <cellStyle name="Separador de milhares 3 6 4 8 2 5 2" xfId="39162"/>
    <cellStyle name="Separador de milhares 3 6 4 8 2 6" xfId="33251"/>
    <cellStyle name="Separador de milhares 3 6 4 8 3" xfId="9195"/>
    <cellStyle name="Separador de milhares 3 6 4 8 3 2" xfId="27409"/>
    <cellStyle name="Separador de milhares 3 6 4 8 3 2 2" xfId="52476"/>
    <cellStyle name="Separador de milhares 3 6 4 8 3 3" xfId="21495"/>
    <cellStyle name="Separador de milhares 3 6 4 8 3 3 2" xfId="46562"/>
    <cellStyle name="Separador de milhares 3 6 4 8 3 4" xfId="15581"/>
    <cellStyle name="Separador de milhares 3 6 4 8 3 4 2" xfId="40648"/>
    <cellStyle name="Separador de milhares 3 6 4 8 3 5" xfId="34740"/>
    <cellStyle name="Separador de milhares 3 6 4 8 4" xfId="5820"/>
    <cellStyle name="Separador de milhares 3 6 4 8 4 2" xfId="24452"/>
    <cellStyle name="Separador de milhares 3 6 4 8 4 2 2" xfId="49519"/>
    <cellStyle name="Separador de milhares 3 6 4 8 4 3" xfId="31783"/>
    <cellStyle name="Separador de milhares 3 6 4 8 5" xfId="18538"/>
    <cellStyle name="Separador de milhares 3 6 4 8 5 2" xfId="43605"/>
    <cellStyle name="Separador de milhares 3 6 4 8 6" xfId="12207"/>
    <cellStyle name="Separador de milhares 3 6 4 8 6 2" xfId="37694"/>
    <cellStyle name="Separador de milhares 3 6 4 8 7" xfId="30313"/>
    <cellStyle name="Separador de milhares 3 6 4 9" xfId="678"/>
    <cellStyle name="Separador de milhares 3 6 4 9 2" xfId="6613"/>
    <cellStyle name="Separador de milhares 3 6 4 9 2 2" xfId="9760"/>
    <cellStyle name="Separador de milhares 3 6 4 9 2 2 2" xfId="27974"/>
    <cellStyle name="Separador de milhares 3 6 4 9 2 2 2 2" xfId="53041"/>
    <cellStyle name="Separador de milhares 3 6 4 9 2 2 3" xfId="22060"/>
    <cellStyle name="Separador de milhares 3 6 4 9 2 2 3 2" xfId="47127"/>
    <cellStyle name="Separador de milhares 3 6 4 9 2 2 4" xfId="16146"/>
    <cellStyle name="Separador de milhares 3 6 4 9 2 2 4 2" xfId="41213"/>
    <cellStyle name="Separador de milhares 3 6 4 9 2 2 5" xfId="35305"/>
    <cellStyle name="Separador de milhares 3 6 4 9 2 3" xfId="25017"/>
    <cellStyle name="Separador de milhares 3 6 4 9 2 3 2" xfId="50084"/>
    <cellStyle name="Separador de milhares 3 6 4 9 2 4" xfId="19103"/>
    <cellStyle name="Separador de milhares 3 6 4 9 2 4 2" xfId="44170"/>
    <cellStyle name="Separador de milhares 3 6 4 9 2 5" xfId="13002"/>
    <cellStyle name="Separador de milhares 3 6 4 9 2 5 2" xfId="38259"/>
    <cellStyle name="Separador de milhares 3 6 4 9 2 6" xfId="32348"/>
    <cellStyle name="Separador de milhares 3 6 4 9 3" xfId="8292"/>
    <cellStyle name="Separador de milhares 3 6 4 9 3 2" xfId="26506"/>
    <cellStyle name="Separador de milhares 3 6 4 9 3 2 2" xfId="51573"/>
    <cellStyle name="Separador de milhares 3 6 4 9 3 3" xfId="20592"/>
    <cellStyle name="Separador de milhares 3 6 4 9 3 3 2" xfId="45659"/>
    <cellStyle name="Separador de milhares 3 6 4 9 3 4" xfId="14678"/>
    <cellStyle name="Separador de milhares 3 6 4 9 3 4 2" xfId="39745"/>
    <cellStyle name="Separador de milhares 3 6 4 9 3 5" xfId="33837"/>
    <cellStyle name="Separador de milhares 3 6 4 9 4" xfId="4914"/>
    <cellStyle name="Separador de milhares 3 6 4 9 4 2" xfId="23549"/>
    <cellStyle name="Separador de milhares 3 6 4 9 4 2 2" xfId="48616"/>
    <cellStyle name="Separador de milhares 3 6 4 9 4 3" xfId="30880"/>
    <cellStyle name="Separador de milhares 3 6 4 9 5" xfId="17635"/>
    <cellStyle name="Separador de milhares 3 6 4 9 5 2" xfId="42702"/>
    <cellStyle name="Separador de milhares 3 6 4 9 6" xfId="11301"/>
    <cellStyle name="Separador de milhares 3 6 4 9 6 2" xfId="36791"/>
    <cellStyle name="Separador de milhares 3 6 4 9 7" xfId="29410"/>
    <cellStyle name="Separador de milhares 3 6 5" xfId="601"/>
    <cellStyle name="Separador de milhares 3 6 5 10" xfId="4878"/>
    <cellStyle name="Separador de milhares 3 6 5 10 2" xfId="23512"/>
    <cellStyle name="Separador de milhares 3 6 5 10 2 2" xfId="48579"/>
    <cellStyle name="Separador de milhares 3 6 5 10 3" xfId="30844"/>
    <cellStyle name="Separador de milhares 3 6 5 11" xfId="17598"/>
    <cellStyle name="Separador de milhares 3 6 5 11 2" xfId="42665"/>
    <cellStyle name="Separador de milhares 3 6 5 12" xfId="11267"/>
    <cellStyle name="Separador de milhares 3 6 5 12 2" xfId="36757"/>
    <cellStyle name="Separador de milhares 3 6 5 13" xfId="29373"/>
    <cellStyle name="Separador de milhares 3 6 5 2" xfId="1424"/>
    <cellStyle name="Separador de milhares 3 6 5 2 2" xfId="6830"/>
    <cellStyle name="Separador de milhares 3 6 5 2 2 2" xfId="9977"/>
    <cellStyle name="Separador de milhares 3 6 5 2 2 2 2" xfId="28191"/>
    <cellStyle name="Separador de milhares 3 6 5 2 2 2 2 2" xfId="53258"/>
    <cellStyle name="Separador de milhares 3 6 5 2 2 2 3" xfId="22277"/>
    <cellStyle name="Separador de milhares 3 6 5 2 2 2 3 2" xfId="47344"/>
    <cellStyle name="Separador de milhares 3 6 5 2 2 2 4" xfId="16363"/>
    <cellStyle name="Separador de milhares 3 6 5 2 2 2 4 2" xfId="41430"/>
    <cellStyle name="Separador de milhares 3 6 5 2 2 2 5" xfId="35522"/>
    <cellStyle name="Separador de milhares 3 6 5 2 2 3" xfId="25234"/>
    <cellStyle name="Separador de milhares 3 6 5 2 2 3 2" xfId="50301"/>
    <cellStyle name="Separador de milhares 3 6 5 2 2 4" xfId="19320"/>
    <cellStyle name="Separador de milhares 3 6 5 2 2 4 2" xfId="44387"/>
    <cellStyle name="Separador de milhares 3 6 5 2 2 5" xfId="13219"/>
    <cellStyle name="Separador de milhares 3 6 5 2 2 5 2" xfId="38476"/>
    <cellStyle name="Separador de milhares 3 6 5 2 2 6" xfId="32565"/>
    <cellStyle name="Separador de milhares 3 6 5 2 3" xfId="8509"/>
    <cellStyle name="Separador de milhares 3 6 5 2 3 2" xfId="26723"/>
    <cellStyle name="Separador de milhares 3 6 5 2 3 2 2" xfId="51790"/>
    <cellStyle name="Separador de milhares 3 6 5 2 3 3" xfId="20809"/>
    <cellStyle name="Separador de milhares 3 6 5 2 3 3 2" xfId="45876"/>
    <cellStyle name="Separador de milhares 3 6 5 2 3 4" xfId="14895"/>
    <cellStyle name="Separador de milhares 3 6 5 2 3 4 2" xfId="39962"/>
    <cellStyle name="Separador de milhares 3 6 5 2 3 5" xfId="34054"/>
    <cellStyle name="Separador de milhares 3 6 5 2 4" xfId="5131"/>
    <cellStyle name="Separador de milhares 3 6 5 2 4 2" xfId="23766"/>
    <cellStyle name="Separador de milhares 3 6 5 2 4 2 2" xfId="48833"/>
    <cellStyle name="Separador de milhares 3 6 5 2 4 3" xfId="31097"/>
    <cellStyle name="Separador de milhares 3 6 5 2 5" xfId="17852"/>
    <cellStyle name="Separador de milhares 3 6 5 2 5 2" xfId="42919"/>
    <cellStyle name="Separador de milhares 3 6 5 2 6" xfId="11518"/>
    <cellStyle name="Separador de milhares 3 6 5 2 6 2" xfId="37008"/>
    <cellStyle name="Separador de milhares 3 6 5 2 7" xfId="29627"/>
    <cellStyle name="Separador de milhares 3 6 5 3" xfId="1859"/>
    <cellStyle name="Separador de milhares 3 6 5 3 2" xfId="6949"/>
    <cellStyle name="Separador de milhares 3 6 5 3 2 2" xfId="10096"/>
    <cellStyle name="Separador de milhares 3 6 5 3 2 2 2" xfId="28310"/>
    <cellStyle name="Separador de milhares 3 6 5 3 2 2 2 2" xfId="53377"/>
    <cellStyle name="Separador de milhares 3 6 5 3 2 2 3" xfId="22396"/>
    <cellStyle name="Separador de milhares 3 6 5 3 2 2 3 2" xfId="47463"/>
    <cellStyle name="Separador de milhares 3 6 5 3 2 2 4" xfId="16482"/>
    <cellStyle name="Separador de milhares 3 6 5 3 2 2 4 2" xfId="41549"/>
    <cellStyle name="Separador de milhares 3 6 5 3 2 2 5" xfId="35641"/>
    <cellStyle name="Separador de milhares 3 6 5 3 2 3" xfId="25353"/>
    <cellStyle name="Separador de milhares 3 6 5 3 2 3 2" xfId="50420"/>
    <cellStyle name="Separador de milhares 3 6 5 3 2 4" xfId="19439"/>
    <cellStyle name="Separador de milhares 3 6 5 3 2 4 2" xfId="44506"/>
    <cellStyle name="Separador de milhares 3 6 5 3 2 5" xfId="13338"/>
    <cellStyle name="Separador de milhares 3 6 5 3 2 5 2" xfId="38595"/>
    <cellStyle name="Separador de milhares 3 6 5 3 2 6" xfId="32684"/>
    <cellStyle name="Separador de milhares 3 6 5 3 3" xfId="8628"/>
    <cellStyle name="Separador de milhares 3 6 5 3 3 2" xfId="26842"/>
    <cellStyle name="Separador de milhares 3 6 5 3 3 2 2" xfId="51909"/>
    <cellStyle name="Separador de milhares 3 6 5 3 3 3" xfId="20928"/>
    <cellStyle name="Separador de milhares 3 6 5 3 3 3 2" xfId="45995"/>
    <cellStyle name="Separador de milhares 3 6 5 3 3 4" xfId="15014"/>
    <cellStyle name="Separador de milhares 3 6 5 3 3 4 2" xfId="40081"/>
    <cellStyle name="Separador de milhares 3 6 5 3 3 5" xfId="34173"/>
    <cellStyle name="Separador de milhares 3 6 5 3 4" xfId="5250"/>
    <cellStyle name="Separador de milhares 3 6 5 3 4 2" xfId="23885"/>
    <cellStyle name="Separador de milhares 3 6 5 3 4 2 2" xfId="48952"/>
    <cellStyle name="Separador de milhares 3 6 5 3 4 3" xfId="31216"/>
    <cellStyle name="Separador de milhares 3 6 5 3 5" xfId="17971"/>
    <cellStyle name="Separador de milhares 3 6 5 3 5 2" xfId="43038"/>
    <cellStyle name="Separador de milhares 3 6 5 3 6" xfId="11637"/>
    <cellStyle name="Separador de milhares 3 6 5 3 6 2" xfId="37127"/>
    <cellStyle name="Separador de milhares 3 6 5 3 7" xfId="29746"/>
    <cellStyle name="Separador de milhares 3 6 5 4" xfId="2389"/>
    <cellStyle name="Separador de milhares 3 6 5 4 2" xfId="7099"/>
    <cellStyle name="Separador de milhares 3 6 5 4 2 2" xfId="10243"/>
    <cellStyle name="Separador de milhares 3 6 5 4 2 2 2" xfId="28457"/>
    <cellStyle name="Separador de milhares 3 6 5 4 2 2 2 2" xfId="53524"/>
    <cellStyle name="Separador de milhares 3 6 5 4 2 2 3" xfId="22543"/>
    <cellStyle name="Separador de milhares 3 6 5 4 2 2 3 2" xfId="47610"/>
    <cellStyle name="Separador de milhares 3 6 5 4 2 2 4" xfId="16629"/>
    <cellStyle name="Separador de milhares 3 6 5 4 2 2 4 2" xfId="41696"/>
    <cellStyle name="Separador de milhares 3 6 5 4 2 2 5" xfId="35788"/>
    <cellStyle name="Separador de milhares 3 6 5 4 2 3" xfId="25500"/>
    <cellStyle name="Separador de milhares 3 6 5 4 2 3 2" xfId="50567"/>
    <cellStyle name="Separador de milhares 3 6 5 4 2 4" xfId="19586"/>
    <cellStyle name="Separador de milhares 3 6 5 4 2 4 2" xfId="44653"/>
    <cellStyle name="Separador de milhares 3 6 5 4 2 5" xfId="13488"/>
    <cellStyle name="Separador de milhares 3 6 5 4 2 5 2" xfId="38742"/>
    <cellStyle name="Separador de milhares 3 6 5 4 2 6" xfId="32831"/>
    <cellStyle name="Separador de milhares 3 6 5 4 3" xfId="8775"/>
    <cellStyle name="Separador de milhares 3 6 5 4 3 2" xfId="26989"/>
    <cellStyle name="Separador de milhares 3 6 5 4 3 2 2" xfId="52056"/>
    <cellStyle name="Separador de milhares 3 6 5 4 3 3" xfId="21075"/>
    <cellStyle name="Separador de milhares 3 6 5 4 3 3 2" xfId="46142"/>
    <cellStyle name="Separador de milhares 3 6 5 4 3 4" xfId="15161"/>
    <cellStyle name="Separador de milhares 3 6 5 4 3 4 2" xfId="40228"/>
    <cellStyle name="Separador de milhares 3 6 5 4 3 5" xfId="34320"/>
    <cellStyle name="Separador de milhares 3 6 5 4 4" xfId="5400"/>
    <cellStyle name="Separador de milhares 3 6 5 4 4 2" xfId="24032"/>
    <cellStyle name="Separador de milhares 3 6 5 4 4 2 2" xfId="49099"/>
    <cellStyle name="Separador de milhares 3 6 5 4 4 3" xfId="31363"/>
    <cellStyle name="Separador de milhares 3 6 5 4 5" xfId="18118"/>
    <cellStyle name="Separador de milhares 3 6 5 4 5 2" xfId="43185"/>
    <cellStyle name="Separador de milhares 3 6 5 4 6" xfId="11787"/>
    <cellStyle name="Separador de milhares 3 6 5 4 6 2" xfId="37274"/>
    <cellStyle name="Separador de milhares 3 6 5 4 7" xfId="29893"/>
    <cellStyle name="Separador de milhares 3 6 5 5" xfId="2916"/>
    <cellStyle name="Separador de milhares 3 6 5 5 2" xfId="7246"/>
    <cellStyle name="Separador de milhares 3 6 5 5 2 2" xfId="10390"/>
    <cellStyle name="Separador de milhares 3 6 5 5 2 2 2" xfId="28604"/>
    <cellStyle name="Separador de milhares 3 6 5 5 2 2 2 2" xfId="53671"/>
    <cellStyle name="Separador de milhares 3 6 5 5 2 2 3" xfId="22690"/>
    <cellStyle name="Separador de milhares 3 6 5 5 2 2 3 2" xfId="47757"/>
    <cellStyle name="Separador de milhares 3 6 5 5 2 2 4" xfId="16776"/>
    <cellStyle name="Separador de milhares 3 6 5 5 2 2 4 2" xfId="41843"/>
    <cellStyle name="Separador de milhares 3 6 5 5 2 2 5" xfId="35935"/>
    <cellStyle name="Separador de milhares 3 6 5 5 2 3" xfId="25647"/>
    <cellStyle name="Separador de milhares 3 6 5 5 2 3 2" xfId="50714"/>
    <cellStyle name="Separador de milhares 3 6 5 5 2 4" xfId="19733"/>
    <cellStyle name="Separador de milhares 3 6 5 5 2 4 2" xfId="44800"/>
    <cellStyle name="Separador de milhares 3 6 5 5 2 5" xfId="13635"/>
    <cellStyle name="Separador de milhares 3 6 5 5 2 5 2" xfId="38889"/>
    <cellStyle name="Separador de milhares 3 6 5 5 2 6" xfId="32978"/>
    <cellStyle name="Separador de milhares 3 6 5 5 3" xfId="8922"/>
    <cellStyle name="Separador de milhares 3 6 5 5 3 2" xfId="27136"/>
    <cellStyle name="Separador de milhares 3 6 5 5 3 2 2" xfId="52203"/>
    <cellStyle name="Separador de milhares 3 6 5 5 3 3" xfId="21222"/>
    <cellStyle name="Separador de milhares 3 6 5 5 3 3 2" xfId="46289"/>
    <cellStyle name="Separador de milhares 3 6 5 5 3 4" xfId="15308"/>
    <cellStyle name="Separador de milhares 3 6 5 5 3 4 2" xfId="40375"/>
    <cellStyle name="Separador de milhares 3 6 5 5 3 5" xfId="34467"/>
    <cellStyle name="Separador de milhares 3 6 5 5 4" xfId="5547"/>
    <cellStyle name="Separador de milhares 3 6 5 5 4 2" xfId="24179"/>
    <cellStyle name="Separador de milhares 3 6 5 5 4 2 2" xfId="49246"/>
    <cellStyle name="Separador de milhares 3 6 5 5 4 3" xfId="31510"/>
    <cellStyle name="Separador de milhares 3 6 5 5 5" xfId="18265"/>
    <cellStyle name="Separador de milhares 3 6 5 5 5 2" xfId="43332"/>
    <cellStyle name="Separador de milhares 3 6 5 5 6" xfId="11934"/>
    <cellStyle name="Separador de milhares 3 6 5 5 6 2" xfId="37421"/>
    <cellStyle name="Separador de milhares 3 6 5 5 7" xfId="30040"/>
    <cellStyle name="Separador de milhares 3 6 5 6" xfId="3443"/>
    <cellStyle name="Separador de milhares 3 6 5 6 2" xfId="7393"/>
    <cellStyle name="Separador de milhares 3 6 5 6 2 2" xfId="10537"/>
    <cellStyle name="Separador de milhares 3 6 5 6 2 2 2" xfId="28751"/>
    <cellStyle name="Separador de milhares 3 6 5 6 2 2 2 2" xfId="53818"/>
    <cellStyle name="Separador de milhares 3 6 5 6 2 2 3" xfId="22837"/>
    <cellStyle name="Separador de milhares 3 6 5 6 2 2 3 2" xfId="47904"/>
    <cellStyle name="Separador de milhares 3 6 5 6 2 2 4" xfId="16923"/>
    <cellStyle name="Separador de milhares 3 6 5 6 2 2 4 2" xfId="41990"/>
    <cellStyle name="Separador de milhares 3 6 5 6 2 2 5" xfId="36082"/>
    <cellStyle name="Separador de milhares 3 6 5 6 2 3" xfId="25794"/>
    <cellStyle name="Separador de milhares 3 6 5 6 2 3 2" xfId="50861"/>
    <cellStyle name="Separador de milhares 3 6 5 6 2 4" xfId="19880"/>
    <cellStyle name="Separador de milhares 3 6 5 6 2 4 2" xfId="44947"/>
    <cellStyle name="Separador de milhares 3 6 5 6 2 5" xfId="13782"/>
    <cellStyle name="Separador de milhares 3 6 5 6 2 5 2" xfId="39036"/>
    <cellStyle name="Separador de milhares 3 6 5 6 2 6" xfId="33125"/>
    <cellStyle name="Separador de milhares 3 6 5 6 3" xfId="9069"/>
    <cellStyle name="Separador de milhares 3 6 5 6 3 2" xfId="27283"/>
    <cellStyle name="Separador de milhares 3 6 5 6 3 2 2" xfId="52350"/>
    <cellStyle name="Separador de milhares 3 6 5 6 3 3" xfId="21369"/>
    <cellStyle name="Separador de milhares 3 6 5 6 3 3 2" xfId="46436"/>
    <cellStyle name="Separador de milhares 3 6 5 6 3 4" xfId="15455"/>
    <cellStyle name="Separador de milhares 3 6 5 6 3 4 2" xfId="40522"/>
    <cellStyle name="Separador de milhares 3 6 5 6 3 5" xfId="34614"/>
    <cellStyle name="Separador de milhares 3 6 5 6 4" xfId="5694"/>
    <cellStyle name="Separador de milhares 3 6 5 6 4 2" xfId="24326"/>
    <cellStyle name="Separador de milhares 3 6 5 6 4 2 2" xfId="49393"/>
    <cellStyle name="Separador de milhares 3 6 5 6 4 3" xfId="31657"/>
    <cellStyle name="Separador de milhares 3 6 5 6 5" xfId="18412"/>
    <cellStyle name="Separador de milhares 3 6 5 6 5 2" xfId="43479"/>
    <cellStyle name="Separador de milhares 3 6 5 6 6" xfId="12081"/>
    <cellStyle name="Separador de milhares 3 6 5 6 6 2" xfId="37568"/>
    <cellStyle name="Separador de milhares 3 6 5 6 7" xfId="30187"/>
    <cellStyle name="Separador de milhares 3 6 5 7" xfId="3970"/>
    <cellStyle name="Separador de milhares 3 6 5 7 2" xfId="7540"/>
    <cellStyle name="Separador de milhares 3 6 5 7 2 2" xfId="10684"/>
    <cellStyle name="Separador de milhares 3 6 5 7 2 2 2" xfId="28898"/>
    <cellStyle name="Separador de milhares 3 6 5 7 2 2 2 2" xfId="53965"/>
    <cellStyle name="Separador de milhares 3 6 5 7 2 2 3" xfId="22984"/>
    <cellStyle name="Separador de milhares 3 6 5 7 2 2 3 2" xfId="48051"/>
    <cellStyle name="Separador de milhares 3 6 5 7 2 2 4" xfId="17070"/>
    <cellStyle name="Separador de milhares 3 6 5 7 2 2 4 2" xfId="42137"/>
    <cellStyle name="Separador de milhares 3 6 5 7 2 2 5" xfId="36229"/>
    <cellStyle name="Separador de milhares 3 6 5 7 2 3" xfId="25941"/>
    <cellStyle name="Separador de milhares 3 6 5 7 2 3 2" xfId="51008"/>
    <cellStyle name="Separador de milhares 3 6 5 7 2 4" xfId="20027"/>
    <cellStyle name="Separador de milhares 3 6 5 7 2 4 2" xfId="45094"/>
    <cellStyle name="Separador de milhares 3 6 5 7 2 5" xfId="13929"/>
    <cellStyle name="Separador de milhares 3 6 5 7 2 5 2" xfId="39183"/>
    <cellStyle name="Separador de milhares 3 6 5 7 2 6" xfId="33272"/>
    <cellStyle name="Separador de milhares 3 6 5 7 3" xfId="9216"/>
    <cellStyle name="Separador de milhares 3 6 5 7 3 2" xfId="27430"/>
    <cellStyle name="Separador de milhares 3 6 5 7 3 2 2" xfId="52497"/>
    <cellStyle name="Separador de milhares 3 6 5 7 3 3" xfId="21516"/>
    <cellStyle name="Separador de milhares 3 6 5 7 3 3 2" xfId="46583"/>
    <cellStyle name="Separador de milhares 3 6 5 7 3 4" xfId="15602"/>
    <cellStyle name="Separador de milhares 3 6 5 7 3 4 2" xfId="40669"/>
    <cellStyle name="Separador de milhares 3 6 5 7 3 5" xfId="34761"/>
    <cellStyle name="Separador de milhares 3 6 5 7 4" xfId="5841"/>
    <cellStyle name="Separador de milhares 3 6 5 7 4 2" xfId="24473"/>
    <cellStyle name="Separador de milhares 3 6 5 7 4 2 2" xfId="49540"/>
    <cellStyle name="Separador de milhares 3 6 5 7 4 3" xfId="31804"/>
    <cellStyle name="Separador de milhares 3 6 5 7 5" xfId="18559"/>
    <cellStyle name="Separador de milhares 3 6 5 7 5 2" xfId="43626"/>
    <cellStyle name="Separador de milhares 3 6 5 7 6" xfId="12228"/>
    <cellStyle name="Separador de milhares 3 6 5 7 6 2" xfId="37715"/>
    <cellStyle name="Separador de milhares 3 6 5 7 7" xfId="30334"/>
    <cellStyle name="Separador de milhares 3 6 5 8" xfId="6579"/>
    <cellStyle name="Separador de milhares 3 6 5 8 2" xfId="9726"/>
    <cellStyle name="Separador de milhares 3 6 5 8 2 2" xfId="27940"/>
    <cellStyle name="Separador de milhares 3 6 5 8 2 2 2" xfId="53007"/>
    <cellStyle name="Separador de milhares 3 6 5 8 2 3" xfId="22026"/>
    <cellStyle name="Separador de milhares 3 6 5 8 2 3 2" xfId="47093"/>
    <cellStyle name="Separador de milhares 3 6 5 8 2 4" xfId="16112"/>
    <cellStyle name="Separador de milhares 3 6 5 8 2 4 2" xfId="41179"/>
    <cellStyle name="Separador de milhares 3 6 5 8 2 5" xfId="35271"/>
    <cellStyle name="Separador de milhares 3 6 5 8 3" xfId="24983"/>
    <cellStyle name="Separador de milhares 3 6 5 8 3 2" xfId="50050"/>
    <cellStyle name="Separador de milhares 3 6 5 8 4" xfId="19069"/>
    <cellStyle name="Separador de milhares 3 6 5 8 4 2" xfId="44136"/>
    <cellStyle name="Separador de milhares 3 6 5 8 5" xfId="12968"/>
    <cellStyle name="Separador de milhares 3 6 5 8 5 2" xfId="38225"/>
    <cellStyle name="Separador de milhares 3 6 5 8 6" xfId="32314"/>
    <cellStyle name="Separador de milhares 3 6 5 9" xfId="8255"/>
    <cellStyle name="Separador de milhares 3 6 5 9 2" xfId="26469"/>
    <cellStyle name="Separador de milhares 3 6 5 9 2 2" xfId="51536"/>
    <cellStyle name="Separador de milhares 3 6 5 9 3" xfId="20555"/>
    <cellStyle name="Separador de milhares 3 6 5 9 3 2" xfId="45622"/>
    <cellStyle name="Separador de milhares 3 6 5 9 4" xfId="14644"/>
    <cellStyle name="Separador de milhares 3 6 5 9 4 2" xfId="39711"/>
    <cellStyle name="Separador de milhares 3 6 5 9 5" xfId="33800"/>
    <cellStyle name="Separador de milhares 3 6 6" xfId="722"/>
    <cellStyle name="Separador de milhares 3 6 6 2" xfId="4146"/>
    <cellStyle name="Separador de milhares 3 6 6 2 2" xfId="7589"/>
    <cellStyle name="Separador de milhares 3 6 6 2 2 2" xfId="10733"/>
    <cellStyle name="Separador de milhares 3 6 6 2 2 2 2" xfId="28947"/>
    <cellStyle name="Separador de milhares 3 6 6 2 2 2 2 2" xfId="54014"/>
    <cellStyle name="Separador de milhares 3 6 6 2 2 2 3" xfId="23033"/>
    <cellStyle name="Separador de milhares 3 6 6 2 2 2 3 2" xfId="48100"/>
    <cellStyle name="Separador de milhares 3 6 6 2 2 2 4" xfId="17119"/>
    <cellStyle name="Separador de milhares 3 6 6 2 2 2 4 2" xfId="42186"/>
    <cellStyle name="Separador de milhares 3 6 6 2 2 2 5" xfId="36278"/>
    <cellStyle name="Separador de milhares 3 6 6 2 2 3" xfId="25990"/>
    <cellStyle name="Separador de milhares 3 6 6 2 2 3 2" xfId="51057"/>
    <cellStyle name="Separador de milhares 3 6 6 2 2 4" xfId="20076"/>
    <cellStyle name="Separador de milhares 3 6 6 2 2 4 2" xfId="45143"/>
    <cellStyle name="Separador de milhares 3 6 6 2 2 5" xfId="13978"/>
    <cellStyle name="Separador de milhares 3 6 6 2 2 5 2" xfId="39232"/>
    <cellStyle name="Separador de milhares 3 6 6 2 2 6" xfId="33321"/>
    <cellStyle name="Separador de milhares 3 6 6 2 3" xfId="9265"/>
    <cellStyle name="Separador de milhares 3 6 6 2 3 2" xfId="27479"/>
    <cellStyle name="Separador de milhares 3 6 6 2 3 2 2" xfId="52546"/>
    <cellStyle name="Separador de milhares 3 6 6 2 3 3" xfId="21565"/>
    <cellStyle name="Separador de milhares 3 6 6 2 3 3 2" xfId="46632"/>
    <cellStyle name="Separador de milhares 3 6 6 2 3 4" xfId="15651"/>
    <cellStyle name="Separador de milhares 3 6 6 2 3 4 2" xfId="40718"/>
    <cellStyle name="Separador de milhares 3 6 6 2 3 5" xfId="34810"/>
    <cellStyle name="Separador de milhares 3 6 6 2 4" xfId="5890"/>
    <cellStyle name="Separador de milhares 3 6 6 2 4 2" xfId="24522"/>
    <cellStyle name="Separador de milhares 3 6 6 2 4 2 2" xfId="49589"/>
    <cellStyle name="Separador de milhares 3 6 6 2 4 3" xfId="31853"/>
    <cellStyle name="Separador de milhares 3 6 6 2 5" xfId="18608"/>
    <cellStyle name="Separador de milhares 3 6 6 2 5 2" xfId="43675"/>
    <cellStyle name="Separador de milhares 3 6 6 2 6" xfId="12277"/>
    <cellStyle name="Separador de milhares 3 6 6 2 6 2" xfId="37764"/>
    <cellStyle name="Separador de milhares 3 6 6 2 7" xfId="30383"/>
    <cellStyle name="Separador de milhares 3 6 6 3" xfId="6634"/>
    <cellStyle name="Separador de milhares 3 6 6 3 2" xfId="9781"/>
    <cellStyle name="Separador de milhares 3 6 6 3 2 2" xfId="27995"/>
    <cellStyle name="Separador de milhares 3 6 6 3 2 2 2" xfId="53062"/>
    <cellStyle name="Separador de milhares 3 6 6 3 2 3" xfId="22081"/>
    <cellStyle name="Separador de milhares 3 6 6 3 2 3 2" xfId="47148"/>
    <cellStyle name="Separador de milhares 3 6 6 3 2 4" xfId="16167"/>
    <cellStyle name="Separador de milhares 3 6 6 3 2 4 2" xfId="41234"/>
    <cellStyle name="Separador de milhares 3 6 6 3 2 5" xfId="35326"/>
    <cellStyle name="Separador de milhares 3 6 6 3 3" xfId="25038"/>
    <cellStyle name="Separador de milhares 3 6 6 3 3 2" xfId="50105"/>
    <cellStyle name="Separador de milhares 3 6 6 3 4" xfId="19124"/>
    <cellStyle name="Separador de milhares 3 6 6 3 4 2" xfId="44191"/>
    <cellStyle name="Separador de milhares 3 6 6 3 5" xfId="13023"/>
    <cellStyle name="Separador de milhares 3 6 6 3 5 2" xfId="38280"/>
    <cellStyle name="Separador de milhares 3 6 6 3 6" xfId="32369"/>
    <cellStyle name="Separador de milhares 3 6 6 4" xfId="8313"/>
    <cellStyle name="Separador de milhares 3 6 6 4 2" xfId="26527"/>
    <cellStyle name="Separador de milhares 3 6 6 4 2 2" xfId="51594"/>
    <cellStyle name="Separador de milhares 3 6 6 4 3" xfId="20613"/>
    <cellStyle name="Separador de milhares 3 6 6 4 3 2" xfId="45680"/>
    <cellStyle name="Separador de milhares 3 6 6 4 4" xfId="14699"/>
    <cellStyle name="Separador de milhares 3 6 6 4 4 2" xfId="39766"/>
    <cellStyle name="Separador de milhares 3 6 6 4 5" xfId="33858"/>
    <cellStyle name="Separador de milhares 3 6 6 5" xfId="4935"/>
    <cellStyle name="Separador de milhares 3 6 6 5 2" xfId="23570"/>
    <cellStyle name="Separador de milhares 3 6 6 5 2 2" xfId="48637"/>
    <cellStyle name="Separador de milhares 3 6 6 5 3" xfId="30901"/>
    <cellStyle name="Separador de milhares 3 6 6 6" xfId="17656"/>
    <cellStyle name="Separador de milhares 3 6 6 6 2" xfId="42723"/>
    <cellStyle name="Separador de milhares 3 6 6 7" xfId="11322"/>
    <cellStyle name="Separador de milhares 3 6 6 7 2" xfId="36812"/>
    <cellStyle name="Separador de milhares 3 6 6 8" xfId="29431"/>
    <cellStyle name="Separador de milhares 3 6 7" xfId="1073"/>
    <cellStyle name="Separador de milhares 3 6 7 2" xfId="6732"/>
    <cellStyle name="Separador de milhares 3 6 7 2 2" xfId="9879"/>
    <cellStyle name="Separador de milhares 3 6 7 2 2 2" xfId="28093"/>
    <cellStyle name="Separador de milhares 3 6 7 2 2 2 2" xfId="53160"/>
    <cellStyle name="Separador de milhares 3 6 7 2 2 3" xfId="22179"/>
    <cellStyle name="Separador de milhares 3 6 7 2 2 3 2" xfId="47246"/>
    <cellStyle name="Separador de milhares 3 6 7 2 2 4" xfId="16265"/>
    <cellStyle name="Separador de milhares 3 6 7 2 2 4 2" xfId="41332"/>
    <cellStyle name="Separador de milhares 3 6 7 2 2 5" xfId="35424"/>
    <cellStyle name="Separador de milhares 3 6 7 2 3" xfId="25136"/>
    <cellStyle name="Separador de milhares 3 6 7 2 3 2" xfId="50203"/>
    <cellStyle name="Separador de milhares 3 6 7 2 4" xfId="19222"/>
    <cellStyle name="Separador de milhares 3 6 7 2 4 2" xfId="44289"/>
    <cellStyle name="Separador de milhares 3 6 7 2 5" xfId="13121"/>
    <cellStyle name="Separador de milhares 3 6 7 2 5 2" xfId="38378"/>
    <cellStyle name="Separador de milhares 3 6 7 2 6" xfId="32467"/>
    <cellStyle name="Separador de milhares 3 6 7 3" xfId="8411"/>
    <cellStyle name="Separador de milhares 3 6 7 3 2" xfId="26625"/>
    <cellStyle name="Separador de milhares 3 6 7 3 2 2" xfId="51692"/>
    <cellStyle name="Separador de milhares 3 6 7 3 3" xfId="20711"/>
    <cellStyle name="Separador de milhares 3 6 7 3 3 2" xfId="45778"/>
    <cellStyle name="Separador de milhares 3 6 7 3 4" xfId="14797"/>
    <cellStyle name="Separador de milhares 3 6 7 3 4 2" xfId="39864"/>
    <cellStyle name="Separador de milhares 3 6 7 3 5" xfId="33956"/>
    <cellStyle name="Separador de milhares 3 6 7 4" xfId="5033"/>
    <cellStyle name="Separador de milhares 3 6 7 4 2" xfId="23668"/>
    <cellStyle name="Separador de milhares 3 6 7 4 2 2" xfId="48735"/>
    <cellStyle name="Separador de milhares 3 6 7 4 3" xfId="30999"/>
    <cellStyle name="Separador de milhares 3 6 7 5" xfId="17754"/>
    <cellStyle name="Separador de milhares 3 6 7 5 2" xfId="42821"/>
    <cellStyle name="Separador de milhares 3 6 7 6" xfId="11420"/>
    <cellStyle name="Separador de milhares 3 6 7 6 2" xfId="36910"/>
    <cellStyle name="Separador de milhares 3 6 7 7" xfId="29529"/>
    <cellStyle name="Separador de milhares 3 6 8" xfId="1508"/>
    <cellStyle name="Separador de milhares 3 6 8 2" xfId="6851"/>
    <cellStyle name="Separador de milhares 3 6 8 2 2" xfId="9998"/>
    <cellStyle name="Separador de milhares 3 6 8 2 2 2" xfId="28212"/>
    <cellStyle name="Separador de milhares 3 6 8 2 2 2 2" xfId="53279"/>
    <cellStyle name="Separador de milhares 3 6 8 2 2 3" xfId="22298"/>
    <cellStyle name="Separador de milhares 3 6 8 2 2 3 2" xfId="47365"/>
    <cellStyle name="Separador de milhares 3 6 8 2 2 4" xfId="16384"/>
    <cellStyle name="Separador de milhares 3 6 8 2 2 4 2" xfId="41451"/>
    <cellStyle name="Separador de milhares 3 6 8 2 2 5" xfId="35543"/>
    <cellStyle name="Separador de milhares 3 6 8 2 3" xfId="25255"/>
    <cellStyle name="Separador de milhares 3 6 8 2 3 2" xfId="50322"/>
    <cellStyle name="Separador de milhares 3 6 8 2 4" xfId="19341"/>
    <cellStyle name="Separador de milhares 3 6 8 2 4 2" xfId="44408"/>
    <cellStyle name="Separador de milhares 3 6 8 2 5" xfId="13240"/>
    <cellStyle name="Separador de milhares 3 6 8 2 5 2" xfId="38497"/>
    <cellStyle name="Separador de milhares 3 6 8 2 6" xfId="32586"/>
    <cellStyle name="Separador de milhares 3 6 8 3" xfId="8530"/>
    <cellStyle name="Separador de milhares 3 6 8 3 2" xfId="26744"/>
    <cellStyle name="Separador de milhares 3 6 8 3 2 2" xfId="51811"/>
    <cellStyle name="Separador de milhares 3 6 8 3 3" xfId="20830"/>
    <cellStyle name="Separador de milhares 3 6 8 3 3 2" xfId="45897"/>
    <cellStyle name="Separador de milhares 3 6 8 3 4" xfId="14916"/>
    <cellStyle name="Separador de milhares 3 6 8 3 4 2" xfId="39983"/>
    <cellStyle name="Separador de milhares 3 6 8 3 5" xfId="34075"/>
    <cellStyle name="Separador de milhares 3 6 8 4" xfId="5152"/>
    <cellStyle name="Separador de milhares 3 6 8 4 2" xfId="23787"/>
    <cellStyle name="Separador de milhares 3 6 8 4 2 2" xfId="48854"/>
    <cellStyle name="Separador de milhares 3 6 8 4 3" xfId="31118"/>
    <cellStyle name="Separador de milhares 3 6 8 5" xfId="17873"/>
    <cellStyle name="Separador de milhares 3 6 8 5 2" xfId="42940"/>
    <cellStyle name="Separador de milhares 3 6 8 6" xfId="11539"/>
    <cellStyle name="Separador de milhares 3 6 8 6 2" xfId="37029"/>
    <cellStyle name="Separador de milhares 3 6 8 7" xfId="29648"/>
    <cellStyle name="Separador de milhares 3 6 9" xfId="2038"/>
    <cellStyle name="Separador de milhares 3 6 9 2" xfId="7001"/>
    <cellStyle name="Separador de milhares 3 6 9 2 2" xfId="10145"/>
    <cellStyle name="Separador de milhares 3 6 9 2 2 2" xfId="28359"/>
    <cellStyle name="Separador de milhares 3 6 9 2 2 2 2" xfId="53426"/>
    <cellStyle name="Separador de milhares 3 6 9 2 2 3" xfId="22445"/>
    <cellStyle name="Separador de milhares 3 6 9 2 2 3 2" xfId="47512"/>
    <cellStyle name="Separador de milhares 3 6 9 2 2 4" xfId="16531"/>
    <cellStyle name="Separador de milhares 3 6 9 2 2 4 2" xfId="41598"/>
    <cellStyle name="Separador de milhares 3 6 9 2 2 5" xfId="35690"/>
    <cellStyle name="Separador de milhares 3 6 9 2 3" xfId="25402"/>
    <cellStyle name="Separador de milhares 3 6 9 2 3 2" xfId="50469"/>
    <cellStyle name="Separador de milhares 3 6 9 2 4" xfId="19488"/>
    <cellStyle name="Separador de milhares 3 6 9 2 4 2" xfId="44555"/>
    <cellStyle name="Separador de milhares 3 6 9 2 5" xfId="13390"/>
    <cellStyle name="Separador de milhares 3 6 9 2 5 2" xfId="38644"/>
    <cellStyle name="Separador de milhares 3 6 9 2 6" xfId="32733"/>
    <cellStyle name="Separador de milhares 3 6 9 3" xfId="8677"/>
    <cellStyle name="Separador de milhares 3 6 9 3 2" xfId="26891"/>
    <cellStyle name="Separador de milhares 3 6 9 3 2 2" xfId="51958"/>
    <cellStyle name="Separador de milhares 3 6 9 3 3" xfId="20977"/>
    <cellStyle name="Separador de milhares 3 6 9 3 3 2" xfId="46044"/>
    <cellStyle name="Separador de milhares 3 6 9 3 4" xfId="15063"/>
    <cellStyle name="Separador de milhares 3 6 9 3 4 2" xfId="40130"/>
    <cellStyle name="Separador de milhares 3 6 9 3 5" xfId="34222"/>
    <cellStyle name="Separador de milhares 3 6 9 4" xfId="5302"/>
    <cellStyle name="Separador de milhares 3 6 9 4 2" xfId="23934"/>
    <cellStyle name="Separador de milhares 3 6 9 4 2 2" xfId="49001"/>
    <cellStyle name="Separador de milhares 3 6 9 4 3" xfId="31265"/>
    <cellStyle name="Separador de milhares 3 6 9 5" xfId="18020"/>
    <cellStyle name="Separador de milhares 3 6 9 5 2" xfId="43087"/>
    <cellStyle name="Separador de milhares 3 6 9 6" xfId="11689"/>
    <cellStyle name="Separador de milhares 3 6 9 6 2" xfId="37176"/>
    <cellStyle name="Separador de milhares 3 6 9 7" xfId="29795"/>
    <cellStyle name="Separador de milhares 3 7" xfId="66"/>
    <cellStyle name="Separador de milhares 3 7 10" xfId="2569"/>
    <cellStyle name="Separador de milhares 3 7 10 2" xfId="7149"/>
    <cellStyle name="Separador de milhares 3 7 10 2 2" xfId="10293"/>
    <cellStyle name="Separador de milhares 3 7 10 2 2 2" xfId="28507"/>
    <cellStyle name="Separador de milhares 3 7 10 2 2 2 2" xfId="53574"/>
    <cellStyle name="Separador de milhares 3 7 10 2 2 3" xfId="22593"/>
    <cellStyle name="Separador de milhares 3 7 10 2 2 3 2" xfId="47660"/>
    <cellStyle name="Separador de milhares 3 7 10 2 2 4" xfId="16679"/>
    <cellStyle name="Separador de milhares 3 7 10 2 2 4 2" xfId="41746"/>
    <cellStyle name="Separador de milhares 3 7 10 2 2 5" xfId="35838"/>
    <cellStyle name="Separador de milhares 3 7 10 2 3" xfId="25550"/>
    <cellStyle name="Separador de milhares 3 7 10 2 3 2" xfId="50617"/>
    <cellStyle name="Separador de milhares 3 7 10 2 4" xfId="19636"/>
    <cellStyle name="Separador de milhares 3 7 10 2 4 2" xfId="44703"/>
    <cellStyle name="Separador de milhares 3 7 10 2 5" xfId="13538"/>
    <cellStyle name="Separador de milhares 3 7 10 2 5 2" xfId="38792"/>
    <cellStyle name="Separador de milhares 3 7 10 2 6" xfId="32881"/>
    <cellStyle name="Separador de milhares 3 7 10 3" xfId="8825"/>
    <cellStyle name="Separador de milhares 3 7 10 3 2" xfId="27039"/>
    <cellStyle name="Separador de milhares 3 7 10 3 2 2" xfId="52106"/>
    <cellStyle name="Separador de milhares 3 7 10 3 3" xfId="21125"/>
    <cellStyle name="Separador de milhares 3 7 10 3 3 2" xfId="46192"/>
    <cellStyle name="Separador de milhares 3 7 10 3 4" xfId="15211"/>
    <cellStyle name="Separador de milhares 3 7 10 3 4 2" xfId="40278"/>
    <cellStyle name="Separador de milhares 3 7 10 3 5" xfId="34370"/>
    <cellStyle name="Separador de milhares 3 7 10 4" xfId="5450"/>
    <cellStyle name="Separador de milhares 3 7 10 4 2" xfId="24082"/>
    <cellStyle name="Separador de milhares 3 7 10 4 2 2" xfId="49149"/>
    <cellStyle name="Separador de milhares 3 7 10 4 3" xfId="31413"/>
    <cellStyle name="Separador de milhares 3 7 10 5" xfId="18168"/>
    <cellStyle name="Separador de milhares 3 7 10 5 2" xfId="43235"/>
    <cellStyle name="Separador de milhares 3 7 10 6" xfId="11837"/>
    <cellStyle name="Separador de milhares 3 7 10 6 2" xfId="37324"/>
    <cellStyle name="Separador de milhares 3 7 10 7" xfId="29943"/>
    <cellStyle name="Separador de milhares 3 7 11" xfId="3096"/>
    <cellStyle name="Separador de milhares 3 7 11 2" xfId="7296"/>
    <cellStyle name="Separador de milhares 3 7 11 2 2" xfId="10440"/>
    <cellStyle name="Separador de milhares 3 7 11 2 2 2" xfId="28654"/>
    <cellStyle name="Separador de milhares 3 7 11 2 2 2 2" xfId="53721"/>
    <cellStyle name="Separador de milhares 3 7 11 2 2 3" xfId="22740"/>
    <cellStyle name="Separador de milhares 3 7 11 2 2 3 2" xfId="47807"/>
    <cellStyle name="Separador de milhares 3 7 11 2 2 4" xfId="16826"/>
    <cellStyle name="Separador de milhares 3 7 11 2 2 4 2" xfId="41893"/>
    <cellStyle name="Separador de milhares 3 7 11 2 2 5" xfId="35985"/>
    <cellStyle name="Separador de milhares 3 7 11 2 3" xfId="25697"/>
    <cellStyle name="Separador de milhares 3 7 11 2 3 2" xfId="50764"/>
    <cellStyle name="Separador de milhares 3 7 11 2 4" xfId="19783"/>
    <cellStyle name="Separador de milhares 3 7 11 2 4 2" xfId="44850"/>
    <cellStyle name="Separador de milhares 3 7 11 2 5" xfId="13685"/>
    <cellStyle name="Separador de milhares 3 7 11 2 5 2" xfId="38939"/>
    <cellStyle name="Separador de milhares 3 7 11 2 6" xfId="33028"/>
    <cellStyle name="Separador de milhares 3 7 11 3" xfId="8972"/>
    <cellStyle name="Separador de milhares 3 7 11 3 2" xfId="27186"/>
    <cellStyle name="Separador de milhares 3 7 11 3 2 2" xfId="52253"/>
    <cellStyle name="Separador de milhares 3 7 11 3 3" xfId="21272"/>
    <cellStyle name="Separador de milhares 3 7 11 3 3 2" xfId="46339"/>
    <cellStyle name="Separador de milhares 3 7 11 3 4" xfId="15358"/>
    <cellStyle name="Separador de milhares 3 7 11 3 4 2" xfId="40425"/>
    <cellStyle name="Separador de milhares 3 7 11 3 5" xfId="34517"/>
    <cellStyle name="Separador de milhares 3 7 11 4" xfId="5597"/>
    <cellStyle name="Separador de milhares 3 7 11 4 2" xfId="24229"/>
    <cellStyle name="Separador de milhares 3 7 11 4 2 2" xfId="49296"/>
    <cellStyle name="Separador de milhares 3 7 11 4 3" xfId="31560"/>
    <cellStyle name="Separador de milhares 3 7 11 5" xfId="18315"/>
    <cellStyle name="Separador de milhares 3 7 11 5 2" xfId="43382"/>
    <cellStyle name="Separador de milhares 3 7 11 6" xfId="11984"/>
    <cellStyle name="Separador de milhares 3 7 11 6 2" xfId="37471"/>
    <cellStyle name="Separador de milhares 3 7 11 7" xfId="30090"/>
    <cellStyle name="Separador de milhares 3 7 12" xfId="3623"/>
    <cellStyle name="Separador de milhares 3 7 12 2" xfId="7443"/>
    <cellStyle name="Separador de milhares 3 7 12 2 2" xfId="10587"/>
    <cellStyle name="Separador de milhares 3 7 12 2 2 2" xfId="28801"/>
    <cellStyle name="Separador de milhares 3 7 12 2 2 2 2" xfId="53868"/>
    <cellStyle name="Separador de milhares 3 7 12 2 2 3" xfId="22887"/>
    <cellStyle name="Separador de milhares 3 7 12 2 2 3 2" xfId="47954"/>
    <cellStyle name="Separador de milhares 3 7 12 2 2 4" xfId="16973"/>
    <cellStyle name="Separador de milhares 3 7 12 2 2 4 2" xfId="42040"/>
    <cellStyle name="Separador de milhares 3 7 12 2 2 5" xfId="36132"/>
    <cellStyle name="Separador de milhares 3 7 12 2 3" xfId="25844"/>
    <cellStyle name="Separador de milhares 3 7 12 2 3 2" xfId="50911"/>
    <cellStyle name="Separador de milhares 3 7 12 2 4" xfId="19930"/>
    <cellStyle name="Separador de milhares 3 7 12 2 4 2" xfId="44997"/>
    <cellStyle name="Separador de milhares 3 7 12 2 5" xfId="13832"/>
    <cellStyle name="Separador de milhares 3 7 12 2 5 2" xfId="39086"/>
    <cellStyle name="Separador de milhares 3 7 12 2 6" xfId="33175"/>
    <cellStyle name="Separador de milhares 3 7 12 3" xfId="9119"/>
    <cellStyle name="Separador de milhares 3 7 12 3 2" xfId="27333"/>
    <cellStyle name="Separador de milhares 3 7 12 3 2 2" xfId="52400"/>
    <cellStyle name="Separador de milhares 3 7 12 3 3" xfId="21419"/>
    <cellStyle name="Separador de milhares 3 7 12 3 3 2" xfId="46486"/>
    <cellStyle name="Separador de milhares 3 7 12 3 4" xfId="15505"/>
    <cellStyle name="Separador de milhares 3 7 12 3 4 2" xfId="40572"/>
    <cellStyle name="Separador de milhares 3 7 12 3 5" xfId="34664"/>
    <cellStyle name="Separador de milhares 3 7 12 4" xfId="5744"/>
    <cellStyle name="Separador de milhares 3 7 12 4 2" xfId="24376"/>
    <cellStyle name="Separador de milhares 3 7 12 4 2 2" xfId="49443"/>
    <cellStyle name="Separador de milhares 3 7 12 4 3" xfId="31707"/>
    <cellStyle name="Separador de milhares 3 7 12 5" xfId="18462"/>
    <cellStyle name="Separador de milhares 3 7 12 5 2" xfId="43529"/>
    <cellStyle name="Separador de milhares 3 7 12 6" xfId="12131"/>
    <cellStyle name="Separador de milhares 3 7 12 6 2" xfId="37618"/>
    <cellStyle name="Separador de milhares 3 7 12 7" xfId="30237"/>
    <cellStyle name="Separador de milhares 3 7 13" xfId="6427"/>
    <cellStyle name="Separador de milhares 3 7 13 2" xfId="9583"/>
    <cellStyle name="Separador de milhares 3 7 13 2 2" xfId="27797"/>
    <cellStyle name="Separador de milhares 3 7 13 2 2 2" xfId="52864"/>
    <cellStyle name="Separador de milhares 3 7 13 2 3" xfId="21883"/>
    <cellStyle name="Separador de milhares 3 7 13 2 3 2" xfId="46950"/>
    <cellStyle name="Separador de milhares 3 7 13 2 4" xfId="15969"/>
    <cellStyle name="Separador de milhares 3 7 13 2 4 2" xfId="41036"/>
    <cellStyle name="Separador de milhares 3 7 13 2 5" xfId="35128"/>
    <cellStyle name="Separador de milhares 3 7 13 3" xfId="24840"/>
    <cellStyle name="Separador de milhares 3 7 13 3 2" xfId="49907"/>
    <cellStyle name="Separador de milhares 3 7 13 4" xfId="18926"/>
    <cellStyle name="Separador de milhares 3 7 13 4 2" xfId="43993"/>
    <cellStyle name="Separador de milhares 3 7 13 5" xfId="12816"/>
    <cellStyle name="Separador de milhares 3 7 13 5 2" xfId="38082"/>
    <cellStyle name="Separador de milhares 3 7 13 6" xfId="32171"/>
    <cellStyle name="Separador de milhares 3 7 14" xfId="8112"/>
    <cellStyle name="Separador de milhares 3 7 14 2" xfId="26326"/>
    <cellStyle name="Separador de milhares 3 7 14 2 2" xfId="51393"/>
    <cellStyle name="Separador de milhares 3 7 14 3" xfId="20412"/>
    <cellStyle name="Separador de milhares 3 7 14 3 2" xfId="45479"/>
    <cellStyle name="Separador de milhares 3 7 14 4" xfId="14501"/>
    <cellStyle name="Separador de milhares 3 7 14 4 2" xfId="39568"/>
    <cellStyle name="Separador de milhares 3 7 14 5" xfId="33657"/>
    <cellStyle name="Separador de milhares 3 7 15" xfId="4725"/>
    <cellStyle name="Separador de milhares 3 7 15 2" xfId="23369"/>
    <cellStyle name="Separador de milhares 3 7 15 2 2" xfId="48436"/>
    <cellStyle name="Separador de milhares 3 7 15 3" xfId="30701"/>
    <cellStyle name="Separador de milhares 3 7 16" xfId="17455"/>
    <cellStyle name="Separador de milhares 3 7 16 2" xfId="42522"/>
    <cellStyle name="Separador de milhares 3 7 17" xfId="11115"/>
    <cellStyle name="Separador de milhares 3 7 17 2" xfId="36614"/>
    <cellStyle name="Separador de milhares 3 7 18" xfId="29229"/>
    <cellStyle name="Separador de milhares 3 7 2" xfId="160"/>
    <cellStyle name="Separador de milhares 3 7 2 10" xfId="6456"/>
    <cellStyle name="Separador de milhares 3 7 2 10 2" xfId="9610"/>
    <cellStyle name="Separador de milhares 3 7 2 10 2 2" xfId="27824"/>
    <cellStyle name="Separador de milhares 3 7 2 10 2 2 2" xfId="52891"/>
    <cellStyle name="Separador de milhares 3 7 2 10 2 3" xfId="21910"/>
    <cellStyle name="Separador de milhares 3 7 2 10 2 3 2" xfId="46977"/>
    <cellStyle name="Separador de milhares 3 7 2 10 2 4" xfId="15996"/>
    <cellStyle name="Separador de milhares 3 7 2 10 2 4 2" xfId="41063"/>
    <cellStyle name="Separador de milhares 3 7 2 10 2 5" xfId="35155"/>
    <cellStyle name="Separador de milhares 3 7 2 10 3" xfId="24867"/>
    <cellStyle name="Separador de milhares 3 7 2 10 3 2" xfId="49934"/>
    <cellStyle name="Separador de milhares 3 7 2 10 4" xfId="18953"/>
    <cellStyle name="Separador de milhares 3 7 2 10 4 2" xfId="44020"/>
    <cellStyle name="Separador de milhares 3 7 2 10 5" xfId="12845"/>
    <cellStyle name="Separador de milhares 3 7 2 10 5 2" xfId="38109"/>
    <cellStyle name="Separador de milhares 3 7 2 10 6" xfId="32198"/>
    <cellStyle name="Separador de milhares 3 7 2 11" xfId="8139"/>
    <cellStyle name="Separador de milhares 3 7 2 11 2" xfId="26353"/>
    <cellStyle name="Separador de milhares 3 7 2 11 2 2" xfId="51420"/>
    <cellStyle name="Separador de milhares 3 7 2 11 3" xfId="20439"/>
    <cellStyle name="Separador de milhares 3 7 2 11 3 2" xfId="45506"/>
    <cellStyle name="Separador de milhares 3 7 2 11 4" xfId="14528"/>
    <cellStyle name="Separador de milhares 3 7 2 11 4 2" xfId="39595"/>
    <cellStyle name="Separador de milhares 3 7 2 11 5" xfId="33684"/>
    <cellStyle name="Separador de milhares 3 7 2 12" xfId="4755"/>
    <cellStyle name="Separador de milhares 3 7 2 12 2" xfId="23396"/>
    <cellStyle name="Separador de milhares 3 7 2 12 2 2" xfId="48463"/>
    <cellStyle name="Separador de milhares 3 7 2 12 3" xfId="30728"/>
    <cellStyle name="Separador de milhares 3 7 2 13" xfId="17482"/>
    <cellStyle name="Separador de milhares 3 7 2 13 2" xfId="42549"/>
    <cellStyle name="Separador de milhares 3 7 2 14" xfId="11144"/>
    <cellStyle name="Separador de milhares 3 7 2 14 2" xfId="36641"/>
    <cellStyle name="Separador de milhares 3 7 2 15" xfId="29257"/>
    <cellStyle name="Separador de milhares 3 7 2 2" xfId="433"/>
    <cellStyle name="Separador de milhares 3 7 2 2 10" xfId="17556"/>
    <cellStyle name="Separador de milhares 3 7 2 2 10 2" xfId="42623"/>
    <cellStyle name="Separador de milhares 3 7 2 2 11" xfId="11225"/>
    <cellStyle name="Separador de milhares 3 7 2 2 11 2" xfId="36715"/>
    <cellStyle name="Separador de milhares 3 7 2 2 12" xfId="29331"/>
    <cellStyle name="Separador de milhares 3 7 2 2 2" xfId="1952"/>
    <cellStyle name="Separador de milhares 3 7 2 2 2 2" xfId="6975"/>
    <cellStyle name="Separador de milhares 3 7 2 2 2 2 2" xfId="10122"/>
    <cellStyle name="Separador de milhares 3 7 2 2 2 2 2 2" xfId="28336"/>
    <cellStyle name="Separador de milhares 3 7 2 2 2 2 2 2 2" xfId="53403"/>
    <cellStyle name="Separador de milhares 3 7 2 2 2 2 2 3" xfId="22422"/>
    <cellStyle name="Separador de milhares 3 7 2 2 2 2 2 3 2" xfId="47489"/>
    <cellStyle name="Separador de milhares 3 7 2 2 2 2 2 4" xfId="16508"/>
    <cellStyle name="Separador de milhares 3 7 2 2 2 2 2 4 2" xfId="41575"/>
    <cellStyle name="Separador de milhares 3 7 2 2 2 2 2 5" xfId="35667"/>
    <cellStyle name="Separador de milhares 3 7 2 2 2 2 3" xfId="25379"/>
    <cellStyle name="Separador de milhares 3 7 2 2 2 2 3 2" xfId="50446"/>
    <cellStyle name="Separador de milhares 3 7 2 2 2 2 4" xfId="19465"/>
    <cellStyle name="Separador de milhares 3 7 2 2 2 2 4 2" xfId="44532"/>
    <cellStyle name="Separador de milhares 3 7 2 2 2 2 5" xfId="13364"/>
    <cellStyle name="Separador de milhares 3 7 2 2 2 2 5 2" xfId="38621"/>
    <cellStyle name="Separador de milhares 3 7 2 2 2 2 6" xfId="32710"/>
    <cellStyle name="Separador de milhares 3 7 2 2 2 3" xfId="8654"/>
    <cellStyle name="Separador de milhares 3 7 2 2 2 3 2" xfId="26868"/>
    <cellStyle name="Separador de milhares 3 7 2 2 2 3 2 2" xfId="51935"/>
    <cellStyle name="Separador de milhares 3 7 2 2 2 3 3" xfId="20954"/>
    <cellStyle name="Separador de milhares 3 7 2 2 2 3 3 2" xfId="46021"/>
    <cellStyle name="Separador de milhares 3 7 2 2 2 3 4" xfId="15040"/>
    <cellStyle name="Separador de milhares 3 7 2 2 2 3 4 2" xfId="40107"/>
    <cellStyle name="Separador de milhares 3 7 2 2 2 3 5" xfId="34199"/>
    <cellStyle name="Separador de milhares 3 7 2 2 2 4" xfId="5276"/>
    <cellStyle name="Separador de milhares 3 7 2 2 2 4 2" xfId="23911"/>
    <cellStyle name="Separador de milhares 3 7 2 2 2 4 2 2" xfId="48978"/>
    <cellStyle name="Separador de milhares 3 7 2 2 2 4 3" xfId="31242"/>
    <cellStyle name="Separador de milhares 3 7 2 2 2 5" xfId="17997"/>
    <cellStyle name="Separador de milhares 3 7 2 2 2 5 2" xfId="43064"/>
    <cellStyle name="Separador de milhares 3 7 2 2 2 6" xfId="11663"/>
    <cellStyle name="Separador de milhares 3 7 2 2 2 6 2" xfId="37153"/>
    <cellStyle name="Separador de milhares 3 7 2 2 2 7" xfId="29772"/>
    <cellStyle name="Separador de milhares 3 7 2 2 3" xfId="2482"/>
    <cellStyle name="Separador de milhares 3 7 2 2 3 2" xfId="7125"/>
    <cellStyle name="Separador de milhares 3 7 2 2 3 2 2" xfId="10269"/>
    <cellStyle name="Separador de milhares 3 7 2 2 3 2 2 2" xfId="28483"/>
    <cellStyle name="Separador de milhares 3 7 2 2 3 2 2 2 2" xfId="53550"/>
    <cellStyle name="Separador de milhares 3 7 2 2 3 2 2 3" xfId="22569"/>
    <cellStyle name="Separador de milhares 3 7 2 2 3 2 2 3 2" xfId="47636"/>
    <cellStyle name="Separador de milhares 3 7 2 2 3 2 2 4" xfId="16655"/>
    <cellStyle name="Separador de milhares 3 7 2 2 3 2 2 4 2" xfId="41722"/>
    <cellStyle name="Separador de milhares 3 7 2 2 3 2 2 5" xfId="35814"/>
    <cellStyle name="Separador de milhares 3 7 2 2 3 2 3" xfId="25526"/>
    <cellStyle name="Separador de milhares 3 7 2 2 3 2 3 2" xfId="50593"/>
    <cellStyle name="Separador de milhares 3 7 2 2 3 2 4" xfId="19612"/>
    <cellStyle name="Separador de milhares 3 7 2 2 3 2 4 2" xfId="44679"/>
    <cellStyle name="Separador de milhares 3 7 2 2 3 2 5" xfId="13514"/>
    <cellStyle name="Separador de milhares 3 7 2 2 3 2 5 2" xfId="38768"/>
    <cellStyle name="Separador de milhares 3 7 2 2 3 2 6" xfId="32857"/>
    <cellStyle name="Separador de milhares 3 7 2 2 3 3" xfId="8801"/>
    <cellStyle name="Separador de milhares 3 7 2 2 3 3 2" xfId="27015"/>
    <cellStyle name="Separador de milhares 3 7 2 2 3 3 2 2" xfId="52082"/>
    <cellStyle name="Separador de milhares 3 7 2 2 3 3 3" xfId="21101"/>
    <cellStyle name="Separador de milhares 3 7 2 2 3 3 3 2" xfId="46168"/>
    <cellStyle name="Separador de milhares 3 7 2 2 3 3 4" xfId="15187"/>
    <cellStyle name="Separador de milhares 3 7 2 2 3 3 4 2" xfId="40254"/>
    <cellStyle name="Separador de milhares 3 7 2 2 3 3 5" xfId="34346"/>
    <cellStyle name="Separador de milhares 3 7 2 2 3 4" xfId="5426"/>
    <cellStyle name="Separador de milhares 3 7 2 2 3 4 2" xfId="24058"/>
    <cellStyle name="Separador de milhares 3 7 2 2 3 4 2 2" xfId="49125"/>
    <cellStyle name="Separador de milhares 3 7 2 2 3 4 3" xfId="31389"/>
    <cellStyle name="Separador de milhares 3 7 2 2 3 5" xfId="18144"/>
    <cellStyle name="Separador de milhares 3 7 2 2 3 5 2" xfId="43211"/>
    <cellStyle name="Separador de milhares 3 7 2 2 3 6" xfId="11813"/>
    <cellStyle name="Separador de milhares 3 7 2 2 3 6 2" xfId="37300"/>
    <cellStyle name="Separador de milhares 3 7 2 2 3 7" xfId="29919"/>
    <cellStyle name="Separador de milhares 3 7 2 2 4" xfId="3009"/>
    <cellStyle name="Separador de milhares 3 7 2 2 4 2" xfId="7272"/>
    <cellStyle name="Separador de milhares 3 7 2 2 4 2 2" xfId="10416"/>
    <cellStyle name="Separador de milhares 3 7 2 2 4 2 2 2" xfId="28630"/>
    <cellStyle name="Separador de milhares 3 7 2 2 4 2 2 2 2" xfId="53697"/>
    <cellStyle name="Separador de milhares 3 7 2 2 4 2 2 3" xfId="22716"/>
    <cellStyle name="Separador de milhares 3 7 2 2 4 2 2 3 2" xfId="47783"/>
    <cellStyle name="Separador de milhares 3 7 2 2 4 2 2 4" xfId="16802"/>
    <cellStyle name="Separador de milhares 3 7 2 2 4 2 2 4 2" xfId="41869"/>
    <cellStyle name="Separador de milhares 3 7 2 2 4 2 2 5" xfId="35961"/>
    <cellStyle name="Separador de milhares 3 7 2 2 4 2 3" xfId="25673"/>
    <cellStyle name="Separador de milhares 3 7 2 2 4 2 3 2" xfId="50740"/>
    <cellStyle name="Separador de milhares 3 7 2 2 4 2 4" xfId="19759"/>
    <cellStyle name="Separador de milhares 3 7 2 2 4 2 4 2" xfId="44826"/>
    <cellStyle name="Separador de milhares 3 7 2 2 4 2 5" xfId="13661"/>
    <cellStyle name="Separador de milhares 3 7 2 2 4 2 5 2" xfId="38915"/>
    <cellStyle name="Separador de milhares 3 7 2 2 4 2 6" xfId="33004"/>
    <cellStyle name="Separador de milhares 3 7 2 2 4 3" xfId="8948"/>
    <cellStyle name="Separador de milhares 3 7 2 2 4 3 2" xfId="27162"/>
    <cellStyle name="Separador de milhares 3 7 2 2 4 3 2 2" xfId="52229"/>
    <cellStyle name="Separador de milhares 3 7 2 2 4 3 3" xfId="21248"/>
    <cellStyle name="Separador de milhares 3 7 2 2 4 3 3 2" xfId="46315"/>
    <cellStyle name="Separador de milhares 3 7 2 2 4 3 4" xfId="15334"/>
    <cellStyle name="Separador de milhares 3 7 2 2 4 3 4 2" xfId="40401"/>
    <cellStyle name="Separador de milhares 3 7 2 2 4 3 5" xfId="34493"/>
    <cellStyle name="Separador de milhares 3 7 2 2 4 4" xfId="5573"/>
    <cellStyle name="Separador de milhares 3 7 2 2 4 4 2" xfId="24205"/>
    <cellStyle name="Separador de milhares 3 7 2 2 4 4 2 2" xfId="49272"/>
    <cellStyle name="Separador de milhares 3 7 2 2 4 4 3" xfId="31536"/>
    <cellStyle name="Separador de milhares 3 7 2 2 4 5" xfId="18291"/>
    <cellStyle name="Separador de milhares 3 7 2 2 4 5 2" xfId="43358"/>
    <cellStyle name="Separador de milhares 3 7 2 2 4 6" xfId="11960"/>
    <cellStyle name="Separador de milhares 3 7 2 2 4 6 2" xfId="37447"/>
    <cellStyle name="Separador de milhares 3 7 2 2 4 7" xfId="30066"/>
    <cellStyle name="Separador de milhares 3 7 2 2 5" xfId="3536"/>
    <cellStyle name="Separador de milhares 3 7 2 2 5 2" xfId="7419"/>
    <cellStyle name="Separador de milhares 3 7 2 2 5 2 2" xfId="10563"/>
    <cellStyle name="Separador de milhares 3 7 2 2 5 2 2 2" xfId="28777"/>
    <cellStyle name="Separador de milhares 3 7 2 2 5 2 2 2 2" xfId="53844"/>
    <cellStyle name="Separador de milhares 3 7 2 2 5 2 2 3" xfId="22863"/>
    <cellStyle name="Separador de milhares 3 7 2 2 5 2 2 3 2" xfId="47930"/>
    <cellStyle name="Separador de milhares 3 7 2 2 5 2 2 4" xfId="16949"/>
    <cellStyle name="Separador de milhares 3 7 2 2 5 2 2 4 2" xfId="42016"/>
    <cellStyle name="Separador de milhares 3 7 2 2 5 2 2 5" xfId="36108"/>
    <cellStyle name="Separador de milhares 3 7 2 2 5 2 3" xfId="25820"/>
    <cellStyle name="Separador de milhares 3 7 2 2 5 2 3 2" xfId="50887"/>
    <cellStyle name="Separador de milhares 3 7 2 2 5 2 4" xfId="19906"/>
    <cellStyle name="Separador de milhares 3 7 2 2 5 2 4 2" xfId="44973"/>
    <cellStyle name="Separador de milhares 3 7 2 2 5 2 5" xfId="13808"/>
    <cellStyle name="Separador de milhares 3 7 2 2 5 2 5 2" xfId="39062"/>
    <cellStyle name="Separador de milhares 3 7 2 2 5 2 6" xfId="33151"/>
    <cellStyle name="Separador de milhares 3 7 2 2 5 3" xfId="9095"/>
    <cellStyle name="Separador de milhares 3 7 2 2 5 3 2" xfId="27309"/>
    <cellStyle name="Separador de milhares 3 7 2 2 5 3 2 2" xfId="52376"/>
    <cellStyle name="Separador de milhares 3 7 2 2 5 3 3" xfId="21395"/>
    <cellStyle name="Separador de milhares 3 7 2 2 5 3 3 2" xfId="46462"/>
    <cellStyle name="Separador de milhares 3 7 2 2 5 3 4" xfId="15481"/>
    <cellStyle name="Separador de milhares 3 7 2 2 5 3 4 2" xfId="40548"/>
    <cellStyle name="Separador de milhares 3 7 2 2 5 3 5" xfId="34640"/>
    <cellStyle name="Separador de milhares 3 7 2 2 5 4" xfId="5720"/>
    <cellStyle name="Separador de milhares 3 7 2 2 5 4 2" xfId="24352"/>
    <cellStyle name="Separador de milhares 3 7 2 2 5 4 2 2" xfId="49419"/>
    <cellStyle name="Separador de milhares 3 7 2 2 5 4 3" xfId="31683"/>
    <cellStyle name="Separador de milhares 3 7 2 2 5 5" xfId="18438"/>
    <cellStyle name="Separador de milhares 3 7 2 2 5 5 2" xfId="43505"/>
    <cellStyle name="Separador de milhares 3 7 2 2 5 6" xfId="12107"/>
    <cellStyle name="Separador de milhares 3 7 2 2 5 6 2" xfId="37594"/>
    <cellStyle name="Separador de milhares 3 7 2 2 5 7" xfId="30213"/>
    <cellStyle name="Separador de milhares 3 7 2 2 6" xfId="4063"/>
    <cellStyle name="Separador de milhares 3 7 2 2 6 2" xfId="7566"/>
    <cellStyle name="Separador de milhares 3 7 2 2 6 2 2" xfId="10710"/>
    <cellStyle name="Separador de milhares 3 7 2 2 6 2 2 2" xfId="28924"/>
    <cellStyle name="Separador de milhares 3 7 2 2 6 2 2 2 2" xfId="53991"/>
    <cellStyle name="Separador de milhares 3 7 2 2 6 2 2 3" xfId="23010"/>
    <cellStyle name="Separador de milhares 3 7 2 2 6 2 2 3 2" xfId="48077"/>
    <cellStyle name="Separador de milhares 3 7 2 2 6 2 2 4" xfId="17096"/>
    <cellStyle name="Separador de milhares 3 7 2 2 6 2 2 4 2" xfId="42163"/>
    <cellStyle name="Separador de milhares 3 7 2 2 6 2 2 5" xfId="36255"/>
    <cellStyle name="Separador de milhares 3 7 2 2 6 2 3" xfId="25967"/>
    <cellStyle name="Separador de milhares 3 7 2 2 6 2 3 2" xfId="51034"/>
    <cellStyle name="Separador de milhares 3 7 2 2 6 2 4" xfId="20053"/>
    <cellStyle name="Separador de milhares 3 7 2 2 6 2 4 2" xfId="45120"/>
    <cellStyle name="Separador de milhares 3 7 2 2 6 2 5" xfId="13955"/>
    <cellStyle name="Separador de milhares 3 7 2 2 6 2 5 2" xfId="39209"/>
    <cellStyle name="Separador de milhares 3 7 2 2 6 2 6" xfId="33298"/>
    <cellStyle name="Separador de milhares 3 7 2 2 6 3" xfId="9242"/>
    <cellStyle name="Separador de milhares 3 7 2 2 6 3 2" xfId="27456"/>
    <cellStyle name="Separador de milhares 3 7 2 2 6 3 2 2" xfId="52523"/>
    <cellStyle name="Separador de milhares 3 7 2 2 6 3 3" xfId="21542"/>
    <cellStyle name="Separador de milhares 3 7 2 2 6 3 3 2" xfId="46609"/>
    <cellStyle name="Separador de milhares 3 7 2 2 6 3 4" xfId="15628"/>
    <cellStyle name="Separador de milhares 3 7 2 2 6 3 4 2" xfId="40695"/>
    <cellStyle name="Separador de milhares 3 7 2 2 6 3 5" xfId="34787"/>
    <cellStyle name="Separador de milhares 3 7 2 2 6 4" xfId="5867"/>
    <cellStyle name="Separador de milhares 3 7 2 2 6 4 2" xfId="24499"/>
    <cellStyle name="Separador de milhares 3 7 2 2 6 4 2 2" xfId="49566"/>
    <cellStyle name="Separador de milhares 3 7 2 2 6 4 3" xfId="31830"/>
    <cellStyle name="Separador de milhares 3 7 2 2 6 5" xfId="18585"/>
    <cellStyle name="Separador de milhares 3 7 2 2 6 5 2" xfId="43652"/>
    <cellStyle name="Separador de milhares 3 7 2 2 6 6" xfId="12254"/>
    <cellStyle name="Separador de milhares 3 7 2 2 6 6 2" xfId="37741"/>
    <cellStyle name="Separador de milhares 3 7 2 2 6 7" xfId="30360"/>
    <cellStyle name="Separador de milhares 3 7 2 2 7" xfId="6537"/>
    <cellStyle name="Separador de milhares 3 7 2 2 7 2" xfId="9684"/>
    <cellStyle name="Separador de milhares 3 7 2 2 7 2 2" xfId="27898"/>
    <cellStyle name="Separador de milhares 3 7 2 2 7 2 2 2" xfId="52965"/>
    <cellStyle name="Separador de milhares 3 7 2 2 7 2 3" xfId="21984"/>
    <cellStyle name="Separador de milhares 3 7 2 2 7 2 3 2" xfId="47051"/>
    <cellStyle name="Separador de milhares 3 7 2 2 7 2 4" xfId="16070"/>
    <cellStyle name="Separador de milhares 3 7 2 2 7 2 4 2" xfId="41137"/>
    <cellStyle name="Separador de milhares 3 7 2 2 7 2 5" xfId="35229"/>
    <cellStyle name="Separador de milhares 3 7 2 2 7 3" xfId="24941"/>
    <cellStyle name="Separador de milhares 3 7 2 2 7 3 2" xfId="50008"/>
    <cellStyle name="Separador de milhares 3 7 2 2 7 4" xfId="19027"/>
    <cellStyle name="Separador de milhares 3 7 2 2 7 4 2" xfId="44094"/>
    <cellStyle name="Separador de milhares 3 7 2 2 7 5" xfId="12926"/>
    <cellStyle name="Separador de milhares 3 7 2 2 7 5 2" xfId="38183"/>
    <cellStyle name="Separador de milhares 3 7 2 2 7 6" xfId="32272"/>
    <cellStyle name="Separador de milhares 3 7 2 2 8" xfId="8213"/>
    <cellStyle name="Separador de milhares 3 7 2 2 8 2" xfId="26427"/>
    <cellStyle name="Separador de milhares 3 7 2 2 8 2 2" xfId="51494"/>
    <cellStyle name="Separador de milhares 3 7 2 2 8 3" xfId="20513"/>
    <cellStyle name="Separador de milhares 3 7 2 2 8 3 2" xfId="45580"/>
    <cellStyle name="Separador de milhares 3 7 2 2 8 4" xfId="14602"/>
    <cellStyle name="Separador de milhares 3 7 2 2 8 4 2" xfId="39669"/>
    <cellStyle name="Separador de milhares 3 7 2 2 8 5" xfId="33758"/>
    <cellStyle name="Separador de milhares 3 7 2 2 9" xfId="4836"/>
    <cellStyle name="Separador de milhares 3 7 2 2 9 2" xfId="23470"/>
    <cellStyle name="Separador de milhares 3 7 2 2 9 2 2" xfId="48537"/>
    <cellStyle name="Separador de milhares 3 7 2 2 9 3" xfId="30802"/>
    <cellStyle name="Separador de milhares 3 7 2 3" xfId="906"/>
    <cellStyle name="Separador de milhares 3 7 2 3 2" xfId="6688"/>
    <cellStyle name="Separador de milhares 3 7 2 3 2 2" xfId="9835"/>
    <cellStyle name="Separador de milhares 3 7 2 3 2 2 2" xfId="28049"/>
    <cellStyle name="Separador de milhares 3 7 2 3 2 2 2 2" xfId="53116"/>
    <cellStyle name="Separador de milhares 3 7 2 3 2 2 3" xfId="22135"/>
    <cellStyle name="Separador de milhares 3 7 2 3 2 2 3 2" xfId="47202"/>
    <cellStyle name="Separador de milhares 3 7 2 3 2 2 4" xfId="16221"/>
    <cellStyle name="Separador de milhares 3 7 2 3 2 2 4 2" xfId="41288"/>
    <cellStyle name="Separador de milhares 3 7 2 3 2 2 5" xfId="35380"/>
    <cellStyle name="Separador de milhares 3 7 2 3 2 3" xfId="25092"/>
    <cellStyle name="Separador de milhares 3 7 2 3 2 3 2" xfId="50159"/>
    <cellStyle name="Separador de milhares 3 7 2 3 2 4" xfId="19178"/>
    <cellStyle name="Separador de milhares 3 7 2 3 2 4 2" xfId="44245"/>
    <cellStyle name="Separador de milhares 3 7 2 3 2 5" xfId="13077"/>
    <cellStyle name="Separador de milhares 3 7 2 3 2 5 2" xfId="38334"/>
    <cellStyle name="Separador de milhares 3 7 2 3 2 6" xfId="32423"/>
    <cellStyle name="Separador de milhares 3 7 2 3 3" xfId="8367"/>
    <cellStyle name="Separador de milhares 3 7 2 3 3 2" xfId="26581"/>
    <cellStyle name="Separador de milhares 3 7 2 3 3 2 2" xfId="51648"/>
    <cellStyle name="Separador de milhares 3 7 2 3 3 3" xfId="20667"/>
    <cellStyle name="Separador de milhares 3 7 2 3 3 3 2" xfId="45734"/>
    <cellStyle name="Separador de milhares 3 7 2 3 3 4" xfId="14753"/>
    <cellStyle name="Separador de milhares 3 7 2 3 3 4 2" xfId="39820"/>
    <cellStyle name="Separador de milhares 3 7 2 3 3 5" xfId="33912"/>
    <cellStyle name="Separador de milhares 3 7 2 3 4" xfId="4989"/>
    <cellStyle name="Separador de milhares 3 7 2 3 4 2" xfId="23624"/>
    <cellStyle name="Separador de milhares 3 7 2 3 4 2 2" xfId="48691"/>
    <cellStyle name="Separador de milhares 3 7 2 3 4 3" xfId="30955"/>
    <cellStyle name="Separador de milhares 3 7 2 3 5" xfId="17710"/>
    <cellStyle name="Separador de milhares 3 7 2 3 5 2" xfId="42777"/>
    <cellStyle name="Separador de milhares 3 7 2 3 6" xfId="11376"/>
    <cellStyle name="Separador de milhares 3 7 2 3 6 2" xfId="36866"/>
    <cellStyle name="Separador de milhares 3 7 2 3 7" xfId="29485"/>
    <cellStyle name="Separador de milhares 3 7 2 4" xfId="1257"/>
    <cellStyle name="Separador de milhares 3 7 2 4 2" xfId="6786"/>
    <cellStyle name="Separador de milhares 3 7 2 4 2 2" xfId="9933"/>
    <cellStyle name="Separador de milhares 3 7 2 4 2 2 2" xfId="28147"/>
    <cellStyle name="Separador de milhares 3 7 2 4 2 2 2 2" xfId="53214"/>
    <cellStyle name="Separador de milhares 3 7 2 4 2 2 3" xfId="22233"/>
    <cellStyle name="Separador de milhares 3 7 2 4 2 2 3 2" xfId="47300"/>
    <cellStyle name="Separador de milhares 3 7 2 4 2 2 4" xfId="16319"/>
    <cellStyle name="Separador de milhares 3 7 2 4 2 2 4 2" xfId="41386"/>
    <cellStyle name="Separador de milhares 3 7 2 4 2 2 5" xfId="35478"/>
    <cellStyle name="Separador de milhares 3 7 2 4 2 3" xfId="25190"/>
    <cellStyle name="Separador de milhares 3 7 2 4 2 3 2" xfId="50257"/>
    <cellStyle name="Separador de milhares 3 7 2 4 2 4" xfId="19276"/>
    <cellStyle name="Separador de milhares 3 7 2 4 2 4 2" xfId="44343"/>
    <cellStyle name="Separador de milhares 3 7 2 4 2 5" xfId="13175"/>
    <cellStyle name="Separador de milhares 3 7 2 4 2 5 2" xfId="38432"/>
    <cellStyle name="Separador de milhares 3 7 2 4 2 6" xfId="32521"/>
    <cellStyle name="Separador de milhares 3 7 2 4 3" xfId="8465"/>
    <cellStyle name="Separador de milhares 3 7 2 4 3 2" xfId="26679"/>
    <cellStyle name="Separador de milhares 3 7 2 4 3 2 2" xfId="51746"/>
    <cellStyle name="Separador de milhares 3 7 2 4 3 3" xfId="20765"/>
    <cellStyle name="Separador de milhares 3 7 2 4 3 3 2" xfId="45832"/>
    <cellStyle name="Separador de milhares 3 7 2 4 3 4" xfId="14851"/>
    <cellStyle name="Separador de milhares 3 7 2 4 3 4 2" xfId="39918"/>
    <cellStyle name="Separador de milhares 3 7 2 4 3 5" xfId="34010"/>
    <cellStyle name="Separador de milhares 3 7 2 4 4" xfId="5087"/>
    <cellStyle name="Separador de milhares 3 7 2 4 4 2" xfId="23722"/>
    <cellStyle name="Separador de milhares 3 7 2 4 4 2 2" xfId="48789"/>
    <cellStyle name="Separador de milhares 3 7 2 4 4 3" xfId="31053"/>
    <cellStyle name="Separador de milhares 3 7 2 4 5" xfId="17808"/>
    <cellStyle name="Separador de milhares 3 7 2 4 5 2" xfId="42875"/>
    <cellStyle name="Separador de milhares 3 7 2 4 6" xfId="11474"/>
    <cellStyle name="Separador de milhares 3 7 2 4 6 2" xfId="36964"/>
    <cellStyle name="Separador de milhares 3 7 2 4 7" xfId="29583"/>
    <cellStyle name="Separador de milhares 3 7 2 5" xfId="1692"/>
    <cellStyle name="Separador de milhares 3 7 2 5 2" xfId="6905"/>
    <cellStyle name="Separador de milhares 3 7 2 5 2 2" xfId="10052"/>
    <cellStyle name="Separador de milhares 3 7 2 5 2 2 2" xfId="28266"/>
    <cellStyle name="Separador de milhares 3 7 2 5 2 2 2 2" xfId="53333"/>
    <cellStyle name="Separador de milhares 3 7 2 5 2 2 3" xfId="22352"/>
    <cellStyle name="Separador de milhares 3 7 2 5 2 2 3 2" xfId="47419"/>
    <cellStyle name="Separador de milhares 3 7 2 5 2 2 4" xfId="16438"/>
    <cellStyle name="Separador de milhares 3 7 2 5 2 2 4 2" xfId="41505"/>
    <cellStyle name="Separador de milhares 3 7 2 5 2 2 5" xfId="35597"/>
    <cellStyle name="Separador de milhares 3 7 2 5 2 3" xfId="25309"/>
    <cellStyle name="Separador de milhares 3 7 2 5 2 3 2" xfId="50376"/>
    <cellStyle name="Separador de milhares 3 7 2 5 2 4" xfId="19395"/>
    <cellStyle name="Separador de milhares 3 7 2 5 2 4 2" xfId="44462"/>
    <cellStyle name="Separador de milhares 3 7 2 5 2 5" xfId="13294"/>
    <cellStyle name="Separador de milhares 3 7 2 5 2 5 2" xfId="38551"/>
    <cellStyle name="Separador de milhares 3 7 2 5 2 6" xfId="32640"/>
    <cellStyle name="Separador de milhares 3 7 2 5 3" xfId="8584"/>
    <cellStyle name="Separador de milhares 3 7 2 5 3 2" xfId="26798"/>
    <cellStyle name="Separador de milhares 3 7 2 5 3 2 2" xfId="51865"/>
    <cellStyle name="Separador de milhares 3 7 2 5 3 3" xfId="20884"/>
    <cellStyle name="Separador de milhares 3 7 2 5 3 3 2" xfId="45951"/>
    <cellStyle name="Separador de milhares 3 7 2 5 3 4" xfId="14970"/>
    <cellStyle name="Separador de milhares 3 7 2 5 3 4 2" xfId="40037"/>
    <cellStyle name="Separador de milhares 3 7 2 5 3 5" xfId="34129"/>
    <cellStyle name="Separador de milhares 3 7 2 5 4" xfId="5206"/>
    <cellStyle name="Separador de milhares 3 7 2 5 4 2" xfId="23841"/>
    <cellStyle name="Separador de milhares 3 7 2 5 4 2 2" xfId="48908"/>
    <cellStyle name="Separador de milhares 3 7 2 5 4 3" xfId="31172"/>
    <cellStyle name="Separador de milhares 3 7 2 5 5" xfId="17927"/>
    <cellStyle name="Separador de milhares 3 7 2 5 5 2" xfId="42994"/>
    <cellStyle name="Separador de milhares 3 7 2 5 6" xfId="11593"/>
    <cellStyle name="Separador de milhares 3 7 2 5 6 2" xfId="37083"/>
    <cellStyle name="Separador de milhares 3 7 2 5 7" xfId="29702"/>
    <cellStyle name="Separador de milhares 3 7 2 6" xfId="2222"/>
    <cellStyle name="Separador de milhares 3 7 2 6 2" xfId="7055"/>
    <cellStyle name="Separador de milhares 3 7 2 6 2 2" xfId="10199"/>
    <cellStyle name="Separador de milhares 3 7 2 6 2 2 2" xfId="28413"/>
    <cellStyle name="Separador de milhares 3 7 2 6 2 2 2 2" xfId="53480"/>
    <cellStyle name="Separador de milhares 3 7 2 6 2 2 3" xfId="22499"/>
    <cellStyle name="Separador de milhares 3 7 2 6 2 2 3 2" xfId="47566"/>
    <cellStyle name="Separador de milhares 3 7 2 6 2 2 4" xfId="16585"/>
    <cellStyle name="Separador de milhares 3 7 2 6 2 2 4 2" xfId="41652"/>
    <cellStyle name="Separador de milhares 3 7 2 6 2 2 5" xfId="35744"/>
    <cellStyle name="Separador de milhares 3 7 2 6 2 3" xfId="25456"/>
    <cellStyle name="Separador de milhares 3 7 2 6 2 3 2" xfId="50523"/>
    <cellStyle name="Separador de milhares 3 7 2 6 2 4" xfId="19542"/>
    <cellStyle name="Separador de milhares 3 7 2 6 2 4 2" xfId="44609"/>
    <cellStyle name="Separador de milhares 3 7 2 6 2 5" xfId="13444"/>
    <cellStyle name="Separador de milhares 3 7 2 6 2 5 2" xfId="38698"/>
    <cellStyle name="Separador de milhares 3 7 2 6 2 6" xfId="32787"/>
    <cellStyle name="Separador de milhares 3 7 2 6 3" xfId="8731"/>
    <cellStyle name="Separador de milhares 3 7 2 6 3 2" xfId="26945"/>
    <cellStyle name="Separador de milhares 3 7 2 6 3 2 2" xfId="52012"/>
    <cellStyle name="Separador de milhares 3 7 2 6 3 3" xfId="21031"/>
    <cellStyle name="Separador de milhares 3 7 2 6 3 3 2" xfId="46098"/>
    <cellStyle name="Separador de milhares 3 7 2 6 3 4" xfId="15117"/>
    <cellStyle name="Separador de milhares 3 7 2 6 3 4 2" xfId="40184"/>
    <cellStyle name="Separador de milhares 3 7 2 6 3 5" xfId="34276"/>
    <cellStyle name="Separador de milhares 3 7 2 6 4" xfId="5356"/>
    <cellStyle name="Separador de milhares 3 7 2 6 4 2" xfId="23988"/>
    <cellStyle name="Separador de milhares 3 7 2 6 4 2 2" xfId="49055"/>
    <cellStyle name="Separador de milhares 3 7 2 6 4 3" xfId="31319"/>
    <cellStyle name="Separador de milhares 3 7 2 6 5" xfId="18074"/>
    <cellStyle name="Separador de milhares 3 7 2 6 5 2" xfId="43141"/>
    <cellStyle name="Separador de milhares 3 7 2 6 6" xfId="11743"/>
    <cellStyle name="Separador de milhares 3 7 2 6 6 2" xfId="37230"/>
    <cellStyle name="Separador de milhares 3 7 2 6 7" xfId="29849"/>
    <cellStyle name="Separador de milhares 3 7 2 7" xfId="2749"/>
    <cellStyle name="Separador de milhares 3 7 2 7 2" xfId="7202"/>
    <cellStyle name="Separador de milhares 3 7 2 7 2 2" xfId="10346"/>
    <cellStyle name="Separador de milhares 3 7 2 7 2 2 2" xfId="28560"/>
    <cellStyle name="Separador de milhares 3 7 2 7 2 2 2 2" xfId="53627"/>
    <cellStyle name="Separador de milhares 3 7 2 7 2 2 3" xfId="22646"/>
    <cellStyle name="Separador de milhares 3 7 2 7 2 2 3 2" xfId="47713"/>
    <cellStyle name="Separador de milhares 3 7 2 7 2 2 4" xfId="16732"/>
    <cellStyle name="Separador de milhares 3 7 2 7 2 2 4 2" xfId="41799"/>
    <cellStyle name="Separador de milhares 3 7 2 7 2 2 5" xfId="35891"/>
    <cellStyle name="Separador de milhares 3 7 2 7 2 3" xfId="25603"/>
    <cellStyle name="Separador de milhares 3 7 2 7 2 3 2" xfId="50670"/>
    <cellStyle name="Separador de milhares 3 7 2 7 2 4" xfId="19689"/>
    <cellStyle name="Separador de milhares 3 7 2 7 2 4 2" xfId="44756"/>
    <cellStyle name="Separador de milhares 3 7 2 7 2 5" xfId="13591"/>
    <cellStyle name="Separador de milhares 3 7 2 7 2 5 2" xfId="38845"/>
    <cellStyle name="Separador de milhares 3 7 2 7 2 6" xfId="32934"/>
    <cellStyle name="Separador de milhares 3 7 2 7 3" xfId="8878"/>
    <cellStyle name="Separador de milhares 3 7 2 7 3 2" xfId="27092"/>
    <cellStyle name="Separador de milhares 3 7 2 7 3 2 2" xfId="52159"/>
    <cellStyle name="Separador de milhares 3 7 2 7 3 3" xfId="21178"/>
    <cellStyle name="Separador de milhares 3 7 2 7 3 3 2" xfId="46245"/>
    <cellStyle name="Separador de milhares 3 7 2 7 3 4" xfId="15264"/>
    <cellStyle name="Separador de milhares 3 7 2 7 3 4 2" xfId="40331"/>
    <cellStyle name="Separador de milhares 3 7 2 7 3 5" xfId="34423"/>
    <cellStyle name="Separador de milhares 3 7 2 7 4" xfId="5503"/>
    <cellStyle name="Separador de milhares 3 7 2 7 4 2" xfId="24135"/>
    <cellStyle name="Separador de milhares 3 7 2 7 4 2 2" xfId="49202"/>
    <cellStyle name="Separador de milhares 3 7 2 7 4 3" xfId="31466"/>
    <cellStyle name="Separador de milhares 3 7 2 7 5" xfId="18221"/>
    <cellStyle name="Separador de milhares 3 7 2 7 5 2" xfId="43288"/>
    <cellStyle name="Separador de milhares 3 7 2 7 6" xfId="11890"/>
    <cellStyle name="Separador de milhares 3 7 2 7 6 2" xfId="37377"/>
    <cellStyle name="Separador de milhares 3 7 2 7 7" xfId="29996"/>
    <cellStyle name="Separador de milhares 3 7 2 8" xfId="3276"/>
    <cellStyle name="Separador de milhares 3 7 2 8 2" xfId="7349"/>
    <cellStyle name="Separador de milhares 3 7 2 8 2 2" xfId="10493"/>
    <cellStyle name="Separador de milhares 3 7 2 8 2 2 2" xfId="28707"/>
    <cellStyle name="Separador de milhares 3 7 2 8 2 2 2 2" xfId="53774"/>
    <cellStyle name="Separador de milhares 3 7 2 8 2 2 3" xfId="22793"/>
    <cellStyle name="Separador de milhares 3 7 2 8 2 2 3 2" xfId="47860"/>
    <cellStyle name="Separador de milhares 3 7 2 8 2 2 4" xfId="16879"/>
    <cellStyle name="Separador de milhares 3 7 2 8 2 2 4 2" xfId="41946"/>
    <cellStyle name="Separador de milhares 3 7 2 8 2 2 5" xfId="36038"/>
    <cellStyle name="Separador de milhares 3 7 2 8 2 3" xfId="25750"/>
    <cellStyle name="Separador de milhares 3 7 2 8 2 3 2" xfId="50817"/>
    <cellStyle name="Separador de milhares 3 7 2 8 2 4" xfId="19836"/>
    <cellStyle name="Separador de milhares 3 7 2 8 2 4 2" xfId="44903"/>
    <cellStyle name="Separador de milhares 3 7 2 8 2 5" xfId="13738"/>
    <cellStyle name="Separador de milhares 3 7 2 8 2 5 2" xfId="38992"/>
    <cellStyle name="Separador de milhares 3 7 2 8 2 6" xfId="33081"/>
    <cellStyle name="Separador de milhares 3 7 2 8 3" xfId="9025"/>
    <cellStyle name="Separador de milhares 3 7 2 8 3 2" xfId="27239"/>
    <cellStyle name="Separador de milhares 3 7 2 8 3 2 2" xfId="52306"/>
    <cellStyle name="Separador de milhares 3 7 2 8 3 3" xfId="21325"/>
    <cellStyle name="Separador de milhares 3 7 2 8 3 3 2" xfId="46392"/>
    <cellStyle name="Separador de milhares 3 7 2 8 3 4" xfId="15411"/>
    <cellStyle name="Separador de milhares 3 7 2 8 3 4 2" xfId="40478"/>
    <cellStyle name="Separador de milhares 3 7 2 8 3 5" xfId="34570"/>
    <cellStyle name="Separador de milhares 3 7 2 8 4" xfId="5650"/>
    <cellStyle name="Separador de milhares 3 7 2 8 4 2" xfId="24282"/>
    <cellStyle name="Separador de milhares 3 7 2 8 4 2 2" xfId="49349"/>
    <cellStyle name="Separador de milhares 3 7 2 8 4 3" xfId="31613"/>
    <cellStyle name="Separador de milhares 3 7 2 8 5" xfId="18368"/>
    <cellStyle name="Separador de milhares 3 7 2 8 5 2" xfId="43435"/>
    <cellStyle name="Separador de milhares 3 7 2 8 6" xfId="12037"/>
    <cellStyle name="Separador de milhares 3 7 2 8 6 2" xfId="37524"/>
    <cellStyle name="Separador de milhares 3 7 2 8 7" xfId="30143"/>
    <cellStyle name="Separador de milhares 3 7 2 9" xfId="3803"/>
    <cellStyle name="Separador de milhares 3 7 2 9 2" xfId="7496"/>
    <cellStyle name="Separador de milhares 3 7 2 9 2 2" xfId="10640"/>
    <cellStyle name="Separador de milhares 3 7 2 9 2 2 2" xfId="28854"/>
    <cellStyle name="Separador de milhares 3 7 2 9 2 2 2 2" xfId="53921"/>
    <cellStyle name="Separador de milhares 3 7 2 9 2 2 3" xfId="22940"/>
    <cellStyle name="Separador de milhares 3 7 2 9 2 2 3 2" xfId="48007"/>
    <cellStyle name="Separador de milhares 3 7 2 9 2 2 4" xfId="17026"/>
    <cellStyle name="Separador de milhares 3 7 2 9 2 2 4 2" xfId="42093"/>
    <cellStyle name="Separador de milhares 3 7 2 9 2 2 5" xfId="36185"/>
    <cellStyle name="Separador de milhares 3 7 2 9 2 3" xfId="25897"/>
    <cellStyle name="Separador de milhares 3 7 2 9 2 3 2" xfId="50964"/>
    <cellStyle name="Separador de milhares 3 7 2 9 2 4" xfId="19983"/>
    <cellStyle name="Separador de milhares 3 7 2 9 2 4 2" xfId="45050"/>
    <cellStyle name="Separador de milhares 3 7 2 9 2 5" xfId="13885"/>
    <cellStyle name="Separador de milhares 3 7 2 9 2 5 2" xfId="39139"/>
    <cellStyle name="Separador de milhares 3 7 2 9 2 6" xfId="33228"/>
    <cellStyle name="Separador de milhares 3 7 2 9 3" xfId="9172"/>
    <cellStyle name="Separador de milhares 3 7 2 9 3 2" xfId="27386"/>
    <cellStyle name="Separador de milhares 3 7 2 9 3 2 2" xfId="52453"/>
    <cellStyle name="Separador de milhares 3 7 2 9 3 3" xfId="21472"/>
    <cellStyle name="Separador de milhares 3 7 2 9 3 3 2" xfId="46539"/>
    <cellStyle name="Separador de milhares 3 7 2 9 3 4" xfId="15558"/>
    <cellStyle name="Separador de milhares 3 7 2 9 3 4 2" xfId="40625"/>
    <cellStyle name="Separador de milhares 3 7 2 9 3 5" xfId="34717"/>
    <cellStyle name="Separador de milhares 3 7 2 9 4" xfId="5797"/>
    <cellStyle name="Separador de milhares 3 7 2 9 4 2" xfId="24429"/>
    <cellStyle name="Separador de milhares 3 7 2 9 4 2 2" xfId="49496"/>
    <cellStyle name="Separador de milhares 3 7 2 9 4 3" xfId="31760"/>
    <cellStyle name="Separador de milhares 3 7 2 9 5" xfId="18515"/>
    <cellStyle name="Separador de milhares 3 7 2 9 5 2" xfId="43582"/>
    <cellStyle name="Separador de milhares 3 7 2 9 6" xfId="12184"/>
    <cellStyle name="Separador de milhares 3 7 2 9 6 2" xfId="37671"/>
    <cellStyle name="Separador de milhares 3 7 2 9 7" xfId="30290"/>
    <cellStyle name="Separador de milhares 3 7 3" xfId="255"/>
    <cellStyle name="Separador de milhares 3 7 3 10" xfId="6487"/>
    <cellStyle name="Separador de milhares 3 7 3 10 2" xfId="9638"/>
    <cellStyle name="Separador de milhares 3 7 3 10 2 2" xfId="27852"/>
    <cellStyle name="Separador de milhares 3 7 3 10 2 2 2" xfId="52919"/>
    <cellStyle name="Separador de milhares 3 7 3 10 2 3" xfId="21938"/>
    <cellStyle name="Separador de milhares 3 7 3 10 2 3 2" xfId="47005"/>
    <cellStyle name="Separador de milhares 3 7 3 10 2 4" xfId="16024"/>
    <cellStyle name="Separador de milhares 3 7 3 10 2 4 2" xfId="41091"/>
    <cellStyle name="Separador de milhares 3 7 3 10 2 5" xfId="35183"/>
    <cellStyle name="Separador de milhares 3 7 3 10 3" xfId="24895"/>
    <cellStyle name="Separador de milhares 3 7 3 10 3 2" xfId="49962"/>
    <cellStyle name="Separador de milhares 3 7 3 10 4" xfId="18981"/>
    <cellStyle name="Separador de milhares 3 7 3 10 4 2" xfId="44048"/>
    <cellStyle name="Separador de milhares 3 7 3 10 5" xfId="12876"/>
    <cellStyle name="Separador de milhares 3 7 3 10 5 2" xfId="38137"/>
    <cellStyle name="Separador de milhares 3 7 3 10 6" xfId="32226"/>
    <cellStyle name="Separador de milhares 3 7 3 11" xfId="8167"/>
    <cellStyle name="Separador de milhares 3 7 3 11 2" xfId="26381"/>
    <cellStyle name="Separador de milhares 3 7 3 11 2 2" xfId="51448"/>
    <cellStyle name="Separador de milhares 3 7 3 11 3" xfId="20467"/>
    <cellStyle name="Separador de milhares 3 7 3 11 3 2" xfId="45534"/>
    <cellStyle name="Separador de milhares 3 7 3 11 4" xfId="14556"/>
    <cellStyle name="Separador de milhares 3 7 3 11 4 2" xfId="39623"/>
    <cellStyle name="Separador de milhares 3 7 3 11 5" xfId="33712"/>
    <cellStyle name="Separador de milhares 3 7 3 12" xfId="4786"/>
    <cellStyle name="Separador de milhares 3 7 3 12 2" xfId="23424"/>
    <cellStyle name="Separador de milhares 3 7 3 12 2 2" xfId="48491"/>
    <cellStyle name="Separador de milhares 3 7 3 12 3" xfId="30756"/>
    <cellStyle name="Separador de milhares 3 7 3 13" xfId="17510"/>
    <cellStyle name="Separador de milhares 3 7 3 13 2" xfId="42577"/>
    <cellStyle name="Separador de milhares 3 7 3 14" xfId="11175"/>
    <cellStyle name="Separador de milhares 3 7 3 14 2" xfId="36669"/>
    <cellStyle name="Separador de milhares 3 7 3 15" xfId="29285"/>
    <cellStyle name="Separador de milhares 3 7 3 2" xfId="518"/>
    <cellStyle name="Separador de milhares 3 7 3 2 2" xfId="6558"/>
    <cellStyle name="Separador de milhares 3 7 3 2 2 2" xfId="9705"/>
    <cellStyle name="Separador de milhares 3 7 3 2 2 2 2" xfId="27919"/>
    <cellStyle name="Separador de milhares 3 7 3 2 2 2 2 2" xfId="52986"/>
    <cellStyle name="Separador de milhares 3 7 3 2 2 2 3" xfId="22005"/>
    <cellStyle name="Separador de milhares 3 7 3 2 2 2 3 2" xfId="47072"/>
    <cellStyle name="Separador de milhares 3 7 3 2 2 2 4" xfId="16091"/>
    <cellStyle name="Separador de milhares 3 7 3 2 2 2 4 2" xfId="41158"/>
    <cellStyle name="Separador de milhares 3 7 3 2 2 2 5" xfId="35250"/>
    <cellStyle name="Separador de milhares 3 7 3 2 2 3" xfId="24962"/>
    <cellStyle name="Separador de milhares 3 7 3 2 2 3 2" xfId="50029"/>
    <cellStyle name="Separador de milhares 3 7 3 2 2 4" xfId="19048"/>
    <cellStyle name="Separador de milhares 3 7 3 2 2 4 2" xfId="44115"/>
    <cellStyle name="Separador de milhares 3 7 3 2 2 5" xfId="12947"/>
    <cellStyle name="Separador de milhares 3 7 3 2 2 5 2" xfId="38204"/>
    <cellStyle name="Separador de milhares 3 7 3 2 2 6" xfId="32293"/>
    <cellStyle name="Separador de milhares 3 7 3 2 3" xfId="8234"/>
    <cellStyle name="Separador de milhares 3 7 3 2 3 2" xfId="26448"/>
    <cellStyle name="Separador de milhares 3 7 3 2 3 2 2" xfId="51515"/>
    <cellStyle name="Separador de milhares 3 7 3 2 3 3" xfId="20534"/>
    <cellStyle name="Separador de milhares 3 7 3 2 3 3 2" xfId="45601"/>
    <cellStyle name="Separador de milhares 3 7 3 2 3 4" xfId="14623"/>
    <cellStyle name="Separador de milhares 3 7 3 2 3 4 2" xfId="39690"/>
    <cellStyle name="Separador de milhares 3 7 3 2 3 5" xfId="33779"/>
    <cellStyle name="Separador de milhares 3 7 3 2 4" xfId="4857"/>
    <cellStyle name="Separador de milhares 3 7 3 2 4 2" xfId="23491"/>
    <cellStyle name="Separador de milhares 3 7 3 2 4 2 2" xfId="48558"/>
    <cellStyle name="Separador de milhares 3 7 3 2 4 3" xfId="30823"/>
    <cellStyle name="Separador de milhares 3 7 3 2 5" xfId="17577"/>
    <cellStyle name="Separador de milhares 3 7 3 2 5 2" xfId="42644"/>
    <cellStyle name="Separador de milhares 3 7 3 2 6" xfId="11246"/>
    <cellStyle name="Separador de milhares 3 7 3 2 6 2" xfId="36736"/>
    <cellStyle name="Separador de milhares 3 7 3 2 7" xfId="29352"/>
    <cellStyle name="Separador de milhares 3 7 3 3" xfId="815"/>
    <cellStyle name="Separador de milhares 3 7 3 3 2" xfId="6660"/>
    <cellStyle name="Separador de milhares 3 7 3 3 2 2" xfId="9807"/>
    <cellStyle name="Separador de milhares 3 7 3 3 2 2 2" xfId="28021"/>
    <cellStyle name="Separador de milhares 3 7 3 3 2 2 2 2" xfId="53088"/>
    <cellStyle name="Separador de milhares 3 7 3 3 2 2 3" xfId="22107"/>
    <cellStyle name="Separador de milhares 3 7 3 3 2 2 3 2" xfId="47174"/>
    <cellStyle name="Separador de milhares 3 7 3 3 2 2 4" xfId="16193"/>
    <cellStyle name="Separador de milhares 3 7 3 3 2 2 4 2" xfId="41260"/>
    <cellStyle name="Separador de milhares 3 7 3 3 2 2 5" xfId="35352"/>
    <cellStyle name="Separador de milhares 3 7 3 3 2 3" xfId="25064"/>
    <cellStyle name="Separador de milhares 3 7 3 3 2 3 2" xfId="50131"/>
    <cellStyle name="Separador de milhares 3 7 3 3 2 4" xfId="19150"/>
    <cellStyle name="Separador de milhares 3 7 3 3 2 4 2" xfId="44217"/>
    <cellStyle name="Separador de milhares 3 7 3 3 2 5" xfId="13049"/>
    <cellStyle name="Separador de milhares 3 7 3 3 2 5 2" xfId="38306"/>
    <cellStyle name="Separador de milhares 3 7 3 3 2 6" xfId="32395"/>
    <cellStyle name="Separador de milhares 3 7 3 3 3" xfId="8339"/>
    <cellStyle name="Separador de milhares 3 7 3 3 3 2" xfId="26553"/>
    <cellStyle name="Separador de milhares 3 7 3 3 3 2 2" xfId="51620"/>
    <cellStyle name="Separador de milhares 3 7 3 3 3 3" xfId="20639"/>
    <cellStyle name="Separador de milhares 3 7 3 3 3 3 2" xfId="45706"/>
    <cellStyle name="Separador de milhares 3 7 3 3 3 4" xfId="14725"/>
    <cellStyle name="Separador de milhares 3 7 3 3 3 4 2" xfId="39792"/>
    <cellStyle name="Separador de milhares 3 7 3 3 3 5" xfId="33884"/>
    <cellStyle name="Separador de milhares 3 7 3 3 4" xfId="4961"/>
    <cellStyle name="Separador de milhares 3 7 3 3 4 2" xfId="23596"/>
    <cellStyle name="Separador de milhares 3 7 3 3 4 2 2" xfId="48663"/>
    <cellStyle name="Separador de milhares 3 7 3 3 4 3" xfId="30927"/>
    <cellStyle name="Separador de milhares 3 7 3 3 5" xfId="17682"/>
    <cellStyle name="Separador de milhares 3 7 3 3 5 2" xfId="42749"/>
    <cellStyle name="Separador de milhares 3 7 3 3 6" xfId="11348"/>
    <cellStyle name="Separador de milhares 3 7 3 3 6 2" xfId="36838"/>
    <cellStyle name="Separador de milhares 3 7 3 3 7" xfId="29457"/>
    <cellStyle name="Separador de milhares 3 7 3 4" xfId="1166"/>
    <cellStyle name="Separador de milhares 3 7 3 4 2" xfId="6758"/>
    <cellStyle name="Separador de milhares 3 7 3 4 2 2" xfId="9905"/>
    <cellStyle name="Separador de milhares 3 7 3 4 2 2 2" xfId="28119"/>
    <cellStyle name="Separador de milhares 3 7 3 4 2 2 2 2" xfId="53186"/>
    <cellStyle name="Separador de milhares 3 7 3 4 2 2 3" xfId="22205"/>
    <cellStyle name="Separador de milhares 3 7 3 4 2 2 3 2" xfId="47272"/>
    <cellStyle name="Separador de milhares 3 7 3 4 2 2 4" xfId="16291"/>
    <cellStyle name="Separador de milhares 3 7 3 4 2 2 4 2" xfId="41358"/>
    <cellStyle name="Separador de milhares 3 7 3 4 2 2 5" xfId="35450"/>
    <cellStyle name="Separador de milhares 3 7 3 4 2 3" xfId="25162"/>
    <cellStyle name="Separador de milhares 3 7 3 4 2 3 2" xfId="50229"/>
    <cellStyle name="Separador de milhares 3 7 3 4 2 4" xfId="19248"/>
    <cellStyle name="Separador de milhares 3 7 3 4 2 4 2" xfId="44315"/>
    <cellStyle name="Separador de milhares 3 7 3 4 2 5" xfId="13147"/>
    <cellStyle name="Separador de milhares 3 7 3 4 2 5 2" xfId="38404"/>
    <cellStyle name="Separador de milhares 3 7 3 4 2 6" xfId="32493"/>
    <cellStyle name="Separador de milhares 3 7 3 4 3" xfId="8437"/>
    <cellStyle name="Separador de milhares 3 7 3 4 3 2" xfId="26651"/>
    <cellStyle name="Separador de milhares 3 7 3 4 3 2 2" xfId="51718"/>
    <cellStyle name="Separador de milhares 3 7 3 4 3 3" xfId="20737"/>
    <cellStyle name="Separador de milhares 3 7 3 4 3 3 2" xfId="45804"/>
    <cellStyle name="Separador de milhares 3 7 3 4 3 4" xfId="14823"/>
    <cellStyle name="Separador de milhares 3 7 3 4 3 4 2" xfId="39890"/>
    <cellStyle name="Separador de milhares 3 7 3 4 3 5" xfId="33982"/>
    <cellStyle name="Separador de milhares 3 7 3 4 4" xfId="5059"/>
    <cellStyle name="Separador de milhares 3 7 3 4 4 2" xfId="23694"/>
    <cellStyle name="Separador de milhares 3 7 3 4 4 2 2" xfId="48761"/>
    <cellStyle name="Separador de milhares 3 7 3 4 4 3" xfId="31025"/>
    <cellStyle name="Separador de milhares 3 7 3 4 5" xfId="17780"/>
    <cellStyle name="Separador de milhares 3 7 3 4 5 2" xfId="42847"/>
    <cellStyle name="Separador de milhares 3 7 3 4 6" xfId="11446"/>
    <cellStyle name="Separador de milhares 3 7 3 4 6 2" xfId="36936"/>
    <cellStyle name="Separador de milhares 3 7 3 4 7" xfId="29555"/>
    <cellStyle name="Separador de milhares 3 7 3 5" xfId="1601"/>
    <cellStyle name="Separador de milhares 3 7 3 5 2" xfId="6877"/>
    <cellStyle name="Separador de milhares 3 7 3 5 2 2" xfId="10024"/>
    <cellStyle name="Separador de milhares 3 7 3 5 2 2 2" xfId="28238"/>
    <cellStyle name="Separador de milhares 3 7 3 5 2 2 2 2" xfId="53305"/>
    <cellStyle name="Separador de milhares 3 7 3 5 2 2 3" xfId="22324"/>
    <cellStyle name="Separador de milhares 3 7 3 5 2 2 3 2" xfId="47391"/>
    <cellStyle name="Separador de milhares 3 7 3 5 2 2 4" xfId="16410"/>
    <cellStyle name="Separador de milhares 3 7 3 5 2 2 4 2" xfId="41477"/>
    <cellStyle name="Separador de milhares 3 7 3 5 2 2 5" xfId="35569"/>
    <cellStyle name="Separador de milhares 3 7 3 5 2 3" xfId="25281"/>
    <cellStyle name="Separador de milhares 3 7 3 5 2 3 2" xfId="50348"/>
    <cellStyle name="Separador de milhares 3 7 3 5 2 4" xfId="19367"/>
    <cellStyle name="Separador de milhares 3 7 3 5 2 4 2" xfId="44434"/>
    <cellStyle name="Separador de milhares 3 7 3 5 2 5" xfId="13266"/>
    <cellStyle name="Separador de milhares 3 7 3 5 2 5 2" xfId="38523"/>
    <cellStyle name="Separador de milhares 3 7 3 5 2 6" xfId="32612"/>
    <cellStyle name="Separador de milhares 3 7 3 5 3" xfId="8556"/>
    <cellStyle name="Separador de milhares 3 7 3 5 3 2" xfId="26770"/>
    <cellStyle name="Separador de milhares 3 7 3 5 3 2 2" xfId="51837"/>
    <cellStyle name="Separador de milhares 3 7 3 5 3 3" xfId="20856"/>
    <cellStyle name="Separador de milhares 3 7 3 5 3 3 2" xfId="45923"/>
    <cellStyle name="Separador de milhares 3 7 3 5 3 4" xfId="14942"/>
    <cellStyle name="Separador de milhares 3 7 3 5 3 4 2" xfId="40009"/>
    <cellStyle name="Separador de milhares 3 7 3 5 3 5" xfId="34101"/>
    <cellStyle name="Separador de milhares 3 7 3 5 4" xfId="5178"/>
    <cellStyle name="Separador de milhares 3 7 3 5 4 2" xfId="23813"/>
    <cellStyle name="Separador de milhares 3 7 3 5 4 2 2" xfId="48880"/>
    <cellStyle name="Separador de milhares 3 7 3 5 4 3" xfId="31144"/>
    <cellStyle name="Separador de milhares 3 7 3 5 5" xfId="17899"/>
    <cellStyle name="Separador de milhares 3 7 3 5 5 2" xfId="42966"/>
    <cellStyle name="Separador de milhares 3 7 3 5 6" xfId="11565"/>
    <cellStyle name="Separador de milhares 3 7 3 5 6 2" xfId="37055"/>
    <cellStyle name="Separador de milhares 3 7 3 5 7" xfId="29674"/>
    <cellStyle name="Separador de milhares 3 7 3 6" xfId="2131"/>
    <cellStyle name="Separador de milhares 3 7 3 6 2" xfId="7027"/>
    <cellStyle name="Separador de milhares 3 7 3 6 2 2" xfId="10171"/>
    <cellStyle name="Separador de milhares 3 7 3 6 2 2 2" xfId="28385"/>
    <cellStyle name="Separador de milhares 3 7 3 6 2 2 2 2" xfId="53452"/>
    <cellStyle name="Separador de milhares 3 7 3 6 2 2 3" xfId="22471"/>
    <cellStyle name="Separador de milhares 3 7 3 6 2 2 3 2" xfId="47538"/>
    <cellStyle name="Separador de milhares 3 7 3 6 2 2 4" xfId="16557"/>
    <cellStyle name="Separador de milhares 3 7 3 6 2 2 4 2" xfId="41624"/>
    <cellStyle name="Separador de milhares 3 7 3 6 2 2 5" xfId="35716"/>
    <cellStyle name="Separador de milhares 3 7 3 6 2 3" xfId="25428"/>
    <cellStyle name="Separador de milhares 3 7 3 6 2 3 2" xfId="50495"/>
    <cellStyle name="Separador de milhares 3 7 3 6 2 4" xfId="19514"/>
    <cellStyle name="Separador de milhares 3 7 3 6 2 4 2" xfId="44581"/>
    <cellStyle name="Separador de milhares 3 7 3 6 2 5" xfId="13416"/>
    <cellStyle name="Separador de milhares 3 7 3 6 2 5 2" xfId="38670"/>
    <cellStyle name="Separador de milhares 3 7 3 6 2 6" xfId="32759"/>
    <cellStyle name="Separador de milhares 3 7 3 6 3" xfId="8703"/>
    <cellStyle name="Separador de milhares 3 7 3 6 3 2" xfId="26917"/>
    <cellStyle name="Separador de milhares 3 7 3 6 3 2 2" xfId="51984"/>
    <cellStyle name="Separador de milhares 3 7 3 6 3 3" xfId="21003"/>
    <cellStyle name="Separador de milhares 3 7 3 6 3 3 2" xfId="46070"/>
    <cellStyle name="Separador de milhares 3 7 3 6 3 4" xfId="15089"/>
    <cellStyle name="Separador de milhares 3 7 3 6 3 4 2" xfId="40156"/>
    <cellStyle name="Separador de milhares 3 7 3 6 3 5" xfId="34248"/>
    <cellStyle name="Separador de milhares 3 7 3 6 4" xfId="5328"/>
    <cellStyle name="Separador de milhares 3 7 3 6 4 2" xfId="23960"/>
    <cellStyle name="Separador de milhares 3 7 3 6 4 2 2" xfId="49027"/>
    <cellStyle name="Separador de milhares 3 7 3 6 4 3" xfId="31291"/>
    <cellStyle name="Separador de milhares 3 7 3 6 5" xfId="18046"/>
    <cellStyle name="Separador de milhares 3 7 3 6 5 2" xfId="43113"/>
    <cellStyle name="Separador de milhares 3 7 3 6 6" xfId="11715"/>
    <cellStyle name="Separador de milhares 3 7 3 6 6 2" xfId="37202"/>
    <cellStyle name="Separador de milhares 3 7 3 6 7" xfId="29821"/>
    <cellStyle name="Separador de milhares 3 7 3 7" xfId="2658"/>
    <cellStyle name="Separador de milhares 3 7 3 7 2" xfId="7174"/>
    <cellStyle name="Separador de milhares 3 7 3 7 2 2" xfId="10318"/>
    <cellStyle name="Separador de milhares 3 7 3 7 2 2 2" xfId="28532"/>
    <cellStyle name="Separador de milhares 3 7 3 7 2 2 2 2" xfId="53599"/>
    <cellStyle name="Separador de milhares 3 7 3 7 2 2 3" xfId="22618"/>
    <cellStyle name="Separador de milhares 3 7 3 7 2 2 3 2" xfId="47685"/>
    <cellStyle name="Separador de milhares 3 7 3 7 2 2 4" xfId="16704"/>
    <cellStyle name="Separador de milhares 3 7 3 7 2 2 4 2" xfId="41771"/>
    <cellStyle name="Separador de milhares 3 7 3 7 2 2 5" xfId="35863"/>
    <cellStyle name="Separador de milhares 3 7 3 7 2 3" xfId="25575"/>
    <cellStyle name="Separador de milhares 3 7 3 7 2 3 2" xfId="50642"/>
    <cellStyle name="Separador de milhares 3 7 3 7 2 4" xfId="19661"/>
    <cellStyle name="Separador de milhares 3 7 3 7 2 4 2" xfId="44728"/>
    <cellStyle name="Separador de milhares 3 7 3 7 2 5" xfId="13563"/>
    <cellStyle name="Separador de milhares 3 7 3 7 2 5 2" xfId="38817"/>
    <cellStyle name="Separador de milhares 3 7 3 7 2 6" xfId="32906"/>
    <cellStyle name="Separador de milhares 3 7 3 7 3" xfId="8850"/>
    <cellStyle name="Separador de milhares 3 7 3 7 3 2" xfId="27064"/>
    <cellStyle name="Separador de milhares 3 7 3 7 3 2 2" xfId="52131"/>
    <cellStyle name="Separador de milhares 3 7 3 7 3 3" xfId="21150"/>
    <cellStyle name="Separador de milhares 3 7 3 7 3 3 2" xfId="46217"/>
    <cellStyle name="Separador de milhares 3 7 3 7 3 4" xfId="15236"/>
    <cellStyle name="Separador de milhares 3 7 3 7 3 4 2" xfId="40303"/>
    <cellStyle name="Separador de milhares 3 7 3 7 3 5" xfId="34395"/>
    <cellStyle name="Separador de milhares 3 7 3 7 4" xfId="5475"/>
    <cellStyle name="Separador de milhares 3 7 3 7 4 2" xfId="24107"/>
    <cellStyle name="Separador de milhares 3 7 3 7 4 2 2" xfId="49174"/>
    <cellStyle name="Separador de milhares 3 7 3 7 4 3" xfId="31438"/>
    <cellStyle name="Separador de milhares 3 7 3 7 5" xfId="18193"/>
    <cellStyle name="Separador de milhares 3 7 3 7 5 2" xfId="43260"/>
    <cellStyle name="Separador de milhares 3 7 3 7 6" xfId="11862"/>
    <cellStyle name="Separador de milhares 3 7 3 7 6 2" xfId="37349"/>
    <cellStyle name="Separador de milhares 3 7 3 7 7" xfId="29968"/>
    <cellStyle name="Separador de milhares 3 7 3 8" xfId="3185"/>
    <cellStyle name="Separador de milhares 3 7 3 8 2" xfId="7321"/>
    <cellStyle name="Separador de milhares 3 7 3 8 2 2" xfId="10465"/>
    <cellStyle name="Separador de milhares 3 7 3 8 2 2 2" xfId="28679"/>
    <cellStyle name="Separador de milhares 3 7 3 8 2 2 2 2" xfId="53746"/>
    <cellStyle name="Separador de milhares 3 7 3 8 2 2 3" xfId="22765"/>
    <cellStyle name="Separador de milhares 3 7 3 8 2 2 3 2" xfId="47832"/>
    <cellStyle name="Separador de milhares 3 7 3 8 2 2 4" xfId="16851"/>
    <cellStyle name="Separador de milhares 3 7 3 8 2 2 4 2" xfId="41918"/>
    <cellStyle name="Separador de milhares 3 7 3 8 2 2 5" xfId="36010"/>
    <cellStyle name="Separador de milhares 3 7 3 8 2 3" xfId="25722"/>
    <cellStyle name="Separador de milhares 3 7 3 8 2 3 2" xfId="50789"/>
    <cellStyle name="Separador de milhares 3 7 3 8 2 4" xfId="19808"/>
    <cellStyle name="Separador de milhares 3 7 3 8 2 4 2" xfId="44875"/>
    <cellStyle name="Separador de milhares 3 7 3 8 2 5" xfId="13710"/>
    <cellStyle name="Separador de milhares 3 7 3 8 2 5 2" xfId="38964"/>
    <cellStyle name="Separador de milhares 3 7 3 8 2 6" xfId="33053"/>
    <cellStyle name="Separador de milhares 3 7 3 8 3" xfId="8997"/>
    <cellStyle name="Separador de milhares 3 7 3 8 3 2" xfId="27211"/>
    <cellStyle name="Separador de milhares 3 7 3 8 3 2 2" xfId="52278"/>
    <cellStyle name="Separador de milhares 3 7 3 8 3 3" xfId="21297"/>
    <cellStyle name="Separador de milhares 3 7 3 8 3 3 2" xfId="46364"/>
    <cellStyle name="Separador de milhares 3 7 3 8 3 4" xfId="15383"/>
    <cellStyle name="Separador de milhares 3 7 3 8 3 4 2" xfId="40450"/>
    <cellStyle name="Separador de milhares 3 7 3 8 3 5" xfId="34542"/>
    <cellStyle name="Separador de milhares 3 7 3 8 4" xfId="5622"/>
    <cellStyle name="Separador de milhares 3 7 3 8 4 2" xfId="24254"/>
    <cellStyle name="Separador de milhares 3 7 3 8 4 2 2" xfId="49321"/>
    <cellStyle name="Separador de milhares 3 7 3 8 4 3" xfId="31585"/>
    <cellStyle name="Separador de milhares 3 7 3 8 5" xfId="18340"/>
    <cellStyle name="Separador de milhares 3 7 3 8 5 2" xfId="43407"/>
    <cellStyle name="Separador de milhares 3 7 3 8 6" xfId="12009"/>
    <cellStyle name="Separador de milhares 3 7 3 8 6 2" xfId="37496"/>
    <cellStyle name="Separador de milhares 3 7 3 8 7" xfId="30115"/>
    <cellStyle name="Separador de milhares 3 7 3 9" xfId="3712"/>
    <cellStyle name="Separador de milhares 3 7 3 9 2" xfId="7468"/>
    <cellStyle name="Separador de milhares 3 7 3 9 2 2" xfId="10612"/>
    <cellStyle name="Separador de milhares 3 7 3 9 2 2 2" xfId="28826"/>
    <cellStyle name="Separador de milhares 3 7 3 9 2 2 2 2" xfId="53893"/>
    <cellStyle name="Separador de milhares 3 7 3 9 2 2 3" xfId="22912"/>
    <cellStyle name="Separador de milhares 3 7 3 9 2 2 3 2" xfId="47979"/>
    <cellStyle name="Separador de milhares 3 7 3 9 2 2 4" xfId="16998"/>
    <cellStyle name="Separador de milhares 3 7 3 9 2 2 4 2" xfId="42065"/>
    <cellStyle name="Separador de milhares 3 7 3 9 2 2 5" xfId="36157"/>
    <cellStyle name="Separador de milhares 3 7 3 9 2 3" xfId="25869"/>
    <cellStyle name="Separador de milhares 3 7 3 9 2 3 2" xfId="50936"/>
    <cellStyle name="Separador de milhares 3 7 3 9 2 4" xfId="19955"/>
    <cellStyle name="Separador de milhares 3 7 3 9 2 4 2" xfId="45022"/>
    <cellStyle name="Separador de milhares 3 7 3 9 2 5" xfId="13857"/>
    <cellStyle name="Separador de milhares 3 7 3 9 2 5 2" xfId="39111"/>
    <cellStyle name="Separador de milhares 3 7 3 9 2 6" xfId="33200"/>
    <cellStyle name="Separador de milhares 3 7 3 9 3" xfId="9144"/>
    <cellStyle name="Separador de milhares 3 7 3 9 3 2" xfId="27358"/>
    <cellStyle name="Separador de milhares 3 7 3 9 3 2 2" xfId="52425"/>
    <cellStyle name="Separador de milhares 3 7 3 9 3 3" xfId="21444"/>
    <cellStyle name="Separador de milhares 3 7 3 9 3 3 2" xfId="46511"/>
    <cellStyle name="Separador de milhares 3 7 3 9 3 4" xfId="15530"/>
    <cellStyle name="Separador de milhares 3 7 3 9 3 4 2" xfId="40597"/>
    <cellStyle name="Separador de milhares 3 7 3 9 3 5" xfId="34689"/>
    <cellStyle name="Separador de milhares 3 7 3 9 4" xfId="5769"/>
    <cellStyle name="Separador de milhares 3 7 3 9 4 2" xfId="24401"/>
    <cellStyle name="Separador de milhares 3 7 3 9 4 2 2" xfId="49468"/>
    <cellStyle name="Separador de milhares 3 7 3 9 4 3" xfId="31732"/>
    <cellStyle name="Separador de milhares 3 7 3 9 5" xfId="18487"/>
    <cellStyle name="Separador de milhares 3 7 3 9 5 2" xfId="43554"/>
    <cellStyle name="Separador de milhares 3 7 3 9 6" xfId="12156"/>
    <cellStyle name="Separador de milhares 3 7 3 9 6 2" xfId="37643"/>
    <cellStyle name="Separador de milhares 3 7 3 9 7" xfId="30262"/>
    <cellStyle name="Separador de milhares 3 7 4" xfId="348"/>
    <cellStyle name="Separador de milhares 3 7 4 10" xfId="6515"/>
    <cellStyle name="Separador de milhares 3 7 4 10 2" xfId="9663"/>
    <cellStyle name="Separador de milhares 3 7 4 10 2 2" xfId="27877"/>
    <cellStyle name="Separador de milhares 3 7 4 10 2 2 2" xfId="52944"/>
    <cellStyle name="Separador de milhares 3 7 4 10 2 3" xfId="21963"/>
    <cellStyle name="Separador de milhares 3 7 4 10 2 3 2" xfId="47030"/>
    <cellStyle name="Separador de milhares 3 7 4 10 2 4" xfId="16049"/>
    <cellStyle name="Separador de milhares 3 7 4 10 2 4 2" xfId="41116"/>
    <cellStyle name="Separador de milhares 3 7 4 10 2 5" xfId="35208"/>
    <cellStyle name="Separador de milhares 3 7 4 10 3" xfId="24920"/>
    <cellStyle name="Separador de milhares 3 7 4 10 3 2" xfId="49987"/>
    <cellStyle name="Separador de milhares 3 7 4 10 4" xfId="19006"/>
    <cellStyle name="Separador de milhares 3 7 4 10 4 2" xfId="44073"/>
    <cellStyle name="Separador de milhares 3 7 4 10 5" xfId="12904"/>
    <cellStyle name="Separador de milhares 3 7 4 10 5 2" xfId="38162"/>
    <cellStyle name="Separador de milhares 3 7 4 10 6" xfId="32251"/>
    <cellStyle name="Separador de milhares 3 7 4 11" xfId="8192"/>
    <cellStyle name="Separador de milhares 3 7 4 11 2" xfId="26406"/>
    <cellStyle name="Separador de milhares 3 7 4 11 2 2" xfId="51473"/>
    <cellStyle name="Separador de milhares 3 7 4 11 3" xfId="20492"/>
    <cellStyle name="Separador de milhares 3 7 4 11 3 2" xfId="45559"/>
    <cellStyle name="Separador de milhares 3 7 4 11 4" xfId="14581"/>
    <cellStyle name="Separador de milhares 3 7 4 11 4 2" xfId="39648"/>
    <cellStyle name="Separador de milhares 3 7 4 11 5" xfId="33737"/>
    <cellStyle name="Separador de milhares 3 7 4 12" xfId="4814"/>
    <cellStyle name="Separador de milhares 3 7 4 12 2" xfId="23449"/>
    <cellStyle name="Separador de milhares 3 7 4 12 2 2" xfId="48516"/>
    <cellStyle name="Separador de milhares 3 7 4 12 3" xfId="30781"/>
    <cellStyle name="Separador de milhares 3 7 4 13" xfId="17535"/>
    <cellStyle name="Separador de milhares 3 7 4 13 2" xfId="42602"/>
    <cellStyle name="Separador de milhares 3 7 4 14" xfId="11203"/>
    <cellStyle name="Separador de milhares 3 7 4 14 2" xfId="36694"/>
    <cellStyle name="Separador de milhares 3 7 4 15" xfId="29310"/>
    <cellStyle name="Separador de milhares 3 7 4 2" xfId="993"/>
    <cellStyle name="Separador de milhares 3 7 4 2 2" xfId="6712"/>
    <cellStyle name="Separador de milhares 3 7 4 2 2 2" xfId="9859"/>
    <cellStyle name="Separador de milhares 3 7 4 2 2 2 2" xfId="28073"/>
    <cellStyle name="Separador de milhares 3 7 4 2 2 2 2 2" xfId="53140"/>
    <cellStyle name="Separador de milhares 3 7 4 2 2 2 3" xfId="22159"/>
    <cellStyle name="Separador de milhares 3 7 4 2 2 2 3 2" xfId="47226"/>
    <cellStyle name="Separador de milhares 3 7 4 2 2 2 4" xfId="16245"/>
    <cellStyle name="Separador de milhares 3 7 4 2 2 2 4 2" xfId="41312"/>
    <cellStyle name="Separador de milhares 3 7 4 2 2 2 5" xfId="35404"/>
    <cellStyle name="Separador de milhares 3 7 4 2 2 3" xfId="25116"/>
    <cellStyle name="Separador de milhares 3 7 4 2 2 3 2" xfId="50183"/>
    <cellStyle name="Separador de milhares 3 7 4 2 2 4" xfId="19202"/>
    <cellStyle name="Separador de milhares 3 7 4 2 2 4 2" xfId="44269"/>
    <cellStyle name="Separador de milhares 3 7 4 2 2 5" xfId="13101"/>
    <cellStyle name="Separador de milhares 3 7 4 2 2 5 2" xfId="38358"/>
    <cellStyle name="Separador de milhares 3 7 4 2 2 6" xfId="32447"/>
    <cellStyle name="Separador de milhares 3 7 4 2 3" xfId="8391"/>
    <cellStyle name="Separador de milhares 3 7 4 2 3 2" xfId="26605"/>
    <cellStyle name="Separador de milhares 3 7 4 2 3 2 2" xfId="51672"/>
    <cellStyle name="Separador de milhares 3 7 4 2 3 3" xfId="20691"/>
    <cellStyle name="Separador de milhares 3 7 4 2 3 3 2" xfId="45758"/>
    <cellStyle name="Separador de milhares 3 7 4 2 3 4" xfId="14777"/>
    <cellStyle name="Separador de milhares 3 7 4 2 3 4 2" xfId="39844"/>
    <cellStyle name="Separador de milhares 3 7 4 2 3 5" xfId="33936"/>
    <cellStyle name="Separador de milhares 3 7 4 2 4" xfId="5013"/>
    <cellStyle name="Separador de milhares 3 7 4 2 4 2" xfId="23648"/>
    <cellStyle name="Separador de milhares 3 7 4 2 4 2 2" xfId="48715"/>
    <cellStyle name="Separador de milhares 3 7 4 2 4 3" xfId="30979"/>
    <cellStyle name="Separador de milhares 3 7 4 2 5" xfId="17734"/>
    <cellStyle name="Separador de milhares 3 7 4 2 5 2" xfId="42801"/>
    <cellStyle name="Separador de milhares 3 7 4 2 6" xfId="11400"/>
    <cellStyle name="Separador de milhares 3 7 4 2 6 2" xfId="36890"/>
    <cellStyle name="Separador de milhares 3 7 4 2 7" xfId="29509"/>
    <cellStyle name="Separador de milhares 3 7 4 3" xfId="1344"/>
    <cellStyle name="Separador de milhares 3 7 4 3 2" xfId="6810"/>
    <cellStyle name="Separador de milhares 3 7 4 3 2 2" xfId="9957"/>
    <cellStyle name="Separador de milhares 3 7 4 3 2 2 2" xfId="28171"/>
    <cellStyle name="Separador de milhares 3 7 4 3 2 2 2 2" xfId="53238"/>
    <cellStyle name="Separador de milhares 3 7 4 3 2 2 3" xfId="22257"/>
    <cellStyle name="Separador de milhares 3 7 4 3 2 2 3 2" xfId="47324"/>
    <cellStyle name="Separador de milhares 3 7 4 3 2 2 4" xfId="16343"/>
    <cellStyle name="Separador de milhares 3 7 4 3 2 2 4 2" xfId="41410"/>
    <cellStyle name="Separador de milhares 3 7 4 3 2 2 5" xfId="35502"/>
    <cellStyle name="Separador de milhares 3 7 4 3 2 3" xfId="25214"/>
    <cellStyle name="Separador de milhares 3 7 4 3 2 3 2" xfId="50281"/>
    <cellStyle name="Separador de milhares 3 7 4 3 2 4" xfId="19300"/>
    <cellStyle name="Separador de milhares 3 7 4 3 2 4 2" xfId="44367"/>
    <cellStyle name="Separador de milhares 3 7 4 3 2 5" xfId="13199"/>
    <cellStyle name="Separador de milhares 3 7 4 3 2 5 2" xfId="38456"/>
    <cellStyle name="Separador de milhares 3 7 4 3 2 6" xfId="32545"/>
    <cellStyle name="Separador de milhares 3 7 4 3 3" xfId="8489"/>
    <cellStyle name="Separador de milhares 3 7 4 3 3 2" xfId="26703"/>
    <cellStyle name="Separador de milhares 3 7 4 3 3 2 2" xfId="51770"/>
    <cellStyle name="Separador de milhares 3 7 4 3 3 3" xfId="20789"/>
    <cellStyle name="Separador de milhares 3 7 4 3 3 3 2" xfId="45856"/>
    <cellStyle name="Separador de milhares 3 7 4 3 3 4" xfId="14875"/>
    <cellStyle name="Separador de milhares 3 7 4 3 3 4 2" xfId="39942"/>
    <cellStyle name="Separador de milhares 3 7 4 3 3 5" xfId="34034"/>
    <cellStyle name="Separador de milhares 3 7 4 3 4" xfId="5111"/>
    <cellStyle name="Separador de milhares 3 7 4 3 4 2" xfId="23746"/>
    <cellStyle name="Separador de milhares 3 7 4 3 4 2 2" xfId="48813"/>
    <cellStyle name="Separador de milhares 3 7 4 3 4 3" xfId="31077"/>
    <cellStyle name="Separador de milhares 3 7 4 3 5" xfId="17832"/>
    <cellStyle name="Separador de milhares 3 7 4 3 5 2" xfId="42899"/>
    <cellStyle name="Separador de milhares 3 7 4 3 6" xfId="11498"/>
    <cellStyle name="Separador de milhares 3 7 4 3 6 2" xfId="36988"/>
    <cellStyle name="Separador de milhares 3 7 4 3 7" xfId="29607"/>
    <cellStyle name="Separador de milhares 3 7 4 4" xfId="1779"/>
    <cellStyle name="Separador de milhares 3 7 4 4 2" xfId="6929"/>
    <cellStyle name="Separador de milhares 3 7 4 4 2 2" xfId="10076"/>
    <cellStyle name="Separador de milhares 3 7 4 4 2 2 2" xfId="28290"/>
    <cellStyle name="Separador de milhares 3 7 4 4 2 2 2 2" xfId="53357"/>
    <cellStyle name="Separador de milhares 3 7 4 4 2 2 3" xfId="22376"/>
    <cellStyle name="Separador de milhares 3 7 4 4 2 2 3 2" xfId="47443"/>
    <cellStyle name="Separador de milhares 3 7 4 4 2 2 4" xfId="16462"/>
    <cellStyle name="Separador de milhares 3 7 4 4 2 2 4 2" xfId="41529"/>
    <cellStyle name="Separador de milhares 3 7 4 4 2 2 5" xfId="35621"/>
    <cellStyle name="Separador de milhares 3 7 4 4 2 3" xfId="25333"/>
    <cellStyle name="Separador de milhares 3 7 4 4 2 3 2" xfId="50400"/>
    <cellStyle name="Separador de milhares 3 7 4 4 2 4" xfId="19419"/>
    <cellStyle name="Separador de milhares 3 7 4 4 2 4 2" xfId="44486"/>
    <cellStyle name="Separador de milhares 3 7 4 4 2 5" xfId="13318"/>
    <cellStyle name="Separador de milhares 3 7 4 4 2 5 2" xfId="38575"/>
    <cellStyle name="Separador de milhares 3 7 4 4 2 6" xfId="32664"/>
    <cellStyle name="Separador de milhares 3 7 4 4 3" xfId="8608"/>
    <cellStyle name="Separador de milhares 3 7 4 4 3 2" xfId="26822"/>
    <cellStyle name="Separador de milhares 3 7 4 4 3 2 2" xfId="51889"/>
    <cellStyle name="Separador de milhares 3 7 4 4 3 3" xfId="20908"/>
    <cellStyle name="Separador de milhares 3 7 4 4 3 3 2" xfId="45975"/>
    <cellStyle name="Separador de milhares 3 7 4 4 3 4" xfId="14994"/>
    <cellStyle name="Separador de milhares 3 7 4 4 3 4 2" xfId="40061"/>
    <cellStyle name="Separador de milhares 3 7 4 4 3 5" xfId="34153"/>
    <cellStyle name="Separador de milhares 3 7 4 4 4" xfId="5230"/>
    <cellStyle name="Separador de milhares 3 7 4 4 4 2" xfId="23865"/>
    <cellStyle name="Separador de milhares 3 7 4 4 4 2 2" xfId="48932"/>
    <cellStyle name="Separador de milhares 3 7 4 4 4 3" xfId="31196"/>
    <cellStyle name="Separador de milhares 3 7 4 4 5" xfId="17951"/>
    <cellStyle name="Separador de milhares 3 7 4 4 5 2" xfId="43018"/>
    <cellStyle name="Separador de milhares 3 7 4 4 6" xfId="11617"/>
    <cellStyle name="Separador de milhares 3 7 4 4 6 2" xfId="37107"/>
    <cellStyle name="Separador de milhares 3 7 4 4 7" xfId="29726"/>
    <cellStyle name="Separador de milhares 3 7 4 5" xfId="2309"/>
    <cellStyle name="Separador de milhares 3 7 4 5 2" xfId="7079"/>
    <cellStyle name="Separador de milhares 3 7 4 5 2 2" xfId="10223"/>
    <cellStyle name="Separador de milhares 3 7 4 5 2 2 2" xfId="28437"/>
    <cellStyle name="Separador de milhares 3 7 4 5 2 2 2 2" xfId="53504"/>
    <cellStyle name="Separador de milhares 3 7 4 5 2 2 3" xfId="22523"/>
    <cellStyle name="Separador de milhares 3 7 4 5 2 2 3 2" xfId="47590"/>
    <cellStyle name="Separador de milhares 3 7 4 5 2 2 4" xfId="16609"/>
    <cellStyle name="Separador de milhares 3 7 4 5 2 2 4 2" xfId="41676"/>
    <cellStyle name="Separador de milhares 3 7 4 5 2 2 5" xfId="35768"/>
    <cellStyle name="Separador de milhares 3 7 4 5 2 3" xfId="25480"/>
    <cellStyle name="Separador de milhares 3 7 4 5 2 3 2" xfId="50547"/>
    <cellStyle name="Separador de milhares 3 7 4 5 2 4" xfId="19566"/>
    <cellStyle name="Separador de milhares 3 7 4 5 2 4 2" xfId="44633"/>
    <cellStyle name="Separador de milhares 3 7 4 5 2 5" xfId="13468"/>
    <cellStyle name="Separador de milhares 3 7 4 5 2 5 2" xfId="38722"/>
    <cellStyle name="Separador de milhares 3 7 4 5 2 6" xfId="32811"/>
    <cellStyle name="Separador de milhares 3 7 4 5 3" xfId="8755"/>
    <cellStyle name="Separador de milhares 3 7 4 5 3 2" xfId="26969"/>
    <cellStyle name="Separador de milhares 3 7 4 5 3 2 2" xfId="52036"/>
    <cellStyle name="Separador de milhares 3 7 4 5 3 3" xfId="21055"/>
    <cellStyle name="Separador de milhares 3 7 4 5 3 3 2" xfId="46122"/>
    <cellStyle name="Separador de milhares 3 7 4 5 3 4" xfId="15141"/>
    <cellStyle name="Separador de milhares 3 7 4 5 3 4 2" xfId="40208"/>
    <cellStyle name="Separador de milhares 3 7 4 5 3 5" xfId="34300"/>
    <cellStyle name="Separador de milhares 3 7 4 5 4" xfId="5380"/>
    <cellStyle name="Separador de milhares 3 7 4 5 4 2" xfId="24012"/>
    <cellStyle name="Separador de milhares 3 7 4 5 4 2 2" xfId="49079"/>
    <cellStyle name="Separador de milhares 3 7 4 5 4 3" xfId="31343"/>
    <cellStyle name="Separador de milhares 3 7 4 5 5" xfId="18098"/>
    <cellStyle name="Separador de milhares 3 7 4 5 5 2" xfId="43165"/>
    <cellStyle name="Separador de milhares 3 7 4 5 6" xfId="11767"/>
    <cellStyle name="Separador de milhares 3 7 4 5 6 2" xfId="37254"/>
    <cellStyle name="Separador de milhares 3 7 4 5 7" xfId="29873"/>
    <cellStyle name="Separador de milhares 3 7 4 6" xfId="2836"/>
    <cellStyle name="Separador de milhares 3 7 4 6 2" xfId="7226"/>
    <cellStyle name="Separador de milhares 3 7 4 6 2 2" xfId="10370"/>
    <cellStyle name="Separador de milhares 3 7 4 6 2 2 2" xfId="28584"/>
    <cellStyle name="Separador de milhares 3 7 4 6 2 2 2 2" xfId="53651"/>
    <cellStyle name="Separador de milhares 3 7 4 6 2 2 3" xfId="22670"/>
    <cellStyle name="Separador de milhares 3 7 4 6 2 2 3 2" xfId="47737"/>
    <cellStyle name="Separador de milhares 3 7 4 6 2 2 4" xfId="16756"/>
    <cellStyle name="Separador de milhares 3 7 4 6 2 2 4 2" xfId="41823"/>
    <cellStyle name="Separador de milhares 3 7 4 6 2 2 5" xfId="35915"/>
    <cellStyle name="Separador de milhares 3 7 4 6 2 3" xfId="25627"/>
    <cellStyle name="Separador de milhares 3 7 4 6 2 3 2" xfId="50694"/>
    <cellStyle name="Separador de milhares 3 7 4 6 2 4" xfId="19713"/>
    <cellStyle name="Separador de milhares 3 7 4 6 2 4 2" xfId="44780"/>
    <cellStyle name="Separador de milhares 3 7 4 6 2 5" xfId="13615"/>
    <cellStyle name="Separador de milhares 3 7 4 6 2 5 2" xfId="38869"/>
    <cellStyle name="Separador de milhares 3 7 4 6 2 6" xfId="32958"/>
    <cellStyle name="Separador de milhares 3 7 4 6 3" xfId="8902"/>
    <cellStyle name="Separador de milhares 3 7 4 6 3 2" xfId="27116"/>
    <cellStyle name="Separador de milhares 3 7 4 6 3 2 2" xfId="52183"/>
    <cellStyle name="Separador de milhares 3 7 4 6 3 3" xfId="21202"/>
    <cellStyle name="Separador de milhares 3 7 4 6 3 3 2" xfId="46269"/>
    <cellStyle name="Separador de milhares 3 7 4 6 3 4" xfId="15288"/>
    <cellStyle name="Separador de milhares 3 7 4 6 3 4 2" xfId="40355"/>
    <cellStyle name="Separador de milhares 3 7 4 6 3 5" xfId="34447"/>
    <cellStyle name="Separador de milhares 3 7 4 6 4" xfId="5527"/>
    <cellStyle name="Separador de milhares 3 7 4 6 4 2" xfId="24159"/>
    <cellStyle name="Separador de milhares 3 7 4 6 4 2 2" xfId="49226"/>
    <cellStyle name="Separador de milhares 3 7 4 6 4 3" xfId="31490"/>
    <cellStyle name="Separador de milhares 3 7 4 6 5" xfId="18245"/>
    <cellStyle name="Separador de milhares 3 7 4 6 5 2" xfId="43312"/>
    <cellStyle name="Separador de milhares 3 7 4 6 6" xfId="11914"/>
    <cellStyle name="Separador de milhares 3 7 4 6 6 2" xfId="37401"/>
    <cellStyle name="Separador de milhares 3 7 4 6 7" xfId="30020"/>
    <cellStyle name="Separador de milhares 3 7 4 7" xfId="3363"/>
    <cellStyle name="Separador de milhares 3 7 4 7 2" xfId="7373"/>
    <cellStyle name="Separador de milhares 3 7 4 7 2 2" xfId="10517"/>
    <cellStyle name="Separador de milhares 3 7 4 7 2 2 2" xfId="28731"/>
    <cellStyle name="Separador de milhares 3 7 4 7 2 2 2 2" xfId="53798"/>
    <cellStyle name="Separador de milhares 3 7 4 7 2 2 3" xfId="22817"/>
    <cellStyle name="Separador de milhares 3 7 4 7 2 2 3 2" xfId="47884"/>
    <cellStyle name="Separador de milhares 3 7 4 7 2 2 4" xfId="16903"/>
    <cellStyle name="Separador de milhares 3 7 4 7 2 2 4 2" xfId="41970"/>
    <cellStyle name="Separador de milhares 3 7 4 7 2 2 5" xfId="36062"/>
    <cellStyle name="Separador de milhares 3 7 4 7 2 3" xfId="25774"/>
    <cellStyle name="Separador de milhares 3 7 4 7 2 3 2" xfId="50841"/>
    <cellStyle name="Separador de milhares 3 7 4 7 2 4" xfId="19860"/>
    <cellStyle name="Separador de milhares 3 7 4 7 2 4 2" xfId="44927"/>
    <cellStyle name="Separador de milhares 3 7 4 7 2 5" xfId="13762"/>
    <cellStyle name="Separador de milhares 3 7 4 7 2 5 2" xfId="39016"/>
    <cellStyle name="Separador de milhares 3 7 4 7 2 6" xfId="33105"/>
    <cellStyle name="Separador de milhares 3 7 4 7 3" xfId="9049"/>
    <cellStyle name="Separador de milhares 3 7 4 7 3 2" xfId="27263"/>
    <cellStyle name="Separador de milhares 3 7 4 7 3 2 2" xfId="52330"/>
    <cellStyle name="Separador de milhares 3 7 4 7 3 3" xfId="21349"/>
    <cellStyle name="Separador de milhares 3 7 4 7 3 3 2" xfId="46416"/>
    <cellStyle name="Separador de milhares 3 7 4 7 3 4" xfId="15435"/>
    <cellStyle name="Separador de milhares 3 7 4 7 3 4 2" xfId="40502"/>
    <cellStyle name="Separador de milhares 3 7 4 7 3 5" xfId="34594"/>
    <cellStyle name="Separador de milhares 3 7 4 7 4" xfId="5674"/>
    <cellStyle name="Separador de milhares 3 7 4 7 4 2" xfId="24306"/>
    <cellStyle name="Separador de milhares 3 7 4 7 4 2 2" xfId="49373"/>
    <cellStyle name="Separador de milhares 3 7 4 7 4 3" xfId="31637"/>
    <cellStyle name="Separador de milhares 3 7 4 7 5" xfId="18392"/>
    <cellStyle name="Separador de milhares 3 7 4 7 5 2" xfId="43459"/>
    <cellStyle name="Separador de milhares 3 7 4 7 6" xfId="12061"/>
    <cellStyle name="Separador de milhares 3 7 4 7 6 2" xfId="37548"/>
    <cellStyle name="Separador de milhares 3 7 4 7 7" xfId="30167"/>
    <cellStyle name="Separador de milhares 3 7 4 8" xfId="3890"/>
    <cellStyle name="Separador de milhares 3 7 4 8 2" xfId="7520"/>
    <cellStyle name="Separador de milhares 3 7 4 8 2 2" xfId="10664"/>
    <cellStyle name="Separador de milhares 3 7 4 8 2 2 2" xfId="28878"/>
    <cellStyle name="Separador de milhares 3 7 4 8 2 2 2 2" xfId="53945"/>
    <cellStyle name="Separador de milhares 3 7 4 8 2 2 3" xfId="22964"/>
    <cellStyle name="Separador de milhares 3 7 4 8 2 2 3 2" xfId="48031"/>
    <cellStyle name="Separador de milhares 3 7 4 8 2 2 4" xfId="17050"/>
    <cellStyle name="Separador de milhares 3 7 4 8 2 2 4 2" xfId="42117"/>
    <cellStyle name="Separador de milhares 3 7 4 8 2 2 5" xfId="36209"/>
    <cellStyle name="Separador de milhares 3 7 4 8 2 3" xfId="25921"/>
    <cellStyle name="Separador de milhares 3 7 4 8 2 3 2" xfId="50988"/>
    <cellStyle name="Separador de milhares 3 7 4 8 2 4" xfId="20007"/>
    <cellStyle name="Separador de milhares 3 7 4 8 2 4 2" xfId="45074"/>
    <cellStyle name="Separador de milhares 3 7 4 8 2 5" xfId="13909"/>
    <cellStyle name="Separador de milhares 3 7 4 8 2 5 2" xfId="39163"/>
    <cellStyle name="Separador de milhares 3 7 4 8 2 6" xfId="33252"/>
    <cellStyle name="Separador de milhares 3 7 4 8 3" xfId="9196"/>
    <cellStyle name="Separador de milhares 3 7 4 8 3 2" xfId="27410"/>
    <cellStyle name="Separador de milhares 3 7 4 8 3 2 2" xfId="52477"/>
    <cellStyle name="Separador de milhares 3 7 4 8 3 3" xfId="21496"/>
    <cellStyle name="Separador de milhares 3 7 4 8 3 3 2" xfId="46563"/>
    <cellStyle name="Separador de milhares 3 7 4 8 3 4" xfId="15582"/>
    <cellStyle name="Separador de milhares 3 7 4 8 3 4 2" xfId="40649"/>
    <cellStyle name="Separador de milhares 3 7 4 8 3 5" xfId="34741"/>
    <cellStyle name="Separador de milhares 3 7 4 8 4" xfId="5821"/>
    <cellStyle name="Separador de milhares 3 7 4 8 4 2" xfId="24453"/>
    <cellStyle name="Separador de milhares 3 7 4 8 4 2 2" xfId="49520"/>
    <cellStyle name="Separador de milhares 3 7 4 8 4 3" xfId="31784"/>
    <cellStyle name="Separador de milhares 3 7 4 8 5" xfId="18539"/>
    <cellStyle name="Separador de milhares 3 7 4 8 5 2" xfId="43606"/>
    <cellStyle name="Separador de milhares 3 7 4 8 6" xfId="12208"/>
    <cellStyle name="Separador de milhares 3 7 4 8 6 2" xfId="37695"/>
    <cellStyle name="Separador de milhares 3 7 4 8 7" xfId="30314"/>
    <cellStyle name="Separador de milhares 3 7 4 9" xfId="679"/>
    <cellStyle name="Separador de milhares 3 7 4 9 2" xfId="6614"/>
    <cellStyle name="Separador de milhares 3 7 4 9 2 2" xfId="9761"/>
    <cellStyle name="Separador de milhares 3 7 4 9 2 2 2" xfId="27975"/>
    <cellStyle name="Separador de milhares 3 7 4 9 2 2 2 2" xfId="53042"/>
    <cellStyle name="Separador de milhares 3 7 4 9 2 2 3" xfId="22061"/>
    <cellStyle name="Separador de milhares 3 7 4 9 2 2 3 2" xfId="47128"/>
    <cellStyle name="Separador de milhares 3 7 4 9 2 2 4" xfId="16147"/>
    <cellStyle name="Separador de milhares 3 7 4 9 2 2 4 2" xfId="41214"/>
    <cellStyle name="Separador de milhares 3 7 4 9 2 2 5" xfId="35306"/>
    <cellStyle name="Separador de milhares 3 7 4 9 2 3" xfId="25018"/>
    <cellStyle name="Separador de milhares 3 7 4 9 2 3 2" xfId="50085"/>
    <cellStyle name="Separador de milhares 3 7 4 9 2 4" xfId="19104"/>
    <cellStyle name="Separador de milhares 3 7 4 9 2 4 2" xfId="44171"/>
    <cellStyle name="Separador de milhares 3 7 4 9 2 5" xfId="13003"/>
    <cellStyle name="Separador de milhares 3 7 4 9 2 5 2" xfId="38260"/>
    <cellStyle name="Separador de milhares 3 7 4 9 2 6" xfId="32349"/>
    <cellStyle name="Separador de milhares 3 7 4 9 3" xfId="8293"/>
    <cellStyle name="Separador de milhares 3 7 4 9 3 2" xfId="26507"/>
    <cellStyle name="Separador de milhares 3 7 4 9 3 2 2" xfId="51574"/>
    <cellStyle name="Separador de milhares 3 7 4 9 3 3" xfId="20593"/>
    <cellStyle name="Separador de milhares 3 7 4 9 3 3 2" xfId="45660"/>
    <cellStyle name="Separador de milhares 3 7 4 9 3 4" xfId="14679"/>
    <cellStyle name="Separador de milhares 3 7 4 9 3 4 2" xfId="39746"/>
    <cellStyle name="Separador de milhares 3 7 4 9 3 5" xfId="33838"/>
    <cellStyle name="Separador de milhares 3 7 4 9 4" xfId="4915"/>
    <cellStyle name="Separador de milhares 3 7 4 9 4 2" xfId="23550"/>
    <cellStyle name="Separador de milhares 3 7 4 9 4 2 2" xfId="48617"/>
    <cellStyle name="Separador de milhares 3 7 4 9 4 3" xfId="30881"/>
    <cellStyle name="Separador de milhares 3 7 4 9 5" xfId="17636"/>
    <cellStyle name="Separador de milhares 3 7 4 9 5 2" xfId="42703"/>
    <cellStyle name="Separador de milhares 3 7 4 9 6" xfId="11302"/>
    <cellStyle name="Separador de milhares 3 7 4 9 6 2" xfId="36792"/>
    <cellStyle name="Separador de milhares 3 7 4 9 7" xfId="29411"/>
    <cellStyle name="Separador de milhares 3 7 5" xfId="605"/>
    <cellStyle name="Separador de milhares 3 7 5 10" xfId="4879"/>
    <cellStyle name="Separador de milhares 3 7 5 10 2" xfId="23513"/>
    <cellStyle name="Separador de milhares 3 7 5 10 2 2" xfId="48580"/>
    <cellStyle name="Separador de milhares 3 7 5 10 3" xfId="30845"/>
    <cellStyle name="Separador de milhares 3 7 5 11" xfId="17599"/>
    <cellStyle name="Separador de milhares 3 7 5 11 2" xfId="42666"/>
    <cellStyle name="Separador de milhares 3 7 5 12" xfId="11268"/>
    <cellStyle name="Separador de milhares 3 7 5 12 2" xfId="36758"/>
    <cellStyle name="Separador de milhares 3 7 5 13" xfId="29374"/>
    <cellStyle name="Separador de milhares 3 7 5 2" xfId="1428"/>
    <cellStyle name="Separador de milhares 3 7 5 2 2" xfId="6831"/>
    <cellStyle name="Separador de milhares 3 7 5 2 2 2" xfId="9978"/>
    <cellStyle name="Separador de milhares 3 7 5 2 2 2 2" xfId="28192"/>
    <cellStyle name="Separador de milhares 3 7 5 2 2 2 2 2" xfId="53259"/>
    <cellStyle name="Separador de milhares 3 7 5 2 2 2 3" xfId="22278"/>
    <cellStyle name="Separador de milhares 3 7 5 2 2 2 3 2" xfId="47345"/>
    <cellStyle name="Separador de milhares 3 7 5 2 2 2 4" xfId="16364"/>
    <cellStyle name="Separador de milhares 3 7 5 2 2 2 4 2" xfId="41431"/>
    <cellStyle name="Separador de milhares 3 7 5 2 2 2 5" xfId="35523"/>
    <cellStyle name="Separador de milhares 3 7 5 2 2 3" xfId="25235"/>
    <cellStyle name="Separador de milhares 3 7 5 2 2 3 2" xfId="50302"/>
    <cellStyle name="Separador de milhares 3 7 5 2 2 4" xfId="19321"/>
    <cellStyle name="Separador de milhares 3 7 5 2 2 4 2" xfId="44388"/>
    <cellStyle name="Separador de milhares 3 7 5 2 2 5" xfId="13220"/>
    <cellStyle name="Separador de milhares 3 7 5 2 2 5 2" xfId="38477"/>
    <cellStyle name="Separador de milhares 3 7 5 2 2 6" xfId="32566"/>
    <cellStyle name="Separador de milhares 3 7 5 2 3" xfId="8510"/>
    <cellStyle name="Separador de milhares 3 7 5 2 3 2" xfId="26724"/>
    <cellStyle name="Separador de milhares 3 7 5 2 3 2 2" xfId="51791"/>
    <cellStyle name="Separador de milhares 3 7 5 2 3 3" xfId="20810"/>
    <cellStyle name="Separador de milhares 3 7 5 2 3 3 2" xfId="45877"/>
    <cellStyle name="Separador de milhares 3 7 5 2 3 4" xfId="14896"/>
    <cellStyle name="Separador de milhares 3 7 5 2 3 4 2" xfId="39963"/>
    <cellStyle name="Separador de milhares 3 7 5 2 3 5" xfId="34055"/>
    <cellStyle name="Separador de milhares 3 7 5 2 4" xfId="5132"/>
    <cellStyle name="Separador de milhares 3 7 5 2 4 2" xfId="23767"/>
    <cellStyle name="Separador de milhares 3 7 5 2 4 2 2" xfId="48834"/>
    <cellStyle name="Separador de milhares 3 7 5 2 4 3" xfId="31098"/>
    <cellStyle name="Separador de milhares 3 7 5 2 5" xfId="17853"/>
    <cellStyle name="Separador de milhares 3 7 5 2 5 2" xfId="42920"/>
    <cellStyle name="Separador de milhares 3 7 5 2 6" xfId="11519"/>
    <cellStyle name="Separador de milhares 3 7 5 2 6 2" xfId="37009"/>
    <cellStyle name="Separador de milhares 3 7 5 2 7" xfId="29628"/>
    <cellStyle name="Separador de milhares 3 7 5 3" xfId="1863"/>
    <cellStyle name="Separador de milhares 3 7 5 3 2" xfId="6950"/>
    <cellStyle name="Separador de milhares 3 7 5 3 2 2" xfId="10097"/>
    <cellStyle name="Separador de milhares 3 7 5 3 2 2 2" xfId="28311"/>
    <cellStyle name="Separador de milhares 3 7 5 3 2 2 2 2" xfId="53378"/>
    <cellStyle name="Separador de milhares 3 7 5 3 2 2 3" xfId="22397"/>
    <cellStyle name="Separador de milhares 3 7 5 3 2 2 3 2" xfId="47464"/>
    <cellStyle name="Separador de milhares 3 7 5 3 2 2 4" xfId="16483"/>
    <cellStyle name="Separador de milhares 3 7 5 3 2 2 4 2" xfId="41550"/>
    <cellStyle name="Separador de milhares 3 7 5 3 2 2 5" xfId="35642"/>
    <cellStyle name="Separador de milhares 3 7 5 3 2 3" xfId="25354"/>
    <cellStyle name="Separador de milhares 3 7 5 3 2 3 2" xfId="50421"/>
    <cellStyle name="Separador de milhares 3 7 5 3 2 4" xfId="19440"/>
    <cellStyle name="Separador de milhares 3 7 5 3 2 4 2" xfId="44507"/>
    <cellStyle name="Separador de milhares 3 7 5 3 2 5" xfId="13339"/>
    <cellStyle name="Separador de milhares 3 7 5 3 2 5 2" xfId="38596"/>
    <cellStyle name="Separador de milhares 3 7 5 3 2 6" xfId="32685"/>
    <cellStyle name="Separador de milhares 3 7 5 3 3" xfId="8629"/>
    <cellStyle name="Separador de milhares 3 7 5 3 3 2" xfId="26843"/>
    <cellStyle name="Separador de milhares 3 7 5 3 3 2 2" xfId="51910"/>
    <cellStyle name="Separador de milhares 3 7 5 3 3 3" xfId="20929"/>
    <cellStyle name="Separador de milhares 3 7 5 3 3 3 2" xfId="45996"/>
    <cellStyle name="Separador de milhares 3 7 5 3 3 4" xfId="15015"/>
    <cellStyle name="Separador de milhares 3 7 5 3 3 4 2" xfId="40082"/>
    <cellStyle name="Separador de milhares 3 7 5 3 3 5" xfId="34174"/>
    <cellStyle name="Separador de milhares 3 7 5 3 4" xfId="5251"/>
    <cellStyle name="Separador de milhares 3 7 5 3 4 2" xfId="23886"/>
    <cellStyle name="Separador de milhares 3 7 5 3 4 2 2" xfId="48953"/>
    <cellStyle name="Separador de milhares 3 7 5 3 4 3" xfId="31217"/>
    <cellStyle name="Separador de milhares 3 7 5 3 5" xfId="17972"/>
    <cellStyle name="Separador de milhares 3 7 5 3 5 2" xfId="43039"/>
    <cellStyle name="Separador de milhares 3 7 5 3 6" xfId="11638"/>
    <cellStyle name="Separador de milhares 3 7 5 3 6 2" xfId="37128"/>
    <cellStyle name="Separador de milhares 3 7 5 3 7" xfId="29747"/>
    <cellStyle name="Separador de milhares 3 7 5 4" xfId="2393"/>
    <cellStyle name="Separador de milhares 3 7 5 4 2" xfId="7100"/>
    <cellStyle name="Separador de milhares 3 7 5 4 2 2" xfId="10244"/>
    <cellStyle name="Separador de milhares 3 7 5 4 2 2 2" xfId="28458"/>
    <cellStyle name="Separador de milhares 3 7 5 4 2 2 2 2" xfId="53525"/>
    <cellStyle name="Separador de milhares 3 7 5 4 2 2 3" xfId="22544"/>
    <cellStyle name="Separador de milhares 3 7 5 4 2 2 3 2" xfId="47611"/>
    <cellStyle name="Separador de milhares 3 7 5 4 2 2 4" xfId="16630"/>
    <cellStyle name="Separador de milhares 3 7 5 4 2 2 4 2" xfId="41697"/>
    <cellStyle name="Separador de milhares 3 7 5 4 2 2 5" xfId="35789"/>
    <cellStyle name="Separador de milhares 3 7 5 4 2 3" xfId="25501"/>
    <cellStyle name="Separador de milhares 3 7 5 4 2 3 2" xfId="50568"/>
    <cellStyle name="Separador de milhares 3 7 5 4 2 4" xfId="19587"/>
    <cellStyle name="Separador de milhares 3 7 5 4 2 4 2" xfId="44654"/>
    <cellStyle name="Separador de milhares 3 7 5 4 2 5" xfId="13489"/>
    <cellStyle name="Separador de milhares 3 7 5 4 2 5 2" xfId="38743"/>
    <cellStyle name="Separador de milhares 3 7 5 4 2 6" xfId="32832"/>
    <cellStyle name="Separador de milhares 3 7 5 4 3" xfId="8776"/>
    <cellStyle name="Separador de milhares 3 7 5 4 3 2" xfId="26990"/>
    <cellStyle name="Separador de milhares 3 7 5 4 3 2 2" xfId="52057"/>
    <cellStyle name="Separador de milhares 3 7 5 4 3 3" xfId="21076"/>
    <cellStyle name="Separador de milhares 3 7 5 4 3 3 2" xfId="46143"/>
    <cellStyle name="Separador de milhares 3 7 5 4 3 4" xfId="15162"/>
    <cellStyle name="Separador de milhares 3 7 5 4 3 4 2" xfId="40229"/>
    <cellStyle name="Separador de milhares 3 7 5 4 3 5" xfId="34321"/>
    <cellStyle name="Separador de milhares 3 7 5 4 4" xfId="5401"/>
    <cellStyle name="Separador de milhares 3 7 5 4 4 2" xfId="24033"/>
    <cellStyle name="Separador de milhares 3 7 5 4 4 2 2" xfId="49100"/>
    <cellStyle name="Separador de milhares 3 7 5 4 4 3" xfId="31364"/>
    <cellStyle name="Separador de milhares 3 7 5 4 5" xfId="18119"/>
    <cellStyle name="Separador de milhares 3 7 5 4 5 2" xfId="43186"/>
    <cellStyle name="Separador de milhares 3 7 5 4 6" xfId="11788"/>
    <cellStyle name="Separador de milhares 3 7 5 4 6 2" xfId="37275"/>
    <cellStyle name="Separador de milhares 3 7 5 4 7" xfId="29894"/>
    <cellStyle name="Separador de milhares 3 7 5 5" xfId="2920"/>
    <cellStyle name="Separador de milhares 3 7 5 5 2" xfId="7247"/>
    <cellStyle name="Separador de milhares 3 7 5 5 2 2" xfId="10391"/>
    <cellStyle name="Separador de milhares 3 7 5 5 2 2 2" xfId="28605"/>
    <cellStyle name="Separador de milhares 3 7 5 5 2 2 2 2" xfId="53672"/>
    <cellStyle name="Separador de milhares 3 7 5 5 2 2 3" xfId="22691"/>
    <cellStyle name="Separador de milhares 3 7 5 5 2 2 3 2" xfId="47758"/>
    <cellStyle name="Separador de milhares 3 7 5 5 2 2 4" xfId="16777"/>
    <cellStyle name="Separador de milhares 3 7 5 5 2 2 4 2" xfId="41844"/>
    <cellStyle name="Separador de milhares 3 7 5 5 2 2 5" xfId="35936"/>
    <cellStyle name="Separador de milhares 3 7 5 5 2 3" xfId="25648"/>
    <cellStyle name="Separador de milhares 3 7 5 5 2 3 2" xfId="50715"/>
    <cellStyle name="Separador de milhares 3 7 5 5 2 4" xfId="19734"/>
    <cellStyle name="Separador de milhares 3 7 5 5 2 4 2" xfId="44801"/>
    <cellStyle name="Separador de milhares 3 7 5 5 2 5" xfId="13636"/>
    <cellStyle name="Separador de milhares 3 7 5 5 2 5 2" xfId="38890"/>
    <cellStyle name="Separador de milhares 3 7 5 5 2 6" xfId="32979"/>
    <cellStyle name="Separador de milhares 3 7 5 5 3" xfId="8923"/>
    <cellStyle name="Separador de milhares 3 7 5 5 3 2" xfId="27137"/>
    <cellStyle name="Separador de milhares 3 7 5 5 3 2 2" xfId="52204"/>
    <cellStyle name="Separador de milhares 3 7 5 5 3 3" xfId="21223"/>
    <cellStyle name="Separador de milhares 3 7 5 5 3 3 2" xfId="46290"/>
    <cellStyle name="Separador de milhares 3 7 5 5 3 4" xfId="15309"/>
    <cellStyle name="Separador de milhares 3 7 5 5 3 4 2" xfId="40376"/>
    <cellStyle name="Separador de milhares 3 7 5 5 3 5" xfId="34468"/>
    <cellStyle name="Separador de milhares 3 7 5 5 4" xfId="5548"/>
    <cellStyle name="Separador de milhares 3 7 5 5 4 2" xfId="24180"/>
    <cellStyle name="Separador de milhares 3 7 5 5 4 2 2" xfId="49247"/>
    <cellStyle name="Separador de milhares 3 7 5 5 4 3" xfId="31511"/>
    <cellStyle name="Separador de milhares 3 7 5 5 5" xfId="18266"/>
    <cellStyle name="Separador de milhares 3 7 5 5 5 2" xfId="43333"/>
    <cellStyle name="Separador de milhares 3 7 5 5 6" xfId="11935"/>
    <cellStyle name="Separador de milhares 3 7 5 5 6 2" xfId="37422"/>
    <cellStyle name="Separador de milhares 3 7 5 5 7" xfId="30041"/>
    <cellStyle name="Separador de milhares 3 7 5 6" xfId="3447"/>
    <cellStyle name="Separador de milhares 3 7 5 6 2" xfId="7394"/>
    <cellStyle name="Separador de milhares 3 7 5 6 2 2" xfId="10538"/>
    <cellStyle name="Separador de milhares 3 7 5 6 2 2 2" xfId="28752"/>
    <cellStyle name="Separador de milhares 3 7 5 6 2 2 2 2" xfId="53819"/>
    <cellStyle name="Separador de milhares 3 7 5 6 2 2 3" xfId="22838"/>
    <cellStyle name="Separador de milhares 3 7 5 6 2 2 3 2" xfId="47905"/>
    <cellStyle name="Separador de milhares 3 7 5 6 2 2 4" xfId="16924"/>
    <cellStyle name="Separador de milhares 3 7 5 6 2 2 4 2" xfId="41991"/>
    <cellStyle name="Separador de milhares 3 7 5 6 2 2 5" xfId="36083"/>
    <cellStyle name="Separador de milhares 3 7 5 6 2 3" xfId="25795"/>
    <cellStyle name="Separador de milhares 3 7 5 6 2 3 2" xfId="50862"/>
    <cellStyle name="Separador de milhares 3 7 5 6 2 4" xfId="19881"/>
    <cellStyle name="Separador de milhares 3 7 5 6 2 4 2" xfId="44948"/>
    <cellStyle name="Separador de milhares 3 7 5 6 2 5" xfId="13783"/>
    <cellStyle name="Separador de milhares 3 7 5 6 2 5 2" xfId="39037"/>
    <cellStyle name="Separador de milhares 3 7 5 6 2 6" xfId="33126"/>
    <cellStyle name="Separador de milhares 3 7 5 6 3" xfId="9070"/>
    <cellStyle name="Separador de milhares 3 7 5 6 3 2" xfId="27284"/>
    <cellStyle name="Separador de milhares 3 7 5 6 3 2 2" xfId="52351"/>
    <cellStyle name="Separador de milhares 3 7 5 6 3 3" xfId="21370"/>
    <cellStyle name="Separador de milhares 3 7 5 6 3 3 2" xfId="46437"/>
    <cellStyle name="Separador de milhares 3 7 5 6 3 4" xfId="15456"/>
    <cellStyle name="Separador de milhares 3 7 5 6 3 4 2" xfId="40523"/>
    <cellStyle name="Separador de milhares 3 7 5 6 3 5" xfId="34615"/>
    <cellStyle name="Separador de milhares 3 7 5 6 4" xfId="5695"/>
    <cellStyle name="Separador de milhares 3 7 5 6 4 2" xfId="24327"/>
    <cellStyle name="Separador de milhares 3 7 5 6 4 2 2" xfId="49394"/>
    <cellStyle name="Separador de milhares 3 7 5 6 4 3" xfId="31658"/>
    <cellStyle name="Separador de milhares 3 7 5 6 5" xfId="18413"/>
    <cellStyle name="Separador de milhares 3 7 5 6 5 2" xfId="43480"/>
    <cellStyle name="Separador de milhares 3 7 5 6 6" xfId="12082"/>
    <cellStyle name="Separador de milhares 3 7 5 6 6 2" xfId="37569"/>
    <cellStyle name="Separador de milhares 3 7 5 6 7" xfId="30188"/>
    <cellStyle name="Separador de milhares 3 7 5 7" xfId="3974"/>
    <cellStyle name="Separador de milhares 3 7 5 7 2" xfId="7541"/>
    <cellStyle name="Separador de milhares 3 7 5 7 2 2" xfId="10685"/>
    <cellStyle name="Separador de milhares 3 7 5 7 2 2 2" xfId="28899"/>
    <cellStyle name="Separador de milhares 3 7 5 7 2 2 2 2" xfId="53966"/>
    <cellStyle name="Separador de milhares 3 7 5 7 2 2 3" xfId="22985"/>
    <cellStyle name="Separador de milhares 3 7 5 7 2 2 3 2" xfId="48052"/>
    <cellStyle name="Separador de milhares 3 7 5 7 2 2 4" xfId="17071"/>
    <cellStyle name="Separador de milhares 3 7 5 7 2 2 4 2" xfId="42138"/>
    <cellStyle name="Separador de milhares 3 7 5 7 2 2 5" xfId="36230"/>
    <cellStyle name="Separador de milhares 3 7 5 7 2 3" xfId="25942"/>
    <cellStyle name="Separador de milhares 3 7 5 7 2 3 2" xfId="51009"/>
    <cellStyle name="Separador de milhares 3 7 5 7 2 4" xfId="20028"/>
    <cellStyle name="Separador de milhares 3 7 5 7 2 4 2" xfId="45095"/>
    <cellStyle name="Separador de milhares 3 7 5 7 2 5" xfId="13930"/>
    <cellStyle name="Separador de milhares 3 7 5 7 2 5 2" xfId="39184"/>
    <cellStyle name="Separador de milhares 3 7 5 7 2 6" xfId="33273"/>
    <cellStyle name="Separador de milhares 3 7 5 7 3" xfId="9217"/>
    <cellStyle name="Separador de milhares 3 7 5 7 3 2" xfId="27431"/>
    <cellStyle name="Separador de milhares 3 7 5 7 3 2 2" xfId="52498"/>
    <cellStyle name="Separador de milhares 3 7 5 7 3 3" xfId="21517"/>
    <cellStyle name="Separador de milhares 3 7 5 7 3 3 2" xfId="46584"/>
    <cellStyle name="Separador de milhares 3 7 5 7 3 4" xfId="15603"/>
    <cellStyle name="Separador de milhares 3 7 5 7 3 4 2" xfId="40670"/>
    <cellStyle name="Separador de milhares 3 7 5 7 3 5" xfId="34762"/>
    <cellStyle name="Separador de milhares 3 7 5 7 4" xfId="5842"/>
    <cellStyle name="Separador de milhares 3 7 5 7 4 2" xfId="24474"/>
    <cellStyle name="Separador de milhares 3 7 5 7 4 2 2" xfId="49541"/>
    <cellStyle name="Separador de milhares 3 7 5 7 4 3" xfId="31805"/>
    <cellStyle name="Separador de milhares 3 7 5 7 5" xfId="18560"/>
    <cellStyle name="Separador de milhares 3 7 5 7 5 2" xfId="43627"/>
    <cellStyle name="Separador de milhares 3 7 5 7 6" xfId="12229"/>
    <cellStyle name="Separador de milhares 3 7 5 7 6 2" xfId="37716"/>
    <cellStyle name="Separador de milhares 3 7 5 7 7" xfId="30335"/>
    <cellStyle name="Separador de milhares 3 7 5 8" xfId="6580"/>
    <cellStyle name="Separador de milhares 3 7 5 8 2" xfId="9727"/>
    <cellStyle name="Separador de milhares 3 7 5 8 2 2" xfId="27941"/>
    <cellStyle name="Separador de milhares 3 7 5 8 2 2 2" xfId="53008"/>
    <cellStyle name="Separador de milhares 3 7 5 8 2 3" xfId="22027"/>
    <cellStyle name="Separador de milhares 3 7 5 8 2 3 2" xfId="47094"/>
    <cellStyle name="Separador de milhares 3 7 5 8 2 4" xfId="16113"/>
    <cellStyle name="Separador de milhares 3 7 5 8 2 4 2" xfId="41180"/>
    <cellStyle name="Separador de milhares 3 7 5 8 2 5" xfId="35272"/>
    <cellStyle name="Separador de milhares 3 7 5 8 3" xfId="24984"/>
    <cellStyle name="Separador de milhares 3 7 5 8 3 2" xfId="50051"/>
    <cellStyle name="Separador de milhares 3 7 5 8 4" xfId="19070"/>
    <cellStyle name="Separador de milhares 3 7 5 8 4 2" xfId="44137"/>
    <cellStyle name="Separador de milhares 3 7 5 8 5" xfId="12969"/>
    <cellStyle name="Separador de milhares 3 7 5 8 5 2" xfId="38226"/>
    <cellStyle name="Separador de milhares 3 7 5 8 6" xfId="32315"/>
    <cellStyle name="Separador de milhares 3 7 5 9" xfId="8256"/>
    <cellStyle name="Separador de milhares 3 7 5 9 2" xfId="26470"/>
    <cellStyle name="Separador de milhares 3 7 5 9 2 2" xfId="51537"/>
    <cellStyle name="Separador de milhares 3 7 5 9 3" xfId="20556"/>
    <cellStyle name="Separador de milhares 3 7 5 9 3 2" xfId="45623"/>
    <cellStyle name="Separador de milhares 3 7 5 9 4" xfId="14645"/>
    <cellStyle name="Separador de milhares 3 7 5 9 4 2" xfId="39712"/>
    <cellStyle name="Separador de milhares 3 7 5 9 5" xfId="33801"/>
    <cellStyle name="Separador de milhares 3 7 6" xfId="726"/>
    <cellStyle name="Separador de milhares 3 7 6 2" xfId="4150"/>
    <cellStyle name="Separador de milhares 3 7 6 2 2" xfId="7590"/>
    <cellStyle name="Separador de milhares 3 7 6 2 2 2" xfId="10734"/>
    <cellStyle name="Separador de milhares 3 7 6 2 2 2 2" xfId="28948"/>
    <cellStyle name="Separador de milhares 3 7 6 2 2 2 2 2" xfId="54015"/>
    <cellStyle name="Separador de milhares 3 7 6 2 2 2 3" xfId="23034"/>
    <cellStyle name="Separador de milhares 3 7 6 2 2 2 3 2" xfId="48101"/>
    <cellStyle name="Separador de milhares 3 7 6 2 2 2 4" xfId="17120"/>
    <cellStyle name="Separador de milhares 3 7 6 2 2 2 4 2" xfId="42187"/>
    <cellStyle name="Separador de milhares 3 7 6 2 2 2 5" xfId="36279"/>
    <cellStyle name="Separador de milhares 3 7 6 2 2 3" xfId="25991"/>
    <cellStyle name="Separador de milhares 3 7 6 2 2 3 2" xfId="51058"/>
    <cellStyle name="Separador de milhares 3 7 6 2 2 4" xfId="20077"/>
    <cellStyle name="Separador de milhares 3 7 6 2 2 4 2" xfId="45144"/>
    <cellStyle name="Separador de milhares 3 7 6 2 2 5" xfId="13979"/>
    <cellStyle name="Separador de milhares 3 7 6 2 2 5 2" xfId="39233"/>
    <cellStyle name="Separador de milhares 3 7 6 2 2 6" xfId="33322"/>
    <cellStyle name="Separador de milhares 3 7 6 2 3" xfId="9266"/>
    <cellStyle name="Separador de milhares 3 7 6 2 3 2" xfId="27480"/>
    <cellStyle name="Separador de milhares 3 7 6 2 3 2 2" xfId="52547"/>
    <cellStyle name="Separador de milhares 3 7 6 2 3 3" xfId="21566"/>
    <cellStyle name="Separador de milhares 3 7 6 2 3 3 2" xfId="46633"/>
    <cellStyle name="Separador de milhares 3 7 6 2 3 4" xfId="15652"/>
    <cellStyle name="Separador de milhares 3 7 6 2 3 4 2" xfId="40719"/>
    <cellStyle name="Separador de milhares 3 7 6 2 3 5" xfId="34811"/>
    <cellStyle name="Separador de milhares 3 7 6 2 4" xfId="5891"/>
    <cellStyle name="Separador de milhares 3 7 6 2 4 2" xfId="24523"/>
    <cellStyle name="Separador de milhares 3 7 6 2 4 2 2" xfId="49590"/>
    <cellStyle name="Separador de milhares 3 7 6 2 4 3" xfId="31854"/>
    <cellStyle name="Separador de milhares 3 7 6 2 5" xfId="18609"/>
    <cellStyle name="Separador de milhares 3 7 6 2 5 2" xfId="43676"/>
    <cellStyle name="Separador de milhares 3 7 6 2 6" xfId="12278"/>
    <cellStyle name="Separador de milhares 3 7 6 2 6 2" xfId="37765"/>
    <cellStyle name="Separador de milhares 3 7 6 2 7" xfId="30384"/>
    <cellStyle name="Separador de milhares 3 7 6 3" xfId="6635"/>
    <cellStyle name="Separador de milhares 3 7 6 3 2" xfId="9782"/>
    <cellStyle name="Separador de milhares 3 7 6 3 2 2" xfId="27996"/>
    <cellStyle name="Separador de milhares 3 7 6 3 2 2 2" xfId="53063"/>
    <cellStyle name="Separador de milhares 3 7 6 3 2 3" xfId="22082"/>
    <cellStyle name="Separador de milhares 3 7 6 3 2 3 2" xfId="47149"/>
    <cellStyle name="Separador de milhares 3 7 6 3 2 4" xfId="16168"/>
    <cellStyle name="Separador de milhares 3 7 6 3 2 4 2" xfId="41235"/>
    <cellStyle name="Separador de milhares 3 7 6 3 2 5" xfId="35327"/>
    <cellStyle name="Separador de milhares 3 7 6 3 3" xfId="25039"/>
    <cellStyle name="Separador de milhares 3 7 6 3 3 2" xfId="50106"/>
    <cellStyle name="Separador de milhares 3 7 6 3 4" xfId="19125"/>
    <cellStyle name="Separador de milhares 3 7 6 3 4 2" xfId="44192"/>
    <cellStyle name="Separador de milhares 3 7 6 3 5" xfId="13024"/>
    <cellStyle name="Separador de milhares 3 7 6 3 5 2" xfId="38281"/>
    <cellStyle name="Separador de milhares 3 7 6 3 6" xfId="32370"/>
    <cellStyle name="Separador de milhares 3 7 6 4" xfId="8314"/>
    <cellStyle name="Separador de milhares 3 7 6 4 2" xfId="26528"/>
    <cellStyle name="Separador de milhares 3 7 6 4 2 2" xfId="51595"/>
    <cellStyle name="Separador de milhares 3 7 6 4 3" xfId="20614"/>
    <cellStyle name="Separador de milhares 3 7 6 4 3 2" xfId="45681"/>
    <cellStyle name="Separador de milhares 3 7 6 4 4" xfId="14700"/>
    <cellStyle name="Separador de milhares 3 7 6 4 4 2" xfId="39767"/>
    <cellStyle name="Separador de milhares 3 7 6 4 5" xfId="33859"/>
    <cellStyle name="Separador de milhares 3 7 6 5" xfId="4936"/>
    <cellStyle name="Separador de milhares 3 7 6 5 2" xfId="23571"/>
    <cellStyle name="Separador de milhares 3 7 6 5 2 2" xfId="48638"/>
    <cellStyle name="Separador de milhares 3 7 6 5 3" xfId="30902"/>
    <cellStyle name="Separador de milhares 3 7 6 6" xfId="17657"/>
    <cellStyle name="Separador de milhares 3 7 6 6 2" xfId="42724"/>
    <cellStyle name="Separador de milhares 3 7 6 7" xfId="11323"/>
    <cellStyle name="Separador de milhares 3 7 6 7 2" xfId="36813"/>
    <cellStyle name="Separador de milhares 3 7 6 8" xfId="29432"/>
    <cellStyle name="Separador de milhares 3 7 7" xfId="1077"/>
    <cellStyle name="Separador de milhares 3 7 7 2" xfId="6733"/>
    <cellStyle name="Separador de milhares 3 7 7 2 2" xfId="9880"/>
    <cellStyle name="Separador de milhares 3 7 7 2 2 2" xfId="28094"/>
    <cellStyle name="Separador de milhares 3 7 7 2 2 2 2" xfId="53161"/>
    <cellStyle name="Separador de milhares 3 7 7 2 2 3" xfId="22180"/>
    <cellStyle name="Separador de milhares 3 7 7 2 2 3 2" xfId="47247"/>
    <cellStyle name="Separador de milhares 3 7 7 2 2 4" xfId="16266"/>
    <cellStyle name="Separador de milhares 3 7 7 2 2 4 2" xfId="41333"/>
    <cellStyle name="Separador de milhares 3 7 7 2 2 5" xfId="35425"/>
    <cellStyle name="Separador de milhares 3 7 7 2 3" xfId="25137"/>
    <cellStyle name="Separador de milhares 3 7 7 2 3 2" xfId="50204"/>
    <cellStyle name="Separador de milhares 3 7 7 2 4" xfId="19223"/>
    <cellStyle name="Separador de milhares 3 7 7 2 4 2" xfId="44290"/>
    <cellStyle name="Separador de milhares 3 7 7 2 5" xfId="13122"/>
    <cellStyle name="Separador de milhares 3 7 7 2 5 2" xfId="38379"/>
    <cellStyle name="Separador de milhares 3 7 7 2 6" xfId="32468"/>
    <cellStyle name="Separador de milhares 3 7 7 3" xfId="8412"/>
    <cellStyle name="Separador de milhares 3 7 7 3 2" xfId="26626"/>
    <cellStyle name="Separador de milhares 3 7 7 3 2 2" xfId="51693"/>
    <cellStyle name="Separador de milhares 3 7 7 3 3" xfId="20712"/>
    <cellStyle name="Separador de milhares 3 7 7 3 3 2" xfId="45779"/>
    <cellStyle name="Separador de milhares 3 7 7 3 4" xfId="14798"/>
    <cellStyle name="Separador de milhares 3 7 7 3 4 2" xfId="39865"/>
    <cellStyle name="Separador de milhares 3 7 7 3 5" xfId="33957"/>
    <cellStyle name="Separador de milhares 3 7 7 4" xfId="5034"/>
    <cellStyle name="Separador de milhares 3 7 7 4 2" xfId="23669"/>
    <cellStyle name="Separador de milhares 3 7 7 4 2 2" xfId="48736"/>
    <cellStyle name="Separador de milhares 3 7 7 4 3" xfId="31000"/>
    <cellStyle name="Separador de milhares 3 7 7 5" xfId="17755"/>
    <cellStyle name="Separador de milhares 3 7 7 5 2" xfId="42822"/>
    <cellStyle name="Separador de milhares 3 7 7 6" xfId="11421"/>
    <cellStyle name="Separador de milhares 3 7 7 6 2" xfId="36911"/>
    <cellStyle name="Separador de milhares 3 7 7 7" xfId="29530"/>
    <cellStyle name="Separador de milhares 3 7 8" xfId="1512"/>
    <cellStyle name="Separador de milhares 3 7 8 2" xfId="6852"/>
    <cellStyle name="Separador de milhares 3 7 8 2 2" xfId="9999"/>
    <cellStyle name="Separador de milhares 3 7 8 2 2 2" xfId="28213"/>
    <cellStyle name="Separador de milhares 3 7 8 2 2 2 2" xfId="53280"/>
    <cellStyle name="Separador de milhares 3 7 8 2 2 3" xfId="22299"/>
    <cellStyle name="Separador de milhares 3 7 8 2 2 3 2" xfId="47366"/>
    <cellStyle name="Separador de milhares 3 7 8 2 2 4" xfId="16385"/>
    <cellStyle name="Separador de milhares 3 7 8 2 2 4 2" xfId="41452"/>
    <cellStyle name="Separador de milhares 3 7 8 2 2 5" xfId="35544"/>
    <cellStyle name="Separador de milhares 3 7 8 2 3" xfId="25256"/>
    <cellStyle name="Separador de milhares 3 7 8 2 3 2" xfId="50323"/>
    <cellStyle name="Separador de milhares 3 7 8 2 4" xfId="19342"/>
    <cellStyle name="Separador de milhares 3 7 8 2 4 2" xfId="44409"/>
    <cellStyle name="Separador de milhares 3 7 8 2 5" xfId="13241"/>
    <cellStyle name="Separador de milhares 3 7 8 2 5 2" xfId="38498"/>
    <cellStyle name="Separador de milhares 3 7 8 2 6" xfId="32587"/>
    <cellStyle name="Separador de milhares 3 7 8 3" xfId="8531"/>
    <cellStyle name="Separador de milhares 3 7 8 3 2" xfId="26745"/>
    <cellStyle name="Separador de milhares 3 7 8 3 2 2" xfId="51812"/>
    <cellStyle name="Separador de milhares 3 7 8 3 3" xfId="20831"/>
    <cellStyle name="Separador de milhares 3 7 8 3 3 2" xfId="45898"/>
    <cellStyle name="Separador de milhares 3 7 8 3 4" xfId="14917"/>
    <cellStyle name="Separador de milhares 3 7 8 3 4 2" xfId="39984"/>
    <cellStyle name="Separador de milhares 3 7 8 3 5" xfId="34076"/>
    <cellStyle name="Separador de milhares 3 7 8 4" xfId="5153"/>
    <cellStyle name="Separador de milhares 3 7 8 4 2" xfId="23788"/>
    <cellStyle name="Separador de milhares 3 7 8 4 2 2" xfId="48855"/>
    <cellStyle name="Separador de milhares 3 7 8 4 3" xfId="31119"/>
    <cellStyle name="Separador de milhares 3 7 8 5" xfId="17874"/>
    <cellStyle name="Separador de milhares 3 7 8 5 2" xfId="42941"/>
    <cellStyle name="Separador de milhares 3 7 8 6" xfId="11540"/>
    <cellStyle name="Separador de milhares 3 7 8 6 2" xfId="37030"/>
    <cellStyle name="Separador de milhares 3 7 8 7" xfId="29649"/>
    <cellStyle name="Separador de milhares 3 7 9" xfId="2042"/>
    <cellStyle name="Separador de milhares 3 7 9 2" xfId="7002"/>
    <cellStyle name="Separador de milhares 3 7 9 2 2" xfId="10146"/>
    <cellStyle name="Separador de milhares 3 7 9 2 2 2" xfId="28360"/>
    <cellStyle name="Separador de milhares 3 7 9 2 2 2 2" xfId="53427"/>
    <cellStyle name="Separador de milhares 3 7 9 2 2 3" xfId="22446"/>
    <cellStyle name="Separador de milhares 3 7 9 2 2 3 2" xfId="47513"/>
    <cellStyle name="Separador de milhares 3 7 9 2 2 4" xfId="16532"/>
    <cellStyle name="Separador de milhares 3 7 9 2 2 4 2" xfId="41599"/>
    <cellStyle name="Separador de milhares 3 7 9 2 2 5" xfId="35691"/>
    <cellStyle name="Separador de milhares 3 7 9 2 3" xfId="25403"/>
    <cellStyle name="Separador de milhares 3 7 9 2 3 2" xfId="50470"/>
    <cellStyle name="Separador de milhares 3 7 9 2 4" xfId="19489"/>
    <cellStyle name="Separador de milhares 3 7 9 2 4 2" xfId="44556"/>
    <cellStyle name="Separador de milhares 3 7 9 2 5" xfId="13391"/>
    <cellStyle name="Separador de milhares 3 7 9 2 5 2" xfId="38645"/>
    <cellStyle name="Separador de milhares 3 7 9 2 6" xfId="32734"/>
    <cellStyle name="Separador de milhares 3 7 9 3" xfId="8678"/>
    <cellStyle name="Separador de milhares 3 7 9 3 2" xfId="26892"/>
    <cellStyle name="Separador de milhares 3 7 9 3 2 2" xfId="51959"/>
    <cellStyle name="Separador de milhares 3 7 9 3 3" xfId="20978"/>
    <cellStyle name="Separador de milhares 3 7 9 3 3 2" xfId="46045"/>
    <cellStyle name="Separador de milhares 3 7 9 3 4" xfId="15064"/>
    <cellStyle name="Separador de milhares 3 7 9 3 4 2" xfId="40131"/>
    <cellStyle name="Separador de milhares 3 7 9 3 5" xfId="34223"/>
    <cellStyle name="Separador de milhares 3 7 9 4" xfId="5303"/>
    <cellStyle name="Separador de milhares 3 7 9 4 2" xfId="23935"/>
    <cellStyle name="Separador de milhares 3 7 9 4 2 2" xfId="49002"/>
    <cellStyle name="Separador de milhares 3 7 9 4 3" xfId="31266"/>
    <cellStyle name="Separador de milhares 3 7 9 5" xfId="18021"/>
    <cellStyle name="Separador de milhares 3 7 9 5 2" xfId="43088"/>
    <cellStyle name="Separador de milhares 3 7 9 6" xfId="11690"/>
    <cellStyle name="Separador de milhares 3 7 9 6 2" xfId="37177"/>
    <cellStyle name="Separador de milhares 3 7 9 7" xfId="29796"/>
    <cellStyle name="Separador de milhares 3 8" xfId="70"/>
    <cellStyle name="Separador de milhares 3 8 10" xfId="2573"/>
    <cellStyle name="Separador de milhares 3 8 10 2" xfId="7150"/>
    <cellStyle name="Separador de milhares 3 8 10 2 2" xfId="10294"/>
    <cellStyle name="Separador de milhares 3 8 10 2 2 2" xfId="28508"/>
    <cellStyle name="Separador de milhares 3 8 10 2 2 2 2" xfId="53575"/>
    <cellStyle name="Separador de milhares 3 8 10 2 2 3" xfId="22594"/>
    <cellStyle name="Separador de milhares 3 8 10 2 2 3 2" xfId="47661"/>
    <cellStyle name="Separador de milhares 3 8 10 2 2 4" xfId="16680"/>
    <cellStyle name="Separador de milhares 3 8 10 2 2 4 2" xfId="41747"/>
    <cellStyle name="Separador de milhares 3 8 10 2 2 5" xfId="35839"/>
    <cellStyle name="Separador de milhares 3 8 10 2 3" xfId="25551"/>
    <cellStyle name="Separador de milhares 3 8 10 2 3 2" xfId="50618"/>
    <cellStyle name="Separador de milhares 3 8 10 2 4" xfId="19637"/>
    <cellStyle name="Separador de milhares 3 8 10 2 4 2" xfId="44704"/>
    <cellStyle name="Separador de milhares 3 8 10 2 5" xfId="13539"/>
    <cellStyle name="Separador de milhares 3 8 10 2 5 2" xfId="38793"/>
    <cellStyle name="Separador de milhares 3 8 10 2 6" xfId="32882"/>
    <cellStyle name="Separador de milhares 3 8 10 3" xfId="8826"/>
    <cellStyle name="Separador de milhares 3 8 10 3 2" xfId="27040"/>
    <cellStyle name="Separador de milhares 3 8 10 3 2 2" xfId="52107"/>
    <cellStyle name="Separador de milhares 3 8 10 3 3" xfId="21126"/>
    <cellStyle name="Separador de milhares 3 8 10 3 3 2" xfId="46193"/>
    <cellStyle name="Separador de milhares 3 8 10 3 4" xfId="15212"/>
    <cellStyle name="Separador de milhares 3 8 10 3 4 2" xfId="40279"/>
    <cellStyle name="Separador de milhares 3 8 10 3 5" xfId="34371"/>
    <cellStyle name="Separador de milhares 3 8 10 4" xfId="5451"/>
    <cellStyle name="Separador de milhares 3 8 10 4 2" xfId="24083"/>
    <cellStyle name="Separador de milhares 3 8 10 4 2 2" xfId="49150"/>
    <cellStyle name="Separador de milhares 3 8 10 4 3" xfId="31414"/>
    <cellStyle name="Separador de milhares 3 8 10 5" xfId="18169"/>
    <cellStyle name="Separador de milhares 3 8 10 5 2" xfId="43236"/>
    <cellStyle name="Separador de milhares 3 8 10 6" xfId="11838"/>
    <cellStyle name="Separador de milhares 3 8 10 6 2" xfId="37325"/>
    <cellStyle name="Separador de milhares 3 8 10 7" xfId="29944"/>
    <cellStyle name="Separador de milhares 3 8 11" xfId="3100"/>
    <cellStyle name="Separador de milhares 3 8 11 2" xfId="7297"/>
    <cellStyle name="Separador de milhares 3 8 11 2 2" xfId="10441"/>
    <cellStyle name="Separador de milhares 3 8 11 2 2 2" xfId="28655"/>
    <cellStyle name="Separador de milhares 3 8 11 2 2 2 2" xfId="53722"/>
    <cellStyle name="Separador de milhares 3 8 11 2 2 3" xfId="22741"/>
    <cellStyle name="Separador de milhares 3 8 11 2 2 3 2" xfId="47808"/>
    <cellStyle name="Separador de milhares 3 8 11 2 2 4" xfId="16827"/>
    <cellStyle name="Separador de milhares 3 8 11 2 2 4 2" xfId="41894"/>
    <cellStyle name="Separador de milhares 3 8 11 2 2 5" xfId="35986"/>
    <cellStyle name="Separador de milhares 3 8 11 2 3" xfId="25698"/>
    <cellStyle name="Separador de milhares 3 8 11 2 3 2" xfId="50765"/>
    <cellStyle name="Separador de milhares 3 8 11 2 4" xfId="19784"/>
    <cellStyle name="Separador de milhares 3 8 11 2 4 2" xfId="44851"/>
    <cellStyle name="Separador de milhares 3 8 11 2 5" xfId="13686"/>
    <cellStyle name="Separador de milhares 3 8 11 2 5 2" xfId="38940"/>
    <cellStyle name="Separador de milhares 3 8 11 2 6" xfId="33029"/>
    <cellStyle name="Separador de milhares 3 8 11 3" xfId="8973"/>
    <cellStyle name="Separador de milhares 3 8 11 3 2" xfId="27187"/>
    <cellStyle name="Separador de milhares 3 8 11 3 2 2" xfId="52254"/>
    <cellStyle name="Separador de milhares 3 8 11 3 3" xfId="21273"/>
    <cellStyle name="Separador de milhares 3 8 11 3 3 2" xfId="46340"/>
    <cellStyle name="Separador de milhares 3 8 11 3 4" xfId="15359"/>
    <cellStyle name="Separador de milhares 3 8 11 3 4 2" xfId="40426"/>
    <cellStyle name="Separador de milhares 3 8 11 3 5" xfId="34518"/>
    <cellStyle name="Separador de milhares 3 8 11 4" xfId="5598"/>
    <cellStyle name="Separador de milhares 3 8 11 4 2" xfId="24230"/>
    <cellStyle name="Separador de milhares 3 8 11 4 2 2" xfId="49297"/>
    <cellStyle name="Separador de milhares 3 8 11 4 3" xfId="31561"/>
    <cellStyle name="Separador de milhares 3 8 11 5" xfId="18316"/>
    <cellStyle name="Separador de milhares 3 8 11 5 2" xfId="43383"/>
    <cellStyle name="Separador de milhares 3 8 11 6" xfId="11985"/>
    <cellStyle name="Separador de milhares 3 8 11 6 2" xfId="37472"/>
    <cellStyle name="Separador de milhares 3 8 11 7" xfId="30091"/>
    <cellStyle name="Separador de milhares 3 8 12" xfId="3627"/>
    <cellStyle name="Separador de milhares 3 8 12 2" xfId="7444"/>
    <cellStyle name="Separador de milhares 3 8 12 2 2" xfId="10588"/>
    <cellStyle name="Separador de milhares 3 8 12 2 2 2" xfId="28802"/>
    <cellStyle name="Separador de milhares 3 8 12 2 2 2 2" xfId="53869"/>
    <cellStyle name="Separador de milhares 3 8 12 2 2 3" xfId="22888"/>
    <cellStyle name="Separador de milhares 3 8 12 2 2 3 2" xfId="47955"/>
    <cellStyle name="Separador de milhares 3 8 12 2 2 4" xfId="16974"/>
    <cellStyle name="Separador de milhares 3 8 12 2 2 4 2" xfId="42041"/>
    <cellStyle name="Separador de milhares 3 8 12 2 2 5" xfId="36133"/>
    <cellStyle name="Separador de milhares 3 8 12 2 3" xfId="25845"/>
    <cellStyle name="Separador de milhares 3 8 12 2 3 2" xfId="50912"/>
    <cellStyle name="Separador de milhares 3 8 12 2 4" xfId="19931"/>
    <cellStyle name="Separador de milhares 3 8 12 2 4 2" xfId="44998"/>
    <cellStyle name="Separador de milhares 3 8 12 2 5" xfId="13833"/>
    <cellStyle name="Separador de milhares 3 8 12 2 5 2" xfId="39087"/>
    <cellStyle name="Separador de milhares 3 8 12 2 6" xfId="33176"/>
    <cellStyle name="Separador de milhares 3 8 12 3" xfId="9120"/>
    <cellStyle name="Separador de milhares 3 8 12 3 2" xfId="27334"/>
    <cellStyle name="Separador de milhares 3 8 12 3 2 2" xfId="52401"/>
    <cellStyle name="Separador de milhares 3 8 12 3 3" xfId="21420"/>
    <cellStyle name="Separador de milhares 3 8 12 3 3 2" xfId="46487"/>
    <cellStyle name="Separador de milhares 3 8 12 3 4" xfId="15506"/>
    <cellStyle name="Separador de milhares 3 8 12 3 4 2" xfId="40573"/>
    <cellStyle name="Separador de milhares 3 8 12 3 5" xfId="34665"/>
    <cellStyle name="Separador de milhares 3 8 12 4" xfId="5745"/>
    <cellStyle name="Separador de milhares 3 8 12 4 2" xfId="24377"/>
    <cellStyle name="Separador de milhares 3 8 12 4 2 2" xfId="49444"/>
    <cellStyle name="Separador de milhares 3 8 12 4 3" xfId="31708"/>
    <cellStyle name="Separador de milhares 3 8 12 5" xfId="18463"/>
    <cellStyle name="Separador de milhares 3 8 12 5 2" xfId="43530"/>
    <cellStyle name="Separador de milhares 3 8 12 6" xfId="12132"/>
    <cellStyle name="Separador de milhares 3 8 12 6 2" xfId="37619"/>
    <cellStyle name="Separador de milhares 3 8 12 7" xfId="30238"/>
    <cellStyle name="Separador de milhares 3 8 13" xfId="6428"/>
    <cellStyle name="Separador de milhares 3 8 13 2" xfId="9584"/>
    <cellStyle name="Separador de milhares 3 8 13 2 2" xfId="27798"/>
    <cellStyle name="Separador de milhares 3 8 13 2 2 2" xfId="52865"/>
    <cellStyle name="Separador de milhares 3 8 13 2 3" xfId="21884"/>
    <cellStyle name="Separador de milhares 3 8 13 2 3 2" xfId="46951"/>
    <cellStyle name="Separador de milhares 3 8 13 2 4" xfId="15970"/>
    <cellStyle name="Separador de milhares 3 8 13 2 4 2" xfId="41037"/>
    <cellStyle name="Separador de milhares 3 8 13 2 5" xfId="35129"/>
    <cellStyle name="Separador de milhares 3 8 13 3" xfId="24841"/>
    <cellStyle name="Separador de milhares 3 8 13 3 2" xfId="49908"/>
    <cellStyle name="Separador de milhares 3 8 13 4" xfId="18927"/>
    <cellStyle name="Separador de milhares 3 8 13 4 2" xfId="43994"/>
    <cellStyle name="Separador de milhares 3 8 13 5" xfId="12817"/>
    <cellStyle name="Separador de milhares 3 8 13 5 2" xfId="38083"/>
    <cellStyle name="Separador de milhares 3 8 13 6" xfId="32172"/>
    <cellStyle name="Separador de milhares 3 8 14" xfId="8113"/>
    <cellStyle name="Separador de milhares 3 8 14 2" xfId="26327"/>
    <cellStyle name="Separador de milhares 3 8 14 2 2" xfId="51394"/>
    <cellStyle name="Separador de milhares 3 8 14 3" xfId="20413"/>
    <cellStyle name="Separador de milhares 3 8 14 3 2" xfId="45480"/>
    <cellStyle name="Separador de milhares 3 8 14 4" xfId="14502"/>
    <cellStyle name="Separador de milhares 3 8 14 4 2" xfId="39569"/>
    <cellStyle name="Separador de milhares 3 8 14 5" xfId="33658"/>
    <cellStyle name="Separador de milhares 3 8 15" xfId="4726"/>
    <cellStyle name="Separador de milhares 3 8 15 2" xfId="23370"/>
    <cellStyle name="Separador de milhares 3 8 15 2 2" xfId="48437"/>
    <cellStyle name="Separador de milhares 3 8 15 3" xfId="30702"/>
    <cellStyle name="Separador de milhares 3 8 16" xfId="17456"/>
    <cellStyle name="Separador de milhares 3 8 16 2" xfId="42523"/>
    <cellStyle name="Separador de milhares 3 8 17" xfId="11116"/>
    <cellStyle name="Separador de milhares 3 8 17 2" xfId="36615"/>
    <cellStyle name="Separador de milhares 3 8 18" xfId="29230"/>
    <cellStyle name="Separador de milhares 3 8 2" xfId="164"/>
    <cellStyle name="Separador de milhares 3 8 2 10" xfId="6457"/>
    <cellStyle name="Separador de milhares 3 8 2 10 2" xfId="9611"/>
    <cellStyle name="Separador de milhares 3 8 2 10 2 2" xfId="27825"/>
    <cellStyle name="Separador de milhares 3 8 2 10 2 2 2" xfId="52892"/>
    <cellStyle name="Separador de milhares 3 8 2 10 2 3" xfId="21911"/>
    <cellStyle name="Separador de milhares 3 8 2 10 2 3 2" xfId="46978"/>
    <cellStyle name="Separador de milhares 3 8 2 10 2 4" xfId="15997"/>
    <cellStyle name="Separador de milhares 3 8 2 10 2 4 2" xfId="41064"/>
    <cellStyle name="Separador de milhares 3 8 2 10 2 5" xfId="35156"/>
    <cellStyle name="Separador de milhares 3 8 2 10 3" xfId="24868"/>
    <cellStyle name="Separador de milhares 3 8 2 10 3 2" xfId="49935"/>
    <cellStyle name="Separador de milhares 3 8 2 10 4" xfId="18954"/>
    <cellStyle name="Separador de milhares 3 8 2 10 4 2" xfId="44021"/>
    <cellStyle name="Separador de milhares 3 8 2 10 5" xfId="12846"/>
    <cellStyle name="Separador de milhares 3 8 2 10 5 2" xfId="38110"/>
    <cellStyle name="Separador de milhares 3 8 2 10 6" xfId="32199"/>
    <cellStyle name="Separador de milhares 3 8 2 11" xfId="8140"/>
    <cellStyle name="Separador de milhares 3 8 2 11 2" xfId="26354"/>
    <cellStyle name="Separador de milhares 3 8 2 11 2 2" xfId="51421"/>
    <cellStyle name="Separador de milhares 3 8 2 11 3" xfId="20440"/>
    <cellStyle name="Separador de milhares 3 8 2 11 3 2" xfId="45507"/>
    <cellStyle name="Separador de milhares 3 8 2 11 4" xfId="14529"/>
    <cellStyle name="Separador de milhares 3 8 2 11 4 2" xfId="39596"/>
    <cellStyle name="Separador de milhares 3 8 2 11 5" xfId="33685"/>
    <cellStyle name="Separador de milhares 3 8 2 12" xfId="4756"/>
    <cellStyle name="Separador de milhares 3 8 2 12 2" xfId="23397"/>
    <cellStyle name="Separador de milhares 3 8 2 12 2 2" xfId="48464"/>
    <cellStyle name="Separador de milhares 3 8 2 12 3" xfId="30729"/>
    <cellStyle name="Separador de milhares 3 8 2 13" xfId="17483"/>
    <cellStyle name="Separador de milhares 3 8 2 13 2" xfId="42550"/>
    <cellStyle name="Separador de milhares 3 8 2 14" xfId="11145"/>
    <cellStyle name="Separador de milhares 3 8 2 14 2" xfId="36642"/>
    <cellStyle name="Separador de milhares 3 8 2 15" xfId="29258"/>
    <cellStyle name="Separador de milhares 3 8 2 2" xfId="437"/>
    <cellStyle name="Separador de milhares 3 8 2 2 10" xfId="17557"/>
    <cellStyle name="Separador de milhares 3 8 2 2 10 2" xfId="42624"/>
    <cellStyle name="Separador de milhares 3 8 2 2 11" xfId="11226"/>
    <cellStyle name="Separador de milhares 3 8 2 2 11 2" xfId="36716"/>
    <cellStyle name="Separador de milhares 3 8 2 2 12" xfId="29332"/>
    <cellStyle name="Separador de milhares 3 8 2 2 2" xfId="1956"/>
    <cellStyle name="Separador de milhares 3 8 2 2 2 2" xfId="6976"/>
    <cellStyle name="Separador de milhares 3 8 2 2 2 2 2" xfId="10123"/>
    <cellStyle name="Separador de milhares 3 8 2 2 2 2 2 2" xfId="28337"/>
    <cellStyle name="Separador de milhares 3 8 2 2 2 2 2 2 2" xfId="53404"/>
    <cellStyle name="Separador de milhares 3 8 2 2 2 2 2 3" xfId="22423"/>
    <cellStyle name="Separador de milhares 3 8 2 2 2 2 2 3 2" xfId="47490"/>
    <cellStyle name="Separador de milhares 3 8 2 2 2 2 2 4" xfId="16509"/>
    <cellStyle name="Separador de milhares 3 8 2 2 2 2 2 4 2" xfId="41576"/>
    <cellStyle name="Separador de milhares 3 8 2 2 2 2 2 5" xfId="35668"/>
    <cellStyle name="Separador de milhares 3 8 2 2 2 2 3" xfId="25380"/>
    <cellStyle name="Separador de milhares 3 8 2 2 2 2 3 2" xfId="50447"/>
    <cellStyle name="Separador de milhares 3 8 2 2 2 2 4" xfId="19466"/>
    <cellStyle name="Separador de milhares 3 8 2 2 2 2 4 2" xfId="44533"/>
    <cellStyle name="Separador de milhares 3 8 2 2 2 2 5" xfId="13365"/>
    <cellStyle name="Separador de milhares 3 8 2 2 2 2 5 2" xfId="38622"/>
    <cellStyle name="Separador de milhares 3 8 2 2 2 2 6" xfId="32711"/>
    <cellStyle name="Separador de milhares 3 8 2 2 2 3" xfId="8655"/>
    <cellStyle name="Separador de milhares 3 8 2 2 2 3 2" xfId="26869"/>
    <cellStyle name="Separador de milhares 3 8 2 2 2 3 2 2" xfId="51936"/>
    <cellStyle name="Separador de milhares 3 8 2 2 2 3 3" xfId="20955"/>
    <cellStyle name="Separador de milhares 3 8 2 2 2 3 3 2" xfId="46022"/>
    <cellStyle name="Separador de milhares 3 8 2 2 2 3 4" xfId="15041"/>
    <cellStyle name="Separador de milhares 3 8 2 2 2 3 4 2" xfId="40108"/>
    <cellStyle name="Separador de milhares 3 8 2 2 2 3 5" xfId="34200"/>
    <cellStyle name="Separador de milhares 3 8 2 2 2 4" xfId="5277"/>
    <cellStyle name="Separador de milhares 3 8 2 2 2 4 2" xfId="23912"/>
    <cellStyle name="Separador de milhares 3 8 2 2 2 4 2 2" xfId="48979"/>
    <cellStyle name="Separador de milhares 3 8 2 2 2 4 3" xfId="31243"/>
    <cellStyle name="Separador de milhares 3 8 2 2 2 5" xfId="17998"/>
    <cellStyle name="Separador de milhares 3 8 2 2 2 5 2" xfId="43065"/>
    <cellStyle name="Separador de milhares 3 8 2 2 2 6" xfId="11664"/>
    <cellStyle name="Separador de milhares 3 8 2 2 2 6 2" xfId="37154"/>
    <cellStyle name="Separador de milhares 3 8 2 2 2 7" xfId="29773"/>
    <cellStyle name="Separador de milhares 3 8 2 2 3" xfId="2486"/>
    <cellStyle name="Separador de milhares 3 8 2 2 3 2" xfId="7126"/>
    <cellStyle name="Separador de milhares 3 8 2 2 3 2 2" xfId="10270"/>
    <cellStyle name="Separador de milhares 3 8 2 2 3 2 2 2" xfId="28484"/>
    <cellStyle name="Separador de milhares 3 8 2 2 3 2 2 2 2" xfId="53551"/>
    <cellStyle name="Separador de milhares 3 8 2 2 3 2 2 3" xfId="22570"/>
    <cellStyle name="Separador de milhares 3 8 2 2 3 2 2 3 2" xfId="47637"/>
    <cellStyle name="Separador de milhares 3 8 2 2 3 2 2 4" xfId="16656"/>
    <cellStyle name="Separador de milhares 3 8 2 2 3 2 2 4 2" xfId="41723"/>
    <cellStyle name="Separador de milhares 3 8 2 2 3 2 2 5" xfId="35815"/>
    <cellStyle name="Separador de milhares 3 8 2 2 3 2 3" xfId="25527"/>
    <cellStyle name="Separador de milhares 3 8 2 2 3 2 3 2" xfId="50594"/>
    <cellStyle name="Separador de milhares 3 8 2 2 3 2 4" xfId="19613"/>
    <cellStyle name="Separador de milhares 3 8 2 2 3 2 4 2" xfId="44680"/>
    <cellStyle name="Separador de milhares 3 8 2 2 3 2 5" xfId="13515"/>
    <cellStyle name="Separador de milhares 3 8 2 2 3 2 5 2" xfId="38769"/>
    <cellStyle name="Separador de milhares 3 8 2 2 3 2 6" xfId="32858"/>
    <cellStyle name="Separador de milhares 3 8 2 2 3 3" xfId="8802"/>
    <cellStyle name="Separador de milhares 3 8 2 2 3 3 2" xfId="27016"/>
    <cellStyle name="Separador de milhares 3 8 2 2 3 3 2 2" xfId="52083"/>
    <cellStyle name="Separador de milhares 3 8 2 2 3 3 3" xfId="21102"/>
    <cellStyle name="Separador de milhares 3 8 2 2 3 3 3 2" xfId="46169"/>
    <cellStyle name="Separador de milhares 3 8 2 2 3 3 4" xfId="15188"/>
    <cellStyle name="Separador de milhares 3 8 2 2 3 3 4 2" xfId="40255"/>
    <cellStyle name="Separador de milhares 3 8 2 2 3 3 5" xfId="34347"/>
    <cellStyle name="Separador de milhares 3 8 2 2 3 4" xfId="5427"/>
    <cellStyle name="Separador de milhares 3 8 2 2 3 4 2" xfId="24059"/>
    <cellStyle name="Separador de milhares 3 8 2 2 3 4 2 2" xfId="49126"/>
    <cellStyle name="Separador de milhares 3 8 2 2 3 4 3" xfId="31390"/>
    <cellStyle name="Separador de milhares 3 8 2 2 3 5" xfId="18145"/>
    <cellStyle name="Separador de milhares 3 8 2 2 3 5 2" xfId="43212"/>
    <cellStyle name="Separador de milhares 3 8 2 2 3 6" xfId="11814"/>
    <cellStyle name="Separador de milhares 3 8 2 2 3 6 2" xfId="37301"/>
    <cellStyle name="Separador de milhares 3 8 2 2 3 7" xfId="29920"/>
    <cellStyle name="Separador de milhares 3 8 2 2 4" xfId="3013"/>
    <cellStyle name="Separador de milhares 3 8 2 2 4 2" xfId="7273"/>
    <cellStyle name="Separador de milhares 3 8 2 2 4 2 2" xfId="10417"/>
    <cellStyle name="Separador de milhares 3 8 2 2 4 2 2 2" xfId="28631"/>
    <cellStyle name="Separador de milhares 3 8 2 2 4 2 2 2 2" xfId="53698"/>
    <cellStyle name="Separador de milhares 3 8 2 2 4 2 2 3" xfId="22717"/>
    <cellStyle name="Separador de milhares 3 8 2 2 4 2 2 3 2" xfId="47784"/>
    <cellStyle name="Separador de milhares 3 8 2 2 4 2 2 4" xfId="16803"/>
    <cellStyle name="Separador de milhares 3 8 2 2 4 2 2 4 2" xfId="41870"/>
    <cellStyle name="Separador de milhares 3 8 2 2 4 2 2 5" xfId="35962"/>
    <cellStyle name="Separador de milhares 3 8 2 2 4 2 3" xfId="25674"/>
    <cellStyle name="Separador de milhares 3 8 2 2 4 2 3 2" xfId="50741"/>
    <cellStyle name="Separador de milhares 3 8 2 2 4 2 4" xfId="19760"/>
    <cellStyle name="Separador de milhares 3 8 2 2 4 2 4 2" xfId="44827"/>
    <cellStyle name="Separador de milhares 3 8 2 2 4 2 5" xfId="13662"/>
    <cellStyle name="Separador de milhares 3 8 2 2 4 2 5 2" xfId="38916"/>
    <cellStyle name="Separador de milhares 3 8 2 2 4 2 6" xfId="33005"/>
    <cellStyle name="Separador de milhares 3 8 2 2 4 3" xfId="8949"/>
    <cellStyle name="Separador de milhares 3 8 2 2 4 3 2" xfId="27163"/>
    <cellStyle name="Separador de milhares 3 8 2 2 4 3 2 2" xfId="52230"/>
    <cellStyle name="Separador de milhares 3 8 2 2 4 3 3" xfId="21249"/>
    <cellStyle name="Separador de milhares 3 8 2 2 4 3 3 2" xfId="46316"/>
    <cellStyle name="Separador de milhares 3 8 2 2 4 3 4" xfId="15335"/>
    <cellStyle name="Separador de milhares 3 8 2 2 4 3 4 2" xfId="40402"/>
    <cellStyle name="Separador de milhares 3 8 2 2 4 3 5" xfId="34494"/>
    <cellStyle name="Separador de milhares 3 8 2 2 4 4" xfId="5574"/>
    <cellStyle name="Separador de milhares 3 8 2 2 4 4 2" xfId="24206"/>
    <cellStyle name="Separador de milhares 3 8 2 2 4 4 2 2" xfId="49273"/>
    <cellStyle name="Separador de milhares 3 8 2 2 4 4 3" xfId="31537"/>
    <cellStyle name="Separador de milhares 3 8 2 2 4 5" xfId="18292"/>
    <cellStyle name="Separador de milhares 3 8 2 2 4 5 2" xfId="43359"/>
    <cellStyle name="Separador de milhares 3 8 2 2 4 6" xfId="11961"/>
    <cellStyle name="Separador de milhares 3 8 2 2 4 6 2" xfId="37448"/>
    <cellStyle name="Separador de milhares 3 8 2 2 4 7" xfId="30067"/>
    <cellStyle name="Separador de milhares 3 8 2 2 5" xfId="3540"/>
    <cellStyle name="Separador de milhares 3 8 2 2 5 2" xfId="7420"/>
    <cellStyle name="Separador de milhares 3 8 2 2 5 2 2" xfId="10564"/>
    <cellStyle name="Separador de milhares 3 8 2 2 5 2 2 2" xfId="28778"/>
    <cellStyle name="Separador de milhares 3 8 2 2 5 2 2 2 2" xfId="53845"/>
    <cellStyle name="Separador de milhares 3 8 2 2 5 2 2 3" xfId="22864"/>
    <cellStyle name="Separador de milhares 3 8 2 2 5 2 2 3 2" xfId="47931"/>
    <cellStyle name="Separador de milhares 3 8 2 2 5 2 2 4" xfId="16950"/>
    <cellStyle name="Separador de milhares 3 8 2 2 5 2 2 4 2" xfId="42017"/>
    <cellStyle name="Separador de milhares 3 8 2 2 5 2 2 5" xfId="36109"/>
    <cellStyle name="Separador de milhares 3 8 2 2 5 2 3" xfId="25821"/>
    <cellStyle name="Separador de milhares 3 8 2 2 5 2 3 2" xfId="50888"/>
    <cellStyle name="Separador de milhares 3 8 2 2 5 2 4" xfId="19907"/>
    <cellStyle name="Separador de milhares 3 8 2 2 5 2 4 2" xfId="44974"/>
    <cellStyle name="Separador de milhares 3 8 2 2 5 2 5" xfId="13809"/>
    <cellStyle name="Separador de milhares 3 8 2 2 5 2 5 2" xfId="39063"/>
    <cellStyle name="Separador de milhares 3 8 2 2 5 2 6" xfId="33152"/>
    <cellStyle name="Separador de milhares 3 8 2 2 5 3" xfId="9096"/>
    <cellStyle name="Separador de milhares 3 8 2 2 5 3 2" xfId="27310"/>
    <cellStyle name="Separador de milhares 3 8 2 2 5 3 2 2" xfId="52377"/>
    <cellStyle name="Separador de milhares 3 8 2 2 5 3 3" xfId="21396"/>
    <cellStyle name="Separador de milhares 3 8 2 2 5 3 3 2" xfId="46463"/>
    <cellStyle name="Separador de milhares 3 8 2 2 5 3 4" xfId="15482"/>
    <cellStyle name="Separador de milhares 3 8 2 2 5 3 4 2" xfId="40549"/>
    <cellStyle name="Separador de milhares 3 8 2 2 5 3 5" xfId="34641"/>
    <cellStyle name="Separador de milhares 3 8 2 2 5 4" xfId="5721"/>
    <cellStyle name="Separador de milhares 3 8 2 2 5 4 2" xfId="24353"/>
    <cellStyle name="Separador de milhares 3 8 2 2 5 4 2 2" xfId="49420"/>
    <cellStyle name="Separador de milhares 3 8 2 2 5 4 3" xfId="31684"/>
    <cellStyle name="Separador de milhares 3 8 2 2 5 5" xfId="18439"/>
    <cellStyle name="Separador de milhares 3 8 2 2 5 5 2" xfId="43506"/>
    <cellStyle name="Separador de milhares 3 8 2 2 5 6" xfId="12108"/>
    <cellStyle name="Separador de milhares 3 8 2 2 5 6 2" xfId="37595"/>
    <cellStyle name="Separador de milhares 3 8 2 2 5 7" xfId="30214"/>
    <cellStyle name="Separador de milhares 3 8 2 2 6" xfId="4067"/>
    <cellStyle name="Separador de milhares 3 8 2 2 6 2" xfId="7567"/>
    <cellStyle name="Separador de milhares 3 8 2 2 6 2 2" xfId="10711"/>
    <cellStyle name="Separador de milhares 3 8 2 2 6 2 2 2" xfId="28925"/>
    <cellStyle name="Separador de milhares 3 8 2 2 6 2 2 2 2" xfId="53992"/>
    <cellStyle name="Separador de milhares 3 8 2 2 6 2 2 3" xfId="23011"/>
    <cellStyle name="Separador de milhares 3 8 2 2 6 2 2 3 2" xfId="48078"/>
    <cellStyle name="Separador de milhares 3 8 2 2 6 2 2 4" xfId="17097"/>
    <cellStyle name="Separador de milhares 3 8 2 2 6 2 2 4 2" xfId="42164"/>
    <cellStyle name="Separador de milhares 3 8 2 2 6 2 2 5" xfId="36256"/>
    <cellStyle name="Separador de milhares 3 8 2 2 6 2 3" xfId="25968"/>
    <cellStyle name="Separador de milhares 3 8 2 2 6 2 3 2" xfId="51035"/>
    <cellStyle name="Separador de milhares 3 8 2 2 6 2 4" xfId="20054"/>
    <cellStyle name="Separador de milhares 3 8 2 2 6 2 4 2" xfId="45121"/>
    <cellStyle name="Separador de milhares 3 8 2 2 6 2 5" xfId="13956"/>
    <cellStyle name="Separador de milhares 3 8 2 2 6 2 5 2" xfId="39210"/>
    <cellStyle name="Separador de milhares 3 8 2 2 6 2 6" xfId="33299"/>
    <cellStyle name="Separador de milhares 3 8 2 2 6 3" xfId="9243"/>
    <cellStyle name="Separador de milhares 3 8 2 2 6 3 2" xfId="27457"/>
    <cellStyle name="Separador de milhares 3 8 2 2 6 3 2 2" xfId="52524"/>
    <cellStyle name="Separador de milhares 3 8 2 2 6 3 3" xfId="21543"/>
    <cellStyle name="Separador de milhares 3 8 2 2 6 3 3 2" xfId="46610"/>
    <cellStyle name="Separador de milhares 3 8 2 2 6 3 4" xfId="15629"/>
    <cellStyle name="Separador de milhares 3 8 2 2 6 3 4 2" xfId="40696"/>
    <cellStyle name="Separador de milhares 3 8 2 2 6 3 5" xfId="34788"/>
    <cellStyle name="Separador de milhares 3 8 2 2 6 4" xfId="5868"/>
    <cellStyle name="Separador de milhares 3 8 2 2 6 4 2" xfId="24500"/>
    <cellStyle name="Separador de milhares 3 8 2 2 6 4 2 2" xfId="49567"/>
    <cellStyle name="Separador de milhares 3 8 2 2 6 4 3" xfId="31831"/>
    <cellStyle name="Separador de milhares 3 8 2 2 6 5" xfId="18586"/>
    <cellStyle name="Separador de milhares 3 8 2 2 6 5 2" xfId="43653"/>
    <cellStyle name="Separador de milhares 3 8 2 2 6 6" xfId="12255"/>
    <cellStyle name="Separador de milhares 3 8 2 2 6 6 2" xfId="37742"/>
    <cellStyle name="Separador de milhares 3 8 2 2 6 7" xfId="30361"/>
    <cellStyle name="Separador de milhares 3 8 2 2 7" xfId="6538"/>
    <cellStyle name="Separador de milhares 3 8 2 2 7 2" xfId="9685"/>
    <cellStyle name="Separador de milhares 3 8 2 2 7 2 2" xfId="27899"/>
    <cellStyle name="Separador de milhares 3 8 2 2 7 2 2 2" xfId="52966"/>
    <cellStyle name="Separador de milhares 3 8 2 2 7 2 3" xfId="21985"/>
    <cellStyle name="Separador de milhares 3 8 2 2 7 2 3 2" xfId="47052"/>
    <cellStyle name="Separador de milhares 3 8 2 2 7 2 4" xfId="16071"/>
    <cellStyle name="Separador de milhares 3 8 2 2 7 2 4 2" xfId="41138"/>
    <cellStyle name="Separador de milhares 3 8 2 2 7 2 5" xfId="35230"/>
    <cellStyle name="Separador de milhares 3 8 2 2 7 3" xfId="24942"/>
    <cellStyle name="Separador de milhares 3 8 2 2 7 3 2" xfId="50009"/>
    <cellStyle name="Separador de milhares 3 8 2 2 7 4" xfId="19028"/>
    <cellStyle name="Separador de milhares 3 8 2 2 7 4 2" xfId="44095"/>
    <cellStyle name="Separador de milhares 3 8 2 2 7 5" xfId="12927"/>
    <cellStyle name="Separador de milhares 3 8 2 2 7 5 2" xfId="38184"/>
    <cellStyle name="Separador de milhares 3 8 2 2 7 6" xfId="32273"/>
    <cellStyle name="Separador de milhares 3 8 2 2 8" xfId="8214"/>
    <cellStyle name="Separador de milhares 3 8 2 2 8 2" xfId="26428"/>
    <cellStyle name="Separador de milhares 3 8 2 2 8 2 2" xfId="51495"/>
    <cellStyle name="Separador de milhares 3 8 2 2 8 3" xfId="20514"/>
    <cellStyle name="Separador de milhares 3 8 2 2 8 3 2" xfId="45581"/>
    <cellStyle name="Separador de milhares 3 8 2 2 8 4" xfId="14603"/>
    <cellStyle name="Separador de milhares 3 8 2 2 8 4 2" xfId="39670"/>
    <cellStyle name="Separador de milhares 3 8 2 2 8 5" xfId="33759"/>
    <cellStyle name="Separador de milhares 3 8 2 2 9" xfId="4837"/>
    <cellStyle name="Separador de milhares 3 8 2 2 9 2" xfId="23471"/>
    <cellStyle name="Separador de milhares 3 8 2 2 9 2 2" xfId="48538"/>
    <cellStyle name="Separador de milhares 3 8 2 2 9 3" xfId="30803"/>
    <cellStyle name="Separador de milhares 3 8 2 3" xfId="910"/>
    <cellStyle name="Separador de milhares 3 8 2 3 2" xfId="6689"/>
    <cellStyle name="Separador de milhares 3 8 2 3 2 2" xfId="9836"/>
    <cellStyle name="Separador de milhares 3 8 2 3 2 2 2" xfId="28050"/>
    <cellStyle name="Separador de milhares 3 8 2 3 2 2 2 2" xfId="53117"/>
    <cellStyle name="Separador de milhares 3 8 2 3 2 2 3" xfId="22136"/>
    <cellStyle name="Separador de milhares 3 8 2 3 2 2 3 2" xfId="47203"/>
    <cellStyle name="Separador de milhares 3 8 2 3 2 2 4" xfId="16222"/>
    <cellStyle name="Separador de milhares 3 8 2 3 2 2 4 2" xfId="41289"/>
    <cellStyle name="Separador de milhares 3 8 2 3 2 2 5" xfId="35381"/>
    <cellStyle name="Separador de milhares 3 8 2 3 2 3" xfId="25093"/>
    <cellStyle name="Separador de milhares 3 8 2 3 2 3 2" xfId="50160"/>
    <cellStyle name="Separador de milhares 3 8 2 3 2 4" xfId="19179"/>
    <cellStyle name="Separador de milhares 3 8 2 3 2 4 2" xfId="44246"/>
    <cellStyle name="Separador de milhares 3 8 2 3 2 5" xfId="13078"/>
    <cellStyle name="Separador de milhares 3 8 2 3 2 5 2" xfId="38335"/>
    <cellStyle name="Separador de milhares 3 8 2 3 2 6" xfId="32424"/>
    <cellStyle name="Separador de milhares 3 8 2 3 3" xfId="8368"/>
    <cellStyle name="Separador de milhares 3 8 2 3 3 2" xfId="26582"/>
    <cellStyle name="Separador de milhares 3 8 2 3 3 2 2" xfId="51649"/>
    <cellStyle name="Separador de milhares 3 8 2 3 3 3" xfId="20668"/>
    <cellStyle name="Separador de milhares 3 8 2 3 3 3 2" xfId="45735"/>
    <cellStyle name="Separador de milhares 3 8 2 3 3 4" xfId="14754"/>
    <cellStyle name="Separador de milhares 3 8 2 3 3 4 2" xfId="39821"/>
    <cellStyle name="Separador de milhares 3 8 2 3 3 5" xfId="33913"/>
    <cellStyle name="Separador de milhares 3 8 2 3 4" xfId="4990"/>
    <cellStyle name="Separador de milhares 3 8 2 3 4 2" xfId="23625"/>
    <cellStyle name="Separador de milhares 3 8 2 3 4 2 2" xfId="48692"/>
    <cellStyle name="Separador de milhares 3 8 2 3 4 3" xfId="30956"/>
    <cellStyle name="Separador de milhares 3 8 2 3 5" xfId="17711"/>
    <cellStyle name="Separador de milhares 3 8 2 3 5 2" xfId="42778"/>
    <cellStyle name="Separador de milhares 3 8 2 3 6" xfId="11377"/>
    <cellStyle name="Separador de milhares 3 8 2 3 6 2" xfId="36867"/>
    <cellStyle name="Separador de milhares 3 8 2 3 7" xfId="29486"/>
    <cellStyle name="Separador de milhares 3 8 2 4" xfId="1261"/>
    <cellStyle name="Separador de milhares 3 8 2 4 2" xfId="6787"/>
    <cellStyle name="Separador de milhares 3 8 2 4 2 2" xfId="9934"/>
    <cellStyle name="Separador de milhares 3 8 2 4 2 2 2" xfId="28148"/>
    <cellStyle name="Separador de milhares 3 8 2 4 2 2 2 2" xfId="53215"/>
    <cellStyle name="Separador de milhares 3 8 2 4 2 2 3" xfId="22234"/>
    <cellStyle name="Separador de milhares 3 8 2 4 2 2 3 2" xfId="47301"/>
    <cellStyle name="Separador de milhares 3 8 2 4 2 2 4" xfId="16320"/>
    <cellStyle name="Separador de milhares 3 8 2 4 2 2 4 2" xfId="41387"/>
    <cellStyle name="Separador de milhares 3 8 2 4 2 2 5" xfId="35479"/>
    <cellStyle name="Separador de milhares 3 8 2 4 2 3" xfId="25191"/>
    <cellStyle name="Separador de milhares 3 8 2 4 2 3 2" xfId="50258"/>
    <cellStyle name="Separador de milhares 3 8 2 4 2 4" xfId="19277"/>
    <cellStyle name="Separador de milhares 3 8 2 4 2 4 2" xfId="44344"/>
    <cellStyle name="Separador de milhares 3 8 2 4 2 5" xfId="13176"/>
    <cellStyle name="Separador de milhares 3 8 2 4 2 5 2" xfId="38433"/>
    <cellStyle name="Separador de milhares 3 8 2 4 2 6" xfId="32522"/>
    <cellStyle name="Separador de milhares 3 8 2 4 3" xfId="8466"/>
    <cellStyle name="Separador de milhares 3 8 2 4 3 2" xfId="26680"/>
    <cellStyle name="Separador de milhares 3 8 2 4 3 2 2" xfId="51747"/>
    <cellStyle name="Separador de milhares 3 8 2 4 3 3" xfId="20766"/>
    <cellStyle name="Separador de milhares 3 8 2 4 3 3 2" xfId="45833"/>
    <cellStyle name="Separador de milhares 3 8 2 4 3 4" xfId="14852"/>
    <cellStyle name="Separador de milhares 3 8 2 4 3 4 2" xfId="39919"/>
    <cellStyle name="Separador de milhares 3 8 2 4 3 5" xfId="34011"/>
    <cellStyle name="Separador de milhares 3 8 2 4 4" xfId="5088"/>
    <cellStyle name="Separador de milhares 3 8 2 4 4 2" xfId="23723"/>
    <cellStyle name="Separador de milhares 3 8 2 4 4 2 2" xfId="48790"/>
    <cellStyle name="Separador de milhares 3 8 2 4 4 3" xfId="31054"/>
    <cellStyle name="Separador de milhares 3 8 2 4 5" xfId="17809"/>
    <cellStyle name="Separador de milhares 3 8 2 4 5 2" xfId="42876"/>
    <cellStyle name="Separador de milhares 3 8 2 4 6" xfId="11475"/>
    <cellStyle name="Separador de milhares 3 8 2 4 6 2" xfId="36965"/>
    <cellStyle name="Separador de milhares 3 8 2 4 7" xfId="29584"/>
    <cellStyle name="Separador de milhares 3 8 2 5" xfId="1696"/>
    <cellStyle name="Separador de milhares 3 8 2 5 2" xfId="6906"/>
    <cellStyle name="Separador de milhares 3 8 2 5 2 2" xfId="10053"/>
    <cellStyle name="Separador de milhares 3 8 2 5 2 2 2" xfId="28267"/>
    <cellStyle name="Separador de milhares 3 8 2 5 2 2 2 2" xfId="53334"/>
    <cellStyle name="Separador de milhares 3 8 2 5 2 2 3" xfId="22353"/>
    <cellStyle name="Separador de milhares 3 8 2 5 2 2 3 2" xfId="47420"/>
    <cellStyle name="Separador de milhares 3 8 2 5 2 2 4" xfId="16439"/>
    <cellStyle name="Separador de milhares 3 8 2 5 2 2 4 2" xfId="41506"/>
    <cellStyle name="Separador de milhares 3 8 2 5 2 2 5" xfId="35598"/>
    <cellStyle name="Separador de milhares 3 8 2 5 2 3" xfId="25310"/>
    <cellStyle name="Separador de milhares 3 8 2 5 2 3 2" xfId="50377"/>
    <cellStyle name="Separador de milhares 3 8 2 5 2 4" xfId="19396"/>
    <cellStyle name="Separador de milhares 3 8 2 5 2 4 2" xfId="44463"/>
    <cellStyle name="Separador de milhares 3 8 2 5 2 5" xfId="13295"/>
    <cellStyle name="Separador de milhares 3 8 2 5 2 5 2" xfId="38552"/>
    <cellStyle name="Separador de milhares 3 8 2 5 2 6" xfId="32641"/>
    <cellStyle name="Separador de milhares 3 8 2 5 3" xfId="8585"/>
    <cellStyle name="Separador de milhares 3 8 2 5 3 2" xfId="26799"/>
    <cellStyle name="Separador de milhares 3 8 2 5 3 2 2" xfId="51866"/>
    <cellStyle name="Separador de milhares 3 8 2 5 3 3" xfId="20885"/>
    <cellStyle name="Separador de milhares 3 8 2 5 3 3 2" xfId="45952"/>
    <cellStyle name="Separador de milhares 3 8 2 5 3 4" xfId="14971"/>
    <cellStyle name="Separador de milhares 3 8 2 5 3 4 2" xfId="40038"/>
    <cellStyle name="Separador de milhares 3 8 2 5 3 5" xfId="34130"/>
    <cellStyle name="Separador de milhares 3 8 2 5 4" xfId="5207"/>
    <cellStyle name="Separador de milhares 3 8 2 5 4 2" xfId="23842"/>
    <cellStyle name="Separador de milhares 3 8 2 5 4 2 2" xfId="48909"/>
    <cellStyle name="Separador de milhares 3 8 2 5 4 3" xfId="31173"/>
    <cellStyle name="Separador de milhares 3 8 2 5 5" xfId="17928"/>
    <cellStyle name="Separador de milhares 3 8 2 5 5 2" xfId="42995"/>
    <cellStyle name="Separador de milhares 3 8 2 5 6" xfId="11594"/>
    <cellStyle name="Separador de milhares 3 8 2 5 6 2" xfId="37084"/>
    <cellStyle name="Separador de milhares 3 8 2 5 7" xfId="29703"/>
    <cellStyle name="Separador de milhares 3 8 2 6" xfId="2226"/>
    <cellStyle name="Separador de milhares 3 8 2 6 2" xfId="7056"/>
    <cellStyle name="Separador de milhares 3 8 2 6 2 2" xfId="10200"/>
    <cellStyle name="Separador de milhares 3 8 2 6 2 2 2" xfId="28414"/>
    <cellStyle name="Separador de milhares 3 8 2 6 2 2 2 2" xfId="53481"/>
    <cellStyle name="Separador de milhares 3 8 2 6 2 2 3" xfId="22500"/>
    <cellStyle name="Separador de milhares 3 8 2 6 2 2 3 2" xfId="47567"/>
    <cellStyle name="Separador de milhares 3 8 2 6 2 2 4" xfId="16586"/>
    <cellStyle name="Separador de milhares 3 8 2 6 2 2 4 2" xfId="41653"/>
    <cellStyle name="Separador de milhares 3 8 2 6 2 2 5" xfId="35745"/>
    <cellStyle name="Separador de milhares 3 8 2 6 2 3" xfId="25457"/>
    <cellStyle name="Separador de milhares 3 8 2 6 2 3 2" xfId="50524"/>
    <cellStyle name="Separador de milhares 3 8 2 6 2 4" xfId="19543"/>
    <cellStyle name="Separador de milhares 3 8 2 6 2 4 2" xfId="44610"/>
    <cellStyle name="Separador de milhares 3 8 2 6 2 5" xfId="13445"/>
    <cellStyle name="Separador de milhares 3 8 2 6 2 5 2" xfId="38699"/>
    <cellStyle name="Separador de milhares 3 8 2 6 2 6" xfId="32788"/>
    <cellStyle name="Separador de milhares 3 8 2 6 3" xfId="8732"/>
    <cellStyle name="Separador de milhares 3 8 2 6 3 2" xfId="26946"/>
    <cellStyle name="Separador de milhares 3 8 2 6 3 2 2" xfId="52013"/>
    <cellStyle name="Separador de milhares 3 8 2 6 3 3" xfId="21032"/>
    <cellStyle name="Separador de milhares 3 8 2 6 3 3 2" xfId="46099"/>
    <cellStyle name="Separador de milhares 3 8 2 6 3 4" xfId="15118"/>
    <cellStyle name="Separador de milhares 3 8 2 6 3 4 2" xfId="40185"/>
    <cellStyle name="Separador de milhares 3 8 2 6 3 5" xfId="34277"/>
    <cellStyle name="Separador de milhares 3 8 2 6 4" xfId="5357"/>
    <cellStyle name="Separador de milhares 3 8 2 6 4 2" xfId="23989"/>
    <cellStyle name="Separador de milhares 3 8 2 6 4 2 2" xfId="49056"/>
    <cellStyle name="Separador de milhares 3 8 2 6 4 3" xfId="31320"/>
    <cellStyle name="Separador de milhares 3 8 2 6 5" xfId="18075"/>
    <cellStyle name="Separador de milhares 3 8 2 6 5 2" xfId="43142"/>
    <cellStyle name="Separador de milhares 3 8 2 6 6" xfId="11744"/>
    <cellStyle name="Separador de milhares 3 8 2 6 6 2" xfId="37231"/>
    <cellStyle name="Separador de milhares 3 8 2 6 7" xfId="29850"/>
    <cellStyle name="Separador de milhares 3 8 2 7" xfId="2753"/>
    <cellStyle name="Separador de milhares 3 8 2 7 2" xfId="7203"/>
    <cellStyle name="Separador de milhares 3 8 2 7 2 2" xfId="10347"/>
    <cellStyle name="Separador de milhares 3 8 2 7 2 2 2" xfId="28561"/>
    <cellStyle name="Separador de milhares 3 8 2 7 2 2 2 2" xfId="53628"/>
    <cellStyle name="Separador de milhares 3 8 2 7 2 2 3" xfId="22647"/>
    <cellStyle name="Separador de milhares 3 8 2 7 2 2 3 2" xfId="47714"/>
    <cellStyle name="Separador de milhares 3 8 2 7 2 2 4" xfId="16733"/>
    <cellStyle name="Separador de milhares 3 8 2 7 2 2 4 2" xfId="41800"/>
    <cellStyle name="Separador de milhares 3 8 2 7 2 2 5" xfId="35892"/>
    <cellStyle name="Separador de milhares 3 8 2 7 2 3" xfId="25604"/>
    <cellStyle name="Separador de milhares 3 8 2 7 2 3 2" xfId="50671"/>
    <cellStyle name="Separador de milhares 3 8 2 7 2 4" xfId="19690"/>
    <cellStyle name="Separador de milhares 3 8 2 7 2 4 2" xfId="44757"/>
    <cellStyle name="Separador de milhares 3 8 2 7 2 5" xfId="13592"/>
    <cellStyle name="Separador de milhares 3 8 2 7 2 5 2" xfId="38846"/>
    <cellStyle name="Separador de milhares 3 8 2 7 2 6" xfId="32935"/>
    <cellStyle name="Separador de milhares 3 8 2 7 3" xfId="8879"/>
    <cellStyle name="Separador de milhares 3 8 2 7 3 2" xfId="27093"/>
    <cellStyle name="Separador de milhares 3 8 2 7 3 2 2" xfId="52160"/>
    <cellStyle name="Separador de milhares 3 8 2 7 3 3" xfId="21179"/>
    <cellStyle name="Separador de milhares 3 8 2 7 3 3 2" xfId="46246"/>
    <cellStyle name="Separador de milhares 3 8 2 7 3 4" xfId="15265"/>
    <cellStyle name="Separador de milhares 3 8 2 7 3 4 2" xfId="40332"/>
    <cellStyle name="Separador de milhares 3 8 2 7 3 5" xfId="34424"/>
    <cellStyle name="Separador de milhares 3 8 2 7 4" xfId="5504"/>
    <cellStyle name="Separador de milhares 3 8 2 7 4 2" xfId="24136"/>
    <cellStyle name="Separador de milhares 3 8 2 7 4 2 2" xfId="49203"/>
    <cellStyle name="Separador de milhares 3 8 2 7 4 3" xfId="31467"/>
    <cellStyle name="Separador de milhares 3 8 2 7 5" xfId="18222"/>
    <cellStyle name="Separador de milhares 3 8 2 7 5 2" xfId="43289"/>
    <cellStyle name="Separador de milhares 3 8 2 7 6" xfId="11891"/>
    <cellStyle name="Separador de milhares 3 8 2 7 6 2" xfId="37378"/>
    <cellStyle name="Separador de milhares 3 8 2 7 7" xfId="29997"/>
    <cellStyle name="Separador de milhares 3 8 2 8" xfId="3280"/>
    <cellStyle name="Separador de milhares 3 8 2 8 2" xfId="7350"/>
    <cellStyle name="Separador de milhares 3 8 2 8 2 2" xfId="10494"/>
    <cellStyle name="Separador de milhares 3 8 2 8 2 2 2" xfId="28708"/>
    <cellStyle name="Separador de milhares 3 8 2 8 2 2 2 2" xfId="53775"/>
    <cellStyle name="Separador de milhares 3 8 2 8 2 2 3" xfId="22794"/>
    <cellStyle name="Separador de milhares 3 8 2 8 2 2 3 2" xfId="47861"/>
    <cellStyle name="Separador de milhares 3 8 2 8 2 2 4" xfId="16880"/>
    <cellStyle name="Separador de milhares 3 8 2 8 2 2 4 2" xfId="41947"/>
    <cellStyle name="Separador de milhares 3 8 2 8 2 2 5" xfId="36039"/>
    <cellStyle name="Separador de milhares 3 8 2 8 2 3" xfId="25751"/>
    <cellStyle name="Separador de milhares 3 8 2 8 2 3 2" xfId="50818"/>
    <cellStyle name="Separador de milhares 3 8 2 8 2 4" xfId="19837"/>
    <cellStyle name="Separador de milhares 3 8 2 8 2 4 2" xfId="44904"/>
    <cellStyle name="Separador de milhares 3 8 2 8 2 5" xfId="13739"/>
    <cellStyle name="Separador de milhares 3 8 2 8 2 5 2" xfId="38993"/>
    <cellStyle name="Separador de milhares 3 8 2 8 2 6" xfId="33082"/>
    <cellStyle name="Separador de milhares 3 8 2 8 3" xfId="9026"/>
    <cellStyle name="Separador de milhares 3 8 2 8 3 2" xfId="27240"/>
    <cellStyle name="Separador de milhares 3 8 2 8 3 2 2" xfId="52307"/>
    <cellStyle name="Separador de milhares 3 8 2 8 3 3" xfId="21326"/>
    <cellStyle name="Separador de milhares 3 8 2 8 3 3 2" xfId="46393"/>
    <cellStyle name="Separador de milhares 3 8 2 8 3 4" xfId="15412"/>
    <cellStyle name="Separador de milhares 3 8 2 8 3 4 2" xfId="40479"/>
    <cellStyle name="Separador de milhares 3 8 2 8 3 5" xfId="34571"/>
    <cellStyle name="Separador de milhares 3 8 2 8 4" xfId="5651"/>
    <cellStyle name="Separador de milhares 3 8 2 8 4 2" xfId="24283"/>
    <cellStyle name="Separador de milhares 3 8 2 8 4 2 2" xfId="49350"/>
    <cellStyle name="Separador de milhares 3 8 2 8 4 3" xfId="31614"/>
    <cellStyle name="Separador de milhares 3 8 2 8 5" xfId="18369"/>
    <cellStyle name="Separador de milhares 3 8 2 8 5 2" xfId="43436"/>
    <cellStyle name="Separador de milhares 3 8 2 8 6" xfId="12038"/>
    <cellStyle name="Separador de milhares 3 8 2 8 6 2" xfId="37525"/>
    <cellStyle name="Separador de milhares 3 8 2 8 7" xfId="30144"/>
    <cellStyle name="Separador de milhares 3 8 2 9" xfId="3807"/>
    <cellStyle name="Separador de milhares 3 8 2 9 2" xfId="7497"/>
    <cellStyle name="Separador de milhares 3 8 2 9 2 2" xfId="10641"/>
    <cellStyle name="Separador de milhares 3 8 2 9 2 2 2" xfId="28855"/>
    <cellStyle name="Separador de milhares 3 8 2 9 2 2 2 2" xfId="53922"/>
    <cellStyle name="Separador de milhares 3 8 2 9 2 2 3" xfId="22941"/>
    <cellStyle name="Separador de milhares 3 8 2 9 2 2 3 2" xfId="48008"/>
    <cellStyle name="Separador de milhares 3 8 2 9 2 2 4" xfId="17027"/>
    <cellStyle name="Separador de milhares 3 8 2 9 2 2 4 2" xfId="42094"/>
    <cellStyle name="Separador de milhares 3 8 2 9 2 2 5" xfId="36186"/>
    <cellStyle name="Separador de milhares 3 8 2 9 2 3" xfId="25898"/>
    <cellStyle name="Separador de milhares 3 8 2 9 2 3 2" xfId="50965"/>
    <cellStyle name="Separador de milhares 3 8 2 9 2 4" xfId="19984"/>
    <cellStyle name="Separador de milhares 3 8 2 9 2 4 2" xfId="45051"/>
    <cellStyle name="Separador de milhares 3 8 2 9 2 5" xfId="13886"/>
    <cellStyle name="Separador de milhares 3 8 2 9 2 5 2" xfId="39140"/>
    <cellStyle name="Separador de milhares 3 8 2 9 2 6" xfId="33229"/>
    <cellStyle name="Separador de milhares 3 8 2 9 3" xfId="9173"/>
    <cellStyle name="Separador de milhares 3 8 2 9 3 2" xfId="27387"/>
    <cellStyle name="Separador de milhares 3 8 2 9 3 2 2" xfId="52454"/>
    <cellStyle name="Separador de milhares 3 8 2 9 3 3" xfId="21473"/>
    <cellStyle name="Separador de milhares 3 8 2 9 3 3 2" xfId="46540"/>
    <cellStyle name="Separador de milhares 3 8 2 9 3 4" xfId="15559"/>
    <cellStyle name="Separador de milhares 3 8 2 9 3 4 2" xfId="40626"/>
    <cellStyle name="Separador de milhares 3 8 2 9 3 5" xfId="34718"/>
    <cellStyle name="Separador de milhares 3 8 2 9 4" xfId="5798"/>
    <cellStyle name="Separador de milhares 3 8 2 9 4 2" xfId="24430"/>
    <cellStyle name="Separador de milhares 3 8 2 9 4 2 2" xfId="49497"/>
    <cellStyle name="Separador de milhares 3 8 2 9 4 3" xfId="31761"/>
    <cellStyle name="Separador de milhares 3 8 2 9 5" xfId="18516"/>
    <cellStyle name="Separador de milhares 3 8 2 9 5 2" xfId="43583"/>
    <cellStyle name="Separador de milhares 3 8 2 9 6" xfId="12185"/>
    <cellStyle name="Separador de milhares 3 8 2 9 6 2" xfId="37672"/>
    <cellStyle name="Separador de milhares 3 8 2 9 7" xfId="30291"/>
    <cellStyle name="Separador de milhares 3 8 3" xfId="259"/>
    <cellStyle name="Separador de milhares 3 8 3 10" xfId="6488"/>
    <cellStyle name="Separador de milhares 3 8 3 10 2" xfId="9639"/>
    <cellStyle name="Separador de milhares 3 8 3 10 2 2" xfId="27853"/>
    <cellStyle name="Separador de milhares 3 8 3 10 2 2 2" xfId="52920"/>
    <cellStyle name="Separador de milhares 3 8 3 10 2 3" xfId="21939"/>
    <cellStyle name="Separador de milhares 3 8 3 10 2 3 2" xfId="47006"/>
    <cellStyle name="Separador de milhares 3 8 3 10 2 4" xfId="16025"/>
    <cellStyle name="Separador de milhares 3 8 3 10 2 4 2" xfId="41092"/>
    <cellStyle name="Separador de milhares 3 8 3 10 2 5" xfId="35184"/>
    <cellStyle name="Separador de milhares 3 8 3 10 3" xfId="24896"/>
    <cellStyle name="Separador de milhares 3 8 3 10 3 2" xfId="49963"/>
    <cellStyle name="Separador de milhares 3 8 3 10 4" xfId="18982"/>
    <cellStyle name="Separador de milhares 3 8 3 10 4 2" xfId="44049"/>
    <cellStyle name="Separador de milhares 3 8 3 10 5" xfId="12877"/>
    <cellStyle name="Separador de milhares 3 8 3 10 5 2" xfId="38138"/>
    <cellStyle name="Separador de milhares 3 8 3 10 6" xfId="32227"/>
    <cellStyle name="Separador de milhares 3 8 3 11" xfId="8168"/>
    <cellStyle name="Separador de milhares 3 8 3 11 2" xfId="26382"/>
    <cellStyle name="Separador de milhares 3 8 3 11 2 2" xfId="51449"/>
    <cellStyle name="Separador de milhares 3 8 3 11 3" xfId="20468"/>
    <cellStyle name="Separador de milhares 3 8 3 11 3 2" xfId="45535"/>
    <cellStyle name="Separador de milhares 3 8 3 11 4" xfId="14557"/>
    <cellStyle name="Separador de milhares 3 8 3 11 4 2" xfId="39624"/>
    <cellStyle name="Separador de milhares 3 8 3 11 5" xfId="33713"/>
    <cellStyle name="Separador de milhares 3 8 3 12" xfId="4787"/>
    <cellStyle name="Separador de milhares 3 8 3 12 2" xfId="23425"/>
    <cellStyle name="Separador de milhares 3 8 3 12 2 2" xfId="48492"/>
    <cellStyle name="Separador de milhares 3 8 3 12 3" xfId="30757"/>
    <cellStyle name="Separador de milhares 3 8 3 13" xfId="17511"/>
    <cellStyle name="Separador de milhares 3 8 3 13 2" xfId="42578"/>
    <cellStyle name="Separador de milhares 3 8 3 14" xfId="11176"/>
    <cellStyle name="Separador de milhares 3 8 3 14 2" xfId="36670"/>
    <cellStyle name="Separador de milhares 3 8 3 15" xfId="29286"/>
    <cellStyle name="Separador de milhares 3 8 3 2" xfId="522"/>
    <cellStyle name="Separador de milhares 3 8 3 2 2" xfId="6559"/>
    <cellStyle name="Separador de milhares 3 8 3 2 2 2" xfId="9706"/>
    <cellStyle name="Separador de milhares 3 8 3 2 2 2 2" xfId="27920"/>
    <cellStyle name="Separador de milhares 3 8 3 2 2 2 2 2" xfId="52987"/>
    <cellStyle name="Separador de milhares 3 8 3 2 2 2 3" xfId="22006"/>
    <cellStyle name="Separador de milhares 3 8 3 2 2 2 3 2" xfId="47073"/>
    <cellStyle name="Separador de milhares 3 8 3 2 2 2 4" xfId="16092"/>
    <cellStyle name="Separador de milhares 3 8 3 2 2 2 4 2" xfId="41159"/>
    <cellStyle name="Separador de milhares 3 8 3 2 2 2 5" xfId="35251"/>
    <cellStyle name="Separador de milhares 3 8 3 2 2 3" xfId="24963"/>
    <cellStyle name="Separador de milhares 3 8 3 2 2 3 2" xfId="50030"/>
    <cellStyle name="Separador de milhares 3 8 3 2 2 4" xfId="19049"/>
    <cellStyle name="Separador de milhares 3 8 3 2 2 4 2" xfId="44116"/>
    <cellStyle name="Separador de milhares 3 8 3 2 2 5" xfId="12948"/>
    <cellStyle name="Separador de milhares 3 8 3 2 2 5 2" xfId="38205"/>
    <cellStyle name="Separador de milhares 3 8 3 2 2 6" xfId="32294"/>
    <cellStyle name="Separador de milhares 3 8 3 2 3" xfId="8235"/>
    <cellStyle name="Separador de milhares 3 8 3 2 3 2" xfId="26449"/>
    <cellStyle name="Separador de milhares 3 8 3 2 3 2 2" xfId="51516"/>
    <cellStyle name="Separador de milhares 3 8 3 2 3 3" xfId="20535"/>
    <cellStyle name="Separador de milhares 3 8 3 2 3 3 2" xfId="45602"/>
    <cellStyle name="Separador de milhares 3 8 3 2 3 4" xfId="14624"/>
    <cellStyle name="Separador de milhares 3 8 3 2 3 4 2" xfId="39691"/>
    <cellStyle name="Separador de milhares 3 8 3 2 3 5" xfId="33780"/>
    <cellStyle name="Separador de milhares 3 8 3 2 4" xfId="4858"/>
    <cellStyle name="Separador de milhares 3 8 3 2 4 2" xfId="23492"/>
    <cellStyle name="Separador de milhares 3 8 3 2 4 2 2" xfId="48559"/>
    <cellStyle name="Separador de milhares 3 8 3 2 4 3" xfId="30824"/>
    <cellStyle name="Separador de milhares 3 8 3 2 5" xfId="17578"/>
    <cellStyle name="Separador de milhares 3 8 3 2 5 2" xfId="42645"/>
    <cellStyle name="Separador de milhares 3 8 3 2 6" xfId="11247"/>
    <cellStyle name="Separador de milhares 3 8 3 2 6 2" xfId="36737"/>
    <cellStyle name="Separador de milhares 3 8 3 2 7" xfId="29353"/>
    <cellStyle name="Separador de milhares 3 8 3 3" xfId="819"/>
    <cellStyle name="Separador de milhares 3 8 3 3 2" xfId="6661"/>
    <cellStyle name="Separador de milhares 3 8 3 3 2 2" xfId="9808"/>
    <cellStyle name="Separador de milhares 3 8 3 3 2 2 2" xfId="28022"/>
    <cellStyle name="Separador de milhares 3 8 3 3 2 2 2 2" xfId="53089"/>
    <cellStyle name="Separador de milhares 3 8 3 3 2 2 3" xfId="22108"/>
    <cellStyle name="Separador de milhares 3 8 3 3 2 2 3 2" xfId="47175"/>
    <cellStyle name="Separador de milhares 3 8 3 3 2 2 4" xfId="16194"/>
    <cellStyle name="Separador de milhares 3 8 3 3 2 2 4 2" xfId="41261"/>
    <cellStyle name="Separador de milhares 3 8 3 3 2 2 5" xfId="35353"/>
    <cellStyle name="Separador de milhares 3 8 3 3 2 3" xfId="25065"/>
    <cellStyle name="Separador de milhares 3 8 3 3 2 3 2" xfId="50132"/>
    <cellStyle name="Separador de milhares 3 8 3 3 2 4" xfId="19151"/>
    <cellStyle name="Separador de milhares 3 8 3 3 2 4 2" xfId="44218"/>
    <cellStyle name="Separador de milhares 3 8 3 3 2 5" xfId="13050"/>
    <cellStyle name="Separador de milhares 3 8 3 3 2 5 2" xfId="38307"/>
    <cellStyle name="Separador de milhares 3 8 3 3 2 6" xfId="32396"/>
    <cellStyle name="Separador de milhares 3 8 3 3 3" xfId="8340"/>
    <cellStyle name="Separador de milhares 3 8 3 3 3 2" xfId="26554"/>
    <cellStyle name="Separador de milhares 3 8 3 3 3 2 2" xfId="51621"/>
    <cellStyle name="Separador de milhares 3 8 3 3 3 3" xfId="20640"/>
    <cellStyle name="Separador de milhares 3 8 3 3 3 3 2" xfId="45707"/>
    <cellStyle name="Separador de milhares 3 8 3 3 3 4" xfId="14726"/>
    <cellStyle name="Separador de milhares 3 8 3 3 3 4 2" xfId="39793"/>
    <cellStyle name="Separador de milhares 3 8 3 3 3 5" xfId="33885"/>
    <cellStyle name="Separador de milhares 3 8 3 3 4" xfId="4962"/>
    <cellStyle name="Separador de milhares 3 8 3 3 4 2" xfId="23597"/>
    <cellStyle name="Separador de milhares 3 8 3 3 4 2 2" xfId="48664"/>
    <cellStyle name="Separador de milhares 3 8 3 3 4 3" xfId="30928"/>
    <cellStyle name="Separador de milhares 3 8 3 3 5" xfId="17683"/>
    <cellStyle name="Separador de milhares 3 8 3 3 5 2" xfId="42750"/>
    <cellStyle name="Separador de milhares 3 8 3 3 6" xfId="11349"/>
    <cellStyle name="Separador de milhares 3 8 3 3 6 2" xfId="36839"/>
    <cellStyle name="Separador de milhares 3 8 3 3 7" xfId="29458"/>
    <cellStyle name="Separador de milhares 3 8 3 4" xfId="1170"/>
    <cellStyle name="Separador de milhares 3 8 3 4 2" xfId="6759"/>
    <cellStyle name="Separador de milhares 3 8 3 4 2 2" xfId="9906"/>
    <cellStyle name="Separador de milhares 3 8 3 4 2 2 2" xfId="28120"/>
    <cellStyle name="Separador de milhares 3 8 3 4 2 2 2 2" xfId="53187"/>
    <cellStyle name="Separador de milhares 3 8 3 4 2 2 3" xfId="22206"/>
    <cellStyle name="Separador de milhares 3 8 3 4 2 2 3 2" xfId="47273"/>
    <cellStyle name="Separador de milhares 3 8 3 4 2 2 4" xfId="16292"/>
    <cellStyle name="Separador de milhares 3 8 3 4 2 2 4 2" xfId="41359"/>
    <cellStyle name="Separador de milhares 3 8 3 4 2 2 5" xfId="35451"/>
    <cellStyle name="Separador de milhares 3 8 3 4 2 3" xfId="25163"/>
    <cellStyle name="Separador de milhares 3 8 3 4 2 3 2" xfId="50230"/>
    <cellStyle name="Separador de milhares 3 8 3 4 2 4" xfId="19249"/>
    <cellStyle name="Separador de milhares 3 8 3 4 2 4 2" xfId="44316"/>
    <cellStyle name="Separador de milhares 3 8 3 4 2 5" xfId="13148"/>
    <cellStyle name="Separador de milhares 3 8 3 4 2 5 2" xfId="38405"/>
    <cellStyle name="Separador de milhares 3 8 3 4 2 6" xfId="32494"/>
    <cellStyle name="Separador de milhares 3 8 3 4 3" xfId="8438"/>
    <cellStyle name="Separador de milhares 3 8 3 4 3 2" xfId="26652"/>
    <cellStyle name="Separador de milhares 3 8 3 4 3 2 2" xfId="51719"/>
    <cellStyle name="Separador de milhares 3 8 3 4 3 3" xfId="20738"/>
    <cellStyle name="Separador de milhares 3 8 3 4 3 3 2" xfId="45805"/>
    <cellStyle name="Separador de milhares 3 8 3 4 3 4" xfId="14824"/>
    <cellStyle name="Separador de milhares 3 8 3 4 3 4 2" xfId="39891"/>
    <cellStyle name="Separador de milhares 3 8 3 4 3 5" xfId="33983"/>
    <cellStyle name="Separador de milhares 3 8 3 4 4" xfId="5060"/>
    <cellStyle name="Separador de milhares 3 8 3 4 4 2" xfId="23695"/>
    <cellStyle name="Separador de milhares 3 8 3 4 4 2 2" xfId="48762"/>
    <cellStyle name="Separador de milhares 3 8 3 4 4 3" xfId="31026"/>
    <cellStyle name="Separador de milhares 3 8 3 4 5" xfId="17781"/>
    <cellStyle name="Separador de milhares 3 8 3 4 5 2" xfId="42848"/>
    <cellStyle name="Separador de milhares 3 8 3 4 6" xfId="11447"/>
    <cellStyle name="Separador de milhares 3 8 3 4 6 2" xfId="36937"/>
    <cellStyle name="Separador de milhares 3 8 3 4 7" xfId="29556"/>
    <cellStyle name="Separador de milhares 3 8 3 5" xfId="1605"/>
    <cellStyle name="Separador de milhares 3 8 3 5 2" xfId="6878"/>
    <cellStyle name="Separador de milhares 3 8 3 5 2 2" xfId="10025"/>
    <cellStyle name="Separador de milhares 3 8 3 5 2 2 2" xfId="28239"/>
    <cellStyle name="Separador de milhares 3 8 3 5 2 2 2 2" xfId="53306"/>
    <cellStyle name="Separador de milhares 3 8 3 5 2 2 3" xfId="22325"/>
    <cellStyle name="Separador de milhares 3 8 3 5 2 2 3 2" xfId="47392"/>
    <cellStyle name="Separador de milhares 3 8 3 5 2 2 4" xfId="16411"/>
    <cellStyle name="Separador de milhares 3 8 3 5 2 2 4 2" xfId="41478"/>
    <cellStyle name="Separador de milhares 3 8 3 5 2 2 5" xfId="35570"/>
    <cellStyle name="Separador de milhares 3 8 3 5 2 3" xfId="25282"/>
    <cellStyle name="Separador de milhares 3 8 3 5 2 3 2" xfId="50349"/>
    <cellStyle name="Separador de milhares 3 8 3 5 2 4" xfId="19368"/>
    <cellStyle name="Separador de milhares 3 8 3 5 2 4 2" xfId="44435"/>
    <cellStyle name="Separador de milhares 3 8 3 5 2 5" xfId="13267"/>
    <cellStyle name="Separador de milhares 3 8 3 5 2 5 2" xfId="38524"/>
    <cellStyle name="Separador de milhares 3 8 3 5 2 6" xfId="32613"/>
    <cellStyle name="Separador de milhares 3 8 3 5 3" xfId="8557"/>
    <cellStyle name="Separador de milhares 3 8 3 5 3 2" xfId="26771"/>
    <cellStyle name="Separador de milhares 3 8 3 5 3 2 2" xfId="51838"/>
    <cellStyle name="Separador de milhares 3 8 3 5 3 3" xfId="20857"/>
    <cellStyle name="Separador de milhares 3 8 3 5 3 3 2" xfId="45924"/>
    <cellStyle name="Separador de milhares 3 8 3 5 3 4" xfId="14943"/>
    <cellStyle name="Separador de milhares 3 8 3 5 3 4 2" xfId="40010"/>
    <cellStyle name="Separador de milhares 3 8 3 5 3 5" xfId="34102"/>
    <cellStyle name="Separador de milhares 3 8 3 5 4" xfId="5179"/>
    <cellStyle name="Separador de milhares 3 8 3 5 4 2" xfId="23814"/>
    <cellStyle name="Separador de milhares 3 8 3 5 4 2 2" xfId="48881"/>
    <cellStyle name="Separador de milhares 3 8 3 5 4 3" xfId="31145"/>
    <cellStyle name="Separador de milhares 3 8 3 5 5" xfId="17900"/>
    <cellStyle name="Separador de milhares 3 8 3 5 5 2" xfId="42967"/>
    <cellStyle name="Separador de milhares 3 8 3 5 6" xfId="11566"/>
    <cellStyle name="Separador de milhares 3 8 3 5 6 2" xfId="37056"/>
    <cellStyle name="Separador de milhares 3 8 3 5 7" xfId="29675"/>
    <cellStyle name="Separador de milhares 3 8 3 6" xfId="2135"/>
    <cellStyle name="Separador de milhares 3 8 3 6 2" xfId="7028"/>
    <cellStyle name="Separador de milhares 3 8 3 6 2 2" xfId="10172"/>
    <cellStyle name="Separador de milhares 3 8 3 6 2 2 2" xfId="28386"/>
    <cellStyle name="Separador de milhares 3 8 3 6 2 2 2 2" xfId="53453"/>
    <cellStyle name="Separador de milhares 3 8 3 6 2 2 3" xfId="22472"/>
    <cellStyle name="Separador de milhares 3 8 3 6 2 2 3 2" xfId="47539"/>
    <cellStyle name="Separador de milhares 3 8 3 6 2 2 4" xfId="16558"/>
    <cellStyle name="Separador de milhares 3 8 3 6 2 2 4 2" xfId="41625"/>
    <cellStyle name="Separador de milhares 3 8 3 6 2 2 5" xfId="35717"/>
    <cellStyle name="Separador de milhares 3 8 3 6 2 3" xfId="25429"/>
    <cellStyle name="Separador de milhares 3 8 3 6 2 3 2" xfId="50496"/>
    <cellStyle name="Separador de milhares 3 8 3 6 2 4" xfId="19515"/>
    <cellStyle name="Separador de milhares 3 8 3 6 2 4 2" xfId="44582"/>
    <cellStyle name="Separador de milhares 3 8 3 6 2 5" xfId="13417"/>
    <cellStyle name="Separador de milhares 3 8 3 6 2 5 2" xfId="38671"/>
    <cellStyle name="Separador de milhares 3 8 3 6 2 6" xfId="32760"/>
    <cellStyle name="Separador de milhares 3 8 3 6 3" xfId="8704"/>
    <cellStyle name="Separador de milhares 3 8 3 6 3 2" xfId="26918"/>
    <cellStyle name="Separador de milhares 3 8 3 6 3 2 2" xfId="51985"/>
    <cellStyle name="Separador de milhares 3 8 3 6 3 3" xfId="21004"/>
    <cellStyle name="Separador de milhares 3 8 3 6 3 3 2" xfId="46071"/>
    <cellStyle name="Separador de milhares 3 8 3 6 3 4" xfId="15090"/>
    <cellStyle name="Separador de milhares 3 8 3 6 3 4 2" xfId="40157"/>
    <cellStyle name="Separador de milhares 3 8 3 6 3 5" xfId="34249"/>
    <cellStyle name="Separador de milhares 3 8 3 6 4" xfId="5329"/>
    <cellStyle name="Separador de milhares 3 8 3 6 4 2" xfId="23961"/>
    <cellStyle name="Separador de milhares 3 8 3 6 4 2 2" xfId="49028"/>
    <cellStyle name="Separador de milhares 3 8 3 6 4 3" xfId="31292"/>
    <cellStyle name="Separador de milhares 3 8 3 6 5" xfId="18047"/>
    <cellStyle name="Separador de milhares 3 8 3 6 5 2" xfId="43114"/>
    <cellStyle name="Separador de milhares 3 8 3 6 6" xfId="11716"/>
    <cellStyle name="Separador de milhares 3 8 3 6 6 2" xfId="37203"/>
    <cellStyle name="Separador de milhares 3 8 3 6 7" xfId="29822"/>
    <cellStyle name="Separador de milhares 3 8 3 7" xfId="2662"/>
    <cellStyle name="Separador de milhares 3 8 3 7 2" xfId="7175"/>
    <cellStyle name="Separador de milhares 3 8 3 7 2 2" xfId="10319"/>
    <cellStyle name="Separador de milhares 3 8 3 7 2 2 2" xfId="28533"/>
    <cellStyle name="Separador de milhares 3 8 3 7 2 2 2 2" xfId="53600"/>
    <cellStyle name="Separador de milhares 3 8 3 7 2 2 3" xfId="22619"/>
    <cellStyle name="Separador de milhares 3 8 3 7 2 2 3 2" xfId="47686"/>
    <cellStyle name="Separador de milhares 3 8 3 7 2 2 4" xfId="16705"/>
    <cellStyle name="Separador de milhares 3 8 3 7 2 2 4 2" xfId="41772"/>
    <cellStyle name="Separador de milhares 3 8 3 7 2 2 5" xfId="35864"/>
    <cellStyle name="Separador de milhares 3 8 3 7 2 3" xfId="25576"/>
    <cellStyle name="Separador de milhares 3 8 3 7 2 3 2" xfId="50643"/>
    <cellStyle name="Separador de milhares 3 8 3 7 2 4" xfId="19662"/>
    <cellStyle name="Separador de milhares 3 8 3 7 2 4 2" xfId="44729"/>
    <cellStyle name="Separador de milhares 3 8 3 7 2 5" xfId="13564"/>
    <cellStyle name="Separador de milhares 3 8 3 7 2 5 2" xfId="38818"/>
    <cellStyle name="Separador de milhares 3 8 3 7 2 6" xfId="32907"/>
    <cellStyle name="Separador de milhares 3 8 3 7 3" xfId="8851"/>
    <cellStyle name="Separador de milhares 3 8 3 7 3 2" xfId="27065"/>
    <cellStyle name="Separador de milhares 3 8 3 7 3 2 2" xfId="52132"/>
    <cellStyle name="Separador de milhares 3 8 3 7 3 3" xfId="21151"/>
    <cellStyle name="Separador de milhares 3 8 3 7 3 3 2" xfId="46218"/>
    <cellStyle name="Separador de milhares 3 8 3 7 3 4" xfId="15237"/>
    <cellStyle name="Separador de milhares 3 8 3 7 3 4 2" xfId="40304"/>
    <cellStyle name="Separador de milhares 3 8 3 7 3 5" xfId="34396"/>
    <cellStyle name="Separador de milhares 3 8 3 7 4" xfId="5476"/>
    <cellStyle name="Separador de milhares 3 8 3 7 4 2" xfId="24108"/>
    <cellStyle name="Separador de milhares 3 8 3 7 4 2 2" xfId="49175"/>
    <cellStyle name="Separador de milhares 3 8 3 7 4 3" xfId="31439"/>
    <cellStyle name="Separador de milhares 3 8 3 7 5" xfId="18194"/>
    <cellStyle name="Separador de milhares 3 8 3 7 5 2" xfId="43261"/>
    <cellStyle name="Separador de milhares 3 8 3 7 6" xfId="11863"/>
    <cellStyle name="Separador de milhares 3 8 3 7 6 2" xfId="37350"/>
    <cellStyle name="Separador de milhares 3 8 3 7 7" xfId="29969"/>
    <cellStyle name="Separador de milhares 3 8 3 8" xfId="3189"/>
    <cellStyle name="Separador de milhares 3 8 3 8 2" xfId="7322"/>
    <cellStyle name="Separador de milhares 3 8 3 8 2 2" xfId="10466"/>
    <cellStyle name="Separador de milhares 3 8 3 8 2 2 2" xfId="28680"/>
    <cellStyle name="Separador de milhares 3 8 3 8 2 2 2 2" xfId="53747"/>
    <cellStyle name="Separador de milhares 3 8 3 8 2 2 3" xfId="22766"/>
    <cellStyle name="Separador de milhares 3 8 3 8 2 2 3 2" xfId="47833"/>
    <cellStyle name="Separador de milhares 3 8 3 8 2 2 4" xfId="16852"/>
    <cellStyle name="Separador de milhares 3 8 3 8 2 2 4 2" xfId="41919"/>
    <cellStyle name="Separador de milhares 3 8 3 8 2 2 5" xfId="36011"/>
    <cellStyle name="Separador de milhares 3 8 3 8 2 3" xfId="25723"/>
    <cellStyle name="Separador de milhares 3 8 3 8 2 3 2" xfId="50790"/>
    <cellStyle name="Separador de milhares 3 8 3 8 2 4" xfId="19809"/>
    <cellStyle name="Separador de milhares 3 8 3 8 2 4 2" xfId="44876"/>
    <cellStyle name="Separador de milhares 3 8 3 8 2 5" xfId="13711"/>
    <cellStyle name="Separador de milhares 3 8 3 8 2 5 2" xfId="38965"/>
    <cellStyle name="Separador de milhares 3 8 3 8 2 6" xfId="33054"/>
    <cellStyle name="Separador de milhares 3 8 3 8 3" xfId="8998"/>
    <cellStyle name="Separador de milhares 3 8 3 8 3 2" xfId="27212"/>
    <cellStyle name="Separador de milhares 3 8 3 8 3 2 2" xfId="52279"/>
    <cellStyle name="Separador de milhares 3 8 3 8 3 3" xfId="21298"/>
    <cellStyle name="Separador de milhares 3 8 3 8 3 3 2" xfId="46365"/>
    <cellStyle name="Separador de milhares 3 8 3 8 3 4" xfId="15384"/>
    <cellStyle name="Separador de milhares 3 8 3 8 3 4 2" xfId="40451"/>
    <cellStyle name="Separador de milhares 3 8 3 8 3 5" xfId="34543"/>
    <cellStyle name="Separador de milhares 3 8 3 8 4" xfId="5623"/>
    <cellStyle name="Separador de milhares 3 8 3 8 4 2" xfId="24255"/>
    <cellStyle name="Separador de milhares 3 8 3 8 4 2 2" xfId="49322"/>
    <cellStyle name="Separador de milhares 3 8 3 8 4 3" xfId="31586"/>
    <cellStyle name="Separador de milhares 3 8 3 8 5" xfId="18341"/>
    <cellStyle name="Separador de milhares 3 8 3 8 5 2" xfId="43408"/>
    <cellStyle name="Separador de milhares 3 8 3 8 6" xfId="12010"/>
    <cellStyle name="Separador de milhares 3 8 3 8 6 2" xfId="37497"/>
    <cellStyle name="Separador de milhares 3 8 3 8 7" xfId="30116"/>
    <cellStyle name="Separador de milhares 3 8 3 9" xfId="3716"/>
    <cellStyle name="Separador de milhares 3 8 3 9 2" xfId="7469"/>
    <cellStyle name="Separador de milhares 3 8 3 9 2 2" xfId="10613"/>
    <cellStyle name="Separador de milhares 3 8 3 9 2 2 2" xfId="28827"/>
    <cellStyle name="Separador de milhares 3 8 3 9 2 2 2 2" xfId="53894"/>
    <cellStyle name="Separador de milhares 3 8 3 9 2 2 3" xfId="22913"/>
    <cellStyle name="Separador de milhares 3 8 3 9 2 2 3 2" xfId="47980"/>
    <cellStyle name="Separador de milhares 3 8 3 9 2 2 4" xfId="16999"/>
    <cellStyle name="Separador de milhares 3 8 3 9 2 2 4 2" xfId="42066"/>
    <cellStyle name="Separador de milhares 3 8 3 9 2 2 5" xfId="36158"/>
    <cellStyle name="Separador de milhares 3 8 3 9 2 3" xfId="25870"/>
    <cellStyle name="Separador de milhares 3 8 3 9 2 3 2" xfId="50937"/>
    <cellStyle name="Separador de milhares 3 8 3 9 2 4" xfId="19956"/>
    <cellStyle name="Separador de milhares 3 8 3 9 2 4 2" xfId="45023"/>
    <cellStyle name="Separador de milhares 3 8 3 9 2 5" xfId="13858"/>
    <cellStyle name="Separador de milhares 3 8 3 9 2 5 2" xfId="39112"/>
    <cellStyle name="Separador de milhares 3 8 3 9 2 6" xfId="33201"/>
    <cellStyle name="Separador de milhares 3 8 3 9 3" xfId="9145"/>
    <cellStyle name="Separador de milhares 3 8 3 9 3 2" xfId="27359"/>
    <cellStyle name="Separador de milhares 3 8 3 9 3 2 2" xfId="52426"/>
    <cellStyle name="Separador de milhares 3 8 3 9 3 3" xfId="21445"/>
    <cellStyle name="Separador de milhares 3 8 3 9 3 3 2" xfId="46512"/>
    <cellStyle name="Separador de milhares 3 8 3 9 3 4" xfId="15531"/>
    <cellStyle name="Separador de milhares 3 8 3 9 3 4 2" xfId="40598"/>
    <cellStyle name="Separador de milhares 3 8 3 9 3 5" xfId="34690"/>
    <cellStyle name="Separador de milhares 3 8 3 9 4" xfId="5770"/>
    <cellStyle name="Separador de milhares 3 8 3 9 4 2" xfId="24402"/>
    <cellStyle name="Separador de milhares 3 8 3 9 4 2 2" xfId="49469"/>
    <cellStyle name="Separador de milhares 3 8 3 9 4 3" xfId="31733"/>
    <cellStyle name="Separador de milhares 3 8 3 9 5" xfId="18488"/>
    <cellStyle name="Separador de milhares 3 8 3 9 5 2" xfId="43555"/>
    <cellStyle name="Separador de milhares 3 8 3 9 6" xfId="12157"/>
    <cellStyle name="Separador de milhares 3 8 3 9 6 2" xfId="37644"/>
    <cellStyle name="Separador de milhares 3 8 3 9 7" xfId="30263"/>
    <cellStyle name="Separador de milhares 3 8 4" xfId="352"/>
    <cellStyle name="Separador de milhares 3 8 4 10" xfId="6516"/>
    <cellStyle name="Separador de milhares 3 8 4 10 2" xfId="9664"/>
    <cellStyle name="Separador de milhares 3 8 4 10 2 2" xfId="27878"/>
    <cellStyle name="Separador de milhares 3 8 4 10 2 2 2" xfId="52945"/>
    <cellStyle name="Separador de milhares 3 8 4 10 2 3" xfId="21964"/>
    <cellStyle name="Separador de milhares 3 8 4 10 2 3 2" xfId="47031"/>
    <cellStyle name="Separador de milhares 3 8 4 10 2 4" xfId="16050"/>
    <cellStyle name="Separador de milhares 3 8 4 10 2 4 2" xfId="41117"/>
    <cellStyle name="Separador de milhares 3 8 4 10 2 5" xfId="35209"/>
    <cellStyle name="Separador de milhares 3 8 4 10 3" xfId="24921"/>
    <cellStyle name="Separador de milhares 3 8 4 10 3 2" xfId="49988"/>
    <cellStyle name="Separador de milhares 3 8 4 10 4" xfId="19007"/>
    <cellStyle name="Separador de milhares 3 8 4 10 4 2" xfId="44074"/>
    <cellStyle name="Separador de milhares 3 8 4 10 5" xfId="12905"/>
    <cellStyle name="Separador de milhares 3 8 4 10 5 2" xfId="38163"/>
    <cellStyle name="Separador de milhares 3 8 4 10 6" xfId="32252"/>
    <cellStyle name="Separador de milhares 3 8 4 11" xfId="8193"/>
    <cellStyle name="Separador de milhares 3 8 4 11 2" xfId="26407"/>
    <cellStyle name="Separador de milhares 3 8 4 11 2 2" xfId="51474"/>
    <cellStyle name="Separador de milhares 3 8 4 11 3" xfId="20493"/>
    <cellStyle name="Separador de milhares 3 8 4 11 3 2" xfId="45560"/>
    <cellStyle name="Separador de milhares 3 8 4 11 4" xfId="14582"/>
    <cellStyle name="Separador de milhares 3 8 4 11 4 2" xfId="39649"/>
    <cellStyle name="Separador de milhares 3 8 4 11 5" xfId="33738"/>
    <cellStyle name="Separador de milhares 3 8 4 12" xfId="4815"/>
    <cellStyle name="Separador de milhares 3 8 4 12 2" xfId="23450"/>
    <cellStyle name="Separador de milhares 3 8 4 12 2 2" xfId="48517"/>
    <cellStyle name="Separador de milhares 3 8 4 12 3" xfId="30782"/>
    <cellStyle name="Separador de milhares 3 8 4 13" xfId="17536"/>
    <cellStyle name="Separador de milhares 3 8 4 13 2" xfId="42603"/>
    <cellStyle name="Separador de milhares 3 8 4 14" xfId="11204"/>
    <cellStyle name="Separador de milhares 3 8 4 14 2" xfId="36695"/>
    <cellStyle name="Separador de milhares 3 8 4 15" xfId="29311"/>
    <cellStyle name="Separador de milhares 3 8 4 2" xfId="997"/>
    <cellStyle name="Separador de milhares 3 8 4 2 2" xfId="6713"/>
    <cellStyle name="Separador de milhares 3 8 4 2 2 2" xfId="9860"/>
    <cellStyle name="Separador de milhares 3 8 4 2 2 2 2" xfId="28074"/>
    <cellStyle name="Separador de milhares 3 8 4 2 2 2 2 2" xfId="53141"/>
    <cellStyle name="Separador de milhares 3 8 4 2 2 2 3" xfId="22160"/>
    <cellStyle name="Separador de milhares 3 8 4 2 2 2 3 2" xfId="47227"/>
    <cellStyle name="Separador de milhares 3 8 4 2 2 2 4" xfId="16246"/>
    <cellStyle name="Separador de milhares 3 8 4 2 2 2 4 2" xfId="41313"/>
    <cellStyle name="Separador de milhares 3 8 4 2 2 2 5" xfId="35405"/>
    <cellStyle name="Separador de milhares 3 8 4 2 2 3" xfId="25117"/>
    <cellStyle name="Separador de milhares 3 8 4 2 2 3 2" xfId="50184"/>
    <cellStyle name="Separador de milhares 3 8 4 2 2 4" xfId="19203"/>
    <cellStyle name="Separador de milhares 3 8 4 2 2 4 2" xfId="44270"/>
    <cellStyle name="Separador de milhares 3 8 4 2 2 5" xfId="13102"/>
    <cellStyle name="Separador de milhares 3 8 4 2 2 5 2" xfId="38359"/>
    <cellStyle name="Separador de milhares 3 8 4 2 2 6" xfId="32448"/>
    <cellStyle name="Separador de milhares 3 8 4 2 3" xfId="8392"/>
    <cellStyle name="Separador de milhares 3 8 4 2 3 2" xfId="26606"/>
    <cellStyle name="Separador de milhares 3 8 4 2 3 2 2" xfId="51673"/>
    <cellStyle name="Separador de milhares 3 8 4 2 3 3" xfId="20692"/>
    <cellStyle name="Separador de milhares 3 8 4 2 3 3 2" xfId="45759"/>
    <cellStyle name="Separador de milhares 3 8 4 2 3 4" xfId="14778"/>
    <cellStyle name="Separador de milhares 3 8 4 2 3 4 2" xfId="39845"/>
    <cellStyle name="Separador de milhares 3 8 4 2 3 5" xfId="33937"/>
    <cellStyle name="Separador de milhares 3 8 4 2 4" xfId="5014"/>
    <cellStyle name="Separador de milhares 3 8 4 2 4 2" xfId="23649"/>
    <cellStyle name="Separador de milhares 3 8 4 2 4 2 2" xfId="48716"/>
    <cellStyle name="Separador de milhares 3 8 4 2 4 3" xfId="30980"/>
    <cellStyle name="Separador de milhares 3 8 4 2 5" xfId="17735"/>
    <cellStyle name="Separador de milhares 3 8 4 2 5 2" xfId="42802"/>
    <cellStyle name="Separador de milhares 3 8 4 2 6" xfId="11401"/>
    <cellStyle name="Separador de milhares 3 8 4 2 6 2" xfId="36891"/>
    <cellStyle name="Separador de milhares 3 8 4 2 7" xfId="29510"/>
    <cellStyle name="Separador de milhares 3 8 4 3" xfId="1348"/>
    <cellStyle name="Separador de milhares 3 8 4 3 2" xfId="6811"/>
    <cellStyle name="Separador de milhares 3 8 4 3 2 2" xfId="9958"/>
    <cellStyle name="Separador de milhares 3 8 4 3 2 2 2" xfId="28172"/>
    <cellStyle name="Separador de milhares 3 8 4 3 2 2 2 2" xfId="53239"/>
    <cellStyle name="Separador de milhares 3 8 4 3 2 2 3" xfId="22258"/>
    <cellStyle name="Separador de milhares 3 8 4 3 2 2 3 2" xfId="47325"/>
    <cellStyle name="Separador de milhares 3 8 4 3 2 2 4" xfId="16344"/>
    <cellStyle name="Separador de milhares 3 8 4 3 2 2 4 2" xfId="41411"/>
    <cellStyle name="Separador de milhares 3 8 4 3 2 2 5" xfId="35503"/>
    <cellStyle name="Separador de milhares 3 8 4 3 2 3" xfId="25215"/>
    <cellStyle name="Separador de milhares 3 8 4 3 2 3 2" xfId="50282"/>
    <cellStyle name="Separador de milhares 3 8 4 3 2 4" xfId="19301"/>
    <cellStyle name="Separador de milhares 3 8 4 3 2 4 2" xfId="44368"/>
    <cellStyle name="Separador de milhares 3 8 4 3 2 5" xfId="13200"/>
    <cellStyle name="Separador de milhares 3 8 4 3 2 5 2" xfId="38457"/>
    <cellStyle name="Separador de milhares 3 8 4 3 2 6" xfId="32546"/>
    <cellStyle name="Separador de milhares 3 8 4 3 3" xfId="8490"/>
    <cellStyle name="Separador de milhares 3 8 4 3 3 2" xfId="26704"/>
    <cellStyle name="Separador de milhares 3 8 4 3 3 2 2" xfId="51771"/>
    <cellStyle name="Separador de milhares 3 8 4 3 3 3" xfId="20790"/>
    <cellStyle name="Separador de milhares 3 8 4 3 3 3 2" xfId="45857"/>
    <cellStyle name="Separador de milhares 3 8 4 3 3 4" xfId="14876"/>
    <cellStyle name="Separador de milhares 3 8 4 3 3 4 2" xfId="39943"/>
    <cellStyle name="Separador de milhares 3 8 4 3 3 5" xfId="34035"/>
    <cellStyle name="Separador de milhares 3 8 4 3 4" xfId="5112"/>
    <cellStyle name="Separador de milhares 3 8 4 3 4 2" xfId="23747"/>
    <cellStyle name="Separador de milhares 3 8 4 3 4 2 2" xfId="48814"/>
    <cellStyle name="Separador de milhares 3 8 4 3 4 3" xfId="31078"/>
    <cellStyle name="Separador de milhares 3 8 4 3 5" xfId="17833"/>
    <cellStyle name="Separador de milhares 3 8 4 3 5 2" xfId="42900"/>
    <cellStyle name="Separador de milhares 3 8 4 3 6" xfId="11499"/>
    <cellStyle name="Separador de milhares 3 8 4 3 6 2" xfId="36989"/>
    <cellStyle name="Separador de milhares 3 8 4 3 7" xfId="29608"/>
    <cellStyle name="Separador de milhares 3 8 4 4" xfId="1783"/>
    <cellStyle name="Separador de milhares 3 8 4 4 2" xfId="6930"/>
    <cellStyle name="Separador de milhares 3 8 4 4 2 2" xfId="10077"/>
    <cellStyle name="Separador de milhares 3 8 4 4 2 2 2" xfId="28291"/>
    <cellStyle name="Separador de milhares 3 8 4 4 2 2 2 2" xfId="53358"/>
    <cellStyle name="Separador de milhares 3 8 4 4 2 2 3" xfId="22377"/>
    <cellStyle name="Separador de milhares 3 8 4 4 2 2 3 2" xfId="47444"/>
    <cellStyle name="Separador de milhares 3 8 4 4 2 2 4" xfId="16463"/>
    <cellStyle name="Separador de milhares 3 8 4 4 2 2 4 2" xfId="41530"/>
    <cellStyle name="Separador de milhares 3 8 4 4 2 2 5" xfId="35622"/>
    <cellStyle name="Separador de milhares 3 8 4 4 2 3" xfId="25334"/>
    <cellStyle name="Separador de milhares 3 8 4 4 2 3 2" xfId="50401"/>
    <cellStyle name="Separador de milhares 3 8 4 4 2 4" xfId="19420"/>
    <cellStyle name="Separador de milhares 3 8 4 4 2 4 2" xfId="44487"/>
    <cellStyle name="Separador de milhares 3 8 4 4 2 5" xfId="13319"/>
    <cellStyle name="Separador de milhares 3 8 4 4 2 5 2" xfId="38576"/>
    <cellStyle name="Separador de milhares 3 8 4 4 2 6" xfId="32665"/>
    <cellStyle name="Separador de milhares 3 8 4 4 3" xfId="8609"/>
    <cellStyle name="Separador de milhares 3 8 4 4 3 2" xfId="26823"/>
    <cellStyle name="Separador de milhares 3 8 4 4 3 2 2" xfId="51890"/>
    <cellStyle name="Separador de milhares 3 8 4 4 3 3" xfId="20909"/>
    <cellStyle name="Separador de milhares 3 8 4 4 3 3 2" xfId="45976"/>
    <cellStyle name="Separador de milhares 3 8 4 4 3 4" xfId="14995"/>
    <cellStyle name="Separador de milhares 3 8 4 4 3 4 2" xfId="40062"/>
    <cellStyle name="Separador de milhares 3 8 4 4 3 5" xfId="34154"/>
    <cellStyle name="Separador de milhares 3 8 4 4 4" xfId="5231"/>
    <cellStyle name="Separador de milhares 3 8 4 4 4 2" xfId="23866"/>
    <cellStyle name="Separador de milhares 3 8 4 4 4 2 2" xfId="48933"/>
    <cellStyle name="Separador de milhares 3 8 4 4 4 3" xfId="31197"/>
    <cellStyle name="Separador de milhares 3 8 4 4 5" xfId="17952"/>
    <cellStyle name="Separador de milhares 3 8 4 4 5 2" xfId="43019"/>
    <cellStyle name="Separador de milhares 3 8 4 4 6" xfId="11618"/>
    <cellStyle name="Separador de milhares 3 8 4 4 6 2" xfId="37108"/>
    <cellStyle name="Separador de milhares 3 8 4 4 7" xfId="29727"/>
    <cellStyle name="Separador de milhares 3 8 4 5" xfId="2313"/>
    <cellStyle name="Separador de milhares 3 8 4 5 2" xfId="7080"/>
    <cellStyle name="Separador de milhares 3 8 4 5 2 2" xfId="10224"/>
    <cellStyle name="Separador de milhares 3 8 4 5 2 2 2" xfId="28438"/>
    <cellStyle name="Separador de milhares 3 8 4 5 2 2 2 2" xfId="53505"/>
    <cellStyle name="Separador de milhares 3 8 4 5 2 2 3" xfId="22524"/>
    <cellStyle name="Separador de milhares 3 8 4 5 2 2 3 2" xfId="47591"/>
    <cellStyle name="Separador de milhares 3 8 4 5 2 2 4" xfId="16610"/>
    <cellStyle name="Separador de milhares 3 8 4 5 2 2 4 2" xfId="41677"/>
    <cellStyle name="Separador de milhares 3 8 4 5 2 2 5" xfId="35769"/>
    <cellStyle name="Separador de milhares 3 8 4 5 2 3" xfId="25481"/>
    <cellStyle name="Separador de milhares 3 8 4 5 2 3 2" xfId="50548"/>
    <cellStyle name="Separador de milhares 3 8 4 5 2 4" xfId="19567"/>
    <cellStyle name="Separador de milhares 3 8 4 5 2 4 2" xfId="44634"/>
    <cellStyle name="Separador de milhares 3 8 4 5 2 5" xfId="13469"/>
    <cellStyle name="Separador de milhares 3 8 4 5 2 5 2" xfId="38723"/>
    <cellStyle name="Separador de milhares 3 8 4 5 2 6" xfId="32812"/>
    <cellStyle name="Separador de milhares 3 8 4 5 3" xfId="8756"/>
    <cellStyle name="Separador de milhares 3 8 4 5 3 2" xfId="26970"/>
    <cellStyle name="Separador de milhares 3 8 4 5 3 2 2" xfId="52037"/>
    <cellStyle name="Separador de milhares 3 8 4 5 3 3" xfId="21056"/>
    <cellStyle name="Separador de milhares 3 8 4 5 3 3 2" xfId="46123"/>
    <cellStyle name="Separador de milhares 3 8 4 5 3 4" xfId="15142"/>
    <cellStyle name="Separador de milhares 3 8 4 5 3 4 2" xfId="40209"/>
    <cellStyle name="Separador de milhares 3 8 4 5 3 5" xfId="34301"/>
    <cellStyle name="Separador de milhares 3 8 4 5 4" xfId="5381"/>
    <cellStyle name="Separador de milhares 3 8 4 5 4 2" xfId="24013"/>
    <cellStyle name="Separador de milhares 3 8 4 5 4 2 2" xfId="49080"/>
    <cellStyle name="Separador de milhares 3 8 4 5 4 3" xfId="31344"/>
    <cellStyle name="Separador de milhares 3 8 4 5 5" xfId="18099"/>
    <cellStyle name="Separador de milhares 3 8 4 5 5 2" xfId="43166"/>
    <cellStyle name="Separador de milhares 3 8 4 5 6" xfId="11768"/>
    <cellStyle name="Separador de milhares 3 8 4 5 6 2" xfId="37255"/>
    <cellStyle name="Separador de milhares 3 8 4 5 7" xfId="29874"/>
    <cellStyle name="Separador de milhares 3 8 4 6" xfId="2840"/>
    <cellStyle name="Separador de milhares 3 8 4 6 2" xfId="7227"/>
    <cellStyle name="Separador de milhares 3 8 4 6 2 2" xfId="10371"/>
    <cellStyle name="Separador de milhares 3 8 4 6 2 2 2" xfId="28585"/>
    <cellStyle name="Separador de milhares 3 8 4 6 2 2 2 2" xfId="53652"/>
    <cellStyle name="Separador de milhares 3 8 4 6 2 2 3" xfId="22671"/>
    <cellStyle name="Separador de milhares 3 8 4 6 2 2 3 2" xfId="47738"/>
    <cellStyle name="Separador de milhares 3 8 4 6 2 2 4" xfId="16757"/>
    <cellStyle name="Separador de milhares 3 8 4 6 2 2 4 2" xfId="41824"/>
    <cellStyle name="Separador de milhares 3 8 4 6 2 2 5" xfId="35916"/>
    <cellStyle name="Separador de milhares 3 8 4 6 2 3" xfId="25628"/>
    <cellStyle name="Separador de milhares 3 8 4 6 2 3 2" xfId="50695"/>
    <cellStyle name="Separador de milhares 3 8 4 6 2 4" xfId="19714"/>
    <cellStyle name="Separador de milhares 3 8 4 6 2 4 2" xfId="44781"/>
    <cellStyle name="Separador de milhares 3 8 4 6 2 5" xfId="13616"/>
    <cellStyle name="Separador de milhares 3 8 4 6 2 5 2" xfId="38870"/>
    <cellStyle name="Separador de milhares 3 8 4 6 2 6" xfId="32959"/>
    <cellStyle name="Separador de milhares 3 8 4 6 3" xfId="8903"/>
    <cellStyle name="Separador de milhares 3 8 4 6 3 2" xfId="27117"/>
    <cellStyle name="Separador de milhares 3 8 4 6 3 2 2" xfId="52184"/>
    <cellStyle name="Separador de milhares 3 8 4 6 3 3" xfId="21203"/>
    <cellStyle name="Separador de milhares 3 8 4 6 3 3 2" xfId="46270"/>
    <cellStyle name="Separador de milhares 3 8 4 6 3 4" xfId="15289"/>
    <cellStyle name="Separador de milhares 3 8 4 6 3 4 2" xfId="40356"/>
    <cellStyle name="Separador de milhares 3 8 4 6 3 5" xfId="34448"/>
    <cellStyle name="Separador de milhares 3 8 4 6 4" xfId="5528"/>
    <cellStyle name="Separador de milhares 3 8 4 6 4 2" xfId="24160"/>
    <cellStyle name="Separador de milhares 3 8 4 6 4 2 2" xfId="49227"/>
    <cellStyle name="Separador de milhares 3 8 4 6 4 3" xfId="31491"/>
    <cellStyle name="Separador de milhares 3 8 4 6 5" xfId="18246"/>
    <cellStyle name="Separador de milhares 3 8 4 6 5 2" xfId="43313"/>
    <cellStyle name="Separador de milhares 3 8 4 6 6" xfId="11915"/>
    <cellStyle name="Separador de milhares 3 8 4 6 6 2" xfId="37402"/>
    <cellStyle name="Separador de milhares 3 8 4 6 7" xfId="30021"/>
    <cellStyle name="Separador de milhares 3 8 4 7" xfId="3367"/>
    <cellStyle name="Separador de milhares 3 8 4 7 2" xfId="7374"/>
    <cellStyle name="Separador de milhares 3 8 4 7 2 2" xfId="10518"/>
    <cellStyle name="Separador de milhares 3 8 4 7 2 2 2" xfId="28732"/>
    <cellStyle name="Separador de milhares 3 8 4 7 2 2 2 2" xfId="53799"/>
    <cellStyle name="Separador de milhares 3 8 4 7 2 2 3" xfId="22818"/>
    <cellStyle name="Separador de milhares 3 8 4 7 2 2 3 2" xfId="47885"/>
    <cellStyle name="Separador de milhares 3 8 4 7 2 2 4" xfId="16904"/>
    <cellStyle name="Separador de milhares 3 8 4 7 2 2 4 2" xfId="41971"/>
    <cellStyle name="Separador de milhares 3 8 4 7 2 2 5" xfId="36063"/>
    <cellStyle name="Separador de milhares 3 8 4 7 2 3" xfId="25775"/>
    <cellStyle name="Separador de milhares 3 8 4 7 2 3 2" xfId="50842"/>
    <cellStyle name="Separador de milhares 3 8 4 7 2 4" xfId="19861"/>
    <cellStyle name="Separador de milhares 3 8 4 7 2 4 2" xfId="44928"/>
    <cellStyle name="Separador de milhares 3 8 4 7 2 5" xfId="13763"/>
    <cellStyle name="Separador de milhares 3 8 4 7 2 5 2" xfId="39017"/>
    <cellStyle name="Separador de milhares 3 8 4 7 2 6" xfId="33106"/>
    <cellStyle name="Separador de milhares 3 8 4 7 3" xfId="9050"/>
    <cellStyle name="Separador de milhares 3 8 4 7 3 2" xfId="27264"/>
    <cellStyle name="Separador de milhares 3 8 4 7 3 2 2" xfId="52331"/>
    <cellStyle name="Separador de milhares 3 8 4 7 3 3" xfId="21350"/>
    <cellStyle name="Separador de milhares 3 8 4 7 3 3 2" xfId="46417"/>
    <cellStyle name="Separador de milhares 3 8 4 7 3 4" xfId="15436"/>
    <cellStyle name="Separador de milhares 3 8 4 7 3 4 2" xfId="40503"/>
    <cellStyle name="Separador de milhares 3 8 4 7 3 5" xfId="34595"/>
    <cellStyle name="Separador de milhares 3 8 4 7 4" xfId="5675"/>
    <cellStyle name="Separador de milhares 3 8 4 7 4 2" xfId="24307"/>
    <cellStyle name="Separador de milhares 3 8 4 7 4 2 2" xfId="49374"/>
    <cellStyle name="Separador de milhares 3 8 4 7 4 3" xfId="31638"/>
    <cellStyle name="Separador de milhares 3 8 4 7 5" xfId="18393"/>
    <cellStyle name="Separador de milhares 3 8 4 7 5 2" xfId="43460"/>
    <cellStyle name="Separador de milhares 3 8 4 7 6" xfId="12062"/>
    <cellStyle name="Separador de milhares 3 8 4 7 6 2" xfId="37549"/>
    <cellStyle name="Separador de milhares 3 8 4 7 7" xfId="30168"/>
    <cellStyle name="Separador de milhares 3 8 4 8" xfId="3894"/>
    <cellStyle name="Separador de milhares 3 8 4 8 2" xfId="7521"/>
    <cellStyle name="Separador de milhares 3 8 4 8 2 2" xfId="10665"/>
    <cellStyle name="Separador de milhares 3 8 4 8 2 2 2" xfId="28879"/>
    <cellStyle name="Separador de milhares 3 8 4 8 2 2 2 2" xfId="53946"/>
    <cellStyle name="Separador de milhares 3 8 4 8 2 2 3" xfId="22965"/>
    <cellStyle name="Separador de milhares 3 8 4 8 2 2 3 2" xfId="48032"/>
    <cellStyle name="Separador de milhares 3 8 4 8 2 2 4" xfId="17051"/>
    <cellStyle name="Separador de milhares 3 8 4 8 2 2 4 2" xfId="42118"/>
    <cellStyle name="Separador de milhares 3 8 4 8 2 2 5" xfId="36210"/>
    <cellStyle name="Separador de milhares 3 8 4 8 2 3" xfId="25922"/>
    <cellStyle name="Separador de milhares 3 8 4 8 2 3 2" xfId="50989"/>
    <cellStyle name="Separador de milhares 3 8 4 8 2 4" xfId="20008"/>
    <cellStyle name="Separador de milhares 3 8 4 8 2 4 2" xfId="45075"/>
    <cellStyle name="Separador de milhares 3 8 4 8 2 5" xfId="13910"/>
    <cellStyle name="Separador de milhares 3 8 4 8 2 5 2" xfId="39164"/>
    <cellStyle name="Separador de milhares 3 8 4 8 2 6" xfId="33253"/>
    <cellStyle name="Separador de milhares 3 8 4 8 3" xfId="9197"/>
    <cellStyle name="Separador de milhares 3 8 4 8 3 2" xfId="27411"/>
    <cellStyle name="Separador de milhares 3 8 4 8 3 2 2" xfId="52478"/>
    <cellStyle name="Separador de milhares 3 8 4 8 3 3" xfId="21497"/>
    <cellStyle name="Separador de milhares 3 8 4 8 3 3 2" xfId="46564"/>
    <cellStyle name="Separador de milhares 3 8 4 8 3 4" xfId="15583"/>
    <cellStyle name="Separador de milhares 3 8 4 8 3 4 2" xfId="40650"/>
    <cellStyle name="Separador de milhares 3 8 4 8 3 5" xfId="34742"/>
    <cellStyle name="Separador de milhares 3 8 4 8 4" xfId="5822"/>
    <cellStyle name="Separador de milhares 3 8 4 8 4 2" xfId="24454"/>
    <cellStyle name="Separador de milhares 3 8 4 8 4 2 2" xfId="49521"/>
    <cellStyle name="Separador de milhares 3 8 4 8 4 3" xfId="31785"/>
    <cellStyle name="Separador de milhares 3 8 4 8 5" xfId="18540"/>
    <cellStyle name="Separador de milhares 3 8 4 8 5 2" xfId="43607"/>
    <cellStyle name="Separador de milhares 3 8 4 8 6" xfId="12209"/>
    <cellStyle name="Separador de milhares 3 8 4 8 6 2" xfId="37696"/>
    <cellStyle name="Separador de milhares 3 8 4 8 7" xfId="30315"/>
    <cellStyle name="Separador de milhares 3 8 4 9" xfId="680"/>
    <cellStyle name="Separador de milhares 3 8 4 9 2" xfId="6615"/>
    <cellStyle name="Separador de milhares 3 8 4 9 2 2" xfId="9762"/>
    <cellStyle name="Separador de milhares 3 8 4 9 2 2 2" xfId="27976"/>
    <cellStyle name="Separador de milhares 3 8 4 9 2 2 2 2" xfId="53043"/>
    <cellStyle name="Separador de milhares 3 8 4 9 2 2 3" xfId="22062"/>
    <cellStyle name="Separador de milhares 3 8 4 9 2 2 3 2" xfId="47129"/>
    <cellStyle name="Separador de milhares 3 8 4 9 2 2 4" xfId="16148"/>
    <cellStyle name="Separador de milhares 3 8 4 9 2 2 4 2" xfId="41215"/>
    <cellStyle name="Separador de milhares 3 8 4 9 2 2 5" xfId="35307"/>
    <cellStyle name="Separador de milhares 3 8 4 9 2 3" xfId="25019"/>
    <cellStyle name="Separador de milhares 3 8 4 9 2 3 2" xfId="50086"/>
    <cellStyle name="Separador de milhares 3 8 4 9 2 4" xfId="19105"/>
    <cellStyle name="Separador de milhares 3 8 4 9 2 4 2" xfId="44172"/>
    <cellStyle name="Separador de milhares 3 8 4 9 2 5" xfId="13004"/>
    <cellStyle name="Separador de milhares 3 8 4 9 2 5 2" xfId="38261"/>
    <cellStyle name="Separador de milhares 3 8 4 9 2 6" xfId="32350"/>
    <cellStyle name="Separador de milhares 3 8 4 9 3" xfId="8294"/>
    <cellStyle name="Separador de milhares 3 8 4 9 3 2" xfId="26508"/>
    <cellStyle name="Separador de milhares 3 8 4 9 3 2 2" xfId="51575"/>
    <cellStyle name="Separador de milhares 3 8 4 9 3 3" xfId="20594"/>
    <cellStyle name="Separador de milhares 3 8 4 9 3 3 2" xfId="45661"/>
    <cellStyle name="Separador de milhares 3 8 4 9 3 4" xfId="14680"/>
    <cellStyle name="Separador de milhares 3 8 4 9 3 4 2" xfId="39747"/>
    <cellStyle name="Separador de milhares 3 8 4 9 3 5" xfId="33839"/>
    <cellStyle name="Separador de milhares 3 8 4 9 4" xfId="4916"/>
    <cellStyle name="Separador de milhares 3 8 4 9 4 2" xfId="23551"/>
    <cellStyle name="Separador de milhares 3 8 4 9 4 2 2" xfId="48618"/>
    <cellStyle name="Separador de milhares 3 8 4 9 4 3" xfId="30882"/>
    <cellStyle name="Separador de milhares 3 8 4 9 5" xfId="17637"/>
    <cellStyle name="Separador de milhares 3 8 4 9 5 2" xfId="42704"/>
    <cellStyle name="Separador de milhares 3 8 4 9 6" xfId="11303"/>
    <cellStyle name="Separador de milhares 3 8 4 9 6 2" xfId="36793"/>
    <cellStyle name="Separador de milhares 3 8 4 9 7" xfId="29412"/>
    <cellStyle name="Separador de milhares 3 8 5" xfId="609"/>
    <cellStyle name="Separador de milhares 3 8 5 10" xfId="4880"/>
    <cellStyle name="Separador de milhares 3 8 5 10 2" xfId="23514"/>
    <cellStyle name="Separador de milhares 3 8 5 10 2 2" xfId="48581"/>
    <cellStyle name="Separador de milhares 3 8 5 10 3" xfId="30846"/>
    <cellStyle name="Separador de milhares 3 8 5 11" xfId="17600"/>
    <cellStyle name="Separador de milhares 3 8 5 11 2" xfId="42667"/>
    <cellStyle name="Separador de milhares 3 8 5 12" xfId="11269"/>
    <cellStyle name="Separador de milhares 3 8 5 12 2" xfId="36759"/>
    <cellStyle name="Separador de milhares 3 8 5 13" xfId="29375"/>
    <cellStyle name="Separador de milhares 3 8 5 2" xfId="1432"/>
    <cellStyle name="Separador de milhares 3 8 5 2 2" xfId="6832"/>
    <cellStyle name="Separador de milhares 3 8 5 2 2 2" xfId="9979"/>
    <cellStyle name="Separador de milhares 3 8 5 2 2 2 2" xfId="28193"/>
    <cellStyle name="Separador de milhares 3 8 5 2 2 2 2 2" xfId="53260"/>
    <cellStyle name="Separador de milhares 3 8 5 2 2 2 3" xfId="22279"/>
    <cellStyle name="Separador de milhares 3 8 5 2 2 2 3 2" xfId="47346"/>
    <cellStyle name="Separador de milhares 3 8 5 2 2 2 4" xfId="16365"/>
    <cellStyle name="Separador de milhares 3 8 5 2 2 2 4 2" xfId="41432"/>
    <cellStyle name="Separador de milhares 3 8 5 2 2 2 5" xfId="35524"/>
    <cellStyle name="Separador de milhares 3 8 5 2 2 3" xfId="25236"/>
    <cellStyle name="Separador de milhares 3 8 5 2 2 3 2" xfId="50303"/>
    <cellStyle name="Separador de milhares 3 8 5 2 2 4" xfId="19322"/>
    <cellStyle name="Separador de milhares 3 8 5 2 2 4 2" xfId="44389"/>
    <cellStyle name="Separador de milhares 3 8 5 2 2 5" xfId="13221"/>
    <cellStyle name="Separador de milhares 3 8 5 2 2 5 2" xfId="38478"/>
    <cellStyle name="Separador de milhares 3 8 5 2 2 6" xfId="32567"/>
    <cellStyle name="Separador de milhares 3 8 5 2 3" xfId="8511"/>
    <cellStyle name="Separador de milhares 3 8 5 2 3 2" xfId="26725"/>
    <cellStyle name="Separador de milhares 3 8 5 2 3 2 2" xfId="51792"/>
    <cellStyle name="Separador de milhares 3 8 5 2 3 3" xfId="20811"/>
    <cellStyle name="Separador de milhares 3 8 5 2 3 3 2" xfId="45878"/>
    <cellStyle name="Separador de milhares 3 8 5 2 3 4" xfId="14897"/>
    <cellStyle name="Separador de milhares 3 8 5 2 3 4 2" xfId="39964"/>
    <cellStyle name="Separador de milhares 3 8 5 2 3 5" xfId="34056"/>
    <cellStyle name="Separador de milhares 3 8 5 2 4" xfId="5133"/>
    <cellStyle name="Separador de milhares 3 8 5 2 4 2" xfId="23768"/>
    <cellStyle name="Separador de milhares 3 8 5 2 4 2 2" xfId="48835"/>
    <cellStyle name="Separador de milhares 3 8 5 2 4 3" xfId="31099"/>
    <cellStyle name="Separador de milhares 3 8 5 2 5" xfId="17854"/>
    <cellStyle name="Separador de milhares 3 8 5 2 5 2" xfId="42921"/>
    <cellStyle name="Separador de milhares 3 8 5 2 6" xfId="11520"/>
    <cellStyle name="Separador de milhares 3 8 5 2 6 2" xfId="37010"/>
    <cellStyle name="Separador de milhares 3 8 5 2 7" xfId="29629"/>
    <cellStyle name="Separador de milhares 3 8 5 3" xfId="1867"/>
    <cellStyle name="Separador de milhares 3 8 5 3 2" xfId="6951"/>
    <cellStyle name="Separador de milhares 3 8 5 3 2 2" xfId="10098"/>
    <cellStyle name="Separador de milhares 3 8 5 3 2 2 2" xfId="28312"/>
    <cellStyle name="Separador de milhares 3 8 5 3 2 2 2 2" xfId="53379"/>
    <cellStyle name="Separador de milhares 3 8 5 3 2 2 3" xfId="22398"/>
    <cellStyle name="Separador de milhares 3 8 5 3 2 2 3 2" xfId="47465"/>
    <cellStyle name="Separador de milhares 3 8 5 3 2 2 4" xfId="16484"/>
    <cellStyle name="Separador de milhares 3 8 5 3 2 2 4 2" xfId="41551"/>
    <cellStyle name="Separador de milhares 3 8 5 3 2 2 5" xfId="35643"/>
    <cellStyle name="Separador de milhares 3 8 5 3 2 3" xfId="25355"/>
    <cellStyle name="Separador de milhares 3 8 5 3 2 3 2" xfId="50422"/>
    <cellStyle name="Separador de milhares 3 8 5 3 2 4" xfId="19441"/>
    <cellStyle name="Separador de milhares 3 8 5 3 2 4 2" xfId="44508"/>
    <cellStyle name="Separador de milhares 3 8 5 3 2 5" xfId="13340"/>
    <cellStyle name="Separador de milhares 3 8 5 3 2 5 2" xfId="38597"/>
    <cellStyle name="Separador de milhares 3 8 5 3 2 6" xfId="32686"/>
    <cellStyle name="Separador de milhares 3 8 5 3 3" xfId="8630"/>
    <cellStyle name="Separador de milhares 3 8 5 3 3 2" xfId="26844"/>
    <cellStyle name="Separador de milhares 3 8 5 3 3 2 2" xfId="51911"/>
    <cellStyle name="Separador de milhares 3 8 5 3 3 3" xfId="20930"/>
    <cellStyle name="Separador de milhares 3 8 5 3 3 3 2" xfId="45997"/>
    <cellStyle name="Separador de milhares 3 8 5 3 3 4" xfId="15016"/>
    <cellStyle name="Separador de milhares 3 8 5 3 3 4 2" xfId="40083"/>
    <cellStyle name="Separador de milhares 3 8 5 3 3 5" xfId="34175"/>
    <cellStyle name="Separador de milhares 3 8 5 3 4" xfId="5252"/>
    <cellStyle name="Separador de milhares 3 8 5 3 4 2" xfId="23887"/>
    <cellStyle name="Separador de milhares 3 8 5 3 4 2 2" xfId="48954"/>
    <cellStyle name="Separador de milhares 3 8 5 3 4 3" xfId="31218"/>
    <cellStyle name="Separador de milhares 3 8 5 3 5" xfId="17973"/>
    <cellStyle name="Separador de milhares 3 8 5 3 5 2" xfId="43040"/>
    <cellStyle name="Separador de milhares 3 8 5 3 6" xfId="11639"/>
    <cellStyle name="Separador de milhares 3 8 5 3 6 2" xfId="37129"/>
    <cellStyle name="Separador de milhares 3 8 5 3 7" xfId="29748"/>
    <cellStyle name="Separador de milhares 3 8 5 4" xfId="2397"/>
    <cellStyle name="Separador de milhares 3 8 5 4 2" xfId="7101"/>
    <cellStyle name="Separador de milhares 3 8 5 4 2 2" xfId="10245"/>
    <cellStyle name="Separador de milhares 3 8 5 4 2 2 2" xfId="28459"/>
    <cellStyle name="Separador de milhares 3 8 5 4 2 2 2 2" xfId="53526"/>
    <cellStyle name="Separador de milhares 3 8 5 4 2 2 3" xfId="22545"/>
    <cellStyle name="Separador de milhares 3 8 5 4 2 2 3 2" xfId="47612"/>
    <cellStyle name="Separador de milhares 3 8 5 4 2 2 4" xfId="16631"/>
    <cellStyle name="Separador de milhares 3 8 5 4 2 2 4 2" xfId="41698"/>
    <cellStyle name="Separador de milhares 3 8 5 4 2 2 5" xfId="35790"/>
    <cellStyle name="Separador de milhares 3 8 5 4 2 3" xfId="25502"/>
    <cellStyle name="Separador de milhares 3 8 5 4 2 3 2" xfId="50569"/>
    <cellStyle name="Separador de milhares 3 8 5 4 2 4" xfId="19588"/>
    <cellStyle name="Separador de milhares 3 8 5 4 2 4 2" xfId="44655"/>
    <cellStyle name="Separador de milhares 3 8 5 4 2 5" xfId="13490"/>
    <cellStyle name="Separador de milhares 3 8 5 4 2 5 2" xfId="38744"/>
    <cellStyle name="Separador de milhares 3 8 5 4 2 6" xfId="32833"/>
    <cellStyle name="Separador de milhares 3 8 5 4 3" xfId="8777"/>
    <cellStyle name="Separador de milhares 3 8 5 4 3 2" xfId="26991"/>
    <cellStyle name="Separador de milhares 3 8 5 4 3 2 2" xfId="52058"/>
    <cellStyle name="Separador de milhares 3 8 5 4 3 3" xfId="21077"/>
    <cellStyle name="Separador de milhares 3 8 5 4 3 3 2" xfId="46144"/>
    <cellStyle name="Separador de milhares 3 8 5 4 3 4" xfId="15163"/>
    <cellStyle name="Separador de milhares 3 8 5 4 3 4 2" xfId="40230"/>
    <cellStyle name="Separador de milhares 3 8 5 4 3 5" xfId="34322"/>
    <cellStyle name="Separador de milhares 3 8 5 4 4" xfId="5402"/>
    <cellStyle name="Separador de milhares 3 8 5 4 4 2" xfId="24034"/>
    <cellStyle name="Separador de milhares 3 8 5 4 4 2 2" xfId="49101"/>
    <cellStyle name="Separador de milhares 3 8 5 4 4 3" xfId="31365"/>
    <cellStyle name="Separador de milhares 3 8 5 4 5" xfId="18120"/>
    <cellStyle name="Separador de milhares 3 8 5 4 5 2" xfId="43187"/>
    <cellStyle name="Separador de milhares 3 8 5 4 6" xfId="11789"/>
    <cellStyle name="Separador de milhares 3 8 5 4 6 2" xfId="37276"/>
    <cellStyle name="Separador de milhares 3 8 5 4 7" xfId="29895"/>
    <cellStyle name="Separador de milhares 3 8 5 5" xfId="2924"/>
    <cellStyle name="Separador de milhares 3 8 5 5 2" xfId="7248"/>
    <cellStyle name="Separador de milhares 3 8 5 5 2 2" xfId="10392"/>
    <cellStyle name="Separador de milhares 3 8 5 5 2 2 2" xfId="28606"/>
    <cellStyle name="Separador de milhares 3 8 5 5 2 2 2 2" xfId="53673"/>
    <cellStyle name="Separador de milhares 3 8 5 5 2 2 3" xfId="22692"/>
    <cellStyle name="Separador de milhares 3 8 5 5 2 2 3 2" xfId="47759"/>
    <cellStyle name="Separador de milhares 3 8 5 5 2 2 4" xfId="16778"/>
    <cellStyle name="Separador de milhares 3 8 5 5 2 2 4 2" xfId="41845"/>
    <cellStyle name="Separador de milhares 3 8 5 5 2 2 5" xfId="35937"/>
    <cellStyle name="Separador de milhares 3 8 5 5 2 3" xfId="25649"/>
    <cellStyle name="Separador de milhares 3 8 5 5 2 3 2" xfId="50716"/>
    <cellStyle name="Separador de milhares 3 8 5 5 2 4" xfId="19735"/>
    <cellStyle name="Separador de milhares 3 8 5 5 2 4 2" xfId="44802"/>
    <cellStyle name="Separador de milhares 3 8 5 5 2 5" xfId="13637"/>
    <cellStyle name="Separador de milhares 3 8 5 5 2 5 2" xfId="38891"/>
    <cellStyle name="Separador de milhares 3 8 5 5 2 6" xfId="32980"/>
    <cellStyle name="Separador de milhares 3 8 5 5 3" xfId="8924"/>
    <cellStyle name="Separador de milhares 3 8 5 5 3 2" xfId="27138"/>
    <cellStyle name="Separador de milhares 3 8 5 5 3 2 2" xfId="52205"/>
    <cellStyle name="Separador de milhares 3 8 5 5 3 3" xfId="21224"/>
    <cellStyle name="Separador de milhares 3 8 5 5 3 3 2" xfId="46291"/>
    <cellStyle name="Separador de milhares 3 8 5 5 3 4" xfId="15310"/>
    <cellStyle name="Separador de milhares 3 8 5 5 3 4 2" xfId="40377"/>
    <cellStyle name="Separador de milhares 3 8 5 5 3 5" xfId="34469"/>
    <cellStyle name="Separador de milhares 3 8 5 5 4" xfId="5549"/>
    <cellStyle name="Separador de milhares 3 8 5 5 4 2" xfId="24181"/>
    <cellStyle name="Separador de milhares 3 8 5 5 4 2 2" xfId="49248"/>
    <cellStyle name="Separador de milhares 3 8 5 5 4 3" xfId="31512"/>
    <cellStyle name="Separador de milhares 3 8 5 5 5" xfId="18267"/>
    <cellStyle name="Separador de milhares 3 8 5 5 5 2" xfId="43334"/>
    <cellStyle name="Separador de milhares 3 8 5 5 6" xfId="11936"/>
    <cellStyle name="Separador de milhares 3 8 5 5 6 2" xfId="37423"/>
    <cellStyle name="Separador de milhares 3 8 5 5 7" xfId="30042"/>
    <cellStyle name="Separador de milhares 3 8 5 6" xfId="3451"/>
    <cellStyle name="Separador de milhares 3 8 5 6 2" xfId="7395"/>
    <cellStyle name="Separador de milhares 3 8 5 6 2 2" xfId="10539"/>
    <cellStyle name="Separador de milhares 3 8 5 6 2 2 2" xfId="28753"/>
    <cellStyle name="Separador de milhares 3 8 5 6 2 2 2 2" xfId="53820"/>
    <cellStyle name="Separador de milhares 3 8 5 6 2 2 3" xfId="22839"/>
    <cellStyle name="Separador de milhares 3 8 5 6 2 2 3 2" xfId="47906"/>
    <cellStyle name="Separador de milhares 3 8 5 6 2 2 4" xfId="16925"/>
    <cellStyle name="Separador de milhares 3 8 5 6 2 2 4 2" xfId="41992"/>
    <cellStyle name="Separador de milhares 3 8 5 6 2 2 5" xfId="36084"/>
    <cellStyle name="Separador de milhares 3 8 5 6 2 3" xfId="25796"/>
    <cellStyle name="Separador de milhares 3 8 5 6 2 3 2" xfId="50863"/>
    <cellStyle name="Separador de milhares 3 8 5 6 2 4" xfId="19882"/>
    <cellStyle name="Separador de milhares 3 8 5 6 2 4 2" xfId="44949"/>
    <cellStyle name="Separador de milhares 3 8 5 6 2 5" xfId="13784"/>
    <cellStyle name="Separador de milhares 3 8 5 6 2 5 2" xfId="39038"/>
    <cellStyle name="Separador de milhares 3 8 5 6 2 6" xfId="33127"/>
    <cellStyle name="Separador de milhares 3 8 5 6 3" xfId="9071"/>
    <cellStyle name="Separador de milhares 3 8 5 6 3 2" xfId="27285"/>
    <cellStyle name="Separador de milhares 3 8 5 6 3 2 2" xfId="52352"/>
    <cellStyle name="Separador de milhares 3 8 5 6 3 3" xfId="21371"/>
    <cellStyle name="Separador de milhares 3 8 5 6 3 3 2" xfId="46438"/>
    <cellStyle name="Separador de milhares 3 8 5 6 3 4" xfId="15457"/>
    <cellStyle name="Separador de milhares 3 8 5 6 3 4 2" xfId="40524"/>
    <cellStyle name="Separador de milhares 3 8 5 6 3 5" xfId="34616"/>
    <cellStyle name="Separador de milhares 3 8 5 6 4" xfId="5696"/>
    <cellStyle name="Separador de milhares 3 8 5 6 4 2" xfId="24328"/>
    <cellStyle name="Separador de milhares 3 8 5 6 4 2 2" xfId="49395"/>
    <cellStyle name="Separador de milhares 3 8 5 6 4 3" xfId="31659"/>
    <cellStyle name="Separador de milhares 3 8 5 6 5" xfId="18414"/>
    <cellStyle name="Separador de milhares 3 8 5 6 5 2" xfId="43481"/>
    <cellStyle name="Separador de milhares 3 8 5 6 6" xfId="12083"/>
    <cellStyle name="Separador de milhares 3 8 5 6 6 2" xfId="37570"/>
    <cellStyle name="Separador de milhares 3 8 5 6 7" xfId="30189"/>
    <cellStyle name="Separador de milhares 3 8 5 7" xfId="3978"/>
    <cellStyle name="Separador de milhares 3 8 5 7 2" xfId="7542"/>
    <cellStyle name="Separador de milhares 3 8 5 7 2 2" xfId="10686"/>
    <cellStyle name="Separador de milhares 3 8 5 7 2 2 2" xfId="28900"/>
    <cellStyle name="Separador de milhares 3 8 5 7 2 2 2 2" xfId="53967"/>
    <cellStyle name="Separador de milhares 3 8 5 7 2 2 3" xfId="22986"/>
    <cellStyle name="Separador de milhares 3 8 5 7 2 2 3 2" xfId="48053"/>
    <cellStyle name="Separador de milhares 3 8 5 7 2 2 4" xfId="17072"/>
    <cellStyle name="Separador de milhares 3 8 5 7 2 2 4 2" xfId="42139"/>
    <cellStyle name="Separador de milhares 3 8 5 7 2 2 5" xfId="36231"/>
    <cellStyle name="Separador de milhares 3 8 5 7 2 3" xfId="25943"/>
    <cellStyle name="Separador de milhares 3 8 5 7 2 3 2" xfId="51010"/>
    <cellStyle name="Separador de milhares 3 8 5 7 2 4" xfId="20029"/>
    <cellStyle name="Separador de milhares 3 8 5 7 2 4 2" xfId="45096"/>
    <cellStyle name="Separador de milhares 3 8 5 7 2 5" xfId="13931"/>
    <cellStyle name="Separador de milhares 3 8 5 7 2 5 2" xfId="39185"/>
    <cellStyle name="Separador de milhares 3 8 5 7 2 6" xfId="33274"/>
    <cellStyle name="Separador de milhares 3 8 5 7 3" xfId="9218"/>
    <cellStyle name="Separador de milhares 3 8 5 7 3 2" xfId="27432"/>
    <cellStyle name="Separador de milhares 3 8 5 7 3 2 2" xfId="52499"/>
    <cellStyle name="Separador de milhares 3 8 5 7 3 3" xfId="21518"/>
    <cellStyle name="Separador de milhares 3 8 5 7 3 3 2" xfId="46585"/>
    <cellStyle name="Separador de milhares 3 8 5 7 3 4" xfId="15604"/>
    <cellStyle name="Separador de milhares 3 8 5 7 3 4 2" xfId="40671"/>
    <cellStyle name="Separador de milhares 3 8 5 7 3 5" xfId="34763"/>
    <cellStyle name="Separador de milhares 3 8 5 7 4" xfId="5843"/>
    <cellStyle name="Separador de milhares 3 8 5 7 4 2" xfId="24475"/>
    <cellStyle name="Separador de milhares 3 8 5 7 4 2 2" xfId="49542"/>
    <cellStyle name="Separador de milhares 3 8 5 7 4 3" xfId="31806"/>
    <cellStyle name="Separador de milhares 3 8 5 7 5" xfId="18561"/>
    <cellStyle name="Separador de milhares 3 8 5 7 5 2" xfId="43628"/>
    <cellStyle name="Separador de milhares 3 8 5 7 6" xfId="12230"/>
    <cellStyle name="Separador de milhares 3 8 5 7 6 2" xfId="37717"/>
    <cellStyle name="Separador de milhares 3 8 5 7 7" xfId="30336"/>
    <cellStyle name="Separador de milhares 3 8 5 8" xfId="6581"/>
    <cellStyle name="Separador de milhares 3 8 5 8 2" xfId="9728"/>
    <cellStyle name="Separador de milhares 3 8 5 8 2 2" xfId="27942"/>
    <cellStyle name="Separador de milhares 3 8 5 8 2 2 2" xfId="53009"/>
    <cellStyle name="Separador de milhares 3 8 5 8 2 3" xfId="22028"/>
    <cellStyle name="Separador de milhares 3 8 5 8 2 3 2" xfId="47095"/>
    <cellStyle name="Separador de milhares 3 8 5 8 2 4" xfId="16114"/>
    <cellStyle name="Separador de milhares 3 8 5 8 2 4 2" xfId="41181"/>
    <cellStyle name="Separador de milhares 3 8 5 8 2 5" xfId="35273"/>
    <cellStyle name="Separador de milhares 3 8 5 8 3" xfId="24985"/>
    <cellStyle name="Separador de milhares 3 8 5 8 3 2" xfId="50052"/>
    <cellStyle name="Separador de milhares 3 8 5 8 4" xfId="19071"/>
    <cellStyle name="Separador de milhares 3 8 5 8 4 2" xfId="44138"/>
    <cellStyle name="Separador de milhares 3 8 5 8 5" xfId="12970"/>
    <cellStyle name="Separador de milhares 3 8 5 8 5 2" xfId="38227"/>
    <cellStyle name="Separador de milhares 3 8 5 8 6" xfId="32316"/>
    <cellStyle name="Separador de milhares 3 8 5 9" xfId="8257"/>
    <cellStyle name="Separador de milhares 3 8 5 9 2" xfId="26471"/>
    <cellStyle name="Separador de milhares 3 8 5 9 2 2" xfId="51538"/>
    <cellStyle name="Separador de milhares 3 8 5 9 3" xfId="20557"/>
    <cellStyle name="Separador de milhares 3 8 5 9 3 2" xfId="45624"/>
    <cellStyle name="Separador de milhares 3 8 5 9 4" xfId="14646"/>
    <cellStyle name="Separador de milhares 3 8 5 9 4 2" xfId="39713"/>
    <cellStyle name="Separador de milhares 3 8 5 9 5" xfId="33802"/>
    <cellStyle name="Separador de milhares 3 8 6" xfId="730"/>
    <cellStyle name="Separador de milhares 3 8 6 2" xfId="4154"/>
    <cellStyle name="Separador de milhares 3 8 6 2 2" xfId="7591"/>
    <cellStyle name="Separador de milhares 3 8 6 2 2 2" xfId="10735"/>
    <cellStyle name="Separador de milhares 3 8 6 2 2 2 2" xfId="28949"/>
    <cellStyle name="Separador de milhares 3 8 6 2 2 2 2 2" xfId="54016"/>
    <cellStyle name="Separador de milhares 3 8 6 2 2 2 3" xfId="23035"/>
    <cellStyle name="Separador de milhares 3 8 6 2 2 2 3 2" xfId="48102"/>
    <cellStyle name="Separador de milhares 3 8 6 2 2 2 4" xfId="17121"/>
    <cellStyle name="Separador de milhares 3 8 6 2 2 2 4 2" xfId="42188"/>
    <cellStyle name="Separador de milhares 3 8 6 2 2 2 5" xfId="36280"/>
    <cellStyle name="Separador de milhares 3 8 6 2 2 3" xfId="25992"/>
    <cellStyle name="Separador de milhares 3 8 6 2 2 3 2" xfId="51059"/>
    <cellStyle name="Separador de milhares 3 8 6 2 2 4" xfId="20078"/>
    <cellStyle name="Separador de milhares 3 8 6 2 2 4 2" xfId="45145"/>
    <cellStyle name="Separador de milhares 3 8 6 2 2 5" xfId="13980"/>
    <cellStyle name="Separador de milhares 3 8 6 2 2 5 2" xfId="39234"/>
    <cellStyle name="Separador de milhares 3 8 6 2 2 6" xfId="33323"/>
    <cellStyle name="Separador de milhares 3 8 6 2 3" xfId="9267"/>
    <cellStyle name="Separador de milhares 3 8 6 2 3 2" xfId="27481"/>
    <cellStyle name="Separador de milhares 3 8 6 2 3 2 2" xfId="52548"/>
    <cellStyle name="Separador de milhares 3 8 6 2 3 3" xfId="21567"/>
    <cellStyle name="Separador de milhares 3 8 6 2 3 3 2" xfId="46634"/>
    <cellStyle name="Separador de milhares 3 8 6 2 3 4" xfId="15653"/>
    <cellStyle name="Separador de milhares 3 8 6 2 3 4 2" xfId="40720"/>
    <cellStyle name="Separador de milhares 3 8 6 2 3 5" xfId="34812"/>
    <cellStyle name="Separador de milhares 3 8 6 2 4" xfId="5892"/>
    <cellStyle name="Separador de milhares 3 8 6 2 4 2" xfId="24524"/>
    <cellStyle name="Separador de milhares 3 8 6 2 4 2 2" xfId="49591"/>
    <cellStyle name="Separador de milhares 3 8 6 2 4 3" xfId="31855"/>
    <cellStyle name="Separador de milhares 3 8 6 2 5" xfId="18610"/>
    <cellStyle name="Separador de milhares 3 8 6 2 5 2" xfId="43677"/>
    <cellStyle name="Separador de milhares 3 8 6 2 6" xfId="12279"/>
    <cellStyle name="Separador de milhares 3 8 6 2 6 2" xfId="37766"/>
    <cellStyle name="Separador de milhares 3 8 6 2 7" xfId="30385"/>
    <cellStyle name="Separador de milhares 3 8 6 3" xfId="6636"/>
    <cellStyle name="Separador de milhares 3 8 6 3 2" xfId="9783"/>
    <cellStyle name="Separador de milhares 3 8 6 3 2 2" xfId="27997"/>
    <cellStyle name="Separador de milhares 3 8 6 3 2 2 2" xfId="53064"/>
    <cellStyle name="Separador de milhares 3 8 6 3 2 3" xfId="22083"/>
    <cellStyle name="Separador de milhares 3 8 6 3 2 3 2" xfId="47150"/>
    <cellStyle name="Separador de milhares 3 8 6 3 2 4" xfId="16169"/>
    <cellStyle name="Separador de milhares 3 8 6 3 2 4 2" xfId="41236"/>
    <cellStyle name="Separador de milhares 3 8 6 3 2 5" xfId="35328"/>
    <cellStyle name="Separador de milhares 3 8 6 3 3" xfId="25040"/>
    <cellStyle name="Separador de milhares 3 8 6 3 3 2" xfId="50107"/>
    <cellStyle name="Separador de milhares 3 8 6 3 4" xfId="19126"/>
    <cellStyle name="Separador de milhares 3 8 6 3 4 2" xfId="44193"/>
    <cellStyle name="Separador de milhares 3 8 6 3 5" xfId="13025"/>
    <cellStyle name="Separador de milhares 3 8 6 3 5 2" xfId="38282"/>
    <cellStyle name="Separador de milhares 3 8 6 3 6" xfId="32371"/>
    <cellStyle name="Separador de milhares 3 8 6 4" xfId="8315"/>
    <cellStyle name="Separador de milhares 3 8 6 4 2" xfId="26529"/>
    <cellStyle name="Separador de milhares 3 8 6 4 2 2" xfId="51596"/>
    <cellStyle name="Separador de milhares 3 8 6 4 3" xfId="20615"/>
    <cellStyle name="Separador de milhares 3 8 6 4 3 2" xfId="45682"/>
    <cellStyle name="Separador de milhares 3 8 6 4 4" xfId="14701"/>
    <cellStyle name="Separador de milhares 3 8 6 4 4 2" xfId="39768"/>
    <cellStyle name="Separador de milhares 3 8 6 4 5" xfId="33860"/>
    <cellStyle name="Separador de milhares 3 8 6 5" xfId="4937"/>
    <cellStyle name="Separador de milhares 3 8 6 5 2" xfId="23572"/>
    <cellStyle name="Separador de milhares 3 8 6 5 2 2" xfId="48639"/>
    <cellStyle name="Separador de milhares 3 8 6 5 3" xfId="30903"/>
    <cellStyle name="Separador de milhares 3 8 6 6" xfId="17658"/>
    <cellStyle name="Separador de milhares 3 8 6 6 2" xfId="42725"/>
    <cellStyle name="Separador de milhares 3 8 6 7" xfId="11324"/>
    <cellStyle name="Separador de milhares 3 8 6 7 2" xfId="36814"/>
    <cellStyle name="Separador de milhares 3 8 6 8" xfId="29433"/>
    <cellStyle name="Separador de milhares 3 8 7" xfId="1081"/>
    <cellStyle name="Separador de milhares 3 8 7 2" xfId="6734"/>
    <cellStyle name="Separador de milhares 3 8 7 2 2" xfId="9881"/>
    <cellStyle name="Separador de milhares 3 8 7 2 2 2" xfId="28095"/>
    <cellStyle name="Separador de milhares 3 8 7 2 2 2 2" xfId="53162"/>
    <cellStyle name="Separador de milhares 3 8 7 2 2 3" xfId="22181"/>
    <cellStyle name="Separador de milhares 3 8 7 2 2 3 2" xfId="47248"/>
    <cellStyle name="Separador de milhares 3 8 7 2 2 4" xfId="16267"/>
    <cellStyle name="Separador de milhares 3 8 7 2 2 4 2" xfId="41334"/>
    <cellStyle name="Separador de milhares 3 8 7 2 2 5" xfId="35426"/>
    <cellStyle name="Separador de milhares 3 8 7 2 3" xfId="25138"/>
    <cellStyle name="Separador de milhares 3 8 7 2 3 2" xfId="50205"/>
    <cellStyle name="Separador de milhares 3 8 7 2 4" xfId="19224"/>
    <cellStyle name="Separador de milhares 3 8 7 2 4 2" xfId="44291"/>
    <cellStyle name="Separador de milhares 3 8 7 2 5" xfId="13123"/>
    <cellStyle name="Separador de milhares 3 8 7 2 5 2" xfId="38380"/>
    <cellStyle name="Separador de milhares 3 8 7 2 6" xfId="32469"/>
    <cellStyle name="Separador de milhares 3 8 7 3" xfId="8413"/>
    <cellStyle name="Separador de milhares 3 8 7 3 2" xfId="26627"/>
    <cellStyle name="Separador de milhares 3 8 7 3 2 2" xfId="51694"/>
    <cellStyle name="Separador de milhares 3 8 7 3 3" xfId="20713"/>
    <cellStyle name="Separador de milhares 3 8 7 3 3 2" xfId="45780"/>
    <cellStyle name="Separador de milhares 3 8 7 3 4" xfId="14799"/>
    <cellStyle name="Separador de milhares 3 8 7 3 4 2" xfId="39866"/>
    <cellStyle name="Separador de milhares 3 8 7 3 5" xfId="33958"/>
    <cellStyle name="Separador de milhares 3 8 7 4" xfId="5035"/>
    <cellStyle name="Separador de milhares 3 8 7 4 2" xfId="23670"/>
    <cellStyle name="Separador de milhares 3 8 7 4 2 2" xfId="48737"/>
    <cellStyle name="Separador de milhares 3 8 7 4 3" xfId="31001"/>
    <cellStyle name="Separador de milhares 3 8 7 5" xfId="17756"/>
    <cellStyle name="Separador de milhares 3 8 7 5 2" xfId="42823"/>
    <cellStyle name="Separador de milhares 3 8 7 6" xfId="11422"/>
    <cellStyle name="Separador de milhares 3 8 7 6 2" xfId="36912"/>
    <cellStyle name="Separador de milhares 3 8 7 7" xfId="29531"/>
    <cellStyle name="Separador de milhares 3 8 8" xfId="1516"/>
    <cellStyle name="Separador de milhares 3 8 8 2" xfId="6853"/>
    <cellStyle name="Separador de milhares 3 8 8 2 2" xfId="10000"/>
    <cellStyle name="Separador de milhares 3 8 8 2 2 2" xfId="28214"/>
    <cellStyle name="Separador de milhares 3 8 8 2 2 2 2" xfId="53281"/>
    <cellStyle name="Separador de milhares 3 8 8 2 2 3" xfId="22300"/>
    <cellStyle name="Separador de milhares 3 8 8 2 2 3 2" xfId="47367"/>
    <cellStyle name="Separador de milhares 3 8 8 2 2 4" xfId="16386"/>
    <cellStyle name="Separador de milhares 3 8 8 2 2 4 2" xfId="41453"/>
    <cellStyle name="Separador de milhares 3 8 8 2 2 5" xfId="35545"/>
    <cellStyle name="Separador de milhares 3 8 8 2 3" xfId="25257"/>
    <cellStyle name="Separador de milhares 3 8 8 2 3 2" xfId="50324"/>
    <cellStyle name="Separador de milhares 3 8 8 2 4" xfId="19343"/>
    <cellStyle name="Separador de milhares 3 8 8 2 4 2" xfId="44410"/>
    <cellStyle name="Separador de milhares 3 8 8 2 5" xfId="13242"/>
    <cellStyle name="Separador de milhares 3 8 8 2 5 2" xfId="38499"/>
    <cellStyle name="Separador de milhares 3 8 8 2 6" xfId="32588"/>
    <cellStyle name="Separador de milhares 3 8 8 3" xfId="8532"/>
    <cellStyle name="Separador de milhares 3 8 8 3 2" xfId="26746"/>
    <cellStyle name="Separador de milhares 3 8 8 3 2 2" xfId="51813"/>
    <cellStyle name="Separador de milhares 3 8 8 3 3" xfId="20832"/>
    <cellStyle name="Separador de milhares 3 8 8 3 3 2" xfId="45899"/>
    <cellStyle name="Separador de milhares 3 8 8 3 4" xfId="14918"/>
    <cellStyle name="Separador de milhares 3 8 8 3 4 2" xfId="39985"/>
    <cellStyle name="Separador de milhares 3 8 8 3 5" xfId="34077"/>
    <cellStyle name="Separador de milhares 3 8 8 4" xfId="5154"/>
    <cellStyle name="Separador de milhares 3 8 8 4 2" xfId="23789"/>
    <cellStyle name="Separador de milhares 3 8 8 4 2 2" xfId="48856"/>
    <cellStyle name="Separador de milhares 3 8 8 4 3" xfId="31120"/>
    <cellStyle name="Separador de milhares 3 8 8 5" xfId="17875"/>
    <cellStyle name="Separador de milhares 3 8 8 5 2" xfId="42942"/>
    <cellStyle name="Separador de milhares 3 8 8 6" xfId="11541"/>
    <cellStyle name="Separador de milhares 3 8 8 6 2" xfId="37031"/>
    <cellStyle name="Separador de milhares 3 8 8 7" xfId="29650"/>
    <cellStyle name="Separador de milhares 3 8 9" xfId="2046"/>
    <cellStyle name="Separador de milhares 3 8 9 2" xfId="7003"/>
    <cellStyle name="Separador de milhares 3 8 9 2 2" xfId="10147"/>
    <cellStyle name="Separador de milhares 3 8 9 2 2 2" xfId="28361"/>
    <cellStyle name="Separador de milhares 3 8 9 2 2 2 2" xfId="53428"/>
    <cellStyle name="Separador de milhares 3 8 9 2 2 3" xfId="22447"/>
    <cellStyle name="Separador de milhares 3 8 9 2 2 3 2" xfId="47514"/>
    <cellStyle name="Separador de milhares 3 8 9 2 2 4" xfId="16533"/>
    <cellStyle name="Separador de milhares 3 8 9 2 2 4 2" xfId="41600"/>
    <cellStyle name="Separador de milhares 3 8 9 2 2 5" xfId="35692"/>
    <cellStyle name="Separador de milhares 3 8 9 2 3" xfId="25404"/>
    <cellStyle name="Separador de milhares 3 8 9 2 3 2" xfId="50471"/>
    <cellStyle name="Separador de milhares 3 8 9 2 4" xfId="19490"/>
    <cellStyle name="Separador de milhares 3 8 9 2 4 2" xfId="44557"/>
    <cellStyle name="Separador de milhares 3 8 9 2 5" xfId="13392"/>
    <cellStyle name="Separador de milhares 3 8 9 2 5 2" xfId="38646"/>
    <cellStyle name="Separador de milhares 3 8 9 2 6" xfId="32735"/>
    <cellStyle name="Separador de milhares 3 8 9 3" xfId="8679"/>
    <cellStyle name="Separador de milhares 3 8 9 3 2" xfId="26893"/>
    <cellStyle name="Separador de milhares 3 8 9 3 2 2" xfId="51960"/>
    <cellStyle name="Separador de milhares 3 8 9 3 3" xfId="20979"/>
    <cellStyle name="Separador de milhares 3 8 9 3 3 2" xfId="46046"/>
    <cellStyle name="Separador de milhares 3 8 9 3 4" xfId="15065"/>
    <cellStyle name="Separador de milhares 3 8 9 3 4 2" xfId="40132"/>
    <cellStyle name="Separador de milhares 3 8 9 3 5" xfId="34224"/>
    <cellStyle name="Separador de milhares 3 8 9 4" xfId="5304"/>
    <cellStyle name="Separador de milhares 3 8 9 4 2" xfId="23936"/>
    <cellStyle name="Separador de milhares 3 8 9 4 2 2" xfId="49003"/>
    <cellStyle name="Separador de milhares 3 8 9 4 3" xfId="31267"/>
    <cellStyle name="Separador de milhares 3 8 9 5" xfId="18022"/>
    <cellStyle name="Separador de milhares 3 8 9 5 2" xfId="43089"/>
    <cellStyle name="Separador de milhares 3 8 9 6" xfId="11691"/>
    <cellStyle name="Separador de milhares 3 8 9 6 2" xfId="37178"/>
    <cellStyle name="Separador de milhares 3 8 9 7" xfId="29797"/>
    <cellStyle name="Separador de milhares 3 9" xfId="78"/>
    <cellStyle name="Separador de milhares 3 9 10" xfId="2581"/>
    <cellStyle name="Separador de milhares 3 9 10 2" xfId="7152"/>
    <cellStyle name="Separador de milhares 3 9 10 2 2" xfId="10296"/>
    <cellStyle name="Separador de milhares 3 9 10 2 2 2" xfId="28510"/>
    <cellStyle name="Separador de milhares 3 9 10 2 2 2 2" xfId="53577"/>
    <cellStyle name="Separador de milhares 3 9 10 2 2 3" xfId="22596"/>
    <cellStyle name="Separador de milhares 3 9 10 2 2 3 2" xfId="47663"/>
    <cellStyle name="Separador de milhares 3 9 10 2 2 4" xfId="16682"/>
    <cellStyle name="Separador de milhares 3 9 10 2 2 4 2" xfId="41749"/>
    <cellStyle name="Separador de milhares 3 9 10 2 2 5" xfId="35841"/>
    <cellStyle name="Separador de milhares 3 9 10 2 3" xfId="25553"/>
    <cellStyle name="Separador de milhares 3 9 10 2 3 2" xfId="50620"/>
    <cellStyle name="Separador de milhares 3 9 10 2 4" xfId="19639"/>
    <cellStyle name="Separador de milhares 3 9 10 2 4 2" xfId="44706"/>
    <cellStyle name="Separador de milhares 3 9 10 2 5" xfId="13541"/>
    <cellStyle name="Separador de milhares 3 9 10 2 5 2" xfId="38795"/>
    <cellStyle name="Separador de milhares 3 9 10 2 6" xfId="32884"/>
    <cellStyle name="Separador de milhares 3 9 10 3" xfId="8828"/>
    <cellStyle name="Separador de milhares 3 9 10 3 2" xfId="27042"/>
    <cellStyle name="Separador de milhares 3 9 10 3 2 2" xfId="52109"/>
    <cellStyle name="Separador de milhares 3 9 10 3 3" xfId="21128"/>
    <cellStyle name="Separador de milhares 3 9 10 3 3 2" xfId="46195"/>
    <cellStyle name="Separador de milhares 3 9 10 3 4" xfId="15214"/>
    <cellStyle name="Separador de milhares 3 9 10 3 4 2" xfId="40281"/>
    <cellStyle name="Separador de milhares 3 9 10 3 5" xfId="34373"/>
    <cellStyle name="Separador de milhares 3 9 10 4" xfId="5453"/>
    <cellStyle name="Separador de milhares 3 9 10 4 2" xfId="24085"/>
    <cellStyle name="Separador de milhares 3 9 10 4 2 2" xfId="49152"/>
    <cellStyle name="Separador de milhares 3 9 10 4 3" xfId="31416"/>
    <cellStyle name="Separador de milhares 3 9 10 5" xfId="18171"/>
    <cellStyle name="Separador de milhares 3 9 10 5 2" xfId="43238"/>
    <cellStyle name="Separador de milhares 3 9 10 6" xfId="11840"/>
    <cellStyle name="Separador de milhares 3 9 10 6 2" xfId="37327"/>
    <cellStyle name="Separador de milhares 3 9 10 7" xfId="29946"/>
    <cellStyle name="Separador de milhares 3 9 11" xfId="3108"/>
    <cellStyle name="Separador de milhares 3 9 11 2" xfId="7299"/>
    <cellStyle name="Separador de milhares 3 9 11 2 2" xfId="10443"/>
    <cellStyle name="Separador de milhares 3 9 11 2 2 2" xfId="28657"/>
    <cellStyle name="Separador de milhares 3 9 11 2 2 2 2" xfId="53724"/>
    <cellStyle name="Separador de milhares 3 9 11 2 2 3" xfId="22743"/>
    <cellStyle name="Separador de milhares 3 9 11 2 2 3 2" xfId="47810"/>
    <cellStyle name="Separador de milhares 3 9 11 2 2 4" xfId="16829"/>
    <cellStyle name="Separador de milhares 3 9 11 2 2 4 2" xfId="41896"/>
    <cellStyle name="Separador de milhares 3 9 11 2 2 5" xfId="35988"/>
    <cellStyle name="Separador de milhares 3 9 11 2 3" xfId="25700"/>
    <cellStyle name="Separador de milhares 3 9 11 2 3 2" xfId="50767"/>
    <cellStyle name="Separador de milhares 3 9 11 2 4" xfId="19786"/>
    <cellStyle name="Separador de milhares 3 9 11 2 4 2" xfId="44853"/>
    <cellStyle name="Separador de milhares 3 9 11 2 5" xfId="13688"/>
    <cellStyle name="Separador de milhares 3 9 11 2 5 2" xfId="38942"/>
    <cellStyle name="Separador de milhares 3 9 11 2 6" xfId="33031"/>
    <cellStyle name="Separador de milhares 3 9 11 3" xfId="8975"/>
    <cellStyle name="Separador de milhares 3 9 11 3 2" xfId="27189"/>
    <cellStyle name="Separador de milhares 3 9 11 3 2 2" xfId="52256"/>
    <cellStyle name="Separador de milhares 3 9 11 3 3" xfId="21275"/>
    <cellStyle name="Separador de milhares 3 9 11 3 3 2" xfId="46342"/>
    <cellStyle name="Separador de milhares 3 9 11 3 4" xfId="15361"/>
    <cellStyle name="Separador de milhares 3 9 11 3 4 2" xfId="40428"/>
    <cellStyle name="Separador de milhares 3 9 11 3 5" xfId="34520"/>
    <cellStyle name="Separador de milhares 3 9 11 4" xfId="5600"/>
    <cellStyle name="Separador de milhares 3 9 11 4 2" xfId="24232"/>
    <cellStyle name="Separador de milhares 3 9 11 4 2 2" xfId="49299"/>
    <cellStyle name="Separador de milhares 3 9 11 4 3" xfId="31563"/>
    <cellStyle name="Separador de milhares 3 9 11 5" xfId="18318"/>
    <cellStyle name="Separador de milhares 3 9 11 5 2" xfId="43385"/>
    <cellStyle name="Separador de milhares 3 9 11 6" xfId="11987"/>
    <cellStyle name="Separador de milhares 3 9 11 6 2" xfId="37474"/>
    <cellStyle name="Separador de milhares 3 9 11 7" xfId="30093"/>
    <cellStyle name="Separador de milhares 3 9 12" xfId="3635"/>
    <cellStyle name="Separador de milhares 3 9 12 2" xfId="7446"/>
    <cellStyle name="Separador de milhares 3 9 12 2 2" xfId="10590"/>
    <cellStyle name="Separador de milhares 3 9 12 2 2 2" xfId="28804"/>
    <cellStyle name="Separador de milhares 3 9 12 2 2 2 2" xfId="53871"/>
    <cellStyle name="Separador de milhares 3 9 12 2 2 3" xfId="22890"/>
    <cellStyle name="Separador de milhares 3 9 12 2 2 3 2" xfId="47957"/>
    <cellStyle name="Separador de milhares 3 9 12 2 2 4" xfId="16976"/>
    <cellStyle name="Separador de milhares 3 9 12 2 2 4 2" xfId="42043"/>
    <cellStyle name="Separador de milhares 3 9 12 2 2 5" xfId="36135"/>
    <cellStyle name="Separador de milhares 3 9 12 2 3" xfId="25847"/>
    <cellStyle name="Separador de milhares 3 9 12 2 3 2" xfId="50914"/>
    <cellStyle name="Separador de milhares 3 9 12 2 4" xfId="19933"/>
    <cellStyle name="Separador de milhares 3 9 12 2 4 2" xfId="45000"/>
    <cellStyle name="Separador de milhares 3 9 12 2 5" xfId="13835"/>
    <cellStyle name="Separador de milhares 3 9 12 2 5 2" xfId="39089"/>
    <cellStyle name="Separador de milhares 3 9 12 2 6" xfId="33178"/>
    <cellStyle name="Separador de milhares 3 9 12 3" xfId="9122"/>
    <cellStyle name="Separador de milhares 3 9 12 3 2" xfId="27336"/>
    <cellStyle name="Separador de milhares 3 9 12 3 2 2" xfId="52403"/>
    <cellStyle name="Separador de milhares 3 9 12 3 3" xfId="21422"/>
    <cellStyle name="Separador de milhares 3 9 12 3 3 2" xfId="46489"/>
    <cellStyle name="Separador de milhares 3 9 12 3 4" xfId="15508"/>
    <cellStyle name="Separador de milhares 3 9 12 3 4 2" xfId="40575"/>
    <cellStyle name="Separador de milhares 3 9 12 3 5" xfId="34667"/>
    <cellStyle name="Separador de milhares 3 9 12 4" xfId="5747"/>
    <cellStyle name="Separador de milhares 3 9 12 4 2" xfId="24379"/>
    <cellStyle name="Separador de milhares 3 9 12 4 2 2" xfId="49446"/>
    <cellStyle name="Separador de milhares 3 9 12 4 3" xfId="31710"/>
    <cellStyle name="Separador de milhares 3 9 12 5" xfId="18465"/>
    <cellStyle name="Separador de milhares 3 9 12 5 2" xfId="43532"/>
    <cellStyle name="Separador de milhares 3 9 12 6" xfId="12134"/>
    <cellStyle name="Separador de milhares 3 9 12 6 2" xfId="37621"/>
    <cellStyle name="Separador de milhares 3 9 12 7" xfId="30240"/>
    <cellStyle name="Separador de milhares 3 9 13" xfId="6430"/>
    <cellStyle name="Separador de milhares 3 9 13 2" xfId="9586"/>
    <cellStyle name="Separador de milhares 3 9 13 2 2" xfId="27800"/>
    <cellStyle name="Separador de milhares 3 9 13 2 2 2" xfId="52867"/>
    <cellStyle name="Separador de milhares 3 9 13 2 3" xfId="21886"/>
    <cellStyle name="Separador de milhares 3 9 13 2 3 2" xfId="46953"/>
    <cellStyle name="Separador de milhares 3 9 13 2 4" xfId="15972"/>
    <cellStyle name="Separador de milhares 3 9 13 2 4 2" xfId="41039"/>
    <cellStyle name="Separador de milhares 3 9 13 2 5" xfId="35131"/>
    <cellStyle name="Separador de milhares 3 9 13 3" xfId="24843"/>
    <cellStyle name="Separador de milhares 3 9 13 3 2" xfId="49910"/>
    <cellStyle name="Separador de milhares 3 9 13 4" xfId="18929"/>
    <cellStyle name="Separador de milhares 3 9 13 4 2" xfId="43996"/>
    <cellStyle name="Separador de milhares 3 9 13 5" xfId="12819"/>
    <cellStyle name="Separador de milhares 3 9 13 5 2" xfId="38085"/>
    <cellStyle name="Separador de milhares 3 9 13 6" xfId="32174"/>
    <cellStyle name="Separador de milhares 3 9 14" xfId="8115"/>
    <cellStyle name="Separador de milhares 3 9 14 2" xfId="26329"/>
    <cellStyle name="Separador de milhares 3 9 14 2 2" xfId="51396"/>
    <cellStyle name="Separador de milhares 3 9 14 3" xfId="20415"/>
    <cellStyle name="Separador de milhares 3 9 14 3 2" xfId="45482"/>
    <cellStyle name="Separador de milhares 3 9 14 4" xfId="14504"/>
    <cellStyle name="Separador de milhares 3 9 14 4 2" xfId="39571"/>
    <cellStyle name="Separador de milhares 3 9 14 5" xfId="33660"/>
    <cellStyle name="Separador de milhares 3 9 15" xfId="4728"/>
    <cellStyle name="Separador de milhares 3 9 15 2" xfId="23372"/>
    <cellStyle name="Separador de milhares 3 9 15 2 2" xfId="48439"/>
    <cellStyle name="Separador de milhares 3 9 15 3" xfId="30704"/>
    <cellStyle name="Separador de milhares 3 9 16" xfId="17458"/>
    <cellStyle name="Separador de milhares 3 9 16 2" xfId="42525"/>
    <cellStyle name="Separador de milhares 3 9 17" xfId="11118"/>
    <cellStyle name="Separador de milhares 3 9 17 2" xfId="36617"/>
    <cellStyle name="Separador de milhares 3 9 18" xfId="29232"/>
    <cellStyle name="Separador de milhares 3 9 2" xfId="172"/>
    <cellStyle name="Separador de milhares 3 9 2 10" xfId="6459"/>
    <cellStyle name="Separador de milhares 3 9 2 10 2" xfId="9613"/>
    <cellStyle name="Separador de milhares 3 9 2 10 2 2" xfId="27827"/>
    <cellStyle name="Separador de milhares 3 9 2 10 2 2 2" xfId="52894"/>
    <cellStyle name="Separador de milhares 3 9 2 10 2 3" xfId="21913"/>
    <cellStyle name="Separador de milhares 3 9 2 10 2 3 2" xfId="46980"/>
    <cellStyle name="Separador de milhares 3 9 2 10 2 4" xfId="15999"/>
    <cellStyle name="Separador de milhares 3 9 2 10 2 4 2" xfId="41066"/>
    <cellStyle name="Separador de milhares 3 9 2 10 2 5" xfId="35158"/>
    <cellStyle name="Separador de milhares 3 9 2 10 3" xfId="24870"/>
    <cellStyle name="Separador de milhares 3 9 2 10 3 2" xfId="49937"/>
    <cellStyle name="Separador de milhares 3 9 2 10 4" xfId="18956"/>
    <cellStyle name="Separador de milhares 3 9 2 10 4 2" xfId="44023"/>
    <cellStyle name="Separador de milhares 3 9 2 10 5" xfId="12848"/>
    <cellStyle name="Separador de milhares 3 9 2 10 5 2" xfId="38112"/>
    <cellStyle name="Separador de milhares 3 9 2 10 6" xfId="32201"/>
    <cellStyle name="Separador de milhares 3 9 2 11" xfId="8142"/>
    <cellStyle name="Separador de milhares 3 9 2 11 2" xfId="26356"/>
    <cellStyle name="Separador de milhares 3 9 2 11 2 2" xfId="51423"/>
    <cellStyle name="Separador de milhares 3 9 2 11 3" xfId="20442"/>
    <cellStyle name="Separador de milhares 3 9 2 11 3 2" xfId="45509"/>
    <cellStyle name="Separador de milhares 3 9 2 11 4" xfId="14531"/>
    <cellStyle name="Separador de milhares 3 9 2 11 4 2" xfId="39598"/>
    <cellStyle name="Separador de milhares 3 9 2 11 5" xfId="33687"/>
    <cellStyle name="Separador de milhares 3 9 2 12" xfId="4758"/>
    <cellStyle name="Separador de milhares 3 9 2 12 2" xfId="23399"/>
    <cellStyle name="Separador de milhares 3 9 2 12 2 2" xfId="48466"/>
    <cellStyle name="Separador de milhares 3 9 2 12 3" xfId="30731"/>
    <cellStyle name="Separador de milhares 3 9 2 13" xfId="17485"/>
    <cellStyle name="Separador de milhares 3 9 2 13 2" xfId="42552"/>
    <cellStyle name="Separador de milhares 3 9 2 14" xfId="11147"/>
    <cellStyle name="Separador de milhares 3 9 2 14 2" xfId="36644"/>
    <cellStyle name="Separador de milhares 3 9 2 15" xfId="29260"/>
    <cellStyle name="Separador de milhares 3 9 2 2" xfId="445"/>
    <cellStyle name="Separador de milhares 3 9 2 2 10" xfId="17559"/>
    <cellStyle name="Separador de milhares 3 9 2 2 10 2" xfId="42626"/>
    <cellStyle name="Separador de milhares 3 9 2 2 11" xfId="11228"/>
    <cellStyle name="Separador de milhares 3 9 2 2 11 2" xfId="36718"/>
    <cellStyle name="Separador de milhares 3 9 2 2 12" xfId="29334"/>
    <cellStyle name="Separador de milhares 3 9 2 2 2" xfId="1964"/>
    <cellStyle name="Separador de milhares 3 9 2 2 2 2" xfId="6978"/>
    <cellStyle name="Separador de milhares 3 9 2 2 2 2 2" xfId="10125"/>
    <cellStyle name="Separador de milhares 3 9 2 2 2 2 2 2" xfId="28339"/>
    <cellStyle name="Separador de milhares 3 9 2 2 2 2 2 2 2" xfId="53406"/>
    <cellStyle name="Separador de milhares 3 9 2 2 2 2 2 3" xfId="22425"/>
    <cellStyle name="Separador de milhares 3 9 2 2 2 2 2 3 2" xfId="47492"/>
    <cellStyle name="Separador de milhares 3 9 2 2 2 2 2 4" xfId="16511"/>
    <cellStyle name="Separador de milhares 3 9 2 2 2 2 2 4 2" xfId="41578"/>
    <cellStyle name="Separador de milhares 3 9 2 2 2 2 2 5" xfId="35670"/>
    <cellStyle name="Separador de milhares 3 9 2 2 2 2 3" xfId="25382"/>
    <cellStyle name="Separador de milhares 3 9 2 2 2 2 3 2" xfId="50449"/>
    <cellStyle name="Separador de milhares 3 9 2 2 2 2 4" xfId="19468"/>
    <cellStyle name="Separador de milhares 3 9 2 2 2 2 4 2" xfId="44535"/>
    <cellStyle name="Separador de milhares 3 9 2 2 2 2 5" xfId="13367"/>
    <cellStyle name="Separador de milhares 3 9 2 2 2 2 5 2" xfId="38624"/>
    <cellStyle name="Separador de milhares 3 9 2 2 2 2 6" xfId="32713"/>
    <cellStyle name="Separador de milhares 3 9 2 2 2 3" xfId="8657"/>
    <cellStyle name="Separador de milhares 3 9 2 2 2 3 2" xfId="26871"/>
    <cellStyle name="Separador de milhares 3 9 2 2 2 3 2 2" xfId="51938"/>
    <cellStyle name="Separador de milhares 3 9 2 2 2 3 3" xfId="20957"/>
    <cellStyle name="Separador de milhares 3 9 2 2 2 3 3 2" xfId="46024"/>
    <cellStyle name="Separador de milhares 3 9 2 2 2 3 4" xfId="15043"/>
    <cellStyle name="Separador de milhares 3 9 2 2 2 3 4 2" xfId="40110"/>
    <cellStyle name="Separador de milhares 3 9 2 2 2 3 5" xfId="34202"/>
    <cellStyle name="Separador de milhares 3 9 2 2 2 4" xfId="5279"/>
    <cellStyle name="Separador de milhares 3 9 2 2 2 4 2" xfId="23914"/>
    <cellStyle name="Separador de milhares 3 9 2 2 2 4 2 2" xfId="48981"/>
    <cellStyle name="Separador de milhares 3 9 2 2 2 4 3" xfId="31245"/>
    <cellStyle name="Separador de milhares 3 9 2 2 2 5" xfId="18000"/>
    <cellStyle name="Separador de milhares 3 9 2 2 2 5 2" xfId="43067"/>
    <cellStyle name="Separador de milhares 3 9 2 2 2 6" xfId="11666"/>
    <cellStyle name="Separador de milhares 3 9 2 2 2 6 2" xfId="37156"/>
    <cellStyle name="Separador de milhares 3 9 2 2 2 7" xfId="29775"/>
    <cellStyle name="Separador de milhares 3 9 2 2 3" xfId="2494"/>
    <cellStyle name="Separador de milhares 3 9 2 2 3 2" xfId="7128"/>
    <cellStyle name="Separador de milhares 3 9 2 2 3 2 2" xfId="10272"/>
    <cellStyle name="Separador de milhares 3 9 2 2 3 2 2 2" xfId="28486"/>
    <cellStyle name="Separador de milhares 3 9 2 2 3 2 2 2 2" xfId="53553"/>
    <cellStyle name="Separador de milhares 3 9 2 2 3 2 2 3" xfId="22572"/>
    <cellStyle name="Separador de milhares 3 9 2 2 3 2 2 3 2" xfId="47639"/>
    <cellStyle name="Separador de milhares 3 9 2 2 3 2 2 4" xfId="16658"/>
    <cellStyle name="Separador de milhares 3 9 2 2 3 2 2 4 2" xfId="41725"/>
    <cellStyle name="Separador de milhares 3 9 2 2 3 2 2 5" xfId="35817"/>
    <cellStyle name="Separador de milhares 3 9 2 2 3 2 3" xfId="25529"/>
    <cellStyle name="Separador de milhares 3 9 2 2 3 2 3 2" xfId="50596"/>
    <cellStyle name="Separador de milhares 3 9 2 2 3 2 4" xfId="19615"/>
    <cellStyle name="Separador de milhares 3 9 2 2 3 2 4 2" xfId="44682"/>
    <cellStyle name="Separador de milhares 3 9 2 2 3 2 5" xfId="13517"/>
    <cellStyle name="Separador de milhares 3 9 2 2 3 2 5 2" xfId="38771"/>
    <cellStyle name="Separador de milhares 3 9 2 2 3 2 6" xfId="32860"/>
    <cellStyle name="Separador de milhares 3 9 2 2 3 3" xfId="8804"/>
    <cellStyle name="Separador de milhares 3 9 2 2 3 3 2" xfId="27018"/>
    <cellStyle name="Separador de milhares 3 9 2 2 3 3 2 2" xfId="52085"/>
    <cellStyle name="Separador de milhares 3 9 2 2 3 3 3" xfId="21104"/>
    <cellStyle name="Separador de milhares 3 9 2 2 3 3 3 2" xfId="46171"/>
    <cellStyle name="Separador de milhares 3 9 2 2 3 3 4" xfId="15190"/>
    <cellStyle name="Separador de milhares 3 9 2 2 3 3 4 2" xfId="40257"/>
    <cellStyle name="Separador de milhares 3 9 2 2 3 3 5" xfId="34349"/>
    <cellStyle name="Separador de milhares 3 9 2 2 3 4" xfId="5429"/>
    <cellStyle name="Separador de milhares 3 9 2 2 3 4 2" xfId="24061"/>
    <cellStyle name="Separador de milhares 3 9 2 2 3 4 2 2" xfId="49128"/>
    <cellStyle name="Separador de milhares 3 9 2 2 3 4 3" xfId="31392"/>
    <cellStyle name="Separador de milhares 3 9 2 2 3 5" xfId="18147"/>
    <cellStyle name="Separador de milhares 3 9 2 2 3 5 2" xfId="43214"/>
    <cellStyle name="Separador de milhares 3 9 2 2 3 6" xfId="11816"/>
    <cellStyle name="Separador de milhares 3 9 2 2 3 6 2" xfId="37303"/>
    <cellStyle name="Separador de milhares 3 9 2 2 3 7" xfId="29922"/>
    <cellStyle name="Separador de milhares 3 9 2 2 4" xfId="3021"/>
    <cellStyle name="Separador de milhares 3 9 2 2 4 2" xfId="7275"/>
    <cellStyle name="Separador de milhares 3 9 2 2 4 2 2" xfId="10419"/>
    <cellStyle name="Separador de milhares 3 9 2 2 4 2 2 2" xfId="28633"/>
    <cellStyle name="Separador de milhares 3 9 2 2 4 2 2 2 2" xfId="53700"/>
    <cellStyle name="Separador de milhares 3 9 2 2 4 2 2 3" xfId="22719"/>
    <cellStyle name="Separador de milhares 3 9 2 2 4 2 2 3 2" xfId="47786"/>
    <cellStyle name="Separador de milhares 3 9 2 2 4 2 2 4" xfId="16805"/>
    <cellStyle name="Separador de milhares 3 9 2 2 4 2 2 4 2" xfId="41872"/>
    <cellStyle name="Separador de milhares 3 9 2 2 4 2 2 5" xfId="35964"/>
    <cellStyle name="Separador de milhares 3 9 2 2 4 2 3" xfId="25676"/>
    <cellStyle name="Separador de milhares 3 9 2 2 4 2 3 2" xfId="50743"/>
    <cellStyle name="Separador de milhares 3 9 2 2 4 2 4" xfId="19762"/>
    <cellStyle name="Separador de milhares 3 9 2 2 4 2 4 2" xfId="44829"/>
    <cellStyle name="Separador de milhares 3 9 2 2 4 2 5" xfId="13664"/>
    <cellStyle name="Separador de milhares 3 9 2 2 4 2 5 2" xfId="38918"/>
    <cellStyle name="Separador de milhares 3 9 2 2 4 2 6" xfId="33007"/>
    <cellStyle name="Separador de milhares 3 9 2 2 4 3" xfId="8951"/>
    <cellStyle name="Separador de milhares 3 9 2 2 4 3 2" xfId="27165"/>
    <cellStyle name="Separador de milhares 3 9 2 2 4 3 2 2" xfId="52232"/>
    <cellStyle name="Separador de milhares 3 9 2 2 4 3 3" xfId="21251"/>
    <cellStyle name="Separador de milhares 3 9 2 2 4 3 3 2" xfId="46318"/>
    <cellStyle name="Separador de milhares 3 9 2 2 4 3 4" xfId="15337"/>
    <cellStyle name="Separador de milhares 3 9 2 2 4 3 4 2" xfId="40404"/>
    <cellStyle name="Separador de milhares 3 9 2 2 4 3 5" xfId="34496"/>
    <cellStyle name="Separador de milhares 3 9 2 2 4 4" xfId="5576"/>
    <cellStyle name="Separador de milhares 3 9 2 2 4 4 2" xfId="24208"/>
    <cellStyle name="Separador de milhares 3 9 2 2 4 4 2 2" xfId="49275"/>
    <cellStyle name="Separador de milhares 3 9 2 2 4 4 3" xfId="31539"/>
    <cellStyle name="Separador de milhares 3 9 2 2 4 5" xfId="18294"/>
    <cellStyle name="Separador de milhares 3 9 2 2 4 5 2" xfId="43361"/>
    <cellStyle name="Separador de milhares 3 9 2 2 4 6" xfId="11963"/>
    <cellStyle name="Separador de milhares 3 9 2 2 4 6 2" xfId="37450"/>
    <cellStyle name="Separador de milhares 3 9 2 2 4 7" xfId="30069"/>
    <cellStyle name="Separador de milhares 3 9 2 2 5" xfId="3548"/>
    <cellStyle name="Separador de milhares 3 9 2 2 5 2" xfId="7422"/>
    <cellStyle name="Separador de milhares 3 9 2 2 5 2 2" xfId="10566"/>
    <cellStyle name="Separador de milhares 3 9 2 2 5 2 2 2" xfId="28780"/>
    <cellStyle name="Separador de milhares 3 9 2 2 5 2 2 2 2" xfId="53847"/>
    <cellStyle name="Separador de milhares 3 9 2 2 5 2 2 3" xfId="22866"/>
    <cellStyle name="Separador de milhares 3 9 2 2 5 2 2 3 2" xfId="47933"/>
    <cellStyle name="Separador de milhares 3 9 2 2 5 2 2 4" xfId="16952"/>
    <cellStyle name="Separador de milhares 3 9 2 2 5 2 2 4 2" xfId="42019"/>
    <cellStyle name="Separador de milhares 3 9 2 2 5 2 2 5" xfId="36111"/>
    <cellStyle name="Separador de milhares 3 9 2 2 5 2 3" xfId="25823"/>
    <cellStyle name="Separador de milhares 3 9 2 2 5 2 3 2" xfId="50890"/>
    <cellStyle name="Separador de milhares 3 9 2 2 5 2 4" xfId="19909"/>
    <cellStyle name="Separador de milhares 3 9 2 2 5 2 4 2" xfId="44976"/>
    <cellStyle name="Separador de milhares 3 9 2 2 5 2 5" xfId="13811"/>
    <cellStyle name="Separador de milhares 3 9 2 2 5 2 5 2" xfId="39065"/>
    <cellStyle name="Separador de milhares 3 9 2 2 5 2 6" xfId="33154"/>
    <cellStyle name="Separador de milhares 3 9 2 2 5 3" xfId="9098"/>
    <cellStyle name="Separador de milhares 3 9 2 2 5 3 2" xfId="27312"/>
    <cellStyle name="Separador de milhares 3 9 2 2 5 3 2 2" xfId="52379"/>
    <cellStyle name="Separador de milhares 3 9 2 2 5 3 3" xfId="21398"/>
    <cellStyle name="Separador de milhares 3 9 2 2 5 3 3 2" xfId="46465"/>
    <cellStyle name="Separador de milhares 3 9 2 2 5 3 4" xfId="15484"/>
    <cellStyle name="Separador de milhares 3 9 2 2 5 3 4 2" xfId="40551"/>
    <cellStyle name="Separador de milhares 3 9 2 2 5 3 5" xfId="34643"/>
    <cellStyle name="Separador de milhares 3 9 2 2 5 4" xfId="5723"/>
    <cellStyle name="Separador de milhares 3 9 2 2 5 4 2" xfId="24355"/>
    <cellStyle name="Separador de milhares 3 9 2 2 5 4 2 2" xfId="49422"/>
    <cellStyle name="Separador de milhares 3 9 2 2 5 4 3" xfId="31686"/>
    <cellStyle name="Separador de milhares 3 9 2 2 5 5" xfId="18441"/>
    <cellStyle name="Separador de milhares 3 9 2 2 5 5 2" xfId="43508"/>
    <cellStyle name="Separador de milhares 3 9 2 2 5 6" xfId="12110"/>
    <cellStyle name="Separador de milhares 3 9 2 2 5 6 2" xfId="37597"/>
    <cellStyle name="Separador de milhares 3 9 2 2 5 7" xfId="30216"/>
    <cellStyle name="Separador de milhares 3 9 2 2 6" xfId="4075"/>
    <cellStyle name="Separador de milhares 3 9 2 2 6 2" xfId="7569"/>
    <cellStyle name="Separador de milhares 3 9 2 2 6 2 2" xfId="10713"/>
    <cellStyle name="Separador de milhares 3 9 2 2 6 2 2 2" xfId="28927"/>
    <cellStyle name="Separador de milhares 3 9 2 2 6 2 2 2 2" xfId="53994"/>
    <cellStyle name="Separador de milhares 3 9 2 2 6 2 2 3" xfId="23013"/>
    <cellStyle name="Separador de milhares 3 9 2 2 6 2 2 3 2" xfId="48080"/>
    <cellStyle name="Separador de milhares 3 9 2 2 6 2 2 4" xfId="17099"/>
    <cellStyle name="Separador de milhares 3 9 2 2 6 2 2 4 2" xfId="42166"/>
    <cellStyle name="Separador de milhares 3 9 2 2 6 2 2 5" xfId="36258"/>
    <cellStyle name="Separador de milhares 3 9 2 2 6 2 3" xfId="25970"/>
    <cellStyle name="Separador de milhares 3 9 2 2 6 2 3 2" xfId="51037"/>
    <cellStyle name="Separador de milhares 3 9 2 2 6 2 4" xfId="20056"/>
    <cellStyle name="Separador de milhares 3 9 2 2 6 2 4 2" xfId="45123"/>
    <cellStyle name="Separador de milhares 3 9 2 2 6 2 5" xfId="13958"/>
    <cellStyle name="Separador de milhares 3 9 2 2 6 2 5 2" xfId="39212"/>
    <cellStyle name="Separador de milhares 3 9 2 2 6 2 6" xfId="33301"/>
    <cellStyle name="Separador de milhares 3 9 2 2 6 3" xfId="9245"/>
    <cellStyle name="Separador de milhares 3 9 2 2 6 3 2" xfId="27459"/>
    <cellStyle name="Separador de milhares 3 9 2 2 6 3 2 2" xfId="52526"/>
    <cellStyle name="Separador de milhares 3 9 2 2 6 3 3" xfId="21545"/>
    <cellStyle name="Separador de milhares 3 9 2 2 6 3 3 2" xfId="46612"/>
    <cellStyle name="Separador de milhares 3 9 2 2 6 3 4" xfId="15631"/>
    <cellStyle name="Separador de milhares 3 9 2 2 6 3 4 2" xfId="40698"/>
    <cellStyle name="Separador de milhares 3 9 2 2 6 3 5" xfId="34790"/>
    <cellStyle name="Separador de milhares 3 9 2 2 6 4" xfId="5870"/>
    <cellStyle name="Separador de milhares 3 9 2 2 6 4 2" xfId="24502"/>
    <cellStyle name="Separador de milhares 3 9 2 2 6 4 2 2" xfId="49569"/>
    <cellStyle name="Separador de milhares 3 9 2 2 6 4 3" xfId="31833"/>
    <cellStyle name="Separador de milhares 3 9 2 2 6 5" xfId="18588"/>
    <cellStyle name="Separador de milhares 3 9 2 2 6 5 2" xfId="43655"/>
    <cellStyle name="Separador de milhares 3 9 2 2 6 6" xfId="12257"/>
    <cellStyle name="Separador de milhares 3 9 2 2 6 6 2" xfId="37744"/>
    <cellStyle name="Separador de milhares 3 9 2 2 6 7" xfId="30363"/>
    <cellStyle name="Separador de milhares 3 9 2 2 7" xfId="6540"/>
    <cellStyle name="Separador de milhares 3 9 2 2 7 2" xfId="9687"/>
    <cellStyle name="Separador de milhares 3 9 2 2 7 2 2" xfId="27901"/>
    <cellStyle name="Separador de milhares 3 9 2 2 7 2 2 2" xfId="52968"/>
    <cellStyle name="Separador de milhares 3 9 2 2 7 2 3" xfId="21987"/>
    <cellStyle name="Separador de milhares 3 9 2 2 7 2 3 2" xfId="47054"/>
    <cellStyle name="Separador de milhares 3 9 2 2 7 2 4" xfId="16073"/>
    <cellStyle name="Separador de milhares 3 9 2 2 7 2 4 2" xfId="41140"/>
    <cellStyle name="Separador de milhares 3 9 2 2 7 2 5" xfId="35232"/>
    <cellStyle name="Separador de milhares 3 9 2 2 7 3" xfId="24944"/>
    <cellStyle name="Separador de milhares 3 9 2 2 7 3 2" xfId="50011"/>
    <cellStyle name="Separador de milhares 3 9 2 2 7 4" xfId="19030"/>
    <cellStyle name="Separador de milhares 3 9 2 2 7 4 2" xfId="44097"/>
    <cellStyle name="Separador de milhares 3 9 2 2 7 5" xfId="12929"/>
    <cellStyle name="Separador de milhares 3 9 2 2 7 5 2" xfId="38186"/>
    <cellStyle name="Separador de milhares 3 9 2 2 7 6" xfId="32275"/>
    <cellStyle name="Separador de milhares 3 9 2 2 8" xfId="8216"/>
    <cellStyle name="Separador de milhares 3 9 2 2 8 2" xfId="26430"/>
    <cellStyle name="Separador de milhares 3 9 2 2 8 2 2" xfId="51497"/>
    <cellStyle name="Separador de milhares 3 9 2 2 8 3" xfId="20516"/>
    <cellStyle name="Separador de milhares 3 9 2 2 8 3 2" xfId="45583"/>
    <cellStyle name="Separador de milhares 3 9 2 2 8 4" xfId="14605"/>
    <cellStyle name="Separador de milhares 3 9 2 2 8 4 2" xfId="39672"/>
    <cellStyle name="Separador de milhares 3 9 2 2 8 5" xfId="33761"/>
    <cellStyle name="Separador de milhares 3 9 2 2 9" xfId="4839"/>
    <cellStyle name="Separador de milhares 3 9 2 2 9 2" xfId="23473"/>
    <cellStyle name="Separador de milhares 3 9 2 2 9 2 2" xfId="48540"/>
    <cellStyle name="Separador de milhares 3 9 2 2 9 3" xfId="30805"/>
    <cellStyle name="Separador de milhares 3 9 2 3" xfId="918"/>
    <cellStyle name="Separador de milhares 3 9 2 3 2" xfId="6691"/>
    <cellStyle name="Separador de milhares 3 9 2 3 2 2" xfId="9838"/>
    <cellStyle name="Separador de milhares 3 9 2 3 2 2 2" xfId="28052"/>
    <cellStyle name="Separador de milhares 3 9 2 3 2 2 2 2" xfId="53119"/>
    <cellStyle name="Separador de milhares 3 9 2 3 2 2 3" xfId="22138"/>
    <cellStyle name="Separador de milhares 3 9 2 3 2 2 3 2" xfId="47205"/>
    <cellStyle name="Separador de milhares 3 9 2 3 2 2 4" xfId="16224"/>
    <cellStyle name="Separador de milhares 3 9 2 3 2 2 4 2" xfId="41291"/>
    <cellStyle name="Separador de milhares 3 9 2 3 2 2 5" xfId="35383"/>
    <cellStyle name="Separador de milhares 3 9 2 3 2 3" xfId="25095"/>
    <cellStyle name="Separador de milhares 3 9 2 3 2 3 2" xfId="50162"/>
    <cellStyle name="Separador de milhares 3 9 2 3 2 4" xfId="19181"/>
    <cellStyle name="Separador de milhares 3 9 2 3 2 4 2" xfId="44248"/>
    <cellStyle name="Separador de milhares 3 9 2 3 2 5" xfId="13080"/>
    <cellStyle name="Separador de milhares 3 9 2 3 2 5 2" xfId="38337"/>
    <cellStyle name="Separador de milhares 3 9 2 3 2 6" xfId="32426"/>
    <cellStyle name="Separador de milhares 3 9 2 3 3" xfId="8370"/>
    <cellStyle name="Separador de milhares 3 9 2 3 3 2" xfId="26584"/>
    <cellStyle name="Separador de milhares 3 9 2 3 3 2 2" xfId="51651"/>
    <cellStyle name="Separador de milhares 3 9 2 3 3 3" xfId="20670"/>
    <cellStyle name="Separador de milhares 3 9 2 3 3 3 2" xfId="45737"/>
    <cellStyle name="Separador de milhares 3 9 2 3 3 4" xfId="14756"/>
    <cellStyle name="Separador de milhares 3 9 2 3 3 4 2" xfId="39823"/>
    <cellStyle name="Separador de milhares 3 9 2 3 3 5" xfId="33915"/>
    <cellStyle name="Separador de milhares 3 9 2 3 4" xfId="4992"/>
    <cellStyle name="Separador de milhares 3 9 2 3 4 2" xfId="23627"/>
    <cellStyle name="Separador de milhares 3 9 2 3 4 2 2" xfId="48694"/>
    <cellStyle name="Separador de milhares 3 9 2 3 4 3" xfId="30958"/>
    <cellStyle name="Separador de milhares 3 9 2 3 5" xfId="17713"/>
    <cellStyle name="Separador de milhares 3 9 2 3 5 2" xfId="42780"/>
    <cellStyle name="Separador de milhares 3 9 2 3 6" xfId="11379"/>
    <cellStyle name="Separador de milhares 3 9 2 3 6 2" xfId="36869"/>
    <cellStyle name="Separador de milhares 3 9 2 3 7" xfId="29488"/>
    <cellStyle name="Separador de milhares 3 9 2 4" xfId="1269"/>
    <cellStyle name="Separador de milhares 3 9 2 4 2" xfId="6789"/>
    <cellStyle name="Separador de milhares 3 9 2 4 2 2" xfId="9936"/>
    <cellStyle name="Separador de milhares 3 9 2 4 2 2 2" xfId="28150"/>
    <cellStyle name="Separador de milhares 3 9 2 4 2 2 2 2" xfId="53217"/>
    <cellStyle name="Separador de milhares 3 9 2 4 2 2 3" xfId="22236"/>
    <cellStyle name="Separador de milhares 3 9 2 4 2 2 3 2" xfId="47303"/>
    <cellStyle name="Separador de milhares 3 9 2 4 2 2 4" xfId="16322"/>
    <cellStyle name="Separador de milhares 3 9 2 4 2 2 4 2" xfId="41389"/>
    <cellStyle name="Separador de milhares 3 9 2 4 2 2 5" xfId="35481"/>
    <cellStyle name="Separador de milhares 3 9 2 4 2 3" xfId="25193"/>
    <cellStyle name="Separador de milhares 3 9 2 4 2 3 2" xfId="50260"/>
    <cellStyle name="Separador de milhares 3 9 2 4 2 4" xfId="19279"/>
    <cellStyle name="Separador de milhares 3 9 2 4 2 4 2" xfId="44346"/>
    <cellStyle name="Separador de milhares 3 9 2 4 2 5" xfId="13178"/>
    <cellStyle name="Separador de milhares 3 9 2 4 2 5 2" xfId="38435"/>
    <cellStyle name="Separador de milhares 3 9 2 4 2 6" xfId="32524"/>
    <cellStyle name="Separador de milhares 3 9 2 4 3" xfId="8468"/>
    <cellStyle name="Separador de milhares 3 9 2 4 3 2" xfId="26682"/>
    <cellStyle name="Separador de milhares 3 9 2 4 3 2 2" xfId="51749"/>
    <cellStyle name="Separador de milhares 3 9 2 4 3 3" xfId="20768"/>
    <cellStyle name="Separador de milhares 3 9 2 4 3 3 2" xfId="45835"/>
    <cellStyle name="Separador de milhares 3 9 2 4 3 4" xfId="14854"/>
    <cellStyle name="Separador de milhares 3 9 2 4 3 4 2" xfId="39921"/>
    <cellStyle name="Separador de milhares 3 9 2 4 3 5" xfId="34013"/>
    <cellStyle name="Separador de milhares 3 9 2 4 4" xfId="5090"/>
    <cellStyle name="Separador de milhares 3 9 2 4 4 2" xfId="23725"/>
    <cellStyle name="Separador de milhares 3 9 2 4 4 2 2" xfId="48792"/>
    <cellStyle name="Separador de milhares 3 9 2 4 4 3" xfId="31056"/>
    <cellStyle name="Separador de milhares 3 9 2 4 5" xfId="17811"/>
    <cellStyle name="Separador de milhares 3 9 2 4 5 2" xfId="42878"/>
    <cellStyle name="Separador de milhares 3 9 2 4 6" xfId="11477"/>
    <cellStyle name="Separador de milhares 3 9 2 4 6 2" xfId="36967"/>
    <cellStyle name="Separador de milhares 3 9 2 4 7" xfId="29586"/>
    <cellStyle name="Separador de milhares 3 9 2 5" xfId="1704"/>
    <cellStyle name="Separador de milhares 3 9 2 5 2" xfId="6908"/>
    <cellStyle name="Separador de milhares 3 9 2 5 2 2" xfId="10055"/>
    <cellStyle name="Separador de milhares 3 9 2 5 2 2 2" xfId="28269"/>
    <cellStyle name="Separador de milhares 3 9 2 5 2 2 2 2" xfId="53336"/>
    <cellStyle name="Separador de milhares 3 9 2 5 2 2 3" xfId="22355"/>
    <cellStyle name="Separador de milhares 3 9 2 5 2 2 3 2" xfId="47422"/>
    <cellStyle name="Separador de milhares 3 9 2 5 2 2 4" xfId="16441"/>
    <cellStyle name="Separador de milhares 3 9 2 5 2 2 4 2" xfId="41508"/>
    <cellStyle name="Separador de milhares 3 9 2 5 2 2 5" xfId="35600"/>
    <cellStyle name="Separador de milhares 3 9 2 5 2 3" xfId="25312"/>
    <cellStyle name="Separador de milhares 3 9 2 5 2 3 2" xfId="50379"/>
    <cellStyle name="Separador de milhares 3 9 2 5 2 4" xfId="19398"/>
    <cellStyle name="Separador de milhares 3 9 2 5 2 4 2" xfId="44465"/>
    <cellStyle name="Separador de milhares 3 9 2 5 2 5" xfId="13297"/>
    <cellStyle name="Separador de milhares 3 9 2 5 2 5 2" xfId="38554"/>
    <cellStyle name="Separador de milhares 3 9 2 5 2 6" xfId="32643"/>
    <cellStyle name="Separador de milhares 3 9 2 5 3" xfId="8587"/>
    <cellStyle name="Separador de milhares 3 9 2 5 3 2" xfId="26801"/>
    <cellStyle name="Separador de milhares 3 9 2 5 3 2 2" xfId="51868"/>
    <cellStyle name="Separador de milhares 3 9 2 5 3 3" xfId="20887"/>
    <cellStyle name="Separador de milhares 3 9 2 5 3 3 2" xfId="45954"/>
    <cellStyle name="Separador de milhares 3 9 2 5 3 4" xfId="14973"/>
    <cellStyle name="Separador de milhares 3 9 2 5 3 4 2" xfId="40040"/>
    <cellStyle name="Separador de milhares 3 9 2 5 3 5" xfId="34132"/>
    <cellStyle name="Separador de milhares 3 9 2 5 4" xfId="5209"/>
    <cellStyle name="Separador de milhares 3 9 2 5 4 2" xfId="23844"/>
    <cellStyle name="Separador de milhares 3 9 2 5 4 2 2" xfId="48911"/>
    <cellStyle name="Separador de milhares 3 9 2 5 4 3" xfId="31175"/>
    <cellStyle name="Separador de milhares 3 9 2 5 5" xfId="17930"/>
    <cellStyle name="Separador de milhares 3 9 2 5 5 2" xfId="42997"/>
    <cellStyle name="Separador de milhares 3 9 2 5 6" xfId="11596"/>
    <cellStyle name="Separador de milhares 3 9 2 5 6 2" xfId="37086"/>
    <cellStyle name="Separador de milhares 3 9 2 5 7" xfId="29705"/>
    <cellStyle name="Separador de milhares 3 9 2 6" xfId="2234"/>
    <cellStyle name="Separador de milhares 3 9 2 6 2" xfId="7058"/>
    <cellStyle name="Separador de milhares 3 9 2 6 2 2" xfId="10202"/>
    <cellStyle name="Separador de milhares 3 9 2 6 2 2 2" xfId="28416"/>
    <cellStyle name="Separador de milhares 3 9 2 6 2 2 2 2" xfId="53483"/>
    <cellStyle name="Separador de milhares 3 9 2 6 2 2 3" xfId="22502"/>
    <cellStyle name="Separador de milhares 3 9 2 6 2 2 3 2" xfId="47569"/>
    <cellStyle name="Separador de milhares 3 9 2 6 2 2 4" xfId="16588"/>
    <cellStyle name="Separador de milhares 3 9 2 6 2 2 4 2" xfId="41655"/>
    <cellStyle name="Separador de milhares 3 9 2 6 2 2 5" xfId="35747"/>
    <cellStyle name="Separador de milhares 3 9 2 6 2 3" xfId="25459"/>
    <cellStyle name="Separador de milhares 3 9 2 6 2 3 2" xfId="50526"/>
    <cellStyle name="Separador de milhares 3 9 2 6 2 4" xfId="19545"/>
    <cellStyle name="Separador de milhares 3 9 2 6 2 4 2" xfId="44612"/>
    <cellStyle name="Separador de milhares 3 9 2 6 2 5" xfId="13447"/>
    <cellStyle name="Separador de milhares 3 9 2 6 2 5 2" xfId="38701"/>
    <cellStyle name="Separador de milhares 3 9 2 6 2 6" xfId="32790"/>
    <cellStyle name="Separador de milhares 3 9 2 6 3" xfId="8734"/>
    <cellStyle name="Separador de milhares 3 9 2 6 3 2" xfId="26948"/>
    <cellStyle name="Separador de milhares 3 9 2 6 3 2 2" xfId="52015"/>
    <cellStyle name="Separador de milhares 3 9 2 6 3 3" xfId="21034"/>
    <cellStyle name="Separador de milhares 3 9 2 6 3 3 2" xfId="46101"/>
    <cellStyle name="Separador de milhares 3 9 2 6 3 4" xfId="15120"/>
    <cellStyle name="Separador de milhares 3 9 2 6 3 4 2" xfId="40187"/>
    <cellStyle name="Separador de milhares 3 9 2 6 3 5" xfId="34279"/>
    <cellStyle name="Separador de milhares 3 9 2 6 4" xfId="5359"/>
    <cellStyle name="Separador de milhares 3 9 2 6 4 2" xfId="23991"/>
    <cellStyle name="Separador de milhares 3 9 2 6 4 2 2" xfId="49058"/>
    <cellStyle name="Separador de milhares 3 9 2 6 4 3" xfId="31322"/>
    <cellStyle name="Separador de milhares 3 9 2 6 5" xfId="18077"/>
    <cellStyle name="Separador de milhares 3 9 2 6 5 2" xfId="43144"/>
    <cellStyle name="Separador de milhares 3 9 2 6 6" xfId="11746"/>
    <cellStyle name="Separador de milhares 3 9 2 6 6 2" xfId="37233"/>
    <cellStyle name="Separador de milhares 3 9 2 6 7" xfId="29852"/>
    <cellStyle name="Separador de milhares 3 9 2 7" xfId="2761"/>
    <cellStyle name="Separador de milhares 3 9 2 7 2" xfId="7205"/>
    <cellStyle name="Separador de milhares 3 9 2 7 2 2" xfId="10349"/>
    <cellStyle name="Separador de milhares 3 9 2 7 2 2 2" xfId="28563"/>
    <cellStyle name="Separador de milhares 3 9 2 7 2 2 2 2" xfId="53630"/>
    <cellStyle name="Separador de milhares 3 9 2 7 2 2 3" xfId="22649"/>
    <cellStyle name="Separador de milhares 3 9 2 7 2 2 3 2" xfId="47716"/>
    <cellStyle name="Separador de milhares 3 9 2 7 2 2 4" xfId="16735"/>
    <cellStyle name="Separador de milhares 3 9 2 7 2 2 4 2" xfId="41802"/>
    <cellStyle name="Separador de milhares 3 9 2 7 2 2 5" xfId="35894"/>
    <cellStyle name="Separador de milhares 3 9 2 7 2 3" xfId="25606"/>
    <cellStyle name="Separador de milhares 3 9 2 7 2 3 2" xfId="50673"/>
    <cellStyle name="Separador de milhares 3 9 2 7 2 4" xfId="19692"/>
    <cellStyle name="Separador de milhares 3 9 2 7 2 4 2" xfId="44759"/>
    <cellStyle name="Separador de milhares 3 9 2 7 2 5" xfId="13594"/>
    <cellStyle name="Separador de milhares 3 9 2 7 2 5 2" xfId="38848"/>
    <cellStyle name="Separador de milhares 3 9 2 7 2 6" xfId="32937"/>
    <cellStyle name="Separador de milhares 3 9 2 7 3" xfId="8881"/>
    <cellStyle name="Separador de milhares 3 9 2 7 3 2" xfId="27095"/>
    <cellStyle name="Separador de milhares 3 9 2 7 3 2 2" xfId="52162"/>
    <cellStyle name="Separador de milhares 3 9 2 7 3 3" xfId="21181"/>
    <cellStyle name="Separador de milhares 3 9 2 7 3 3 2" xfId="46248"/>
    <cellStyle name="Separador de milhares 3 9 2 7 3 4" xfId="15267"/>
    <cellStyle name="Separador de milhares 3 9 2 7 3 4 2" xfId="40334"/>
    <cellStyle name="Separador de milhares 3 9 2 7 3 5" xfId="34426"/>
    <cellStyle name="Separador de milhares 3 9 2 7 4" xfId="5506"/>
    <cellStyle name="Separador de milhares 3 9 2 7 4 2" xfId="24138"/>
    <cellStyle name="Separador de milhares 3 9 2 7 4 2 2" xfId="49205"/>
    <cellStyle name="Separador de milhares 3 9 2 7 4 3" xfId="31469"/>
    <cellStyle name="Separador de milhares 3 9 2 7 5" xfId="18224"/>
    <cellStyle name="Separador de milhares 3 9 2 7 5 2" xfId="43291"/>
    <cellStyle name="Separador de milhares 3 9 2 7 6" xfId="11893"/>
    <cellStyle name="Separador de milhares 3 9 2 7 6 2" xfId="37380"/>
    <cellStyle name="Separador de milhares 3 9 2 7 7" xfId="29999"/>
    <cellStyle name="Separador de milhares 3 9 2 8" xfId="3288"/>
    <cellStyle name="Separador de milhares 3 9 2 8 2" xfId="7352"/>
    <cellStyle name="Separador de milhares 3 9 2 8 2 2" xfId="10496"/>
    <cellStyle name="Separador de milhares 3 9 2 8 2 2 2" xfId="28710"/>
    <cellStyle name="Separador de milhares 3 9 2 8 2 2 2 2" xfId="53777"/>
    <cellStyle name="Separador de milhares 3 9 2 8 2 2 3" xfId="22796"/>
    <cellStyle name="Separador de milhares 3 9 2 8 2 2 3 2" xfId="47863"/>
    <cellStyle name="Separador de milhares 3 9 2 8 2 2 4" xfId="16882"/>
    <cellStyle name="Separador de milhares 3 9 2 8 2 2 4 2" xfId="41949"/>
    <cellStyle name="Separador de milhares 3 9 2 8 2 2 5" xfId="36041"/>
    <cellStyle name="Separador de milhares 3 9 2 8 2 3" xfId="25753"/>
    <cellStyle name="Separador de milhares 3 9 2 8 2 3 2" xfId="50820"/>
    <cellStyle name="Separador de milhares 3 9 2 8 2 4" xfId="19839"/>
    <cellStyle name="Separador de milhares 3 9 2 8 2 4 2" xfId="44906"/>
    <cellStyle name="Separador de milhares 3 9 2 8 2 5" xfId="13741"/>
    <cellStyle name="Separador de milhares 3 9 2 8 2 5 2" xfId="38995"/>
    <cellStyle name="Separador de milhares 3 9 2 8 2 6" xfId="33084"/>
    <cellStyle name="Separador de milhares 3 9 2 8 3" xfId="9028"/>
    <cellStyle name="Separador de milhares 3 9 2 8 3 2" xfId="27242"/>
    <cellStyle name="Separador de milhares 3 9 2 8 3 2 2" xfId="52309"/>
    <cellStyle name="Separador de milhares 3 9 2 8 3 3" xfId="21328"/>
    <cellStyle name="Separador de milhares 3 9 2 8 3 3 2" xfId="46395"/>
    <cellStyle name="Separador de milhares 3 9 2 8 3 4" xfId="15414"/>
    <cellStyle name="Separador de milhares 3 9 2 8 3 4 2" xfId="40481"/>
    <cellStyle name="Separador de milhares 3 9 2 8 3 5" xfId="34573"/>
    <cellStyle name="Separador de milhares 3 9 2 8 4" xfId="5653"/>
    <cellStyle name="Separador de milhares 3 9 2 8 4 2" xfId="24285"/>
    <cellStyle name="Separador de milhares 3 9 2 8 4 2 2" xfId="49352"/>
    <cellStyle name="Separador de milhares 3 9 2 8 4 3" xfId="31616"/>
    <cellStyle name="Separador de milhares 3 9 2 8 5" xfId="18371"/>
    <cellStyle name="Separador de milhares 3 9 2 8 5 2" xfId="43438"/>
    <cellStyle name="Separador de milhares 3 9 2 8 6" xfId="12040"/>
    <cellStyle name="Separador de milhares 3 9 2 8 6 2" xfId="37527"/>
    <cellStyle name="Separador de milhares 3 9 2 8 7" xfId="30146"/>
    <cellStyle name="Separador de milhares 3 9 2 9" xfId="3815"/>
    <cellStyle name="Separador de milhares 3 9 2 9 2" xfId="7499"/>
    <cellStyle name="Separador de milhares 3 9 2 9 2 2" xfId="10643"/>
    <cellStyle name="Separador de milhares 3 9 2 9 2 2 2" xfId="28857"/>
    <cellStyle name="Separador de milhares 3 9 2 9 2 2 2 2" xfId="53924"/>
    <cellStyle name="Separador de milhares 3 9 2 9 2 2 3" xfId="22943"/>
    <cellStyle name="Separador de milhares 3 9 2 9 2 2 3 2" xfId="48010"/>
    <cellStyle name="Separador de milhares 3 9 2 9 2 2 4" xfId="17029"/>
    <cellStyle name="Separador de milhares 3 9 2 9 2 2 4 2" xfId="42096"/>
    <cellStyle name="Separador de milhares 3 9 2 9 2 2 5" xfId="36188"/>
    <cellStyle name="Separador de milhares 3 9 2 9 2 3" xfId="25900"/>
    <cellStyle name="Separador de milhares 3 9 2 9 2 3 2" xfId="50967"/>
    <cellStyle name="Separador de milhares 3 9 2 9 2 4" xfId="19986"/>
    <cellStyle name="Separador de milhares 3 9 2 9 2 4 2" xfId="45053"/>
    <cellStyle name="Separador de milhares 3 9 2 9 2 5" xfId="13888"/>
    <cellStyle name="Separador de milhares 3 9 2 9 2 5 2" xfId="39142"/>
    <cellStyle name="Separador de milhares 3 9 2 9 2 6" xfId="33231"/>
    <cellStyle name="Separador de milhares 3 9 2 9 3" xfId="9175"/>
    <cellStyle name="Separador de milhares 3 9 2 9 3 2" xfId="27389"/>
    <cellStyle name="Separador de milhares 3 9 2 9 3 2 2" xfId="52456"/>
    <cellStyle name="Separador de milhares 3 9 2 9 3 3" xfId="21475"/>
    <cellStyle name="Separador de milhares 3 9 2 9 3 3 2" xfId="46542"/>
    <cellStyle name="Separador de milhares 3 9 2 9 3 4" xfId="15561"/>
    <cellStyle name="Separador de milhares 3 9 2 9 3 4 2" xfId="40628"/>
    <cellStyle name="Separador de milhares 3 9 2 9 3 5" xfId="34720"/>
    <cellStyle name="Separador de milhares 3 9 2 9 4" xfId="5800"/>
    <cellStyle name="Separador de milhares 3 9 2 9 4 2" xfId="24432"/>
    <cellStyle name="Separador de milhares 3 9 2 9 4 2 2" xfId="49499"/>
    <cellStyle name="Separador de milhares 3 9 2 9 4 3" xfId="31763"/>
    <cellStyle name="Separador de milhares 3 9 2 9 5" xfId="18518"/>
    <cellStyle name="Separador de milhares 3 9 2 9 5 2" xfId="43585"/>
    <cellStyle name="Separador de milhares 3 9 2 9 6" xfId="12187"/>
    <cellStyle name="Separador de milhares 3 9 2 9 6 2" xfId="37674"/>
    <cellStyle name="Separador de milhares 3 9 2 9 7" xfId="30293"/>
    <cellStyle name="Separador de milhares 3 9 3" xfId="267"/>
    <cellStyle name="Separador de milhares 3 9 3 10" xfId="6490"/>
    <cellStyle name="Separador de milhares 3 9 3 10 2" xfId="9641"/>
    <cellStyle name="Separador de milhares 3 9 3 10 2 2" xfId="27855"/>
    <cellStyle name="Separador de milhares 3 9 3 10 2 2 2" xfId="52922"/>
    <cellStyle name="Separador de milhares 3 9 3 10 2 3" xfId="21941"/>
    <cellStyle name="Separador de milhares 3 9 3 10 2 3 2" xfId="47008"/>
    <cellStyle name="Separador de milhares 3 9 3 10 2 4" xfId="16027"/>
    <cellStyle name="Separador de milhares 3 9 3 10 2 4 2" xfId="41094"/>
    <cellStyle name="Separador de milhares 3 9 3 10 2 5" xfId="35186"/>
    <cellStyle name="Separador de milhares 3 9 3 10 3" xfId="24898"/>
    <cellStyle name="Separador de milhares 3 9 3 10 3 2" xfId="49965"/>
    <cellStyle name="Separador de milhares 3 9 3 10 4" xfId="18984"/>
    <cellStyle name="Separador de milhares 3 9 3 10 4 2" xfId="44051"/>
    <cellStyle name="Separador de milhares 3 9 3 10 5" xfId="12879"/>
    <cellStyle name="Separador de milhares 3 9 3 10 5 2" xfId="38140"/>
    <cellStyle name="Separador de milhares 3 9 3 10 6" xfId="32229"/>
    <cellStyle name="Separador de milhares 3 9 3 11" xfId="8170"/>
    <cellStyle name="Separador de milhares 3 9 3 11 2" xfId="26384"/>
    <cellStyle name="Separador de milhares 3 9 3 11 2 2" xfId="51451"/>
    <cellStyle name="Separador de milhares 3 9 3 11 3" xfId="20470"/>
    <cellStyle name="Separador de milhares 3 9 3 11 3 2" xfId="45537"/>
    <cellStyle name="Separador de milhares 3 9 3 11 4" xfId="14559"/>
    <cellStyle name="Separador de milhares 3 9 3 11 4 2" xfId="39626"/>
    <cellStyle name="Separador de milhares 3 9 3 11 5" xfId="33715"/>
    <cellStyle name="Separador de milhares 3 9 3 12" xfId="4789"/>
    <cellStyle name="Separador de milhares 3 9 3 12 2" xfId="23427"/>
    <cellStyle name="Separador de milhares 3 9 3 12 2 2" xfId="48494"/>
    <cellStyle name="Separador de milhares 3 9 3 12 3" xfId="30759"/>
    <cellStyle name="Separador de milhares 3 9 3 13" xfId="17513"/>
    <cellStyle name="Separador de milhares 3 9 3 13 2" xfId="42580"/>
    <cellStyle name="Separador de milhares 3 9 3 14" xfId="11178"/>
    <cellStyle name="Separador de milhares 3 9 3 14 2" xfId="36672"/>
    <cellStyle name="Separador de milhares 3 9 3 15" xfId="29288"/>
    <cellStyle name="Separador de milhares 3 9 3 2" xfId="530"/>
    <cellStyle name="Separador de milhares 3 9 3 2 2" xfId="6561"/>
    <cellStyle name="Separador de milhares 3 9 3 2 2 2" xfId="9708"/>
    <cellStyle name="Separador de milhares 3 9 3 2 2 2 2" xfId="27922"/>
    <cellStyle name="Separador de milhares 3 9 3 2 2 2 2 2" xfId="52989"/>
    <cellStyle name="Separador de milhares 3 9 3 2 2 2 3" xfId="22008"/>
    <cellStyle name="Separador de milhares 3 9 3 2 2 2 3 2" xfId="47075"/>
    <cellStyle name="Separador de milhares 3 9 3 2 2 2 4" xfId="16094"/>
    <cellStyle name="Separador de milhares 3 9 3 2 2 2 4 2" xfId="41161"/>
    <cellStyle name="Separador de milhares 3 9 3 2 2 2 5" xfId="35253"/>
    <cellStyle name="Separador de milhares 3 9 3 2 2 3" xfId="24965"/>
    <cellStyle name="Separador de milhares 3 9 3 2 2 3 2" xfId="50032"/>
    <cellStyle name="Separador de milhares 3 9 3 2 2 4" xfId="19051"/>
    <cellStyle name="Separador de milhares 3 9 3 2 2 4 2" xfId="44118"/>
    <cellStyle name="Separador de milhares 3 9 3 2 2 5" xfId="12950"/>
    <cellStyle name="Separador de milhares 3 9 3 2 2 5 2" xfId="38207"/>
    <cellStyle name="Separador de milhares 3 9 3 2 2 6" xfId="32296"/>
    <cellStyle name="Separador de milhares 3 9 3 2 3" xfId="8237"/>
    <cellStyle name="Separador de milhares 3 9 3 2 3 2" xfId="26451"/>
    <cellStyle name="Separador de milhares 3 9 3 2 3 2 2" xfId="51518"/>
    <cellStyle name="Separador de milhares 3 9 3 2 3 3" xfId="20537"/>
    <cellStyle name="Separador de milhares 3 9 3 2 3 3 2" xfId="45604"/>
    <cellStyle name="Separador de milhares 3 9 3 2 3 4" xfId="14626"/>
    <cellStyle name="Separador de milhares 3 9 3 2 3 4 2" xfId="39693"/>
    <cellStyle name="Separador de milhares 3 9 3 2 3 5" xfId="33782"/>
    <cellStyle name="Separador de milhares 3 9 3 2 4" xfId="4860"/>
    <cellStyle name="Separador de milhares 3 9 3 2 4 2" xfId="23494"/>
    <cellStyle name="Separador de milhares 3 9 3 2 4 2 2" xfId="48561"/>
    <cellStyle name="Separador de milhares 3 9 3 2 4 3" xfId="30826"/>
    <cellStyle name="Separador de milhares 3 9 3 2 5" xfId="17580"/>
    <cellStyle name="Separador de milhares 3 9 3 2 5 2" xfId="42647"/>
    <cellStyle name="Separador de milhares 3 9 3 2 6" xfId="11249"/>
    <cellStyle name="Separador de milhares 3 9 3 2 6 2" xfId="36739"/>
    <cellStyle name="Separador de milhares 3 9 3 2 7" xfId="29355"/>
    <cellStyle name="Separador de milhares 3 9 3 3" xfId="827"/>
    <cellStyle name="Separador de milhares 3 9 3 3 2" xfId="6663"/>
    <cellStyle name="Separador de milhares 3 9 3 3 2 2" xfId="9810"/>
    <cellStyle name="Separador de milhares 3 9 3 3 2 2 2" xfId="28024"/>
    <cellStyle name="Separador de milhares 3 9 3 3 2 2 2 2" xfId="53091"/>
    <cellStyle name="Separador de milhares 3 9 3 3 2 2 3" xfId="22110"/>
    <cellStyle name="Separador de milhares 3 9 3 3 2 2 3 2" xfId="47177"/>
    <cellStyle name="Separador de milhares 3 9 3 3 2 2 4" xfId="16196"/>
    <cellStyle name="Separador de milhares 3 9 3 3 2 2 4 2" xfId="41263"/>
    <cellStyle name="Separador de milhares 3 9 3 3 2 2 5" xfId="35355"/>
    <cellStyle name="Separador de milhares 3 9 3 3 2 3" xfId="25067"/>
    <cellStyle name="Separador de milhares 3 9 3 3 2 3 2" xfId="50134"/>
    <cellStyle name="Separador de milhares 3 9 3 3 2 4" xfId="19153"/>
    <cellStyle name="Separador de milhares 3 9 3 3 2 4 2" xfId="44220"/>
    <cellStyle name="Separador de milhares 3 9 3 3 2 5" xfId="13052"/>
    <cellStyle name="Separador de milhares 3 9 3 3 2 5 2" xfId="38309"/>
    <cellStyle name="Separador de milhares 3 9 3 3 2 6" xfId="32398"/>
    <cellStyle name="Separador de milhares 3 9 3 3 3" xfId="8342"/>
    <cellStyle name="Separador de milhares 3 9 3 3 3 2" xfId="26556"/>
    <cellStyle name="Separador de milhares 3 9 3 3 3 2 2" xfId="51623"/>
    <cellStyle name="Separador de milhares 3 9 3 3 3 3" xfId="20642"/>
    <cellStyle name="Separador de milhares 3 9 3 3 3 3 2" xfId="45709"/>
    <cellStyle name="Separador de milhares 3 9 3 3 3 4" xfId="14728"/>
    <cellStyle name="Separador de milhares 3 9 3 3 3 4 2" xfId="39795"/>
    <cellStyle name="Separador de milhares 3 9 3 3 3 5" xfId="33887"/>
    <cellStyle name="Separador de milhares 3 9 3 3 4" xfId="4964"/>
    <cellStyle name="Separador de milhares 3 9 3 3 4 2" xfId="23599"/>
    <cellStyle name="Separador de milhares 3 9 3 3 4 2 2" xfId="48666"/>
    <cellStyle name="Separador de milhares 3 9 3 3 4 3" xfId="30930"/>
    <cellStyle name="Separador de milhares 3 9 3 3 5" xfId="17685"/>
    <cellStyle name="Separador de milhares 3 9 3 3 5 2" xfId="42752"/>
    <cellStyle name="Separador de milhares 3 9 3 3 6" xfId="11351"/>
    <cellStyle name="Separador de milhares 3 9 3 3 6 2" xfId="36841"/>
    <cellStyle name="Separador de milhares 3 9 3 3 7" xfId="29460"/>
    <cellStyle name="Separador de milhares 3 9 3 4" xfId="1178"/>
    <cellStyle name="Separador de milhares 3 9 3 4 2" xfId="6761"/>
    <cellStyle name="Separador de milhares 3 9 3 4 2 2" xfId="9908"/>
    <cellStyle name="Separador de milhares 3 9 3 4 2 2 2" xfId="28122"/>
    <cellStyle name="Separador de milhares 3 9 3 4 2 2 2 2" xfId="53189"/>
    <cellStyle name="Separador de milhares 3 9 3 4 2 2 3" xfId="22208"/>
    <cellStyle name="Separador de milhares 3 9 3 4 2 2 3 2" xfId="47275"/>
    <cellStyle name="Separador de milhares 3 9 3 4 2 2 4" xfId="16294"/>
    <cellStyle name="Separador de milhares 3 9 3 4 2 2 4 2" xfId="41361"/>
    <cellStyle name="Separador de milhares 3 9 3 4 2 2 5" xfId="35453"/>
    <cellStyle name="Separador de milhares 3 9 3 4 2 3" xfId="25165"/>
    <cellStyle name="Separador de milhares 3 9 3 4 2 3 2" xfId="50232"/>
    <cellStyle name="Separador de milhares 3 9 3 4 2 4" xfId="19251"/>
    <cellStyle name="Separador de milhares 3 9 3 4 2 4 2" xfId="44318"/>
    <cellStyle name="Separador de milhares 3 9 3 4 2 5" xfId="13150"/>
    <cellStyle name="Separador de milhares 3 9 3 4 2 5 2" xfId="38407"/>
    <cellStyle name="Separador de milhares 3 9 3 4 2 6" xfId="32496"/>
    <cellStyle name="Separador de milhares 3 9 3 4 3" xfId="8440"/>
    <cellStyle name="Separador de milhares 3 9 3 4 3 2" xfId="26654"/>
    <cellStyle name="Separador de milhares 3 9 3 4 3 2 2" xfId="51721"/>
    <cellStyle name="Separador de milhares 3 9 3 4 3 3" xfId="20740"/>
    <cellStyle name="Separador de milhares 3 9 3 4 3 3 2" xfId="45807"/>
    <cellStyle name="Separador de milhares 3 9 3 4 3 4" xfId="14826"/>
    <cellStyle name="Separador de milhares 3 9 3 4 3 4 2" xfId="39893"/>
    <cellStyle name="Separador de milhares 3 9 3 4 3 5" xfId="33985"/>
    <cellStyle name="Separador de milhares 3 9 3 4 4" xfId="5062"/>
    <cellStyle name="Separador de milhares 3 9 3 4 4 2" xfId="23697"/>
    <cellStyle name="Separador de milhares 3 9 3 4 4 2 2" xfId="48764"/>
    <cellStyle name="Separador de milhares 3 9 3 4 4 3" xfId="31028"/>
    <cellStyle name="Separador de milhares 3 9 3 4 5" xfId="17783"/>
    <cellStyle name="Separador de milhares 3 9 3 4 5 2" xfId="42850"/>
    <cellStyle name="Separador de milhares 3 9 3 4 6" xfId="11449"/>
    <cellStyle name="Separador de milhares 3 9 3 4 6 2" xfId="36939"/>
    <cellStyle name="Separador de milhares 3 9 3 4 7" xfId="29558"/>
    <cellStyle name="Separador de milhares 3 9 3 5" xfId="1613"/>
    <cellStyle name="Separador de milhares 3 9 3 5 2" xfId="6880"/>
    <cellStyle name="Separador de milhares 3 9 3 5 2 2" xfId="10027"/>
    <cellStyle name="Separador de milhares 3 9 3 5 2 2 2" xfId="28241"/>
    <cellStyle name="Separador de milhares 3 9 3 5 2 2 2 2" xfId="53308"/>
    <cellStyle name="Separador de milhares 3 9 3 5 2 2 3" xfId="22327"/>
    <cellStyle name="Separador de milhares 3 9 3 5 2 2 3 2" xfId="47394"/>
    <cellStyle name="Separador de milhares 3 9 3 5 2 2 4" xfId="16413"/>
    <cellStyle name="Separador de milhares 3 9 3 5 2 2 4 2" xfId="41480"/>
    <cellStyle name="Separador de milhares 3 9 3 5 2 2 5" xfId="35572"/>
    <cellStyle name="Separador de milhares 3 9 3 5 2 3" xfId="25284"/>
    <cellStyle name="Separador de milhares 3 9 3 5 2 3 2" xfId="50351"/>
    <cellStyle name="Separador de milhares 3 9 3 5 2 4" xfId="19370"/>
    <cellStyle name="Separador de milhares 3 9 3 5 2 4 2" xfId="44437"/>
    <cellStyle name="Separador de milhares 3 9 3 5 2 5" xfId="13269"/>
    <cellStyle name="Separador de milhares 3 9 3 5 2 5 2" xfId="38526"/>
    <cellStyle name="Separador de milhares 3 9 3 5 2 6" xfId="32615"/>
    <cellStyle name="Separador de milhares 3 9 3 5 3" xfId="8559"/>
    <cellStyle name="Separador de milhares 3 9 3 5 3 2" xfId="26773"/>
    <cellStyle name="Separador de milhares 3 9 3 5 3 2 2" xfId="51840"/>
    <cellStyle name="Separador de milhares 3 9 3 5 3 3" xfId="20859"/>
    <cellStyle name="Separador de milhares 3 9 3 5 3 3 2" xfId="45926"/>
    <cellStyle name="Separador de milhares 3 9 3 5 3 4" xfId="14945"/>
    <cellStyle name="Separador de milhares 3 9 3 5 3 4 2" xfId="40012"/>
    <cellStyle name="Separador de milhares 3 9 3 5 3 5" xfId="34104"/>
    <cellStyle name="Separador de milhares 3 9 3 5 4" xfId="5181"/>
    <cellStyle name="Separador de milhares 3 9 3 5 4 2" xfId="23816"/>
    <cellStyle name="Separador de milhares 3 9 3 5 4 2 2" xfId="48883"/>
    <cellStyle name="Separador de milhares 3 9 3 5 4 3" xfId="31147"/>
    <cellStyle name="Separador de milhares 3 9 3 5 5" xfId="17902"/>
    <cellStyle name="Separador de milhares 3 9 3 5 5 2" xfId="42969"/>
    <cellStyle name="Separador de milhares 3 9 3 5 6" xfId="11568"/>
    <cellStyle name="Separador de milhares 3 9 3 5 6 2" xfId="37058"/>
    <cellStyle name="Separador de milhares 3 9 3 5 7" xfId="29677"/>
    <cellStyle name="Separador de milhares 3 9 3 6" xfId="2143"/>
    <cellStyle name="Separador de milhares 3 9 3 6 2" xfId="7030"/>
    <cellStyle name="Separador de milhares 3 9 3 6 2 2" xfId="10174"/>
    <cellStyle name="Separador de milhares 3 9 3 6 2 2 2" xfId="28388"/>
    <cellStyle name="Separador de milhares 3 9 3 6 2 2 2 2" xfId="53455"/>
    <cellStyle name="Separador de milhares 3 9 3 6 2 2 3" xfId="22474"/>
    <cellStyle name="Separador de milhares 3 9 3 6 2 2 3 2" xfId="47541"/>
    <cellStyle name="Separador de milhares 3 9 3 6 2 2 4" xfId="16560"/>
    <cellStyle name="Separador de milhares 3 9 3 6 2 2 4 2" xfId="41627"/>
    <cellStyle name="Separador de milhares 3 9 3 6 2 2 5" xfId="35719"/>
    <cellStyle name="Separador de milhares 3 9 3 6 2 3" xfId="25431"/>
    <cellStyle name="Separador de milhares 3 9 3 6 2 3 2" xfId="50498"/>
    <cellStyle name="Separador de milhares 3 9 3 6 2 4" xfId="19517"/>
    <cellStyle name="Separador de milhares 3 9 3 6 2 4 2" xfId="44584"/>
    <cellStyle name="Separador de milhares 3 9 3 6 2 5" xfId="13419"/>
    <cellStyle name="Separador de milhares 3 9 3 6 2 5 2" xfId="38673"/>
    <cellStyle name="Separador de milhares 3 9 3 6 2 6" xfId="32762"/>
    <cellStyle name="Separador de milhares 3 9 3 6 3" xfId="8706"/>
    <cellStyle name="Separador de milhares 3 9 3 6 3 2" xfId="26920"/>
    <cellStyle name="Separador de milhares 3 9 3 6 3 2 2" xfId="51987"/>
    <cellStyle name="Separador de milhares 3 9 3 6 3 3" xfId="21006"/>
    <cellStyle name="Separador de milhares 3 9 3 6 3 3 2" xfId="46073"/>
    <cellStyle name="Separador de milhares 3 9 3 6 3 4" xfId="15092"/>
    <cellStyle name="Separador de milhares 3 9 3 6 3 4 2" xfId="40159"/>
    <cellStyle name="Separador de milhares 3 9 3 6 3 5" xfId="34251"/>
    <cellStyle name="Separador de milhares 3 9 3 6 4" xfId="5331"/>
    <cellStyle name="Separador de milhares 3 9 3 6 4 2" xfId="23963"/>
    <cellStyle name="Separador de milhares 3 9 3 6 4 2 2" xfId="49030"/>
    <cellStyle name="Separador de milhares 3 9 3 6 4 3" xfId="31294"/>
    <cellStyle name="Separador de milhares 3 9 3 6 5" xfId="18049"/>
    <cellStyle name="Separador de milhares 3 9 3 6 5 2" xfId="43116"/>
    <cellStyle name="Separador de milhares 3 9 3 6 6" xfId="11718"/>
    <cellStyle name="Separador de milhares 3 9 3 6 6 2" xfId="37205"/>
    <cellStyle name="Separador de milhares 3 9 3 6 7" xfId="29824"/>
    <cellStyle name="Separador de milhares 3 9 3 7" xfId="2670"/>
    <cellStyle name="Separador de milhares 3 9 3 7 2" xfId="7177"/>
    <cellStyle name="Separador de milhares 3 9 3 7 2 2" xfId="10321"/>
    <cellStyle name="Separador de milhares 3 9 3 7 2 2 2" xfId="28535"/>
    <cellStyle name="Separador de milhares 3 9 3 7 2 2 2 2" xfId="53602"/>
    <cellStyle name="Separador de milhares 3 9 3 7 2 2 3" xfId="22621"/>
    <cellStyle name="Separador de milhares 3 9 3 7 2 2 3 2" xfId="47688"/>
    <cellStyle name="Separador de milhares 3 9 3 7 2 2 4" xfId="16707"/>
    <cellStyle name="Separador de milhares 3 9 3 7 2 2 4 2" xfId="41774"/>
    <cellStyle name="Separador de milhares 3 9 3 7 2 2 5" xfId="35866"/>
    <cellStyle name="Separador de milhares 3 9 3 7 2 3" xfId="25578"/>
    <cellStyle name="Separador de milhares 3 9 3 7 2 3 2" xfId="50645"/>
    <cellStyle name="Separador de milhares 3 9 3 7 2 4" xfId="19664"/>
    <cellStyle name="Separador de milhares 3 9 3 7 2 4 2" xfId="44731"/>
    <cellStyle name="Separador de milhares 3 9 3 7 2 5" xfId="13566"/>
    <cellStyle name="Separador de milhares 3 9 3 7 2 5 2" xfId="38820"/>
    <cellStyle name="Separador de milhares 3 9 3 7 2 6" xfId="32909"/>
    <cellStyle name="Separador de milhares 3 9 3 7 3" xfId="8853"/>
    <cellStyle name="Separador de milhares 3 9 3 7 3 2" xfId="27067"/>
    <cellStyle name="Separador de milhares 3 9 3 7 3 2 2" xfId="52134"/>
    <cellStyle name="Separador de milhares 3 9 3 7 3 3" xfId="21153"/>
    <cellStyle name="Separador de milhares 3 9 3 7 3 3 2" xfId="46220"/>
    <cellStyle name="Separador de milhares 3 9 3 7 3 4" xfId="15239"/>
    <cellStyle name="Separador de milhares 3 9 3 7 3 4 2" xfId="40306"/>
    <cellStyle name="Separador de milhares 3 9 3 7 3 5" xfId="34398"/>
    <cellStyle name="Separador de milhares 3 9 3 7 4" xfId="5478"/>
    <cellStyle name="Separador de milhares 3 9 3 7 4 2" xfId="24110"/>
    <cellStyle name="Separador de milhares 3 9 3 7 4 2 2" xfId="49177"/>
    <cellStyle name="Separador de milhares 3 9 3 7 4 3" xfId="31441"/>
    <cellStyle name="Separador de milhares 3 9 3 7 5" xfId="18196"/>
    <cellStyle name="Separador de milhares 3 9 3 7 5 2" xfId="43263"/>
    <cellStyle name="Separador de milhares 3 9 3 7 6" xfId="11865"/>
    <cellStyle name="Separador de milhares 3 9 3 7 6 2" xfId="37352"/>
    <cellStyle name="Separador de milhares 3 9 3 7 7" xfId="29971"/>
    <cellStyle name="Separador de milhares 3 9 3 8" xfId="3197"/>
    <cellStyle name="Separador de milhares 3 9 3 8 2" xfId="7324"/>
    <cellStyle name="Separador de milhares 3 9 3 8 2 2" xfId="10468"/>
    <cellStyle name="Separador de milhares 3 9 3 8 2 2 2" xfId="28682"/>
    <cellStyle name="Separador de milhares 3 9 3 8 2 2 2 2" xfId="53749"/>
    <cellStyle name="Separador de milhares 3 9 3 8 2 2 3" xfId="22768"/>
    <cellStyle name="Separador de milhares 3 9 3 8 2 2 3 2" xfId="47835"/>
    <cellStyle name="Separador de milhares 3 9 3 8 2 2 4" xfId="16854"/>
    <cellStyle name="Separador de milhares 3 9 3 8 2 2 4 2" xfId="41921"/>
    <cellStyle name="Separador de milhares 3 9 3 8 2 2 5" xfId="36013"/>
    <cellStyle name="Separador de milhares 3 9 3 8 2 3" xfId="25725"/>
    <cellStyle name="Separador de milhares 3 9 3 8 2 3 2" xfId="50792"/>
    <cellStyle name="Separador de milhares 3 9 3 8 2 4" xfId="19811"/>
    <cellStyle name="Separador de milhares 3 9 3 8 2 4 2" xfId="44878"/>
    <cellStyle name="Separador de milhares 3 9 3 8 2 5" xfId="13713"/>
    <cellStyle name="Separador de milhares 3 9 3 8 2 5 2" xfId="38967"/>
    <cellStyle name="Separador de milhares 3 9 3 8 2 6" xfId="33056"/>
    <cellStyle name="Separador de milhares 3 9 3 8 3" xfId="9000"/>
    <cellStyle name="Separador de milhares 3 9 3 8 3 2" xfId="27214"/>
    <cellStyle name="Separador de milhares 3 9 3 8 3 2 2" xfId="52281"/>
    <cellStyle name="Separador de milhares 3 9 3 8 3 3" xfId="21300"/>
    <cellStyle name="Separador de milhares 3 9 3 8 3 3 2" xfId="46367"/>
    <cellStyle name="Separador de milhares 3 9 3 8 3 4" xfId="15386"/>
    <cellStyle name="Separador de milhares 3 9 3 8 3 4 2" xfId="40453"/>
    <cellStyle name="Separador de milhares 3 9 3 8 3 5" xfId="34545"/>
    <cellStyle name="Separador de milhares 3 9 3 8 4" xfId="5625"/>
    <cellStyle name="Separador de milhares 3 9 3 8 4 2" xfId="24257"/>
    <cellStyle name="Separador de milhares 3 9 3 8 4 2 2" xfId="49324"/>
    <cellStyle name="Separador de milhares 3 9 3 8 4 3" xfId="31588"/>
    <cellStyle name="Separador de milhares 3 9 3 8 5" xfId="18343"/>
    <cellStyle name="Separador de milhares 3 9 3 8 5 2" xfId="43410"/>
    <cellStyle name="Separador de milhares 3 9 3 8 6" xfId="12012"/>
    <cellStyle name="Separador de milhares 3 9 3 8 6 2" xfId="37499"/>
    <cellStyle name="Separador de milhares 3 9 3 8 7" xfId="30118"/>
    <cellStyle name="Separador de milhares 3 9 3 9" xfId="3724"/>
    <cellStyle name="Separador de milhares 3 9 3 9 2" xfId="7471"/>
    <cellStyle name="Separador de milhares 3 9 3 9 2 2" xfId="10615"/>
    <cellStyle name="Separador de milhares 3 9 3 9 2 2 2" xfId="28829"/>
    <cellStyle name="Separador de milhares 3 9 3 9 2 2 2 2" xfId="53896"/>
    <cellStyle name="Separador de milhares 3 9 3 9 2 2 3" xfId="22915"/>
    <cellStyle name="Separador de milhares 3 9 3 9 2 2 3 2" xfId="47982"/>
    <cellStyle name="Separador de milhares 3 9 3 9 2 2 4" xfId="17001"/>
    <cellStyle name="Separador de milhares 3 9 3 9 2 2 4 2" xfId="42068"/>
    <cellStyle name="Separador de milhares 3 9 3 9 2 2 5" xfId="36160"/>
    <cellStyle name="Separador de milhares 3 9 3 9 2 3" xfId="25872"/>
    <cellStyle name="Separador de milhares 3 9 3 9 2 3 2" xfId="50939"/>
    <cellStyle name="Separador de milhares 3 9 3 9 2 4" xfId="19958"/>
    <cellStyle name="Separador de milhares 3 9 3 9 2 4 2" xfId="45025"/>
    <cellStyle name="Separador de milhares 3 9 3 9 2 5" xfId="13860"/>
    <cellStyle name="Separador de milhares 3 9 3 9 2 5 2" xfId="39114"/>
    <cellStyle name="Separador de milhares 3 9 3 9 2 6" xfId="33203"/>
    <cellStyle name="Separador de milhares 3 9 3 9 3" xfId="9147"/>
    <cellStyle name="Separador de milhares 3 9 3 9 3 2" xfId="27361"/>
    <cellStyle name="Separador de milhares 3 9 3 9 3 2 2" xfId="52428"/>
    <cellStyle name="Separador de milhares 3 9 3 9 3 3" xfId="21447"/>
    <cellStyle name="Separador de milhares 3 9 3 9 3 3 2" xfId="46514"/>
    <cellStyle name="Separador de milhares 3 9 3 9 3 4" xfId="15533"/>
    <cellStyle name="Separador de milhares 3 9 3 9 3 4 2" xfId="40600"/>
    <cellStyle name="Separador de milhares 3 9 3 9 3 5" xfId="34692"/>
    <cellStyle name="Separador de milhares 3 9 3 9 4" xfId="5772"/>
    <cellStyle name="Separador de milhares 3 9 3 9 4 2" xfId="24404"/>
    <cellStyle name="Separador de milhares 3 9 3 9 4 2 2" xfId="49471"/>
    <cellStyle name="Separador de milhares 3 9 3 9 4 3" xfId="31735"/>
    <cellStyle name="Separador de milhares 3 9 3 9 5" xfId="18490"/>
    <cellStyle name="Separador de milhares 3 9 3 9 5 2" xfId="43557"/>
    <cellStyle name="Separador de milhares 3 9 3 9 6" xfId="12159"/>
    <cellStyle name="Separador de milhares 3 9 3 9 6 2" xfId="37646"/>
    <cellStyle name="Separador de milhares 3 9 3 9 7" xfId="30265"/>
    <cellStyle name="Separador de milhares 3 9 4" xfId="360"/>
    <cellStyle name="Separador de milhares 3 9 4 10" xfId="6518"/>
    <cellStyle name="Separador de milhares 3 9 4 10 2" xfId="9666"/>
    <cellStyle name="Separador de milhares 3 9 4 10 2 2" xfId="27880"/>
    <cellStyle name="Separador de milhares 3 9 4 10 2 2 2" xfId="52947"/>
    <cellStyle name="Separador de milhares 3 9 4 10 2 3" xfId="21966"/>
    <cellStyle name="Separador de milhares 3 9 4 10 2 3 2" xfId="47033"/>
    <cellStyle name="Separador de milhares 3 9 4 10 2 4" xfId="16052"/>
    <cellStyle name="Separador de milhares 3 9 4 10 2 4 2" xfId="41119"/>
    <cellStyle name="Separador de milhares 3 9 4 10 2 5" xfId="35211"/>
    <cellStyle name="Separador de milhares 3 9 4 10 3" xfId="24923"/>
    <cellStyle name="Separador de milhares 3 9 4 10 3 2" xfId="49990"/>
    <cellStyle name="Separador de milhares 3 9 4 10 4" xfId="19009"/>
    <cellStyle name="Separador de milhares 3 9 4 10 4 2" xfId="44076"/>
    <cellStyle name="Separador de milhares 3 9 4 10 5" xfId="12907"/>
    <cellStyle name="Separador de milhares 3 9 4 10 5 2" xfId="38165"/>
    <cellStyle name="Separador de milhares 3 9 4 10 6" xfId="32254"/>
    <cellStyle name="Separador de milhares 3 9 4 11" xfId="8195"/>
    <cellStyle name="Separador de milhares 3 9 4 11 2" xfId="26409"/>
    <cellStyle name="Separador de milhares 3 9 4 11 2 2" xfId="51476"/>
    <cellStyle name="Separador de milhares 3 9 4 11 3" xfId="20495"/>
    <cellStyle name="Separador de milhares 3 9 4 11 3 2" xfId="45562"/>
    <cellStyle name="Separador de milhares 3 9 4 11 4" xfId="14584"/>
    <cellStyle name="Separador de milhares 3 9 4 11 4 2" xfId="39651"/>
    <cellStyle name="Separador de milhares 3 9 4 11 5" xfId="33740"/>
    <cellStyle name="Separador de milhares 3 9 4 12" xfId="4817"/>
    <cellStyle name="Separador de milhares 3 9 4 12 2" xfId="23452"/>
    <cellStyle name="Separador de milhares 3 9 4 12 2 2" xfId="48519"/>
    <cellStyle name="Separador de milhares 3 9 4 12 3" xfId="30784"/>
    <cellStyle name="Separador de milhares 3 9 4 13" xfId="17538"/>
    <cellStyle name="Separador de milhares 3 9 4 13 2" xfId="42605"/>
    <cellStyle name="Separador de milhares 3 9 4 14" xfId="11206"/>
    <cellStyle name="Separador de milhares 3 9 4 14 2" xfId="36697"/>
    <cellStyle name="Separador de milhares 3 9 4 15" xfId="29313"/>
    <cellStyle name="Separador de milhares 3 9 4 2" xfId="1005"/>
    <cellStyle name="Separador de milhares 3 9 4 2 2" xfId="6715"/>
    <cellStyle name="Separador de milhares 3 9 4 2 2 2" xfId="9862"/>
    <cellStyle name="Separador de milhares 3 9 4 2 2 2 2" xfId="28076"/>
    <cellStyle name="Separador de milhares 3 9 4 2 2 2 2 2" xfId="53143"/>
    <cellStyle name="Separador de milhares 3 9 4 2 2 2 3" xfId="22162"/>
    <cellStyle name="Separador de milhares 3 9 4 2 2 2 3 2" xfId="47229"/>
    <cellStyle name="Separador de milhares 3 9 4 2 2 2 4" xfId="16248"/>
    <cellStyle name="Separador de milhares 3 9 4 2 2 2 4 2" xfId="41315"/>
    <cellStyle name="Separador de milhares 3 9 4 2 2 2 5" xfId="35407"/>
    <cellStyle name="Separador de milhares 3 9 4 2 2 3" xfId="25119"/>
    <cellStyle name="Separador de milhares 3 9 4 2 2 3 2" xfId="50186"/>
    <cellStyle name="Separador de milhares 3 9 4 2 2 4" xfId="19205"/>
    <cellStyle name="Separador de milhares 3 9 4 2 2 4 2" xfId="44272"/>
    <cellStyle name="Separador de milhares 3 9 4 2 2 5" xfId="13104"/>
    <cellStyle name="Separador de milhares 3 9 4 2 2 5 2" xfId="38361"/>
    <cellStyle name="Separador de milhares 3 9 4 2 2 6" xfId="32450"/>
    <cellStyle name="Separador de milhares 3 9 4 2 3" xfId="8394"/>
    <cellStyle name="Separador de milhares 3 9 4 2 3 2" xfId="26608"/>
    <cellStyle name="Separador de milhares 3 9 4 2 3 2 2" xfId="51675"/>
    <cellStyle name="Separador de milhares 3 9 4 2 3 3" xfId="20694"/>
    <cellStyle name="Separador de milhares 3 9 4 2 3 3 2" xfId="45761"/>
    <cellStyle name="Separador de milhares 3 9 4 2 3 4" xfId="14780"/>
    <cellStyle name="Separador de milhares 3 9 4 2 3 4 2" xfId="39847"/>
    <cellStyle name="Separador de milhares 3 9 4 2 3 5" xfId="33939"/>
    <cellStyle name="Separador de milhares 3 9 4 2 4" xfId="5016"/>
    <cellStyle name="Separador de milhares 3 9 4 2 4 2" xfId="23651"/>
    <cellStyle name="Separador de milhares 3 9 4 2 4 2 2" xfId="48718"/>
    <cellStyle name="Separador de milhares 3 9 4 2 4 3" xfId="30982"/>
    <cellStyle name="Separador de milhares 3 9 4 2 5" xfId="17737"/>
    <cellStyle name="Separador de milhares 3 9 4 2 5 2" xfId="42804"/>
    <cellStyle name="Separador de milhares 3 9 4 2 6" xfId="11403"/>
    <cellStyle name="Separador de milhares 3 9 4 2 6 2" xfId="36893"/>
    <cellStyle name="Separador de milhares 3 9 4 2 7" xfId="29512"/>
    <cellStyle name="Separador de milhares 3 9 4 3" xfId="1356"/>
    <cellStyle name="Separador de milhares 3 9 4 3 2" xfId="6813"/>
    <cellStyle name="Separador de milhares 3 9 4 3 2 2" xfId="9960"/>
    <cellStyle name="Separador de milhares 3 9 4 3 2 2 2" xfId="28174"/>
    <cellStyle name="Separador de milhares 3 9 4 3 2 2 2 2" xfId="53241"/>
    <cellStyle name="Separador de milhares 3 9 4 3 2 2 3" xfId="22260"/>
    <cellStyle name="Separador de milhares 3 9 4 3 2 2 3 2" xfId="47327"/>
    <cellStyle name="Separador de milhares 3 9 4 3 2 2 4" xfId="16346"/>
    <cellStyle name="Separador de milhares 3 9 4 3 2 2 4 2" xfId="41413"/>
    <cellStyle name="Separador de milhares 3 9 4 3 2 2 5" xfId="35505"/>
    <cellStyle name="Separador de milhares 3 9 4 3 2 3" xfId="25217"/>
    <cellStyle name="Separador de milhares 3 9 4 3 2 3 2" xfId="50284"/>
    <cellStyle name="Separador de milhares 3 9 4 3 2 4" xfId="19303"/>
    <cellStyle name="Separador de milhares 3 9 4 3 2 4 2" xfId="44370"/>
    <cellStyle name="Separador de milhares 3 9 4 3 2 5" xfId="13202"/>
    <cellStyle name="Separador de milhares 3 9 4 3 2 5 2" xfId="38459"/>
    <cellStyle name="Separador de milhares 3 9 4 3 2 6" xfId="32548"/>
    <cellStyle name="Separador de milhares 3 9 4 3 3" xfId="8492"/>
    <cellStyle name="Separador de milhares 3 9 4 3 3 2" xfId="26706"/>
    <cellStyle name="Separador de milhares 3 9 4 3 3 2 2" xfId="51773"/>
    <cellStyle name="Separador de milhares 3 9 4 3 3 3" xfId="20792"/>
    <cellStyle name="Separador de milhares 3 9 4 3 3 3 2" xfId="45859"/>
    <cellStyle name="Separador de milhares 3 9 4 3 3 4" xfId="14878"/>
    <cellStyle name="Separador de milhares 3 9 4 3 3 4 2" xfId="39945"/>
    <cellStyle name="Separador de milhares 3 9 4 3 3 5" xfId="34037"/>
    <cellStyle name="Separador de milhares 3 9 4 3 4" xfId="5114"/>
    <cellStyle name="Separador de milhares 3 9 4 3 4 2" xfId="23749"/>
    <cellStyle name="Separador de milhares 3 9 4 3 4 2 2" xfId="48816"/>
    <cellStyle name="Separador de milhares 3 9 4 3 4 3" xfId="31080"/>
    <cellStyle name="Separador de milhares 3 9 4 3 5" xfId="17835"/>
    <cellStyle name="Separador de milhares 3 9 4 3 5 2" xfId="42902"/>
    <cellStyle name="Separador de milhares 3 9 4 3 6" xfId="11501"/>
    <cellStyle name="Separador de milhares 3 9 4 3 6 2" xfId="36991"/>
    <cellStyle name="Separador de milhares 3 9 4 3 7" xfId="29610"/>
    <cellStyle name="Separador de milhares 3 9 4 4" xfId="1791"/>
    <cellStyle name="Separador de milhares 3 9 4 4 2" xfId="6932"/>
    <cellStyle name="Separador de milhares 3 9 4 4 2 2" xfId="10079"/>
    <cellStyle name="Separador de milhares 3 9 4 4 2 2 2" xfId="28293"/>
    <cellStyle name="Separador de milhares 3 9 4 4 2 2 2 2" xfId="53360"/>
    <cellStyle name="Separador de milhares 3 9 4 4 2 2 3" xfId="22379"/>
    <cellStyle name="Separador de milhares 3 9 4 4 2 2 3 2" xfId="47446"/>
    <cellStyle name="Separador de milhares 3 9 4 4 2 2 4" xfId="16465"/>
    <cellStyle name="Separador de milhares 3 9 4 4 2 2 4 2" xfId="41532"/>
    <cellStyle name="Separador de milhares 3 9 4 4 2 2 5" xfId="35624"/>
    <cellStyle name="Separador de milhares 3 9 4 4 2 3" xfId="25336"/>
    <cellStyle name="Separador de milhares 3 9 4 4 2 3 2" xfId="50403"/>
    <cellStyle name="Separador de milhares 3 9 4 4 2 4" xfId="19422"/>
    <cellStyle name="Separador de milhares 3 9 4 4 2 4 2" xfId="44489"/>
    <cellStyle name="Separador de milhares 3 9 4 4 2 5" xfId="13321"/>
    <cellStyle name="Separador de milhares 3 9 4 4 2 5 2" xfId="38578"/>
    <cellStyle name="Separador de milhares 3 9 4 4 2 6" xfId="32667"/>
    <cellStyle name="Separador de milhares 3 9 4 4 3" xfId="8611"/>
    <cellStyle name="Separador de milhares 3 9 4 4 3 2" xfId="26825"/>
    <cellStyle name="Separador de milhares 3 9 4 4 3 2 2" xfId="51892"/>
    <cellStyle name="Separador de milhares 3 9 4 4 3 3" xfId="20911"/>
    <cellStyle name="Separador de milhares 3 9 4 4 3 3 2" xfId="45978"/>
    <cellStyle name="Separador de milhares 3 9 4 4 3 4" xfId="14997"/>
    <cellStyle name="Separador de milhares 3 9 4 4 3 4 2" xfId="40064"/>
    <cellStyle name="Separador de milhares 3 9 4 4 3 5" xfId="34156"/>
    <cellStyle name="Separador de milhares 3 9 4 4 4" xfId="5233"/>
    <cellStyle name="Separador de milhares 3 9 4 4 4 2" xfId="23868"/>
    <cellStyle name="Separador de milhares 3 9 4 4 4 2 2" xfId="48935"/>
    <cellStyle name="Separador de milhares 3 9 4 4 4 3" xfId="31199"/>
    <cellStyle name="Separador de milhares 3 9 4 4 5" xfId="17954"/>
    <cellStyle name="Separador de milhares 3 9 4 4 5 2" xfId="43021"/>
    <cellStyle name="Separador de milhares 3 9 4 4 6" xfId="11620"/>
    <cellStyle name="Separador de milhares 3 9 4 4 6 2" xfId="37110"/>
    <cellStyle name="Separador de milhares 3 9 4 4 7" xfId="29729"/>
    <cellStyle name="Separador de milhares 3 9 4 5" xfId="2321"/>
    <cellStyle name="Separador de milhares 3 9 4 5 2" xfId="7082"/>
    <cellStyle name="Separador de milhares 3 9 4 5 2 2" xfId="10226"/>
    <cellStyle name="Separador de milhares 3 9 4 5 2 2 2" xfId="28440"/>
    <cellStyle name="Separador de milhares 3 9 4 5 2 2 2 2" xfId="53507"/>
    <cellStyle name="Separador de milhares 3 9 4 5 2 2 3" xfId="22526"/>
    <cellStyle name="Separador de milhares 3 9 4 5 2 2 3 2" xfId="47593"/>
    <cellStyle name="Separador de milhares 3 9 4 5 2 2 4" xfId="16612"/>
    <cellStyle name="Separador de milhares 3 9 4 5 2 2 4 2" xfId="41679"/>
    <cellStyle name="Separador de milhares 3 9 4 5 2 2 5" xfId="35771"/>
    <cellStyle name="Separador de milhares 3 9 4 5 2 3" xfId="25483"/>
    <cellStyle name="Separador de milhares 3 9 4 5 2 3 2" xfId="50550"/>
    <cellStyle name="Separador de milhares 3 9 4 5 2 4" xfId="19569"/>
    <cellStyle name="Separador de milhares 3 9 4 5 2 4 2" xfId="44636"/>
    <cellStyle name="Separador de milhares 3 9 4 5 2 5" xfId="13471"/>
    <cellStyle name="Separador de milhares 3 9 4 5 2 5 2" xfId="38725"/>
    <cellStyle name="Separador de milhares 3 9 4 5 2 6" xfId="32814"/>
    <cellStyle name="Separador de milhares 3 9 4 5 3" xfId="8758"/>
    <cellStyle name="Separador de milhares 3 9 4 5 3 2" xfId="26972"/>
    <cellStyle name="Separador de milhares 3 9 4 5 3 2 2" xfId="52039"/>
    <cellStyle name="Separador de milhares 3 9 4 5 3 3" xfId="21058"/>
    <cellStyle name="Separador de milhares 3 9 4 5 3 3 2" xfId="46125"/>
    <cellStyle name="Separador de milhares 3 9 4 5 3 4" xfId="15144"/>
    <cellStyle name="Separador de milhares 3 9 4 5 3 4 2" xfId="40211"/>
    <cellStyle name="Separador de milhares 3 9 4 5 3 5" xfId="34303"/>
    <cellStyle name="Separador de milhares 3 9 4 5 4" xfId="5383"/>
    <cellStyle name="Separador de milhares 3 9 4 5 4 2" xfId="24015"/>
    <cellStyle name="Separador de milhares 3 9 4 5 4 2 2" xfId="49082"/>
    <cellStyle name="Separador de milhares 3 9 4 5 4 3" xfId="31346"/>
    <cellStyle name="Separador de milhares 3 9 4 5 5" xfId="18101"/>
    <cellStyle name="Separador de milhares 3 9 4 5 5 2" xfId="43168"/>
    <cellStyle name="Separador de milhares 3 9 4 5 6" xfId="11770"/>
    <cellStyle name="Separador de milhares 3 9 4 5 6 2" xfId="37257"/>
    <cellStyle name="Separador de milhares 3 9 4 5 7" xfId="29876"/>
    <cellStyle name="Separador de milhares 3 9 4 6" xfId="2848"/>
    <cellStyle name="Separador de milhares 3 9 4 6 2" xfId="7229"/>
    <cellStyle name="Separador de milhares 3 9 4 6 2 2" xfId="10373"/>
    <cellStyle name="Separador de milhares 3 9 4 6 2 2 2" xfId="28587"/>
    <cellStyle name="Separador de milhares 3 9 4 6 2 2 2 2" xfId="53654"/>
    <cellStyle name="Separador de milhares 3 9 4 6 2 2 3" xfId="22673"/>
    <cellStyle name="Separador de milhares 3 9 4 6 2 2 3 2" xfId="47740"/>
    <cellStyle name="Separador de milhares 3 9 4 6 2 2 4" xfId="16759"/>
    <cellStyle name="Separador de milhares 3 9 4 6 2 2 4 2" xfId="41826"/>
    <cellStyle name="Separador de milhares 3 9 4 6 2 2 5" xfId="35918"/>
    <cellStyle name="Separador de milhares 3 9 4 6 2 3" xfId="25630"/>
    <cellStyle name="Separador de milhares 3 9 4 6 2 3 2" xfId="50697"/>
    <cellStyle name="Separador de milhares 3 9 4 6 2 4" xfId="19716"/>
    <cellStyle name="Separador de milhares 3 9 4 6 2 4 2" xfId="44783"/>
    <cellStyle name="Separador de milhares 3 9 4 6 2 5" xfId="13618"/>
    <cellStyle name="Separador de milhares 3 9 4 6 2 5 2" xfId="38872"/>
    <cellStyle name="Separador de milhares 3 9 4 6 2 6" xfId="32961"/>
    <cellStyle name="Separador de milhares 3 9 4 6 3" xfId="8905"/>
    <cellStyle name="Separador de milhares 3 9 4 6 3 2" xfId="27119"/>
    <cellStyle name="Separador de milhares 3 9 4 6 3 2 2" xfId="52186"/>
    <cellStyle name="Separador de milhares 3 9 4 6 3 3" xfId="21205"/>
    <cellStyle name="Separador de milhares 3 9 4 6 3 3 2" xfId="46272"/>
    <cellStyle name="Separador de milhares 3 9 4 6 3 4" xfId="15291"/>
    <cellStyle name="Separador de milhares 3 9 4 6 3 4 2" xfId="40358"/>
    <cellStyle name="Separador de milhares 3 9 4 6 3 5" xfId="34450"/>
    <cellStyle name="Separador de milhares 3 9 4 6 4" xfId="5530"/>
    <cellStyle name="Separador de milhares 3 9 4 6 4 2" xfId="24162"/>
    <cellStyle name="Separador de milhares 3 9 4 6 4 2 2" xfId="49229"/>
    <cellStyle name="Separador de milhares 3 9 4 6 4 3" xfId="31493"/>
    <cellStyle name="Separador de milhares 3 9 4 6 5" xfId="18248"/>
    <cellStyle name="Separador de milhares 3 9 4 6 5 2" xfId="43315"/>
    <cellStyle name="Separador de milhares 3 9 4 6 6" xfId="11917"/>
    <cellStyle name="Separador de milhares 3 9 4 6 6 2" xfId="37404"/>
    <cellStyle name="Separador de milhares 3 9 4 6 7" xfId="30023"/>
    <cellStyle name="Separador de milhares 3 9 4 7" xfId="3375"/>
    <cellStyle name="Separador de milhares 3 9 4 7 2" xfId="7376"/>
    <cellStyle name="Separador de milhares 3 9 4 7 2 2" xfId="10520"/>
    <cellStyle name="Separador de milhares 3 9 4 7 2 2 2" xfId="28734"/>
    <cellStyle name="Separador de milhares 3 9 4 7 2 2 2 2" xfId="53801"/>
    <cellStyle name="Separador de milhares 3 9 4 7 2 2 3" xfId="22820"/>
    <cellStyle name="Separador de milhares 3 9 4 7 2 2 3 2" xfId="47887"/>
    <cellStyle name="Separador de milhares 3 9 4 7 2 2 4" xfId="16906"/>
    <cellStyle name="Separador de milhares 3 9 4 7 2 2 4 2" xfId="41973"/>
    <cellStyle name="Separador de milhares 3 9 4 7 2 2 5" xfId="36065"/>
    <cellStyle name="Separador de milhares 3 9 4 7 2 3" xfId="25777"/>
    <cellStyle name="Separador de milhares 3 9 4 7 2 3 2" xfId="50844"/>
    <cellStyle name="Separador de milhares 3 9 4 7 2 4" xfId="19863"/>
    <cellStyle name="Separador de milhares 3 9 4 7 2 4 2" xfId="44930"/>
    <cellStyle name="Separador de milhares 3 9 4 7 2 5" xfId="13765"/>
    <cellStyle name="Separador de milhares 3 9 4 7 2 5 2" xfId="39019"/>
    <cellStyle name="Separador de milhares 3 9 4 7 2 6" xfId="33108"/>
    <cellStyle name="Separador de milhares 3 9 4 7 3" xfId="9052"/>
    <cellStyle name="Separador de milhares 3 9 4 7 3 2" xfId="27266"/>
    <cellStyle name="Separador de milhares 3 9 4 7 3 2 2" xfId="52333"/>
    <cellStyle name="Separador de milhares 3 9 4 7 3 3" xfId="21352"/>
    <cellStyle name="Separador de milhares 3 9 4 7 3 3 2" xfId="46419"/>
    <cellStyle name="Separador de milhares 3 9 4 7 3 4" xfId="15438"/>
    <cellStyle name="Separador de milhares 3 9 4 7 3 4 2" xfId="40505"/>
    <cellStyle name="Separador de milhares 3 9 4 7 3 5" xfId="34597"/>
    <cellStyle name="Separador de milhares 3 9 4 7 4" xfId="5677"/>
    <cellStyle name="Separador de milhares 3 9 4 7 4 2" xfId="24309"/>
    <cellStyle name="Separador de milhares 3 9 4 7 4 2 2" xfId="49376"/>
    <cellStyle name="Separador de milhares 3 9 4 7 4 3" xfId="31640"/>
    <cellStyle name="Separador de milhares 3 9 4 7 5" xfId="18395"/>
    <cellStyle name="Separador de milhares 3 9 4 7 5 2" xfId="43462"/>
    <cellStyle name="Separador de milhares 3 9 4 7 6" xfId="12064"/>
    <cellStyle name="Separador de milhares 3 9 4 7 6 2" xfId="37551"/>
    <cellStyle name="Separador de milhares 3 9 4 7 7" xfId="30170"/>
    <cellStyle name="Separador de milhares 3 9 4 8" xfId="3902"/>
    <cellStyle name="Separador de milhares 3 9 4 8 2" xfId="7523"/>
    <cellStyle name="Separador de milhares 3 9 4 8 2 2" xfId="10667"/>
    <cellStyle name="Separador de milhares 3 9 4 8 2 2 2" xfId="28881"/>
    <cellStyle name="Separador de milhares 3 9 4 8 2 2 2 2" xfId="53948"/>
    <cellStyle name="Separador de milhares 3 9 4 8 2 2 3" xfId="22967"/>
    <cellStyle name="Separador de milhares 3 9 4 8 2 2 3 2" xfId="48034"/>
    <cellStyle name="Separador de milhares 3 9 4 8 2 2 4" xfId="17053"/>
    <cellStyle name="Separador de milhares 3 9 4 8 2 2 4 2" xfId="42120"/>
    <cellStyle name="Separador de milhares 3 9 4 8 2 2 5" xfId="36212"/>
    <cellStyle name="Separador de milhares 3 9 4 8 2 3" xfId="25924"/>
    <cellStyle name="Separador de milhares 3 9 4 8 2 3 2" xfId="50991"/>
    <cellStyle name="Separador de milhares 3 9 4 8 2 4" xfId="20010"/>
    <cellStyle name="Separador de milhares 3 9 4 8 2 4 2" xfId="45077"/>
    <cellStyle name="Separador de milhares 3 9 4 8 2 5" xfId="13912"/>
    <cellStyle name="Separador de milhares 3 9 4 8 2 5 2" xfId="39166"/>
    <cellStyle name="Separador de milhares 3 9 4 8 2 6" xfId="33255"/>
    <cellStyle name="Separador de milhares 3 9 4 8 3" xfId="9199"/>
    <cellStyle name="Separador de milhares 3 9 4 8 3 2" xfId="27413"/>
    <cellStyle name="Separador de milhares 3 9 4 8 3 2 2" xfId="52480"/>
    <cellStyle name="Separador de milhares 3 9 4 8 3 3" xfId="21499"/>
    <cellStyle name="Separador de milhares 3 9 4 8 3 3 2" xfId="46566"/>
    <cellStyle name="Separador de milhares 3 9 4 8 3 4" xfId="15585"/>
    <cellStyle name="Separador de milhares 3 9 4 8 3 4 2" xfId="40652"/>
    <cellStyle name="Separador de milhares 3 9 4 8 3 5" xfId="34744"/>
    <cellStyle name="Separador de milhares 3 9 4 8 4" xfId="5824"/>
    <cellStyle name="Separador de milhares 3 9 4 8 4 2" xfId="24456"/>
    <cellStyle name="Separador de milhares 3 9 4 8 4 2 2" xfId="49523"/>
    <cellStyle name="Separador de milhares 3 9 4 8 4 3" xfId="31787"/>
    <cellStyle name="Separador de milhares 3 9 4 8 5" xfId="18542"/>
    <cellStyle name="Separador de milhares 3 9 4 8 5 2" xfId="43609"/>
    <cellStyle name="Separador de milhares 3 9 4 8 6" xfId="12211"/>
    <cellStyle name="Separador de milhares 3 9 4 8 6 2" xfId="37698"/>
    <cellStyle name="Separador de milhares 3 9 4 8 7" xfId="30317"/>
    <cellStyle name="Separador de milhares 3 9 4 9" xfId="682"/>
    <cellStyle name="Separador de milhares 3 9 4 9 2" xfId="6617"/>
    <cellStyle name="Separador de milhares 3 9 4 9 2 2" xfId="9764"/>
    <cellStyle name="Separador de milhares 3 9 4 9 2 2 2" xfId="27978"/>
    <cellStyle name="Separador de milhares 3 9 4 9 2 2 2 2" xfId="53045"/>
    <cellStyle name="Separador de milhares 3 9 4 9 2 2 3" xfId="22064"/>
    <cellStyle name="Separador de milhares 3 9 4 9 2 2 3 2" xfId="47131"/>
    <cellStyle name="Separador de milhares 3 9 4 9 2 2 4" xfId="16150"/>
    <cellStyle name="Separador de milhares 3 9 4 9 2 2 4 2" xfId="41217"/>
    <cellStyle name="Separador de milhares 3 9 4 9 2 2 5" xfId="35309"/>
    <cellStyle name="Separador de milhares 3 9 4 9 2 3" xfId="25021"/>
    <cellStyle name="Separador de milhares 3 9 4 9 2 3 2" xfId="50088"/>
    <cellStyle name="Separador de milhares 3 9 4 9 2 4" xfId="19107"/>
    <cellStyle name="Separador de milhares 3 9 4 9 2 4 2" xfId="44174"/>
    <cellStyle name="Separador de milhares 3 9 4 9 2 5" xfId="13006"/>
    <cellStyle name="Separador de milhares 3 9 4 9 2 5 2" xfId="38263"/>
    <cellStyle name="Separador de milhares 3 9 4 9 2 6" xfId="32352"/>
    <cellStyle name="Separador de milhares 3 9 4 9 3" xfId="8296"/>
    <cellStyle name="Separador de milhares 3 9 4 9 3 2" xfId="26510"/>
    <cellStyle name="Separador de milhares 3 9 4 9 3 2 2" xfId="51577"/>
    <cellStyle name="Separador de milhares 3 9 4 9 3 3" xfId="20596"/>
    <cellStyle name="Separador de milhares 3 9 4 9 3 3 2" xfId="45663"/>
    <cellStyle name="Separador de milhares 3 9 4 9 3 4" xfId="14682"/>
    <cellStyle name="Separador de milhares 3 9 4 9 3 4 2" xfId="39749"/>
    <cellStyle name="Separador de milhares 3 9 4 9 3 5" xfId="33841"/>
    <cellStyle name="Separador de milhares 3 9 4 9 4" xfId="4918"/>
    <cellStyle name="Separador de milhares 3 9 4 9 4 2" xfId="23553"/>
    <cellStyle name="Separador de milhares 3 9 4 9 4 2 2" xfId="48620"/>
    <cellStyle name="Separador de milhares 3 9 4 9 4 3" xfId="30884"/>
    <cellStyle name="Separador de milhares 3 9 4 9 5" xfId="17639"/>
    <cellStyle name="Separador de milhares 3 9 4 9 5 2" xfId="42706"/>
    <cellStyle name="Separador de milhares 3 9 4 9 6" xfId="11305"/>
    <cellStyle name="Separador de milhares 3 9 4 9 6 2" xfId="36795"/>
    <cellStyle name="Separador de milhares 3 9 4 9 7" xfId="29414"/>
    <cellStyle name="Separador de milhares 3 9 5" xfId="617"/>
    <cellStyle name="Separador de milhares 3 9 5 10" xfId="4882"/>
    <cellStyle name="Separador de milhares 3 9 5 10 2" xfId="23516"/>
    <cellStyle name="Separador de milhares 3 9 5 10 2 2" xfId="48583"/>
    <cellStyle name="Separador de milhares 3 9 5 10 3" xfId="30848"/>
    <cellStyle name="Separador de milhares 3 9 5 11" xfId="17602"/>
    <cellStyle name="Separador de milhares 3 9 5 11 2" xfId="42669"/>
    <cellStyle name="Separador de milhares 3 9 5 12" xfId="11271"/>
    <cellStyle name="Separador de milhares 3 9 5 12 2" xfId="36761"/>
    <cellStyle name="Separador de milhares 3 9 5 13" xfId="29377"/>
    <cellStyle name="Separador de milhares 3 9 5 2" xfId="1440"/>
    <cellStyle name="Separador de milhares 3 9 5 2 2" xfId="6834"/>
    <cellStyle name="Separador de milhares 3 9 5 2 2 2" xfId="9981"/>
    <cellStyle name="Separador de milhares 3 9 5 2 2 2 2" xfId="28195"/>
    <cellStyle name="Separador de milhares 3 9 5 2 2 2 2 2" xfId="53262"/>
    <cellStyle name="Separador de milhares 3 9 5 2 2 2 3" xfId="22281"/>
    <cellStyle name="Separador de milhares 3 9 5 2 2 2 3 2" xfId="47348"/>
    <cellStyle name="Separador de milhares 3 9 5 2 2 2 4" xfId="16367"/>
    <cellStyle name="Separador de milhares 3 9 5 2 2 2 4 2" xfId="41434"/>
    <cellStyle name="Separador de milhares 3 9 5 2 2 2 5" xfId="35526"/>
    <cellStyle name="Separador de milhares 3 9 5 2 2 3" xfId="25238"/>
    <cellStyle name="Separador de milhares 3 9 5 2 2 3 2" xfId="50305"/>
    <cellStyle name="Separador de milhares 3 9 5 2 2 4" xfId="19324"/>
    <cellStyle name="Separador de milhares 3 9 5 2 2 4 2" xfId="44391"/>
    <cellStyle name="Separador de milhares 3 9 5 2 2 5" xfId="13223"/>
    <cellStyle name="Separador de milhares 3 9 5 2 2 5 2" xfId="38480"/>
    <cellStyle name="Separador de milhares 3 9 5 2 2 6" xfId="32569"/>
    <cellStyle name="Separador de milhares 3 9 5 2 3" xfId="8513"/>
    <cellStyle name="Separador de milhares 3 9 5 2 3 2" xfId="26727"/>
    <cellStyle name="Separador de milhares 3 9 5 2 3 2 2" xfId="51794"/>
    <cellStyle name="Separador de milhares 3 9 5 2 3 3" xfId="20813"/>
    <cellStyle name="Separador de milhares 3 9 5 2 3 3 2" xfId="45880"/>
    <cellStyle name="Separador de milhares 3 9 5 2 3 4" xfId="14899"/>
    <cellStyle name="Separador de milhares 3 9 5 2 3 4 2" xfId="39966"/>
    <cellStyle name="Separador de milhares 3 9 5 2 3 5" xfId="34058"/>
    <cellStyle name="Separador de milhares 3 9 5 2 4" xfId="5135"/>
    <cellStyle name="Separador de milhares 3 9 5 2 4 2" xfId="23770"/>
    <cellStyle name="Separador de milhares 3 9 5 2 4 2 2" xfId="48837"/>
    <cellStyle name="Separador de milhares 3 9 5 2 4 3" xfId="31101"/>
    <cellStyle name="Separador de milhares 3 9 5 2 5" xfId="17856"/>
    <cellStyle name="Separador de milhares 3 9 5 2 5 2" xfId="42923"/>
    <cellStyle name="Separador de milhares 3 9 5 2 6" xfId="11522"/>
    <cellStyle name="Separador de milhares 3 9 5 2 6 2" xfId="37012"/>
    <cellStyle name="Separador de milhares 3 9 5 2 7" xfId="29631"/>
    <cellStyle name="Separador de milhares 3 9 5 3" xfId="1875"/>
    <cellStyle name="Separador de milhares 3 9 5 3 2" xfId="6953"/>
    <cellStyle name="Separador de milhares 3 9 5 3 2 2" xfId="10100"/>
    <cellStyle name="Separador de milhares 3 9 5 3 2 2 2" xfId="28314"/>
    <cellStyle name="Separador de milhares 3 9 5 3 2 2 2 2" xfId="53381"/>
    <cellStyle name="Separador de milhares 3 9 5 3 2 2 3" xfId="22400"/>
    <cellStyle name="Separador de milhares 3 9 5 3 2 2 3 2" xfId="47467"/>
    <cellStyle name="Separador de milhares 3 9 5 3 2 2 4" xfId="16486"/>
    <cellStyle name="Separador de milhares 3 9 5 3 2 2 4 2" xfId="41553"/>
    <cellStyle name="Separador de milhares 3 9 5 3 2 2 5" xfId="35645"/>
    <cellStyle name="Separador de milhares 3 9 5 3 2 3" xfId="25357"/>
    <cellStyle name="Separador de milhares 3 9 5 3 2 3 2" xfId="50424"/>
    <cellStyle name="Separador de milhares 3 9 5 3 2 4" xfId="19443"/>
    <cellStyle name="Separador de milhares 3 9 5 3 2 4 2" xfId="44510"/>
    <cellStyle name="Separador de milhares 3 9 5 3 2 5" xfId="13342"/>
    <cellStyle name="Separador de milhares 3 9 5 3 2 5 2" xfId="38599"/>
    <cellStyle name="Separador de milhares 3 9 5 3 2 6" xfId="32688"/>
    <cellStyle name="Separador de milhares 3 9 5 3 3" xfId="8632"/>
    <cellStyle name="Separador de milhares 3 9 5 3 3 2" xfId="26846"/>
    <cellStyle name="Separador de milhares 3 9 5 3 3 2 2" xfId="51913"/>
    <cellStyle name="Separador de milhares 3 9 5 3 3 3" xfId="20932"/>
    <cellStyle name="Separador de milhares 3 9 5 3 3 3 2" xfId="45999"/>
    <cellStyle name="Separador de milhares 3 9 5 3 3 4" xfId="15018"/>
    <cellStyle name="Separador de milhares 3 9 5 3 3 4 2" xfId="40085"/>
    <cellStyle name="Separador de milhares 3 9 5 3 3 5" xfId="34177"/>
    <cellStyle name="Separador de milhares 3 9 5 3 4" xfId="5254"/>
    <cellStyle name="Separador de milhares 3 9 5 3 4 2" xfId="23889"/>
    <cellStyle name="Separador de milhares 3 9 5 3 4 2 2" xfId="48956"/>
    <cellStyle name="Separador de milhares 3 9 5 3 4 3" xfId="31220"/>
    <cellStyle name="Separador de milhares 3 9 5 3 5" xfId="17975"/>
    <cellStyle name="Separador de milhares 3 9 5 3 5 2" xfId="43042"/>
    <cellStyle name="Separador de milhares 3 9 5 3 6" xfId="11641"/>
    <cellStyle name="Separador de milhares 3 9 5 3 6 2" xfId="37131"/>
    <cellStyle name="Separador de milhares 3 9 5 3 7" xfId="29750"/>
    <cellStyle name="Separador de milhares 3 9 5 4" xfId="2405"/>
    <cellStyle name="Separador de milhares 3 9 5 4 2" xfId="7103"/>
    <cellStyle name="Separador de milhares 3 9 5 4 2 2" xfId="10247"/>
    <cellStyle name="Separador de milhares 3 9 5 4 2 2 2" xfId="28461"/>
    <cellStyle name="Separador de milhares 3 9 5 4 2 2 2 2" xfId="53528"/>
    <cellStyle name="Separador de milhares 3 9 5 4 2 2 3" xfId="22547"/>
    <cellStyle name="Separador de milhares 3 9 5 4 2 2 3 2" xfId="47614"/>
    <cellStyle name="Separador de milhares 3 9 5 4 2 2 4" xfId="16633"/>
    <cellStyle name="Separador de milhares 3 9 5 4 2 2 4 2" xfId="41700"/>
    <cellStyle name="Separador de milhares 3 9 5 4 2 2 5" xfId="35792"/>
    <cellStyle name="Separador de milhares 3 9 5 4 2 3" xfId="25504"/>
    <cellStyle name="Separador de milhares 3 9 5 4 2 3 2" xfId="50571"/>
    <cellStyle name="Separador de milhares 3 9 5 4 2 4" xfId="19590"/>
    <cellStyle name="Separador de milhares 3 9 5 4 2 4 2" xfId="44657"/>
    <cellStyle name="Separador de milhares 3 9 5 4 2 5" xfId="13492"/>
    <cellStyle name="Separador de milhares 3 9 5 4 2 5 2" xfId="38746"/>
    <cellStyle name="Separador de milhares 3 9 5 4 2 6" xfId="32835"/>
    <cellStyle name="Separador de milhares 3 9 5 4 3" xfId="8779"/>
    <cellStyle name="Separador de milhares 3 9 5 4 3 2" xfId="26993"/>
    <cellStyle name="Separador de milhares 3 9 5 4 3 2 2" xfId="52060"/>
    <cellStyle name="Separador de milhares 3 9 5 4 3 3" xfId="21079"/>
    <cellStyle name="Separador de milhares 3 9 5 4 3 3 2" xfId="46146"/>
    <cellStyle name="Separador de milhares 3 9 5 4 3 4" xfId="15165"/>
    <cellStyle name="Separador de milhares 3 9 5 4 3 4 2" xfId="40232"/>
    <cellStyle name="Separador de milhares 3 9 5 4 3 5" xfId="34324"/>
    <cellStyle name="Separador de milhares 3 9 5 4 4" xfId="5404"/>
    <cellStyle name="Separador de milhares 3 9 5 4 4 2" xfId="24036"/>
    <cellStyle name="Separador de milhares 3 9 5 4 4 2 2" xfId="49103"/>
    <cellStyle name="Separador de milhares 3 9 5 4 4 3" xfId="31367"/>
    <cellStyle name="Separador de milhares 3 9 5 4 5" xfId="18122"/>
    <cellStyle name="Separador de milhares 3 9 5 4 5 2" xfId="43189"/>
    <cellStyle name="Separador de milhares 3 9 5 4 6" xfId="11791"/>
    <cellStyle name="Separador de milhares 3 9 5 4 6 2" xfId="37278"/>
    <cellStyle name="Separador de milhares 3 9 5 4 7" xfId="29897"/>
    <cellStyle name="Separador de milhares 3 9 5 5" xfId="2932"/>
    <cellStyle name="Separador de milhares 3 9 5 5 2" xfId="7250"/>
    <cellStyle name="Separador de milhares 3 9 5 5 2 2" xfId="10394"/>
    <cellStyle name="Separador de milhares 3 9 5 5 2 2 2" xfId="28608"/>
    <cellStyle name="Separador de milhares 3 9 5 5 2 2 2 2" xfId="53675"/>
    <cellStyle name="Separador de milhares 3 9 5 5 2 2 3" xfId="22694"/>
    <cellStyle name="Separador de milhares 3 9 5 5 2 2 3 2" xfId="47761"/>
    <cellStyle name="Separador de milhares 3 9 5 5 2 2 4" xfId="16780"/>
    <cellStyle name="Separador de milhares 3 9 5 5 2 2 4 2" xfId="41847"/>
    <cellStyle name="Separador de milhares 3 9 5 5 2 2 5" xfId="35939"/>
    <cellStyle name="Separador de milhares 3 9 5 5 2 3" xfId="25651"/>
    <cellStyle name="Separador de milhares 3 9 5 5 2 3 2" xfId="50718"/>
    <cellStyle name="Separador de milhares 3 9 5 5 2 4" xfId="19737"/>
    <cellStyle name="Separador de milhares 3 9 5 5 2 4 2" xfId="44804"/>
    <cellStyle name="Separador de milhares 3 9 5 5 2 5" xfId="13639"/>
    <cellStyle name="Separador de milhares 3 9 5 5 2 5 2" xfId="38893"/>
    <cellStyle name="Separador de milhares 3 9 5 5 2 6" xfId="32982"/>
    <cellStyle name="Separador de milhares 3 9 5 5 3" xfId="8926"/>
    <cellStyle name="Separador de milhares 3 9 5 5 3 2" xfId="27140"/>
    <cellStyle name="Separador de milhares 3 9 5 5 3 2 2" xfId="52207"/>
    <cellStyle name="Separador de milhares 3 9 5 5 3 3" xfId="21226"/>
    <cellStyle name="Separador de milhares 3 9 5 5 3 3 2" xfId="46293"/>
    <cellStyle name="Separador de milhares 3 9 5 5 3 4" xfId="15312"/>
    <cellStyle name="Separador de milhares 3 9 5 5 3 4 2" xfId="40379"/>
    <cellStyle name="Separador de milhares 3 9 5 5 3 5" xfId="34471"/>
    <cellStyle name="Separador de milhares 3 9 5 5 4" xfId="5551"/>
    <cellStyle name="Separador de milhares 3 9 5 5 4 2" xfId="24183"/>
    <cellStyle name="Separador de milhares 3 9 5 5 4 2 2" xfId="49250"/>
    <cellStyle name="Separador de milhares 3 9 5 5 4 3" xfId="31514"/>
    <cellStyle name="Separador de milhares 3 9 5 5 5" xfId="18269"/>
    <cellStyle name="Separador de milhares 3 9 5 5 5 2" xfId="43336"/>
    <cellStyle name="Separador de milhares 3 9 5 5 6" xfId="11938"/>
    <cellStyle name="Separador de milhares 3 9 5 5 6 2" xfId="37425"/>
    <cellStyle name="Separador de milhares 3 9 5 5 7" xfId="30044"/>
    <cellStyle name="Separador de milhares 3 9 5 6" xfId="3459"/>
    <cellStyle name="Separador de milhares 3 9 5 6 2" xfId="7397"/>
    <cellStyle name="Separador de milhares 3 9 5 6 2 2" xfId="10541"/>
    <cellStyle name="Separador de milhares 3 9 5 6 2 2 2" xfId="28755"/>
    <cellStyle name="Separador de milhares 3 9 5 6 2 2 2 2" xfId="53822"/>
    <cellStyle name="Separador de milhares 3 9 5 6 2 2 3" xfId="22841"/>
    <cellStyle name="Separador de milhares 3 9 5 6 2 2 3 2" xfId="47908"/>
    <cellStyle name="Separador de milhares 3 9 5 6 2 2 4" xfId="16927"/>
    <cellStyle name="Separador de milhares 3 9 5 6 2 2 4 2" xfId="41994"/>
    <cellStyle name="Separador de milhares 3 9 5 6 2 2 5" xfId="36086"/>
    <cellStyle name="Separador de milhares 3 9 5 6 2 3" xfId="25798"/>
    <cellStyle name="Separador de milhares 3 9 5 6 2 3 2" xfId="50865"/>
    <cellStyle name="Separador de milhares 3 9 5 6 2 4" xfId="19884"/>
    <cellStyle name="Separador de milhares 3 9 5 6 2 4 2" xfId="44951"/>
    <cellStyle name="Separador de milhares 3 9 5 6 2 5" xfId="13786"/>
    <cellStyle name="Separador de milhares 3 9 5 6 2 5 2" xfId="39040"/>
    <cellStyle name="Separador de milhares 3 9 5 6 2 6" xfId="33129"/>
    <cellStyle name="Separador de milhares 3 9 5 6 3" xfId="9073"/>
    <cellStyle name="Separador de milhares 3 9 5 6 3 2" xfId="27287"/>
    <cellStyle name="Separador de milhares 3 9 5 6 3 2 2" xfId="52354"/>
    <cellStyle name="Separador de milhares 3 9 5 6 3 3" xfId="21373"/>
    <cellStyle name="Separador de milhares 3 9 5 6 3 3 2" xfId="46440"/>
    <cellStyle name="Separador de milhares 3 9 5 6 3 4" xfId="15459"/>
    <cellStyle name="Separador de milhares 3 9 5 6 3 4 2" xfId="40526"/>
    <cellStyle name="Separador de milhares 3 9 5 6 3 5" xfId="34618"/>
    <cellStyle name="Separador de milhares 3 9 5 6 4" xfId="5698"/>
    <cellStyle name="Separador de milhares 3 9 5 6 4 2" xfId="24330"/>
    <cellStyle name="Separador de milhares 3 9 5 6 4 2 2" xfId="49397"/>
    <cellStyle name="Separador de milhares 3 9 5 6 4 3" xfId="31661"/>
    <cellStyle name="Separador de milhares 3 9 5 6 5" xfId="18416"/>
    <cellStyle name="Separador de milhares 3 9 5 6 5 2" xfId="43483"/>
    <cellStyle name="Separador de milhares 3 9 5 6 6" xfId="12085"/>
    <cellStyle name="Separador de milhares 3 9 5 6 6 2" xfId="37572"/>
    <cellStyle name="Separador de milhares 3 9 5 6 7" xfId="30191"/>
    <cellStyle name="Separador de milhares 3 9 5 7" xfId="3986"/>
    <cellStyle name="Separador de milhares 3 9 5 7 2" xfId="7544"/>
    <cellStyle name="Separador de milhares 3 9 5 7 2 2" xfId="10688"/>
    <cellStyle name="Separador de milhares 3 9 5 7 2 2 2" xfId="28902"/>
    <cellStyle name="Separador de milhares 3 9 5 7 2 2 2 2" xfId="53969"/>
    <cellStyle name="Separador de milhares 3 9 5 7 2 2 3" xfId="22988"/>
    <cellStyle name="Separador de milhares 3 9 5 7 2 2 3 2" xfId="48055"/>
    <cellStyle name="Separador de milhares 3 9 5 7 2 2 4" xfId="17074"/>
    <cellStyle name="Separador de milhares 3 9 5 7 2 2 4 2" xfId="42141"/>
    <cellStyle name="Separador de milhares 3 9 5 7 2 2 5" xfId="36233"/>
    <cellStyle name="Separador de milhares 3 9 5 7 2 3" xfId="25945"/>
    <cellStyle name="Separador de milhares 3 9 5 7 2 3 2" xfId="51012"/>
    <cellStyle name="Separador de milhares 3 9 5 7 2 4" xfId="20031"/>
    <cellStyle name="Separador de milhares 3 9 5 7 2 4 2" xfId="45098"/>
    <cellStyle name="Separador de milhares 3 9 5 7 2 5" xfId="13933"/>
    <cellStyle name="Separador de milhares 3 9 5 7 2 5 2" xfId="39187"/>
    <cellStyle name="Separador de milhares 3 9 5 7 2 6" xfId="33276"/>
    <cellStyle name="Separador de milhares 3 9 5 7 3" xfId="9220"/>
    <cellStyle name="Separador de milhares 3 9 5 7 3 2" xfId="27434"/>
    <cellStyle name="Separador de milhares 3 9 5 7 3 2 2" xfId="52501"/>
    <cellStyle name="Separador de milhares 3 9 5 7 3 3" xfId="21520"/>
    <cellStyle name="Separador de milhares 3 9 5 7 3 3 2" xfId="46587"/>
    <cellStyle name="Separador de milhares 3 9 5 7 3 4" xfId="15606"/>
    <cellStyle name="Separador de milhares 3 9 5 7 3 4 2" xfId="40673"/>
    <cellStyle name="Separador de milhares 3 9 5 7 3 5" xfId="34765"/>
    <cellStyle name="Separador de milhares 3 9 5 7 4" xfId="5845"/>
    <cellStyle name="Separador de milhares 3 9 5 7 4 2" xfId="24477"/>
    <cellStyle name="Separador de milhares 3 9 5 7 4 2 2" xfId="49544"/>
    <cellStyle name="Separador de milhares 3 9 5 7 4 3" xfId="31808"/>
    <cellStyle name="Separador de milhares 3 9 5 7 5" xfId="18563"/>
    <cellStyle name="Separador de milhares 3 9 5 7 5 2" xfId="43630"/>
    <cellStyle name="Separador de milhares 3 9 5 7 6" xfId="12232"/>
    <cellStyle name="Separador de milhares 3 9 5 7 6 2" xfId="37719"/>
    <cellStyle name="Separador de milhares 3 9 5 7 7" xfId="30338"/>
    <cellStyle name="Separador de milhares 3 9 5 8" xfId="6583"/>
    <cellStyle name="Separador de milhares 3 9 5 8 2" xfId="9730"/>
    <cellStyle name="Separador de milhares 3 9 5 8 2 2" xfId="27944"/>
    <cellStyle name="Separador de milhares 3 9 5 8 2 2 2" xfId="53011"/>
    <cellStyle name="Separador de milhares 3 9 5 8 2 3" xfId="22030"/>
    <cellStyle name="Separador de milhares 3 9 5 8 2 3 2" xfId="47097"/>
    <cellStyle name="Separador de milhares 3 9 5 8 2 4" xfId="16116"/>
    <cellStyle name="Separador de milhares 3 9 5 8 2 4 2" xfId="41183"/>
    <cellStyle name="Separador de milhares 3 9 5 8 2 5" xfId="35275"/>
    <cellStyle name="Separador de milhares 3 9 5 8 3" xfId="24987"/>
    <cellStyle name="Separador de milhares 3 9 5 8 3 2" xfId="50054"/>
    <cellStyle name="Separador de milhares 3 9 5 8 4" xfId="19073"/>
    <cellStyle name="Separador de milhares 3 9 5 8 4 2" xfId="44140"/>
    <cellStyle name="Separador de milhares 3 9 5 8 5" xfId="12972"/>
    <cellStyle name="Separador de milhares 3 9 5 8 5 2" xfId="38229"/>
    <cellStyle name="Separador de milhares 3 9 5 8 6" xfId="32318"/>
    <cellStyle name="Separador de milhares 3 9 5 9" xfId="8259"/>
    <cellStyle name="Separador de milhares 3 9 5 9 2" xfId="26473"/>
    <cellStyle name="Separador de milhares 3 9 5 9 2 2" xfId="51540"/>
    <cellStyle name="Separador de milhares 3 9 5 9 3" xfId="20559"/>
    <cellStyle name="Separador de milhares 3 9 5 9 3 2" xfId="45626"/>
    <cellStyle name="Separador de milhares 3 9 5 9 4" xfId="14648"/>
    <cellStyle name="Separador de milhares 3 9 5 9 4 2" xfId="39715"/>
    <cellStyle name="Separador de milhares 3 9 5 9 5" xfId="33804"/>
    <cellStyle name="Separador de milhares 3 9 6" xfId="738"/>
    <cellStyle name="Separador de milhares 3 9 6 2" xfId="4162"/>
    <cellStyle name="Separador de milhares 3 9 6 2 2" xfId="7593"/>
    <cellStyle name="Separador de milhares 3 9 6 2 2 2" xfId="10737"/>
    <cellStyle name="Separador de milhares 3 9 6 2 2 2 2" xfId="28951"/>
    <cellStyle name="Separador de milhares 3 9 6 2 2 2 2 2" xfId="54018"/>
    <cellStyle name="Separador de milhares 3 9 6 2 2 2 3" xfId="23037"/>
    <cellStyle name="Separador de milhares 3 9 6 2 2 2 3 2" xfId="48104"/>
    <cellStyle name="Separador de milhares 3 9 6 2 2 2 4" xfId="17123"/>
    <cellStyle name="Separador de milhares 3 9 6 2 2 2 4 2" xfId="42190"/>
    <cellStyle name="Separador de milhares 3 9 6 2 2 2 5" xfId="36282"/>
    <cellStyle name="Separador de milhares 3 9 6 2 2 3" xfId="25994"/>
    <cellStyle name="Separador de milhares 3 9 6 2 2 3 2" xfId="51061"/>
    <cellStyle name="Separador de milhares 3 9 6 2 2 4" xfId="20080"/>
    <cellStyle name="Separador de milhares 3 9 6 2 2 4 2" xfId="45147"/>
    <cellStyle name="Separador de milhares 3 9 6 2 2 5" xfId="13982"/>
    <cellStyle name="Separador de milhares 3 9 6 2 2 5 2" xfId="39236"/>
    <cellStyle name="Separador de milhares 3 9 6 2 2 6" xfId="33325"/>
    <cellStyle name="Separador de milhares 3 9 6 2 3" xfId="9269"/>
    <cellStyle name="Separador de milhares 3 9 6 2 3 2" xfId="27483"/>
    <cellStyle name="Separador de milhares 3 9 6 2 3 2 2" xfId="52550"/>
    <cellStyle name="Separador de milhares 3 9 6 2 3 3" xfId="21569"/>
    <cellStyle name="Separador de milhares 3 9 6 2 3 3 2" xfId="46636"/>
    <cellStyle name="Separador de milhares 3 9 6 2 3 4" xfId="15655"/>
    <cellStyle name="Separador de milhares 3 9 6 2 3 4 2" xfId="40722"/>
    <cellStyle name="Separador de milhares 3 9 6 2 3 5" xfId="34814"/>
    <cellStyle name="Separador de milhares 3 9 6 2 4" xfId="5894"/>
    <cellStyle name="Separador de milhares 3 9 6 2 4 2" xfId="24526"/>
    <cellStyle name="Separador de milhares 3 9 6 2 4 2 2" xfId="49593"/>
    <cellStyle name="Separador de milhares 3 9 6 2 4 3" xfId="31857"/>
    <cellStyle name="Separador de milhares 3 9 6 2 5" xfId="18612"/>
    <cellStyle name="Separador de milhares 3 9 6 2 5 2" xfId="43679"/>
    <cellStyle name="Separador de milhares 3 9 6 2 6" xfId="12281"/>
    <cellStyle name="Separador de milhares 3 9 6 2 6 2" xfId="37768"/>
    <cellStyle name="Separador de milhares 3 9 6 2 7" xfId="30387"/>
    <cellStyle name="Separador de milhares 3 9 6 3" xfId="6638"/>
    <cellStyle name="Separador de milhares 3 9 6 3 2" xfId="9785"/>
    <cellStyle name="Separador de milhares 3 9 6 3 2 2" xfId="27999"/>
    <cellStyle name="Separador de milhares 3 9 6 3 2 2 2" xfId="53066"/>
    <cellStyle name="Separador de milhares 3 9 6 3 2 3" xfId="22085"/>
    <cellStyle name="Separador de milhares 3 9 6 3 2 3 2" xfId="47152"/>
    <cellStyle name="Separador de milhares 3 9 6 3 2 4" xfId="16171"/>
    <cellStyle name="Separador de milhares 3 9 6 3 2 4 2" xfId="41238"/>
    <cellStyle name="Separador de milhares 3 9 6 3 2 5" xfId="35330"/>
    <cellStyle name="Separador de milhares 3 9 6 3 3" xfId="25042"/>
    <cellStyle name="Separador de milhares 3 9 6 3 3 2" xfId="50109"/>
    <cellStyle name="Separador de milhares 3 9 6 3 4" xfId="19128"/>
    <cellStyle name="Separador de milhares 3 9 6 3 4 2" xfId="44195"/>
    <cellStyle name="Separador de milhares 3 9 6 3 5" xfId="13027"/>
    <cellStyle name="Separador de milhares 3 9 6 3 5 2" xfId="38284"/>
    <cellStyle name="Separador de milhares 3 9 6 3 6" xfId="32373"/>
    <cellStyle name="Separador de milhares 3 9 6 4" xfId="8317"/>
    <cellStyle name="Separador de milhares 3 9 6 4 2" xfId="26531"/>
    <cellStyle name="Separador de milhares 3 9 6 4 2 2" xfId="51598"/>
    <cellStyle name="Separador de milhares 3 9 6 4 3" xfId="20617"/>
    <cellStyle name="Separador de milhares 3 9 6 4 3 2" xfId="45684"/>
    <cellStyle name="Separador de milhares 3 9 6 4 4" xfId="14703"/>
    <cellStyle name="Separador de milhares 3 9 6 4 4 2" xfId="39770"/>
    <cellStyle name="Separador de milhares 3 9 6 4 5" xfId="33862"/>
    <cellStyle name="Separador de milhares 3 9 6 5" xfId="4939"/>
    <cellStyle name="Separador de milhares 3 9 6 5 2" xfId="23574"/>
    <cellStyle name="Separador de milhares 3 9 6 5 2 2" xfId="48641"/>
    <cellStyle name="Separador de milhares 3 9 6 5 3" xfId="30905"/>
    <cellStyle name="Separador de milhares 3 9 6 6" xfId="17660"/>
    <cellStyle name="Separador de milhares 3 9 6 6 2" xfId="42727"/>
    <cellStyle name="Separador de milhares 3 9 6 7" xfId="11326"/>
    <cellStyle name="Separador de milhares 3 9 6 7 2" xfId="36816"/>
    <cellStyle name="Separador de milhares 3 9 6 8" xfId="29435"/>
    <cellStyle name="Separador de milhares 3 9 7" xfId="1089"/>
    <cellStyle name="Separador de milhares 3 9 7 2" xfId="6736"/>
    <cellStyle name="Separador de milhares 3 9 7 2 2" xfId="9883"/>
    <cellStyle name="Separador de milhares 3 9 7 2 2 2" xfId="28097"/>
    <cellStyle name="Separador de milhares 3 9 7 2 2 2 2" xfId="53164"/>
    <cellStyle name="Separador de milhares 3 9 7 2 2 3" xfId="22183"/>
    <cellStyle name="Separador de milhares 3 9 7 2 2 3 2" xfId="47250"/>
    <cellStyle name="Separador de milhares 3 9 7 2 2 4" xfId="16269"/>
    <cellStyle name="Separador de milhares 3 9 7 2 2 4 2" xfId="41336"/>
    <cellStyle name="Separador de milhares 3 9 7 2 2 5" xfId="35428"/>
    <cellStyle name="Separador de milhares 3 9 7 2 3" xfId="25140"/>
    <cellStyle name="Separador de milhares 3 9 7 2 3 2" xfId="50207"/>
    <cellStyle name="Separador de milhares 3 9 7 2 4" xfId="19226"/>
    <cellStyle name="Separador de milhares 3 9 7 2 4 2" xfId="44293"/>
    <cellStyle name="Separador de milhares 3 9 7 2 5" xfId="13125"/>
    <cellStyle name="Separador de milhares 3 9 7 2 5 2" xfId="38382"/>
    <cellStyle name="Separador de milhares 3 9 7 2 6" xfId="32471"/>
    <cellStyle name="Separador de milhares 3 9 7 3" xfId="8415"/>
    <cellStyle name="Separador de milhares 3 9 7 3 2" xfId="26629"/>
    <cellStyle name="Separador de milhares 3 9 7 3 2 2" xfId="51696"/>
    <cellStyle name="Separador de milhares 3 9 7 3 3" xfId="20715"/>
    <cellStyle name="Separador de milhares 3 9 7 3 3 2" xfId="45782"/>
    <cellStyle name="Separador de milhares 3 9 7 3 4" xfId="14801"/>
    <cellStyle name="Separador de milhares 3 9 7 3 4 2" xfId="39868"/>
    <cellStyle name="Separador de milhares 3 9 7 3 5" xfId="33960"/>
    <cellStyle name="Separador de milhares 3 9 7 4" xfId="5037"/>
    <cellStyle name="Separador de milhares 3 9 7 4 2" xfId="23672"/>
    <cellStyle name="Separador de milhares 3 9 7 4 2 2" xfId="48739"/>
    <cellStyle name="Separador de milhares 3 9 7 4 3" xfId="31003"/>
    <cellStyle name="Separador de milhares 3 9 7 5" xfId="17758"/>
    <cellStyle name="Separador de milhares 3 9 7 5 2" xfId="42825"/>
    <cellStyle name="Separador de milhares 3 9 7 6" xfId="11424"/>
    <cellStyle name="Separador de milhares 3 9 7 6 2" xfId="36914"/>
    <cellStyle name="Separador de milhares 3 9 7 7" xfId="29533"/>
    <cellStyle name="Separador de milhares 3 9 8" xfId="1524"/>
    <cellStyle name="Separador de milhares 3 9 8 2" xfId="6855"/>
    <cellStyle name="Separador de milhares 3 9 8 2 2" xfId="10002"/>
    <cellStyle name="Separador de milhares 3 9 8 2 2 2" xfId="28216"/>
    <cellStyle name="Separador de milhares 3 9 8 2 2 2 2" xfId="53283"/>
    <cellStyle name="Separador de milhares 3 9 8 2 2 3" xfId="22302"/>
    <cellStyle name="Separador de milhares 3 9 8 2 2 3 2" xfId="47369"/>
    <cellStyle name="Separador de milhares 3 9 8 2 2 4" xfId="16388"/>
    <cellStyle name="Separador de milhares 3 9 8 2 2 4 2" xfId="41455"/>
    <cellStyle name="Separador de milhares 3 9 8 2 2 5" xfId="35547"/>
    <cellStyle name="Separador de milhares 3 9 8 2 3" xfId="25259"/>
    <cellStyle name="Separador de milhares 3 9 8 2 3 2" xfId="50326"/>
    <cellStyle name="Separador de milhares 3 9 8 2 4" xfId="19345"/>
    <cellStyle name="Separador de milhares 3 9 8 2 4 2" xfId="44412"/>
    <cellStyle name="Separador de milhares 3 9 8 2 5" xfId="13244"/>
    <cellStyle name="Separador de milhares 3 9 8 2 5 2" xfId="38501"/>
    <cellStyle name="Separador de milhares 3 9 8 2 6" xfId="32590"/>
    <cellStyle name="Separador de milhares 3 9 8 3" xfId="8534"/>
    <cellStyle name="Separador de milhares 3 9 8 3 2" xfId="26748"/>
    <cellStyle name="Separador de milhares 3 9 8 3 2 2" xfId="51815"/>
    <cellStyle name="Separador de milhares 3 9 8 3 3" xfId="20834"/>
    <cellStyle name="Separador de milhares 3 9 8 3 3 2" xfId="45901"/>
    <cellStyle name="Separador de milhares 3 9 8 3 4" xfId="14920"/>
    <cellStyle name="Separador de milhares 3 9 8 3 4 2" xfId="39987"/>
    <cellStyle name="Separador de milhares 3 9 8 3 5" xfId="34079"/>
    <cellStyle name="Separador de milhares 3 9 8 4" xfId="5156"/>
    <cellStyle name="Separador de milhares 3 9 8 4 2" xfId="23791"/>
    <cellStyle name="Separador de milhares 3 9 8 4 2 2" xfId="48858"/>
    <cellStyle name="Separador de milhares 3 9 8 4 3" xfId="31122"/>
    <cellStyle name="Separador de milhares 3 9 8 5" xfId="17877"/>
    <cellStyle name="Separador de milhares 3 9 8 5 2" xfId="42944"/>
    <cellStyle name="Separador de milhares 3 9 8 6" xfId="11543"/>
    <cellStyle name="Separador de milhares 3 9 8 6 2" xfId="37033"/>
    <cellStyle name="Separador de milhares 3 9 8 7" xfId="29652"/>
    <cellStyle name="Separador de milhares 3 9 9" xfId="2054"/>
    <cellStyle name="Separador de milhares 3 9 9 2" xfId="7005"/>
    <cellStyle name="Separador de milhares 3 9 9 2 2" xfId="10149"/>
    <cellStyle name="Separador de milhares 3 9 9 2 2 2" xfId="28363"/>
    <cellStyle name="Separador de milhares 3 9 9 2 2 2 2" xfId="53430"/>
    <cellStyle name="Separador de milhares 3 9 9 2 2 3" xfId="22449"/>
    <cellStyle name="Separador de milhares 3 9 9 2 2 3 2" xfId="47516"/>
    <cellStyle name="Separador de milhares 3 9 9 2 2 4" xfId="16535"/>
    <cellStyle name="Separador de milhares 3 9 9 2 2 4 2" xfId="41602"/>
    <cellStyle name="Separador de milhares 3 9 9 2 2 5" xfId="35694"/>
    <cellStyle name="Separador de milhares 3 9 9 2 3" xfId="25406"/>
    <cellStyle name="Separador de milhares 3 9 9 2 3 2" xfId="50473"/>
    <cellStyle name="Separador de milhares 3 9 9 2 4" xfId="19492"/>
    <cellStyle name="Separador de milhares 3 9 9 2 4 2" xfId="44559"/>
    <cellStyle name="Separador de milhares 3 9 9 2 5" xfId="13394"/>
    <cellStyle name="Separador de milhares 3 9 9 2 5 2" xfId="38648"/>
    <cellStyle name="Separador de milhares 3 9 9 2 6" xfId="32737"/>
    <cellStyle name="Separador de milhares 3 9 9 3" xfId="8681"/>
    <cellStyle name="Separador de milhares 3 9 9 3 2" xfId="26895"/>
    <cellStyle name="Separador de milhares 3 9 9 3 2 2" xfId="51962"/>
    <cellStyle name="Separador de milhares 3 9 9 3 3" xfId="20981"/>
    <cellStyle name="Separador de milhares 3 9 9 3 3 2" xfId="46048"/>
    <cellStyle name="Separador de milhares 3 9 9 3 4" xfId="15067"/>
    <cellStyle name="Separador de milhares 3 9 9 3 4 2" xfId="40134"/>
    <cellStyle name="Separador de milhares 3 9 9 3 5" xfId="34226"/>
    <cellStyle name="Separador de milhares 3 9 9 4" xfId="5306"/>
    <cellStyle name="Separador de milhares 3 9 9 4 2" xfId="23938"/>
    <cellStyle name="Separador de milhares 3 9 9 4 2 2" xfId="49005"/>
    <cellStyle name="Separador de milhares 3 9 9 4 3" xfId="31269"/>
    <cellStyle name="Separador de milhares 3 9 9 5" xfId="18024"/>
    <cellStyle name="Separador de milhares 3 9 9 5 2" xfId="43091"/>
    <cellStyle name="Separador de milhares 3 9 9 6" xfId="11693"/>
    <cellStyle name="Separador de milhares 3 9 9 6 2" xfId="37180"/>
    <cellStyle name="Separador de milhares 3 9 9 7" xfId="29799"/>
    <cellStyle name="Separador de milhares 4" xfId="120"/>
    <cellStyle name="Separador de milhares 4 2" xfId="213"/>
    <cellStyle name="Separador de milhares 4 2 10" xfId="6473"/>
    <cellStyle name="Separador de milhares 4 2 10 2" xfId="9625"/>
    <cellStyle name="Separador de milhares 4 2 10 2 2" xfId="27839"/>
    <cellStyle name="Separador de milhares 4 2 10 2 2 2" xfId="52906"/>
    <cellStyle name="Separador de milhares 4 2 10 2 3" xfId="21925"/>
    <cellStyle name="Separador de milhares 4 2 10 2 3 2" xfId="46992"/>
    <cellStyle name="Separador de milhares 4 2 10 2 4" xfId="16011"/>
    <cellStyle name="Separador de milhares 4 2 10 2 4 2" xfId="41078"/>
    <cellStyle name="Separador de milhares 4 2 10 2 5" xfId="35170"/>
    <cellStyle name="Separador de milhares 4 2 10 3" xfId="24882"/>
    <cellStyle name="Separador de milhares 4 2 10 3 2" xfId="49949"/>
    <cellStyle name="Separador de milhares 4 2 10 4" xfId="18968"/>
    <cellStyle name="Separador de milhares 4 2 10 4 2" xfId="44035"/>
    <cellStyle name="Separador de milhares 4 2 10 5" xfId="12862"/>
    <cellStyle name="Separador de milhares 4 2 10 5 2" xfId="38124"/>
    <cellStyle name="Separador de milhares 4 2 10 6" xfId="32213"/>
    <cellStyle name="Separador de milhares 4 2 11" xfId="8154"/>
    <cellStyle name="Separador de milhares 4 2 11 2" xfId="26368"/>
    <cellStyle name="Separador de milhares 4 2 11 2 2" xfId="51435"/>
    <cellStyle name="Separador de milhares 4 2 11 3" xfId="20454"/>
    <cellStyle name="Separador de milhares 4 2 11 3 2" xfId="45521"/>
    <cellStyle name="Separador de milhares 4 2 11 4" xfId="14543"/>
    <cellStyle name="Separador de milhares 4 2 11 4 2" xfId="39610"/>
    <cellStyle name="Separador de milhares 4 2 11 5" xfId="33699"/>
    <cellStyle name="Separador de milhares 4 2 12" xfId="4772"/>
    <cellStyle name="Separador de milhares 4 2 12 2" xfId="23411"/>
    <cellStyle name="Separador de milhares 4 2 12 2 2" xfId="48478"/>
    <cellStyle name="Separador de milhares 4 2 12 3" xfId="30743"/>
    <cellStyle name="Separador de milhares 4 2 13" xfId="17497"/>
    <cellStyle name="Separador de milhares 4 2 13 2" xfId="42564"/>
    <cellStyle name="Separador de milhares 4 2 14" xfId="11161"/>
    <cellStyle name="Separador de milhares 4 2 14 2" xfId="36656"/>
    <cellStyle name="Separador de milhares 4 2 15" xfId="29272"/>
    <cellStyle name="Separador de milhares 4 2 2" xfId="670"/>
    <cellStyle name="Separador de milhares 4 2 2 10" xfId="17627"/>
    <cellStyle name="Separador de milhares 4 2 2 10 2" xfId="42694"/>
    <cellStyle name="Separador de milhares 4 2 2 11" xfId="11293"/>
    <cellStyle name="Separador de milhares 4 2 2 11 2" xfId="36783"/>
    <cellStyle name="Separador de milhares 4 2 2 12" xfId="29402"/>
    <cellStyle name="Separador de milhares 4 2 2 2" xfId="2006"/>
    <cellStyle name="Separador de milhares 4 2 2 2 2" xfId="6992"/>
    <cellStyle name="Separador de milhares 4 2 2 2 2 2" xfId="10137"/>
    <cellStyle name="Separador de milhares 4 2 2 2 2 2 2" xfId="28351"/>
    <cellStyle name="Separador de milhares 4 2 2 2 2 2 2 2" xfId="53418"/>
    <cellStyle name="Separador de milhares 4 2 2 2 2 2 3" xfId="22437"/>
    <cellStyle name="Separador de milhares 4 2 2 2 2 2 3 2" xfId="47504"/>
    <cellStyle name="Separador de milhares 4 2 2 2 2 2 4" xfId="16523"/>
    <cellStyle name="Separador de milhares 4 2 2 2 2 2 4 2" xfId="41590"/>
    <cellStyle name="Separador de milhares 4 2 2 2 2 2 5" xfId="35682"/>
    <cellStyle name="Separador de milhares 4 2 2 2 2 3" xfId="25394"/>
    <cellStyle name="Separador de milhares 4 2 2 2 2 3 2" xfId="50461"/>
    <cellStyle name="Separador de milhares 4 2 2 2 2 4" xfId="19480"/>
    <cellStyle name="Separador de milhares 4 2 2 2 2 4 2" xfId="44547"/>
    <cellStyle name="Separador de milhares 4 2 2 2 2 5" xfId="13381"/>
    <cellStyle name="Separador de milhares 4 2 2 2 2 5 2" xfId="38636"/>
    <cellStyle name="Separador de milhares 4 2 2 2 2 6" xfId="32725"/>
    <cellStyle name="Separador de milhares 4 2 2 2 3" xfId="8669"/>
    <cellStyle name="Separador de milhares 4 2 2 2 3 2" xfId="26883"/>
    <cellStyle name="Separador de milhares 4 2 2 2 3 2 2" xfId="51950"/>
    <cellStyle name="Separador de milhares 4 2 2 2 3 3" xfId="20969"/>
    <cellStyle name="Separador de milhares 4 2 2 2 3 3 2" xfId="46036"/>
    <cellStyle name="Separador de milhares 4 2 2 2 3 4" xfId="15055"/>
    <cellStyle name="Separador de milhares 4 2 2 2 3 4 2" xfId="40122"/>
    <cellStyle name="Separador de milhares 4 2 2 2 3 5" xfId="34214"/>
    <cellStyle name="Separador de milhares 4 2 2 2 4" xfId="5293"/>
    <cellStyle name="Separador de milhares 4 2 2 2 4 2" xfId="23926"/>
    <cellStyle name="Separador de milhares 4 2 2 2 4 2 2" xfId="48993"/>
    <cellStyle name="Separador de milhares 4 2 2 2 4 3" xfId="31257"/>
    <cellStyle name="Separador de milhares 4 2 2 2 5" xfId="18012"/>
    <cellStyle name="Separador de milhares 4 2 2 2 5 2" xfId="43079"/>
    <cellStyle name="Separador de milhares 4 2 2 2 6" xfId="11680"/>
    <cellStyle name="Separador de milhares 4 2 2 2 6 2" xfId="37168"/>
    <cellStyle name="Separador de milhares 4 2 2 2 7" xfId="29787"/>
    <cellStyle name="Separador de milhares 4 2 2 3" xfId="2534"/>
    <cellStyle name="Separador de milhares 4 2 2 3 2" xfId="7140"/>
    <cellStyle name="Separador de milhares 4 2 2 3 2 2" xfId="10284"/>
    <cellStyle name="Separador de milhares 4 2 2 3 2 2 2" xfId="28498"/>
    <cellStyle name="Separador de milhares 4 2 2 3 2 2 2 2" xfId="53565"/>
    <cellStyle name="Separador de milhares 4 2 2 3 2 2 3" xfId="22584"/>
    <cellStyle name="Separador de milhares 4 2 2 3 2 2 3 2" xfId="47651"/>
    <cellStyle name="Separador de milhares 4 2 2 3 2 2 4" xfId="16670"/>
    <cellStyle name="Separador de milhares 4 2 2 3 2 2 4 2" xfId="41737"/>
    <cellStyle name="Separador de milhares 4 2 2 3 2 2 5" xfId="35829"/>
    <cellStyle name="Separador de milhares 4 2 2 3 2 3" xfId="25541"/>
    <cellStyle name="Separador de milhares 4 2 2 3 2 3 2" xfId="50608"/>
    <cellStyle name="Separador de milhares 4 2 2 3 2 4" xfId="19627"/>
    <cellStyle name="Separador de milhares 4 2 2 3 2 4 2" xfId="44694"/>
    <cellStyle name="Separador de milhares 4 2 2 3 2 5" xfId="13529"/>
    <cellStyle name="Separador de milhares 4 2 2 3 2 5 2" xfId="38783"/>
    <cellStyle name="Separador de milhares 4 2 2 3 2 6" xfId="32872"/>
    <cellStyle name="Separador de milhares 4 2 2 3 3" xfId="8816"/>
    <cellStyle name="Separador de milhares 4 2 2 3 3 2" xfId="27030"/>
    <cellStyle name="Separador de milhares 4 2 2 3 3 2 2" xfId="52097"/>
    <cellStyle name="Separador de milhares 4 2 2 3 3 3" xfId="21116"/>
    <cellStyle name="Separador de milhares 4 2 2 3 3 3 2" xfId="46183"/>
    <cellStyle name="Separador de milhares 4 2 2 3 3 4" xfId="15202"/>
    <cellStyle name="Separador de milhares 4 2 2 3 3 4 2" xfId="40269"/>
    <cellStyle name="Separador de milhares 4 2 2 3 3 5" xfId="34361"/>
    <cellStyle name="Separador de milhares 4 2 2 3 4" xfId="5441"/>
    <cellStyle name="Separador de milhares 4 2 2 3 4 2" xfId="24073"/>
    <cellStyle name="Separador de milhares 4 2 2 3 4 2 2" xfId="49140"/>
    <cellStyle name="Separador de milhares 4 2 2 3 4 3" xfId="31404"/>
    <cellStyle name="Separador de milhares 4 2 2 3 5" xfId="18159"/>
    <cellStyle name="Separador de milhares 4 2 2 3 5 2" xfId="43226"/>
    <cellStyle name="Separador de milhares 4 2 2 3 6" xfId="11828"/>
    <cellStyle name="Separador de milhares 4 2 2 3 6 2" xfId="37315"/>
    <cellStyle name="Separador de milhares 4 2 2 3 7" xfId="29934"/>
    <cellStyle name="Separador de milhares 4 2 2 4" xfId="3061"/>
    <cellStyle name="Separador de milhares 4 2 2 4 2" xfId="7287"/>
    <cellStyle name="Separador de milhares 4 2 2 4 2 2" xfId="10431"/>
    <cellStyle name="Separador de milhares 4 2 2 4 2 2 2" xfId="28645"/>
    <cellStyle name="Separador de milhares 4 2 2 4 2 2 2 2" xfId="53712"/>
    <cellStyle name="Separador de milhares 4 2 2 4 2 2 3" xfId="22731"/>
    <cellStyle name="Separador de milhares 4 2 2 4 2 2 3 2" xfId="47798"/>
    <cellStyle name="Separador de milhares 4 2 2 4 2 2 4" xfId="16817"/>
    <cellStyle name="Separador de milhares 4 2 2 4 2 2 4 2" xfId="41884"/>
    <cellStyle name="Separador de milhares 4 2 2 4 2 2 5" xfId="35976"/>
    <cellStyle name="Separador de milhares 4 2 2 4 2 3" xfId="25688"/>
    <cellStyle name="Separador de milhares 4 2 2 4 2 3 2" xfId="50755"/>
    <cellStyle name="Separador de milhares 4 2 2 4 2 4" xfId="19774"/>
    <cellStyle name="Separador de milhares 4 2 2 4 2 4 2" xfId="44841"/>
    <cellStyle name="Separador de milhares 4 2 2 4 2 5" xfId="13676"/>
    <cellStyle name="Separador de milhares 4 2 2 4 2 5 2" xfId="38930"/>
    <cellStyle name="Separador de milhares 4 2 2 4 2 6" xfId="33019"/>
    <cellStyle name="Separador de milhares 4 2 2 4 3" xfId="8963"/>
    <cellStyle name="Separador de milhares 4 2 2 4 3 2" xfId="27177"/>
    <cellStyle name="Separador de milhares 4 2 2 4 3 2 2" xfId="52244"/>
    <cellStyle name="Separador de milhares 4 2 2 4 3 3" xfId="21263"/>
    <cellStyle name="Separador de milhares 4 2 2 4 3 3 2" xfId="46330"/>
    <cellStyle name="Separador de milhares 4 2 2 4 3 4" xfId="15349"/>
    <cellStyle name="Separador de milhares 4 2 2 4 3 4 2" xfId="40416"/>
    <cellStyle name="Separador de milhares 4 2 2 4 3 5" xfId="34508"/>
    <cellStyle name="Separador de milhares 4 2 2 4 4" xfId="5588"/>
    <cellStyle name="Separador de milhares 4 2 2 4 4 2" xfId="24220"/>
    <cellStyle name="Separador de milhares 4 2 2 4 4 2 2" xfId="49287"/>
    <cellStyle name="Separador de milhares 4 2 2 4 4 3" xfId="31551"/>
    <cellStyle name="Separador de milhares 4 2 2 4 5" xfId="18306"/>
    <cellStyle name="Separador de milhares 4 2 2 4 5 2" xfId="43373"/>
    <cellStyle name="Separador de milhares 4 2 2 4 6" xfId="11975"/>
    <cellStyle name="Separador de milhares 4 2 2 4 6 2" xfId="37462"/>
    <cellStyle name="Separador de milhares 4 2 2 4 7" xfId="30081"/>
    <cellStyle name="Separador de milhares 4 2 2 5" xfId="3588"/>
    <cellStyle name="Separador de milhares 4 2 2 5 2" xfId="7434"/>
    <cellStyle name="Separador de milhares 4 2 2 5 2 2" xfId="10578"/>
    <cellStyle name="Separador de milhares 4 2 2 5 2 2 2" xfId="28792"/>
    <cellStyle name="Separador de milhares 4 2 2 5 2 2 2 2" xfId="53859"/>
    <cellStyle name="Separador de milhares 4 2 2 5 2 2 3" xfId="22878"/>
    <cellStyle name="Separador de milhares 4 2 2 5 2 2 3 2" xfId="47945"/>
    <cellStyle name="Separador de milhares 4 2 2 5 2 2 4" xfId="16964"/>
    <cellStyle name="Separador de milhares 4 2 2 5 2 2 4 2" xfId="42031"/>
    <cellStyle name="Separador de milhares 4 2 2 5 2 2 5" xfId="36123"/>
    <cellStyle name="Separador de milhares 4 2 2 5 2 3" xfId="25835"/>
    <cellStyle name="Separador de milhares 4 2 2 5 2 3 2" xfId="50902"/>
    <cellStyle name="Separador de milhares 4 2 2 5 2 4" xfId="19921"/>
    <cellStyle name="Separador de milhares 4 2 2 5 2 4 2" xfId="44988"/>
    <cellStyle name="Separador de milhares 4 2 2 5 2 5" xfId="13823"/>
    <cellStyle name="Separador de milhares 4 2 2 5 2 5 2" xfId="39077"/>
    <cellStyle name="Separador de milhares 4 2 2 5 2 6" xfId="33166"/>
    <cellStyle name="Separador de milhares 4 2 2 5 3" xfId="9110"/>
    <cellStyle name="Separador de milhares 4 2 2 5 3 2" xfId="27324"/>
    <cellStyle name="Separador de milhares 4 2 2 5 3 2 2" xfId="52391"/>
    <cellStyle name="Separador de milhares 4 2 2 5 3 3" xfId="21410"/>
    <cellStyle name="Separador de milhares 4 2 2 5 3 3 2" xfId="46477"/>
    <cellStyle name="Separador de milhares 4 2 2 5 3 4" xfId="15496"/>
    <cellStyle name="Separador de milhares 4 2 2 5 3 4 2" xfId="40563"/>
    <cellStyle name="Separador de milhares 4 2 2 5 3 5" xfId="34655"/>
    <cellStyle name="Separador de milhares 4 2 2 5 4" xfId="5735"/>
    <cellStyle name="Separador de milhares 4 2 2 5 4 2" xfId="24367"/>
    <cellStyle name="Separador de milhares 4 2 2 5 4 2 2" xfId="49434"/>
    <cellStyle name="Separador de milhares 4 2 2 5 4 3" xfId="31698"/>
    <cellStyle name="Separador de milhares 4 2 2 5 5" xfId="18453"/>
    <cellStyle name="Separador de milhares 4 2 2 5 5 2" xfId="43520"/>
    <cellStyle name="Separador de milhares 4 2 2 5 6" xfId="12122"/>
    <cellStyle name="Separador de milhares 4 2 2 5 6 2" xfId="37609"/>
    <cellStyle name="Separador de milhares 4 2 2 5 7" xfId="30228"/>
    <cellStyle name="Separador de milhares 4 2 2 6" xfId="4115"/>
    <cellStyle name="Separador de milhares 4 2 2 6 2" xfId="7581"/>
    <cellStyle name="Separador de milhares 4 2 2 6 2 2" xfId="10725"/>
    <cellStyle name="Separador de milhares 4 2 2 6 2 2 2" xfId="28939"/>
    <cellStyle name="Separador de milhares 4 2 2 6 2 2 2 2" xfId="54006"/>
    <cellStyle name="Separador de milhares 4 2 2 6 2 2 3" xfId="23025"/>
    <cellStyle name="Separador de milhares 4 2 2 6 2 2 3 2" xfId="48092"/>
    <cellStyle name="Separador de milhares 4 2 2 6 2 2 4" xfId="17111"/>
    <cellStyle name="Separador de milhares 4 2 2 6 2 2 4 2" xfId="42178"/>
    <cellStyle name="Separador de milhares 4 2 2 6 2 2 5" xfId="36270"/>
    <cellStyle name="Separador de milhares 4 2 2 6 2 3" xfId="25982"/>
    <cellStyle name="Separador de milhares 4 2 2 6 2 3 2" xfId="51049"/>
    <cellStyle name="Separador de milhares 4 2 2 6 2 4" xfId="20068"/>
    <cellStyle name="Separador de milhares 4 2 2 6 2 4 2" xfId="45135"/>
    <cellStyle name="Separador de milhares 4 2 2 6 2 5" xfId="13970"/>
    <cellStyle name="Separador de milhares 4 2 2 6 2 5 2" xfId="39224"/>
    <cellStyle name="Separador de milhares 4 2 2 6 2 6" xfId="33313"/>
    <cellStyle name="Separador de milhares 4 2 2 6 3" xfId="9257"/>
    <cellStyle name="Separador de milhares 4 2 2 6 3 2" xfId="27471"/>
    <cellStyle name="Separador de milhares 4 2 2 6 3 2 2" xfId="52538"/>
    <cellStyle name="Separador de milhares 4 2 2 6 3 3" xfId="21557"/>
    <cellStyle name="Separador de milhares 4 2 2 6 3 3 2" xfId="46624"/>
    <cellStyle name="Separador de milhares 4 2 2 6 3 4" xfId="15643"/>
    <cellStyle name="Separador de milhares 4 2 2 6 3 4 2" xfId="40710"/>
    <cellStyle name="Separador de milhares 4 2 2 6 3 5" xfId="34802"/>
    <cellStyle name="Separador de milhares 4 2 2 6 4" xfId="5882"/>
    <cellStyle name="Separador de milhares 4 2 2 6 4 2" xfId="24514"/>
    <cellStyle name="Separador de milhares 4 2 2 6 4 2 2" xfId="49581"/>
    <cellStyle name="Separador de milhares 4 2 2 6 4 3" xfId="31845"/>
    <cellStyle name="Separador de milhares 4 2 2 6 5" xfId="18600"/>
    <cellStyle name="Separador de milhares 4 2 2 6 5 2" xfId="43667"/>
    <cellStyle name="Separador de milhares 4 2 2 6 6" xfId="12269"/>
    <cellStyle name="Separador de milhares 4 2 2 6 6 2" xfId="37756"/>
    <cellStyle name="Separador de milhares 4 2 2 6 7" xfId="30375"/>
    <cellStyle name="Separador de milhares 4 2 2 7" xfId="6605"/>
    <cellStyle name="Separador de milhares 4 2 2 7 2" xfId="9752"/>
    <cellStyle name="Separador de milhares 4 2 2 7 2 2" xfId="27966"/>
    <cellStyle name="Separador de milhares 4 2 2 7 2 2 2" xfId="53033"/>
    <cellStyle name="Separador de milhares 4 2 2 7 2 3" xfId="22052"/>
    <cellStyle name="Separador de milhares 4 2 2 7 2 3 2" xfId="47119"/>
    <cellStyle name="Separador de milhares 4 2 2 7 2 4" xfId="16138"/>
    <cellStyle name="Separador de milhares 4 2 2 7 2 4 2" xfId="41205"/>
    <cellStyle name="Separador de milhares 4 2 2 7 2 5" xfId="35297"/>
    <cellStyle name="Separador de milhares 4 2 2 7 3" xfId="25009"/>
    <cellStyle name="Separador de milhares 4 2 2 7 3 2" xfId="50076"/>
    <cellStyle name="Separador de milhares 4 2 2 7 4" xfId="19095"/>
    <cellStyle name="Separador de milhares 4 2 2 7 4 2" xfId="44162"/>
    <cellStyle name="Separador de milhares 4 2 2 7 5" xfId="12994"/>
    <cellStyle name="Separador de milhares 4 2 2 7 5 2" xfId="38251"/>
    <cellStyle name="Separador de milhares 4 2 2 7 6" xfId="32340"/>
    <cellStyle name="Separador de milhares 4 2 2 8" xfId="8284"/>
    <cellStyle name="Separador de milhares 4 2 2 8 2" xfId="26498"/>
    <cellStyle name="Separador de milhares 4 2 2 8 2 2" xfId="51565"/>
    <cellStyle name="Separador de milhares 4 2 2 8 3" xfId="20584"/>
    <cellStyle name="Separador de milhares 4 2 2 8 3 2" xfId="45651"/>
    <cellStyle name="Separador de milhares 4 2 2 8 4" xfId="14670"/>
    <cellStyle name="Separador de milhares 4 2 2 8 4 2" xfId="39737"/>
    <cellStyle name="Separador de milhares 4 2 2 8 5" xfId="33829"/>
    <cellStyle name="Separador de milhares 4 2 2 9" xfId="4906"/>
    <cellStyle name="Separador de milhares 4 2 2 9 2" xfId="23541"/>
    <cellStyle name="Separador de milhares 4 2 2 9 2 2" xfId="48608"/>
    <cellStyle name="Separador de milhares 4 2 2 9 3" xfId="30872"/>
    <cellStyle name="Separador de milhares 4 2 3" xfId="958"/>
    <cellStyle name="Separador de milhares 4 2 3 2" xfId="6703"/>
    <cellStyle name="Separador de milhares 4 2 3 2 2" xfId="9850"/>
    <cellStyle name="Separador de milhares 4 2 3 2 2 2" xfId="28064"/>
    <cellStyle name="Separador de milhares 4 2 3 2 2 2 2" xfId="53131"/>
    <cellStyle name="Separador de milhares 4 2 3 2 2 3" xfId="22150"/>
    <cellStyle name="Separador de milhares 4 2 3 2 2 3 2" xfId="47217"/>
    <cellStyle name="Separador de milhares 4 2 3 2 2 4" xfId="16236"/>
    <cellStyle name="Separador de milhares 4 2 3 2 2 4 2" xfId="41303"/>
    <cellStyle name="Separador de milhares 4 2 3 2 2 5" xfId="35395"/>
    <cellStyle name="Separador de milhares 4 2 3 2 3" xfId="25107"/>
    <cellStyle name="Separador de milhares 4 2 3 2 3 2" xfId="50174"/>
    <cellStyle name="Separador de milhares 4 2 3 2 4" xfId="19193"/>
    <cellStyle name="Separador de milhares 4 2 3 2 4 2" xfId="44260"/>
    <cellStyle name="Separador de milhares 4 2 3 2 5" xfId="13092"/>
    <cellStyle name="Separador de milhares 4 2 3 2 5 2" xfId="38349"/>
    <cellStyle name="Separador de milhares 4 2 3 2 6" xfId="32438"/>
    <cellStyle name="Separador de milhares 4 2 3 3" xfId="8382"/>
    <cellStyle name="Separador de milhares 4 2 3 3 2" xfId="26596"/>
    <cellStyle name="Separador de milhares 4 2 3 3 2 2" xfId="51663"/>
    <cellStyle name="Separador de milhares 4 2 3 3 3" xfId="20682"/>
    <cellStyle name="Separador de milhares 4 2 3 3 3 2" xfId="45749"/>
    <cellStyle name="Separador de milhares 4 2 3 3 4" xfId="14768"/>
    <cellStyle name="Separador de milhares 4 2 3 3 4 2" xfId="39835"/>
    <cellStyle name="Separador de milhares 4 2 3 3 5" xfId="33927"/>
    <cellStyle name="Separador de milhares 4 2 3 4" xfId="5004"/>
    <cellStyle name="Separador de milhares 4 2 3 4 2" xfId="23639"/>
    <cellStyle name="Separador de milhares 4 2 3 4 2 2" xfId="48706"/>
    <cellStyle name="Separador de milhares 4 2 3 4 3" xfId="30970"/>
    <cellStyle name="Separador de milhares 4 2 3 5" xfId="17725"/>
    <cellStyle name="Separador de milhares 4 2 3 5 2" xfId="42792"/>
    <cellStyle name="Separador de milhares 4 2 3 6" xfId="11391"/>
    <cellStyle name="Separador de milhares 4 2 3 6 2" xfId="36881"/>
    <cellStyle name="Separador de milhares 4 2 3 7" xfId="29500"/>
    <cellStyle name="Separador de milhares 4 2 4" xfId="1309"/>
    <cellStyle name="Separador de milhares 4 2 4 2" xfId="6801"/>
    <cellStyle name="Separador de milhares 4 2 4 2 2" xfId="9948"/>
    <cellStyle name="Separador de milhares 4 2 4 2 2 2" xfId="28162"/>
    <cellStyle name="Separador de milhares 4 2 4 2 2 2 2" xfId="53229"/>
    <cellStyle name="Separador de milhares 4 2 4 2 2 3" xfId="22248"/>
    <cellStyle name="Separador de milhares 4 2 4 2 2 3 2" xfId="47315"/>
    <cellStyle name="Separador de milhares 4 2 4 2 2 4" xfId="16334"/>
    <cellStyle name="Separador de milhares 4 2 4 2 2 4 2" xfId="41401"/>
    <cellStyle name="Separador de milhares 4 2 4 2 2 5" xfId="35493"/>
    <cellStyle name="Separador de milhares 4 2 4 2 3" xfId="25205"/>
    <cellStyle name="Separador de milhares 4 2 4 2 3 2" xfId="50272"/>
    <cellStyle name="Separador de milhares 4 2 4 2 4" xfId="19291"/>
    <cellStyle name="Separador de milhares 4 2 4 2 4 2" xfId="44358"/>
    <cellStyle name="Separador de milhares 4 2 4 2 5" xfId="13190"/>
    <cellStyle name="Separador de milhares 4 2 4 2 5 2" xfId="38447"/>
    <cellStyle name="Separador de milhares 4 2 4 2 6" xfId="32536"/>
    <cellStyle name="Separador de milhares 4 2 4 3" xfId="8480"/>
    <cellStyle name="Separador de milhares 4 2 4 3 2" xfId="26694"/>
    <cellStyle name="Separador de milhares 4 2 4 3 2 2" xfId="51761"/>
    <cellStyle name="Separador de milhares 4 2 4 3 3" xfId="20780"/>
    <cellStyle name="Separador de milhares 4 2 4 3 3 2" xfId="45847"/>
    <cellStyle name="Separador de milhares 4 2 4 3 4" xfId="14866"/>
    <cellStyle name="Separador de milhares 4 2 4 3 4 2" xfId="39933"/>
    <cellStyle name="Separador de milhares 4 2 4 3 5" xfId="34025"/>
    <cellStyle name="Separador de milhares 4 2 4 4" xfId="5102"/>
    <cellStyle name="Separador de milhares 4 2 4 4 2" xfId="23737"/>
    <cellStyle name="Separador de milhares 4 2 4 4 2 2" xfId="48804"/>
    <cellStyle name="Separador de milhares 4 2 4 4 3" xfId="31068"/>
    <cellStyle name="Separador de milhares 4 2 4 5" xfId="17823"/>
    <cellStyle name="Separador de milhares 4 2 4 5 2" xfId="42890"/>
    <cellStyle name="Separador de milhares 4 2 4 6" xfId="11489"/>
    <cellStyle name="Separador de milhares 4 2 4 6 2" xfId="36979"/>
    <cellStyle name="Separador de milhares 4 2 4 7" xfId="29598"/>
    <cellStyle name="Separador de milhares 4 2 5" xfId="1744"/>
    <cellStyle name="Separador de milhares 4 2 5 2" xfId="6920"/>
    <cellStyle name="Separador de milhares 4 2 5 2 2" xfId="10067"/>
    <cellStyle name="Separador de milhares 4 2 5 2 2 2" xfId="28281"/>
    <cellStyle name="Separador de milhares 4 2 5 2 2 2 2" xfId="53348"/>
    <cellStyle name="Separador de milhares 4 2 5 2 2 3" xfId="22367"/>
    <cellStyle name="Separador de milhares 4 2 5 2 2 3 2" xfId="47434"/>
    <cellStyle name="Separador de milhares 4 2 5 2 2 4" xfId="16453"/>
    <cellStyle name="Separador de milhares 4 2 5 2 2 4 2" xfId="41520"/>
    <cellStyle name="Separador de milhares 4 2 5 2 2 5" xfId="35612"/>
    <cellStyle name="Separador de milhares 4 2 5 2 3" xfId="25324"/>
    <cellStyle name="Separador de milhares 4 2 5 2 3 2" xfId="50391"/>
    <cellStyle name="Separador de milhares 4 2 5 2 4" xfId="19410"/>
    <cellStyle name="Separador de milhares 4 2 5 2 4 2" xfId="44477"/>
    <cellStyle name="Separador de milhares 4 2 5 2 5" xfId="13309"/>
    <cellStyle name="Separador de milhares 4 2 5 2 5 2" xfId="38566"/>
    <cellStyle name="Separador de milhares 4 2 5 2 6" xfId="32655"/>
    <cellStyle name="Separador de milhares 4 2 5 3" xfId="8599"/>
    <cellStyle name="Separador de milhares 4 2 5 3 2" xfId="26813"/>
    <cellStyle name="Separador de milhares 4 2 5 3 2 2" xfId="51880"/>
    <cellStyle name="Separador de milhares 4 2 5 3 3" xfId="20899"/>
    <cellStyle name="Separador de milhares 4 2 5 3 3 2" xfId="45966"/>
    <cellStyle name="Separador de milhares 4 2 5 3 4" xfId="14985"/>
    <cellStyle name="Separador de milhares 4 2 5 3 4 2" xfId="40052"/>
    <cellStyle name="Separador de milhares 4 2 5 3 5" xfId="34144"/>
    <cellStyle name="Separador de milhares 4 2 5 4" xfId="5221"/>
    <cellStyle name="Separador de milhares 4 2 5 4 2" xfId="23856"/>
    <cellStyle name="Separador de milhares 4 2 5 4 2 2" xfId="48923"/>
    <cellStyle name="Separador de milhares 4 2 5 4 3" xfId="31187"/>
    <cellStyle name="Separador de milhares 4 2 5 5" xfId="17942"/>
    <cellStyle name="Separador de milhares 4 2 5 5 2" xfId="43009"/>
    <cellStyle name="Separador de milhares 4 2 5 6" xfId="11608"/>
    <cellStyle name="Separador de milhares 4 2 5 6 2" xfId="37098"/>
    <cellStyle name="Separador de milhares 4 2 5 7" xfId="29717"/>
    <cellStyle name="Separador de milhares 4 2 6" xfId="2274"/>
    <cellStyle name="Separador de milhares 4 2 6 2" xfId="7070"/>
    <cellStyle name="Separador de milhares 4 2 6 2 2" xfId="10214"/>
    <cellStyle name="Separador de milhares 4 2 6 2 2 2" xfId="28428"/>
    <cellStyle name="Separador de milhares 4 2 6 2 2 2 2" xfId="53495"/>
    <cellStyle name="Separador de milhares 4 2 6 2 2 3" xfId="22514"/>
    <cellStyle name="Separador de milhares 4 2 6 2 2 3 2" xfId="47581"/>
    <cellStyle name="Separador de milhares 4 2 6 2 2 4" xfId="16600"/>
    <cellStyle name="Separador de milhares 4 2 6 2 2 4 2" xfId="41667"/>
    <cellStyle name="Separador de milhares 4 2 6 2 2 5" xfId="35759"/>
    <cellStyle name="Separador de milhares 4 2 6 2 3" xfId="25471"/>
    <cellStyle name="Separador de milhares 4 2 6 2 3 2" xfId="50538"/>
    <cellStyle name="Separador de milhares 4 2 6 2 4" xfId="19557"/>
    <cellStyle name="Separador de milhares 4 2 6 2 4 2" xfId="44624"/>
    <cellStyle name="Separador de milhares 4 2 6 2 5" xfId="13459"/>
    <cellStyle name="Separador de milhares 4 2 6 2 5 2" xfId="38713"/>
    <cellStyle name="Separador de milhares 4 2 6 2 6" xfId="32802"/>
    <cellStyle name="Separador de milhares 4 2 6 3" xfId="8746"/>
    <cellStyle name="Separador de milhares 4 2 6 3 2" xfId="26960"/>
    <cellStyle name="Separador de milhares 4 2 6 3 2 2" xfId="52027"/>
    <cellStyle name="Separador de milhares 4 2 6 3 3" xfId="21046"/>
    <cellStyle name="Separador de milhares 4 2 6 3 3 2" xfId="46113"/>
    <cellStyle name="Separador de milhares 4 2 6 3 4" xfId="15132"/>
    <cellStyle name="Separador de milhares 4 2 6 3 4 2" xfId="40199"/>
    <cellStyle name="Separador de milhares 4 2 6 3 5" xfId="34291"/>
    <cellStyle name="Separador de milhares 4 2 6 4" xfId="5371"/>
    <cellStyle name="Separador de milhares 4 2 6 4 2" xfId="24003"/>
    <cellStyle name="Separador de milhares 4 2 6 4 2 2" xfId="49070"/>
    <cellStyle name="Separador de milhares 4 2 6 4 3" xfId="31334"/>
    <cellStyle name="Separador de milhares 4 2 6 5" xfId="18089"/>
    <cellStyle name="Separador de milhares 4 2 6 5 2" xfId="43156"/>
    <cellStyle name="Separador de milhares 4 2 6 6" xfId="11758"/>
    <cellStyle name="Separador de milhares 4 2 6 6 2" xfId="37245"/>
    <cellStyle name="Separador de milhares 4 2 6 7" xfId="29864"/>
    <cellStyle name="Separador de milhares 4 2 7" xfId="2801"/>
    <cellStyle name="Separador de milhares 4 2 7 2" xfId="7217"/>
    <cellStyle name="Separador de milhares 4 2 7 2 2" xfId="10361"/>
    <cellStyle name="Separador de milhares 4 2 7 2 2 2" xfId="28575"/>
    <cellStyle name="Separador de milhares 4 2 7 2 2 2 2" xfId="53642"/>
    <cellStyle name="Separador de milhares 4 2 7 2 2 3" xfId="22661"/>
    <cellStyle name="Separador de milhares 4 2 7 2 2 3 2" xfId="47728"/>
    <cellStyle name="Separador de milhares 4 2 7 2 2 4" xfId="16747"/>
    <cellStyle name="Separador de milhares 4 2 7 2 2 4 2" xfId="41814"/>
    <cellStyle name="Separador de milhares 4 2 7 2 2 5" xfId="35906"/>
    <cellStyle name="Separador de milhares 4 2 7 2 3" xfId="25618"/>
    <cellStyle name="Separador de milhares 4 2 7 2 3 2" xfId="50685"/>
    <cellStyle name="Separador de milhares 4 2 7 2 4" xfId="19704"/>
    <cellStyle name="Separador de milhares 4 2 7 2 4 2" xfId="44771"/>
    <cellStyle name="Separador de milhares 4 2 7 2 5" xfId="13606"/>
    <cellStyle name="Separador de milhares 4 2 7 2 5 2" xfId="38860"/>
    <cellStyle name="Separador de milhares 4 2 7 2 6" xfId="32949"/>
    <cellStyle name="Separador de milhares 4 2 7 3" xfId="8893"/>
    <cellStyle name="Separador de milhares 4 2 7 3 2" xfId="27107"/>
    <cellStyle name="Separador de milhares 4 2 7 3 2 2" xfId="52174"/>
    <cellStyle name="Separador de milhares 4 2 7 3 3" xfId="21193"/>
    <cellStyle name="Separador de milhares 4 2 7 3 3 2" xfId="46260"/>
    <cellStyle name="Separador de milhares 4 2 7 3 4" xfId="15279"/>
    <cellStyle name="Separador de milhares 4 2 7 3 4 2" xfId="40346"/>
    <cellStyle name="Separador de milhares 4 2 7 3 5" xfId="34438"/>
    <cellStyle name="Separador de milhares 4 2 7 4" xfId="5518"/>
    <cellStyle name="Separador de milhares 4 2 7 4 2" xfId="24150"/>
    <cellStyle name="Separador de milhares 4 2 7 4 2 2" xfId="49217"/>
    <cellStyle name="Separador de milhares 4 2 7 4 3" xfId="31481"/>
    <cellStyle name="Separador de milhares 4 2 7 5" xfId="18236"/>
    <cellStyle name="Separador de milhares 4 2 7 5 2" xfId="43303"/>
    <cellStyle name="Separador de milhares 4 2 7 6" xfId="11905"/>
    <cellStyle name="Separador de milhares 4 2 7 6 2" xfId="37392"/>
    <cellStyle name="Separador de milhares 4 2 7 7" xfId="30011"/>
    <cellStyle name="Separador de milhares 4 2 8" xfId="3328"/>
    <cellStyle name="Separador de milhares 4 2 8 2" xfId="7364"/>
    <cellStyle name="Separador de milhares 4 2 8 2 2" xfId="10508"/>
    <cellStyle name="Separador de milhares 4 2 8 2 2 2" xfId="28722"/>
    <cellStyle name="Separador de milhares 4 2 8 2 2 2 2" xfId="53789"/>
    <cellStyle name="Separador de milhares 4 2 8 2 2 3" xfId="22808"/>
    <cellStyle name="Separador de milhares 4 2 8 2 2 3 2" xfId="47875"/>
    <cellStyle name="Separador de milhares 4 2 8 2 2 4" xfId="16894"/>
    <cellStyle name="Separador de milhares 4 2 8 2 2 4 2" xfId="41961"/>
    <cellStyle name="Separador de milhares 4 2 8 2 2 5" xfId="36053"/>
    <cellStyle name="Separador de milhares 4 2 8 2 3" xfId="25765"/>
    <cellStyle name="Separador de milhares 4 2 8 2 3 2" xfId="50832"/>
    <cellStyle name="Separador de milhares 4 2 8 2 4" xfId="19851"/>
    <cellStyle name="Separador de milhares 4 2 8 2 4 2" xfId="44918"/>
    <cellStyle name="Separador de milhares 4 2 8 2 5" xfId="13753"/>
    <cellStyle name="Separador de milhares 4 2 8 2 5 2" xfId="39007"/>
    <cellStyle name="Separador de milhares 4 2 8 2 6" xfId="33096"/>
    <cellStyle name="Separador de milhares 4 2 8 3" xfId="9040"/>
    <cellStyle name="Separador de milhares 4 2 8 3 2" xfId="27254"/>
    <cellStyle name="Separador de milhares 4 2 8 3 2 2" xfId="52321"/>
    <cellStyle name="Separador de milhares 4 2 8 3 3" xfId="21340"/>
    <cellStyle name="Separador de milhares 4 2 8 3 3 2" xfId="46407"/>
    <cellStyle name="Separador de milhares 4 2 8 3 4" xfId="15426"/>
    <cellStyle name="Separador de milhares 4 2 8 3 4 2" xfId="40493"/>
    <cellStyle name="Separador de milhares 4 2 8 3 5" xfId="34585"/>
    <cellStyle name="Separador de milhares 4 2 8 4" xfId="5665"/>
    <cellStyle name="Separador de milhares 4 2 8 4 2" xfId="24297"/>
    <cellStyle name="Separador de milhares 4 2 8 4 2 2" xfId="49364"/>
    <cellStyle name="Separador de milhares 4 2 8 4 3" xfId="31628"/>
    <cellStyle name="Separador de milhares 4 2 8 5" xfId="18383"/>
    <cellStyle name="Separador de milhares 4 2 8 5 2" xfId="43450"/>
    <cellStyle name="Separador de milhares 4 2 8 6" xfId="12052"/>
    <cellStyle name="Separador de milhares 4 2 8 6 2" xfId="37539"/>
    <cellStyle name="Separador de milhares 4 2 8 7" xfId="30158"/>
    <cellStyle name="Separador de milhares 4 2 9" xfId="3855"/>
    <cellStyle name="Separador de milhares 4 2 9 2" xfId="7511"/>
    <cellStyle name="Separador de milhares 4 2 9 2 2" xfId="10655"/>
    <cellStyle name="Separador de milhares 4 2 9 2 2 2" xfId="28869"/>
    <cellStyle name="Separador de milhares 4 2 9 2 2 2 2" xfId="53936"/>
    <cellStyle name="Separador de milhares 4 2 9 2 2 3" xfId="22955"/>
    <cellStyle name="Separador de milhares 4 2 9 2 2 3 2" xfId="48022"/>
    <cellStyle name="Separador de milhares 4 2 9 2 2 4" xfId="17041"/>
    <cellStyle name="Separador de milhares 4 2 9 2 2 4 2" xfId="42108"/>
    <cellStyle name="Separador de milhares 4 2 9 2 2 5" xfId="36200"/>
    <cellStyle name="Separador de milhares 4 2 9 2 3" xfId="25912"/>
    <cellStyle name="Separador de milhares 4 2 9 2 3 2" xfId="50979"/>
    <cellStyle name="Separador de milhares 4 2 9 2 4" xfId="19998"/>
    <cellStyle name="Separador de milhares 4 2 9 2 4 2" xfId="45065"/>
    <cellStyle name="Separador de milhares 4 2 9 2 5" xfId="13900"/>
    <cellStyle name="Separador de milhares 4 2 9 2 5 2" xfId="39154"/>
    <cellStyle name="Separador de milhares 4 2 9 2 6" xfId="33243"/>
    <cellStyle name="Separador de milhares 4 2 9 3" xfId="9187"/>
    <cellStyle name="Separador de milhares 4 2 9 3 2" xfId="27401"/>
    <cellStyle name="Separador de milhares 4 2 9 3 2 2" xfId="52468"/>
    <cellStyle name="Separador de milhares 4 2 9 3 3" xfId="21487"/>
    <cellStyle name="Separador de milhares 4 2 9 3 3 2" xfId="46554"/>
    <cellStyle name="Separador de milhares 4 2 9 3 4" xfId="15573"/>
    <cellStyle name="Separador de milhares 4 2 9 3 4 2" xfId="40640"/>
    <cellStyle name="Separador de milhares 4 2 9 3 5" xfId="34732"/>
    <cellStyle name="Separador de milhares 4 2 9 4" xfId="5812"/>
    <cellStyle name="Separador de milhares 4 2 9 4 2" xfId="24444"/>
    <cellStyle name="Separador de milhares 4 2 9 4 2 2" xfId="49511"/>
    <cellStyle name="Separador de milhares 4 2 9 4 3" xfId="31775"/>
    <cellStyle name="Separador de milhares 4 2 9 5" xfId="18530"/>
    <cellStyle name="Separador de milhares 4 2 9 5 2" xfId="43597"/>
    <cellStyle name="Separador de milhares 4 2 9 6" xfId="12199"/>
    <cellStyle name="Separador de milhares 4 2 9 6 2" xfId="37686"/>
    <cellStyle name="Separador de milhares 4 2 9 7" xfId="30305"/>
    <cellStyle name="Separador de milhares 4 3" xfId="309"/>
    <cellStyle name="Separador de milhares 4 3 10" xfId="6504"/>
    <cellStyle name="Separador de milhares 4 3 10 2" xfId="9653"/>
    <cellStyle name="Separador de milhares 4 3 10 2 2" xfId="27867"/>
    <cellStyle name="Separador de milhares 4 3 10 2 2 2" xfId="52934"/>
    <cellStyle name="Separador de milhares 4 3 10 2 3" xfId="21953"/>
    <cellStyle name="Separador de milhares 4 3 10 2 3 2" xfId="47020"/>
    <cellStyle name="Separador de milhares 4 3 10 2 4" xfId="16039"/>
    <cellStyle name="Separador de milhares 4 3 10 2 4 2" xfId="41106"/>
    <cellStyle name="Separador de milhares 4 3 10 2 5" xfId="35198"/>
    <cellStyle name="Separador de milhares 4 3 10 3" xfId="24910"/>
    <cellStyle name="Separador de milhares 4 3 10 3 2" xfId="49977"/>
    <cellStyle name="Separador de milhares 4 3 10 4" xfId="18996"/>
    <cellStyle name="Separador de milhares 4 3 10 4 2" xfId="44063"/>
    <cellStyle name="Separador de milhares 4 3 10 5" xfId="12893"/>
    <cellStyle name="Separador de milhares 4 3 10 5 2" xfId="38152"/>
    <cellStyle name="Separador de milhares 4 3 10 6" xfId="32241"/>
    <cellStyle name="Separador de milhares 4 3 11" xfId="8182"/>
    <cellStyle name="Separador de milhares 4 3 11 2" xfId="26396"/>
    <cellStyle name="Separador de milhares 4 3 11 2 2" xfId="51463"/>
    <cellStyle name="Separador de milhares 4 3 11 3" xfId="20482"/>
    <cellStyle name="Separador de milhares 4 3 11 3 2" xfId="45549"/>
    <cellStyle name="Separador de milhares 4 3 11 4" xfId="14571"/>
    <cellStyle name="Separador de milhares 4 3 11 4 2" xfId="39638"/>
    <cellStyle name="Separador de milhares 4 3 11 5" xfId="33727"/>
    <cellStyle name="Separador de milhares 4 3 12" xfId="4803"/>
    <cellStyle name="Separador de milhares 4 3 12 2" xfId="23439"/>
    <cellStyle name="Separador de milhares 4 3 12 2 2" xfId="48506"/>
    <cellStyle name="Separador de milhares 4 3 12 3" xfId="30771"/>
    <cellStyle name="Separador de milhares 4 3 13" xfId="17525"/>
    <cellStyle name="Separador de milhares 4 3 13 2" xfId="42592"/>
    <cellStyle name="Separador de milhares 4 3 14" xfId="11192"/>
    <cellStyle name="Separador de milhares 4 3 14 2" xfId="36684"/>
    <cellStyle name="Separador de milhares 4 3 15" xfId="29300"/>
    <cellStyle name="Separador de milhares 4 3 2" xfId="663"/>
    <cellStyle name="Separador de milhares 4 3 2 2" xfId="6598"/>
    <cellStyle name="Separador de milhares 4 3 2 2 2" xfId="9745"/>
    <cellStyle name="Separador de milhares 4 3 2 2 2 2" xfId="27959"/>
    <cellStyle name="Separador de milhares 4 3 2 2 2 2 2" xfId="53026"/>
    <cellStyle name="Separador de milhares 4 3 2 2 2 3" xfId="22045"/>
    <cellStyle name="Separador de milhares 4 3 2 2 2 3 2" xfId="47112"/>
    <cellStyle name="Separador de milhares 4 3 2 2 2 4" xfId="16131"/>
    <cellStyle name="Separador de milhares 4 3 2 2 2 4 2" xfId="41198"/>
    <cellStyle name="Separador de milhares 4 3 2 2 2 5" xfId="35290"/>
    <cellStyle name="Separador de milhares 4 3 2 2 3" xfId="25002"/>
    <cellStyle name="Separador de milhares 4 3 2 2 3 2" xfId="50069"/>
    <cellStyle name="Separador de milhares 4 3 2 2 4" xfId="19088"/>
    <cellStyle name="Separador de milhares 4 3 2 2 4 2" xfId="44155"/>
    <cellStyle name="Separador de milhares 4 3 2 2 5" xfId="12987"/>
    <cellStyle name="Separador de milhares 4 3 2 2 5 2" xfId="38244"/>
    <cellStyle name="Separador de milhares 4 3 2 2 6" xfId="32333"/>
    <cellStyle name="Separador de milhares 4 3 2 3" xfId="8277"/>
    <cellStyle name="Separador de milhares 4 3 2 3 2" xfId="26491"/>
    <cellStyle name="Separador de milhares 4 3 2 3 2 2" xfId="51558"/>
    <cellStyle name="Separador de milhares 4 3 2 3 3" xfId="20577"/>
    <cellStyle name="Separador de milhares 4 3 2 3 3 2" xfId="45644"/>
    <cellStyle name="Separador de milhares 4 3 2 3 4" xfId="14663"/>
    <cellStyle name="Separador de milhares 4 3 2 3 4 2" xfId="39730"/>
    <cellStyle name="Separador de milhares 4 3 2 3 5" xfId="33822"/>
    <cellStyle name="Separador de milhares 4 3 2 4" xfId="4899"/>
    <cellStyle name="Separador de milhares 4 3 2 4 2" xfId="23534"/>
    <cellStyle name="Separador de milhares 4 3 2 4 2 2" xfId="48601"/>
    <cellStyle name="Separador de milhares 4 3 2 4 3" xfId="30865"/>
    <cellStyle name="Separador de milhares 4 3 2 5" xfId="17620"/>
    <cellStyle name="Separador de milhares 4 3 2 5 2" xfId="42687"/>
    <cellStyle name="Separador de milhares 4 3 2 6" xfId="11286"/>
    <cellStyle name="Separador de milhares 4 3 2 6 2" xfId="36776"/>
    <cellStyle name="Separador de milhares 4 3 2 7" xfId="29395"/>
    <cellStyle name="Separador de milhares 4 3 3" xfId="867"/>
    <cellStyle name="Separador de milhares 4 3 3 2" xfId="6675"/>
    <cellStyle name="Separador de milhares 4 3 3 2 2" xfId="9822"/>
    <cellStyle name="Separador de milhares 4 3 3 2 2 2" xfId="28036"/>
    <cellStyle name="Separador de milhares 4 3 3 2 2 2 2" xfId="53103"/>
    <cellStyle name="Separador de milhares 4 3 3 2 2 3" xfId="22122"/>
    <cellStyle name="Separador de milhares 4 3 3 2 2 3 2" xfId="47189"/>
    <cellStyle name="Separador de milhares 4 3 3 2 2 4" xfId="16208"/>
    <cellStyle name="Separador de milhares 4 3 3 2 2 4 2" xfId="41275"/>
    <cellStyle name="Separador de milhares 4 3 3 2 2 5" xfId="35367"/>
    <cellStyle name="Separador de milhares 4 3 3 2 3" xfId="25079"/>
    <cellStyle name="Separador de milhares 4 3 3 2 3 2" xfId="50146"/>
    <cellStyle name="Separador de milhares 4 3 3 2 4" xfId="19165"/>
    <cellStyle name="Separador de milhares 4 3 3 2 4 2" xfId="44232"/>
    <cellStyle name="Separador de milhares 4 3 3 2 5" xfId="13064"/>
    <cellStyle name="Separador de milhares 4 3 3 2 5 2" xfId="38321"/>
    <cellStyle name="Separador de milhares 4 3 3 2 6" xfId="32410"/>
    <cellStyle name="Separador de milhares 4 3 3 3" xfId="8354"/>
    <cellStyle name="Separador de milhares 4 3 3 3 2" xfId="26568"/>
    <cellStyle name="Separador de milhares 4 3 3 3 2 2" xfId="51635"/>
    <cellStyle name="Separador de milhares 4 3 3 3 3" xfId="20654"/>
    <cellStyle name="Separador de milhares 4 3 3 3 3 2" xfId="45721"/>
    <cellStyle name="Separador de milhares 4 3 3 3 4" xfId="14740"/>
    <cellStyle name="Separador de milhares 4 3 3 3 4 2" xfId="39807"/>
    <cellStyle name="Separador de milhares 4 3 3 3 5" xfId="33899"/>
    <cellStyle name="Separador de milhares 4 3 3 4" xfId="4976"/>
    <cellStyle name="Separador de milhares 4 3 3 4 2" xfId="23611"/>
    <cellStyle name="Separador de milhares 4 3 3 4 2 2" xfId="48678"/>
    <cellStyle name="Separador de milhares 4 3 3 4 3" xfId="30942"/>
    <cellStyle name="Separador de milhares 4 3 3 5" xfId="17697"/>
    <cellStyle name="Separador de milhares 4 3 3 5 2" xfId="42764"/>
    <cellStyle name="Separador de milhares 4 3 3 6" xfId="11363"/>
    <cellStyle name="Separador de milhares 4 3 3 6 2" xfId="36853"/>
    <cellStyle name="Separador de milhares 4 3 3 7" xfId="29472"/>
    <cellStyle name="Separador de milhares 4 3 4" xfId="1218"/>
    <cellStyle name="Separador de milhares 4 3 4 2" xfId="6773"/>
    <cellStyle name="Separador de milhares 4 3 4 2 2" xfId="9920"/>
    <cellStyle name="Separador de milhares 4 3 4 2 2 2" xfId="28134"/>
    <cellStyle name="Separador de milhares 4 3 4 2 2 2 2" xfId="53201"/>
    <cellStyle name="Separador de milhares 4 3 4 2 2 3" xfId="22220"/>
    <cellStyle name="Separador de milhares 4 3 4 2 2 3 2" xfId="47287"/>
    <cellStyle name="Separador de milhares 4 3 4 2 2 4" xfId="16306"/>
    <cellStyle name="Separador de milhares 4 3 4 2 2 4 2" xfId="41373"/>
    <cellStyle name="Separador de milhares 4 3 4 2 2 5" xfId="35465"/>
    <cellStyle name="Separador de milhares 4 3 4 2 3" xfId="25177"/>
    <cellStyle name="Separador de milhares 4 3 4 2 3 2" xfId="50244"/>
    <cellStyle name="Separador de milhares 4 3 4 2 4" xfId="19263"/>
    <cellStyle name="Separador de milhares 4 3 4 2 4 2" xfId="44330"/>
    <cellStyle name="Separador de milhares 4 3 4 2 5" xfId="13162"/>
    <cellStyle name="Separador de milhares 4 3 4 2 5 2" xfId="38419"/>
    <cellStyle name="Separador de milhares 4 3 4 2 6" xfId="32508"/>
    <cellStyle name="Separador de milhares 4 3 4 3" xfId="8452"/>
    <cellStyle name="Separador de milhares 4 3 4 3 2" xfId="26666"/>
    <cellStyle name="Separador de milhares 4 3 4 3 2 2" xfId="51733"/>
    <cellStyle name="Separador de milhares 4 3 4 3 3" xfId="20752"/>
    <cellStyle name="Separador de milhares 4 3 4 3 3 2" xfId="45819"/>
    <cellStyle name="Separador de milhares 4 3 4 3 4" xfId="14838"/>
    <cellStyle name="Separador de milhares 4 3 4 3 4 2" xfId="39905"/>
    <cellStyle name="Separador de milhares 4 3 4 3 5" xfId="33997"/>
    <cellStyle name="Separador de milhares 4 3 4 4" xfId="5074"/>
    <cellStyle name="Separador de milhares 4 3 4 4 2" xfId="23709"/>
    <cellStyle name="Separador de milhares 4 3 4 4 2 2" xfId="48776"/>
    <cellStyle name="Separador de milhares 4 3 4 4 3" xfId="31040"/>
    <cellStyle name="Separador de milhares 4 3 4 5" xfId="17795"/>
    <cellStyle name="Separador de milhares 4 3 4 5 2" xfId="42862"/>
    <cellStyle name="Separador de milhares 4 3 4 6" xfId="11461"/>
    <cellStyle name="Separador de milhares 4 3 4 6 2" xfId="36951"/>
    <cellStyle name="Separador de milhares 4 3 4 7" xfId="29570"/>
    <cellStyle name="Separador de milhares 4 3 5" xfId="1653"/>
    <cellStyle name="Separador de milhares 4 3 5 2" xfId="6892"/>
    <cellStyle name="Separador de milhares 4 3 5 2 2" xfId="10039"/>
    <cellStyle name="Separador de milhares 4 3 5 2 2 2" xfId="28253"/>
    <cellStyle name="Separador de milhares 4 3 5 2 2 2 2" xfId="53320"/>
    <cellStyle name="Separador de milhares 4 3 5 2 2 3" xfId="22339"/>
    <cellStyle name="Separador de milhares 4 3 5 2 2 3 2" xfId="47406"/>
    <cellStyle name="Separador de milhares 4 3 5 2 2 4" xfId="16425"/>
    <cellStyle name="Separador de milhares 4 3 5 2 2 4 2" xfId="41492"/>
    <cellStyle name="Separador de milhares 4 3 5 2 2 5" xfId="35584"/>
    <cellStyle name="Separador de milhares 4 3 5 2 3" xfId="25296"/>
    <cellStyle name="Separador de milhares 4 3 5 2 3 2" xfId="50363"/>
    <cellStyle name="Separador de milhares 4 3 5 2 4" xfId="19382"/>
    <cellStyle name="Separador de milhares 4 3 5 2 4 2" xfId="44449"/>
    <cellStyle name="Separador de milhares 4 3 5 2 5" xfId="13281"/>
    <cellStyle name="Separador de milhares 4 3 5 2 5 2" xfId="38538"/>
    <cellStyle name="Separador de milhares 4 3 5 2 6" xfId="32627"/>
    <cellStyle name="Separador de milhares 4 3 5 3" xfId="8571"/>
    <cellStyle name="Separador de milhares 4 3 5 3 2" xfId="26785"/>
    <cellStyle name="Separador de milhares 4 3 5 3 2 2" xfId="51852"/>
    <cellStyle name="Separador de milhares 4 3 5 3 3" xfId="20871"/>
    <cellStyle name="Separador de milhares 4 3 5 3 3 2" xfId="45938"/>
    <cellStyle name="Separador de milhares 4 3 5 3 4" xfId="14957"/>
    <cellStyle name="Separador de milhares 4 3 5 3 4 2" xfId="40024"/>
    <cellStyle name="Separador de milhares 4 3 5 3 5" xfId="34116"/>
    <cellStyle name="Separador de milhares 4 3 5 4" xfId="5193"/>
    <cellStyle name="Separador de milhares 4 3 5 4 2" xfId="23828"/>
    <cellStyle name="Separador de milhares 4 3 5 4 2 2" xfId="48895"/>
    <cellStyle name="Separador de milhares 4 3 5 4 3" xfId="31159"/>
    <cellStyle name="Separador de milhares 4 3 5 5" xfId="17914"/>
    <cellStyle name="Separador de milhares 4 3 5 5 2" xfId="42981"/>
    <cellStyle name="Separador de milhares 4 3 5 6" xfId="11580"/>
    <cellStyle name="Separador de milhares 4 3 5 6 2" xfId="37070"/>
    <cellStyle name="Separador de milhares 4 3 5 7" xfId="29689"/>
    <cellStyle name="Separador de milhares 4 3 6" xfId="2183"/>
    <cellStyle name="Separador de milhares 4 3 6 2" xfId="7042"/>
    <cellStyle name="Separador de milhares 4 3 6 2 2" xfId="10186"/>
    <cellStyle name="Separador de milhares 4 3 6 2 2 2" xfId="28400"/>
    <cellStyle name="Separador de milhares 4 3 6 2 2 2 2" xfId="53467"/>
    <cellStyle name="Separador de milhares 4 3 6 2 2 3" xfId="22486"/>
    <cellStyle name="Separador de milhares 4 3 6 2 2 3 2" xfId="47553"/>
    <cellStyle name="Separador de milhares 4 3 6 2 2 4" xfId="16572"/>
    <cellStyle name="Separador de milhares 4 3 6 2 2 4 2" xfId="41639"/>
    <cellStyle name="Separador de milhares 4 3 6 2 2 5" xfId="35731"/>
    <cellStyle name="Separador de milhares 4 3 6 2 3" xfId="25443"/>
    <cellStyle name="Separador de milhares 4 3 6 2 3 2" xfId="50510"/>
    <cellStyle name="Separador de milhares 4 3 6 2 4" xfId="19529"/>
    <cellStyle name="Separador de milhares 4 3 6 2 4 2" xfId="44596"/>
    <cellStyle name="Separador de milhares 4 3 6 2 5" xfId="13431"/>
    <cellStyle name="Separador de milhares 4 3 6 2 5 2" xfId="38685"/>
    <cellStyle name="Separador de milhares 4 3 6 2 6" xfId="32774"/>
    <cellStyle name="Separador de milhares 4 3 6 3" xfId="8718"/>
    <cellStyle name="Separador de milhares 4 3 6 3 2" xfId="26932"/>
    <cellStyle name="Separador de milhares 4 3 6 3 2 2" xfId="51999"/>
    <cellStyle name="Separador de milhares 4 3 6 3 3" xfId="21018"/>
    <cellStyle name="Separador de milhares 4 3 6 3 3 2" xfId="46085"/>
    <cellStyle name="Separador de milhares 4 3 6 3 4" xfId="15104"/>
    <cellStyle name="Separador de milhares 4 3 6 3 4 2" xfId="40171"/>
    <cellStyle name="Separador de milhares 4 3 6 3 5" xfId="34263"/>
    <cellStyle name="Separador de milhares 4 3 6 4" xfId="5343"/>
    <cellStyle name="Separador de milhares 4 3 6 4 2" xfId="23975"/>
    <cellStyle name="Separador de milhares 4 3 6 4 2 2" xfId="49042"/>
    <cellStyle name="Separador de milhares 4 3 6 4 3" xfId="31306"/>
    <cellStyle name="Separador de milhares 4 3 6 5" xfId="18061"/>
    <cellStyle name="Separador de milhares 4 3 6 5 2" xfId="43128"/>
    <cellStyle name="Separador de milhares 4 3 6 6" xfId="11730"/>
    <cellStyle name="Separador de milhares 4 3 6 6 2" xfId="37217"/>
    <cellStyle name="Separador de milhares 4 3 6 7" xfId="29836"/>
    <cellStyle name="Separador de milhares 4 3 7" xfId="2710"/>
    <cellStyle name="Separador de milhares 4 3 7 2" xfId="7189"/>
    <cellStyle name="Separador de milhares 4 3 7 2 2" xfId="10333"/>
    <cellStyle name="Separador de milhares 4 3 7 2 2 2" xfId="28547"/>
    <cellStyle name="Separador de milhares 4 3 7 2 2 2 2" xfId="53614"/>
    <cellStyle name="Separador de milhares 4 3 7 2 2 3" xfId="22633"/>
    <cellStyle name="Separador de milhares 4 3 7 2 2 3 2" xfId="47700"/>
    <cellStyle name="Separador de milhares 4 3 7 2 2 4" xfId="16719"/>
    <cellStyle name="Separador de milhares 4 3 7 2 2 4 2" xfId="41786"/>
    <cellStyle name="Separador de milhares 4 3 7 2 2 5" xfId="35878"/>
    <cellStyle name="Separador de milhares 4 3 7 2 3" xfId="25590"/>
    <cellStyle name="Separador de milhares 4 3 7 2 3 2" xfId="50657"/>
    <cellStyle name="Separador de milhares 4 3 7 2 4" xfId="19676"/>
    <cellStyle name="Separador de milhares 4 3 7 2 4 2" xfId="44743"/>
    <cellStyle name="Separador de milhares 4 3 7 2 5" xfId="13578"/>
    <cellStyle name="Separador de milhares 4 3 7 2 5 2" xfId="38832"/>
    <cellStyle name="Separador de milhares 4 3 7 2 6" xfId="32921"/>
    <cellStyle name="Separador de milhares 4 3 7 3" xfId="8865"/>
    <cellStyle name="Separador de milhares 4 3 7 3 2" xfId="27079"/>
    <cellStyle name="Separador de milhares 4 3 7 3 2 2" xfId="52146"/>
    <cellStyle name="Separador de milhares 4 3 7 3 3" xfId="21165"/>
    <cellStyle name="Separador de milhares 4 3 7 3 3 2" xfId="46232"/>
    <cellStyle name="Separador de milhares 4 3 7 3 4" xfId="15251"/>
    <cellStyle name="Separador de milhares 4 3 7 3 4 2" xfId="40318"/>
    <cellStyle name="Separador de milhares 4 3 7 3 5" xfId="34410"/>
    <cellStyle name="Separador de milhares 4 3 7 4" xfId="5490"/>
    <cellStyle name="Separador de milhares 4 3 7 4 2" xfId="24122"/>
    <cellStyle name="Separador de milhares 4 3 7 4 2 2" xfId="49189"/>
    <cellStyle name="Separador de milhares 4 3 7 4 3" xfId="31453"/>
    <cellStyle name="Separador de milhares 4 3 7 5" xfId="18208"/>
    <cellStyle name="Separador de milhares 4 3 7 5 2" xfId="43275"/>
    <cellStyle name="Separador de milhares 4 3 7 6" xfId="11877"/>
    <cellStyle name="Separador de milhares 4 3 7 6 2" xfId="37364"/>
    <cellStyle name="Separador de milhares 4 3 7 7" xfId="29983"/>
    <cellStyle name="Separador de milhares 4 3 8" xfId="3237"/>
    <cellStyle name="Separador de milhares 4 3 8 2" xfId="7336"/>
    <cellStyle name="Separador de milhares 4 3 8 2 2" xfId="10480"/>
    <cellStyle name="Separador de milhares 4 3 8 2 2 2" xfId="28694"/>
    <cellStyle name="Separador de milhares 4 3 8 2 2 2 2" xfId="53761"/>
    <cellStyle name="Separador de milhares 4 3 8 2 2 3" xfId="22780"/>
    <cellStyle name="Separador de milhares 4 3 8 2 2 3 2" xfId="47847"/>
    <cellStyle name="Separador de milhares 4 3 8 2 2 4" xfId="16866"/>
    <cellStyle name="Separador de milhares 4 3 8 2 2 4 2" xfId="41933"/>
    <cellStyle name="Separador de milhares 4 3 8 2 2 5" xfId="36025"/>
    <cellStyle name="Separador de milhares 4 3 8 2 3" xfId="25737"/>
    <cellStyle name="Separador de milhares 4 3 8 2 3 2" xfId="50804"/>
    <cellStyle name="Separador de milhares 4 3 8 2 4" xfId="19823"/>
    <cellStyle name="Separador de milhares 4 3 8 2 4 2" xfId="44890"/>
    <cellStyle name="Separador de milhares 4 3 8 2 5" xfId="13725"/>
    <cellStyle name="Separador de milhares 4 3 8 2 5 2" xfId="38979"/>
    <cellStyle name="Separador de milhares 4 3 8 2 6" xfId="33068"/>
    <cellStyle name="Separador de milhares 4 3 8 3" xfId="9012"/>
    <cellStyle name="Separador de milhares 4 3 8 3 2" xfId="27226"/>
    <cellStyle name="Separador de milhares 4 3 8 3 2 2" xfId="52293"/>
    <cellStyle name="Separador de milhares 4 3 8 3 3" xfId="21312"/>
    <cellStyle name="Separador de milhares 4 3 8 3 3 2" xfId="46379"/>
    <cellStyle name="Separador de milhares 4 3 8 3 4" xfId="15398"/>
    <cellStyle name="Separador de milhares 4 3 8 3 4 2" xfId="40465"/>
    <cellStyle name="Separador de milhares 4 3 8 3 5" xfId="34557"/>
    <cellStyle name="Separador de milhares 4 3 8 4" xfId="5637"/>
    <cellStyle name="Separador de milhares 4 3 8 4 2" xfId="24269"/>
    <cellStyle name="Separador de milhares 4 3 8 4 2 2" xfId="49336"/>
    <cellStyle name="Separador de milhares 4 3 8 4 3" xfId="31600"/>
    <cellStyle name="Separador de milhares 4 3 8 5" xfId="18355"/>
    <cellStyle name="Separador de milhares 4 3 8 5 2" xfId="43422"/>
    <cellStyle name="Separador de milhares 4 3 8 6" xfId="12024"/>
    <cellStyle name="Separador de milhares 4 3 8 6 2" xfId="37511"/>
    <cellStyle name="Separador de milhares 4 3 8 7" xfId="30130"/>
    <cellStyle name="Separador de milhares 4 3 9" xfId="3764"/>
    <cellStyle name="Separador de milhares 4 3 9 2" xfId="7483"/>
    <cellStyle name="Separador de milhares 4 3 9 2 2" xfId="10627"/>
    <cellStyle name="Separador de milhares 4 3 9 2 2 2" xfId="28841"/>
    <cellStyle name="Separador de milhares 4 3 9 2 2 2 2" xfId="53908"/>
    <cellStyle name="Separador de milhares 4 3 9 2 2 3" xfId="22927"/>
    <cellStyle name="Separador de milhares 4 3 9 2 2 3 2" xfId="47994"/>
    <cellStyle name="Separador de milhares 4 3 9 2 2 4" xfId="17013"/>
    <cellStyle name="Separador de milhares 4 3 9 2 2 4 2" xfId="42080"/>
    <cellStyle name="Separador de milhares 4 3 9 2 2 5" xfId="36172"/>
    <cellStyle name="Separador de milhares 4 3 9 2 3" xfId="25884"/>
    <cellStyle name="Separador de milhares 4 3 9 2 3 2" xfId="50951"/>
    <cellStyle name="Separador de milhares 4 3 9 2 4" xfId="19970"/>
    <cellStyle name="Separador de milhares 4 3 9 2 4 2" xfId="45037"/>
    <cellStyle name="Separador de milhares 4 3 9 2 5" xfId="13872"/>
    <cellStyle name="Separador de milhares 4 3 9 2 5 2" xfId="39126"/>
    <cellStyle name="Separador de milhares 4 3 9 2 6" xfId="33215"/>
    <cellStyle name="Separador de milhares 4 3 9 3" xfId="9159"/>
    <cellStyle name="Separador de milhares 4 3 9 3 2" xfId="27373"/>
    <cellStyle name="Separador de milhares 4 3 9 3 2 2" xfId="52440"/>
    <cellStyle name="Separador de milhares 4 3 9 3 3" xfId="21459"/>
    <cellStyle name="Separador de milhares 4 3 9 3 3 2" xfId="46526"/>
    <cellStyle name="Separador de milhares 4 3 9 3 4" xfId="15545"/>
    <cellStyle name="Separador de milhares 4 3 9 3 4 2" xfId="40612"/>
    <cellStyle name="Separador de milhares 4 3 9 3 5" xfId="34704"/>
    <cellStyle name="Separador de milhares 4 3 9 4" xfId="5784"/>
    <cellStyle name="Separador de milhares 4 3 9 4 2" xfId="24416"/>
    <cellStyle name="Separador de milhares 4 3 9 4 2 2" xfId="49483"/>
    <cellStyle name="Separador de milhares 4 3 9 4 3" xfId="31747"/>
    <cellStyle name="Separador de milhares 4 3 9 5" xfId="18502"/>
    <cellStyle name="Separador de milhares 4 3 9 5 2" xfId="43569"/>
    <cellStyle name="Separador de milhares 4 3 9 6" xfId="12171"/>
    <cellStyle name="Separador de milhares 4 3 9 6 2" xfId="37658"/>
    <cellStyle name="Separador de milhares 4 3 9 7" xfId="30277"/>
    <cellStyle name="Separador de milhares 4 4" xfId="6442"/>
    <cellStyle name="Separador de milhares 4 4 2" xfId="9597"/>
    <cellStyle name="Separador de milhares 4 4 2 2" xfId="27811"/>
    <cellStyle name="Separador de milhares 4 4 2 2 2" xfId="52878"/>
    <cellStyle name="Separador de milhares 4 4 2 3" xfId="21897"/>
    <cellStyle name="Separador de milhares 4 4 2 3 2" xfId="46964"/>
    <cellStyle name="Separador de milhares 4 4 2 4" xfId="15983"/>
    <cellStyle name="Separador de milhares 4 4 2 4 2" xfId="41050"/>
    <cellStyle name="Separador de milhares 4 4 2 5" xfId="35142"/>
    <cellStyle name="Separador de milhares 4 4 3" xfId="24854"/>
    <cellStyle name="Separador de milhares 4 4 3 2" xfId="49921"/>
    <cellStyle name="Separador de milhares 4 4 4" xfId="18940"/>
    <cellStyle name="Separador de milhares 4 4 4 2" xfId="44007"/>
    <cellStyle name="Separador de milhares 4 4 5" xfId="12831"/>
    <cellStyle name="Separador de milhares 4 4 5 2" xfId="38096"/>
    <cellStyle name="Separador de milhares 4 4 6" xfId="32185"/>
    <cellStyle name="Separador de milhares 4 5" xfId="8126"/>
    <cellStyle name="Separador de milhares 4 5 2" xfId="26340"/>
    <cellStyle name="Separador de milhares 4 5 2 2" xfId="51407"/>
    <cellStyle name="Separador de milhares 4 5 3" xfId="20426"/>
    <cellStyle name="Separador de milhares 4 5 3 2" xfId="45493"/>
    <cellStyle name="Separador de milhares 4 5 4" xfId="14515"/>
    <cellStyle name="Separador de milhares 4 5 4 2" xfId="39582"/>
    <cellStyle name="Separador de milhares 4 5 5" xfId="33671"/>
    <cellStyle name="Separador de milhares 4 6" xfId="4741"/>
    <cellStyle name="Separador de milhares 4 6 2" xfId="23383"/>
    <cellStyle name="Separador de milhares 4 6 2 2" xfId="48450"/>
    <cellStyle name="Separador de milhares 4 6 3" xfId="30715"/>
    <cellStyle name="Separador de milhares 4 7" xfId="17469"/>
    <cellStyle name="Separador de milhares 4 7 2" xfId="42536"/>
    <cellStyle name="Separador de milhares 4 8" xfId="11130"/>
    <cellStyle name="Separador de milhares 4 8 2" xfId="36628"/>
    <cellStyle name="Separador de milhares 4 9" xfId="29244"/>
    <cellStyle name="Separador de milhares_MODELO CÂMARA" xfId="4"/>
    <cellStyle name="Vírgula" xfId="1" builtinId="3"/>
    <cellStyle name="Vírgula 10" xfId="4357"/>
    <cellStyle name="Vírgula 10 10" xfId="30484"/>
    <cellStyle name="Vírgula 10 2" xfId="4465"/>
    <cellStyle name="Vírgula 10 2 2" xfId="7867"/>
    <cellStyle name="Vírgula 10 2 2 2" xfId="10896"/>
    <cellStyle name="Vírgula 10 2 2 2 2" xfId="29110"/>
    <cellStyle name="Vírgula 10 2 2 2 2 2" xfId="54177"/>
    <cellStyle name="Vírgula 10 2 2 2 3" xfId="23196"/>
    <cellStyle name="Vírgula 10 2 2 2 3 2" xfId="48263"/>
    <cellStyle name="Vírgula 10 2 2 2 4" xfId="17282"/>
    <cellStyle name="Vírgula 10 2 2 2 4 2" xfId="42349"/>
    <cellStyle name="Vírgula 10 2 2 2 5" xfId="36441"/>
    <cellStyle name="Vírgula 10 2 2 3" xfId="26153"/>
    <cellStyle name="Vírgula 10 2 2 3 2" xfId="51220"/>
    <cellStyle name="Vírgula 10 2 2 4" xfId="20239"/>
    <cellStyle name="Vírgula 10 2 2 4 2" xfId="45306"/>
    <cellStyle name="Vírgula 10 2 2 5" xfId="14256"/>
    <cellStyle name="Vírgula 10 2 2 5 2" xfId="39395"/>
    <cellStyle name="Vírgula 10 2 2 6" xfId="33484"/>
    <cellStyle name="Vírgula 10 2 3" xfId="9428"/>
    <cellStyle name="Vírgula 10 2 3 2" xfId="27642"/>
    <cellStyle name="Vírgula 10 2 3 2 2" xfId="52709"/>
    <cellStyle name="Vírgula 10 2 3 3" xfId="21728"/>
    <cellStyle name="Vírgula 10 2 3 3 2" xfId="46795"/>
    <cellStyle name="Vírgula 10 2 3 4" xfId="15814"/>
    <cellStyle name="Vírgula 10 2 3 4 2" xfId="40881"/>
    <cellStyle name="Vírgula 10 2 3 5" xfId="34973"/>
    <cellStyle name="Vírgula 10 2 4" xfId="6166"/>
    <cellStyle name="Vírgula 10 2 4 2" xfId="24685"/>
    <cellStyle name="Vírgula 10 2 4 2 2" xfId="49752"/>
    <cellStyle name="Vírgula 10 2 4 3" xfId="32016"/>
    <cellStyle name="Vírgula 10 2 5" xfId="18771"/>
    <cellStyle name="Vírgula 10 2 5 2" xfId="43838"/>
    <cellStyle name="Vírgula 10 2 6" xfId="12555"/>
    <cellStyle name="Vírgula 10 2 6 2" xfId="37927"/>
    <cellStyle name="Vírgula 10 2 7" xfId="30546"/>
    <cellStyle name="Vírgula 10 3" xfId="4573"/>
    <cellStyle name="Vírgula 10 3 2" xfId="7975"/>
    <cellStyle name="Vírgula 10 3 2 2" xfId="10958"/>
    <cellStyle name="Vírgula 10 3 2 2 2" xfId="29172"/>
    <cellStyle name="Vírgula 10 3 2 2 2 2" xfId="54239"/>
    <cellStyle name="Vírgula 10 3 2 2 3" xfId="23258"/>
    <cellStyle name="Vírgula 10 3 2 2 3 2" xfId="48325"/>
    <cellStyle name="Vírgula 10 3 2 2 4" xfId="17344"/>
    <cellStyle name="Vírgula 10 3 2 2 4 2" xfId="42411"/>
    <cellStyle name="Vírgula 10 3 2 2 5" xfId="36503"/>
    <cellStyle name="Vírgula 10 3 2 3" xfId="26215"/>
    <cellStyle name="Vírgula 10 3 2 3 2" xfId="51282"/>
    <cellStyle name="Vírgula 10 3 2 4" xfId="20301"/>
    <cellStyle name="Vírgula 10 3 2 4 2" xfId="45368"/>
    <cellStyle name="Vírgula 10 3 2 5" xfId="14364"/>
    <cellStyle name="Vírgula 10 3 2 5 2" xfId="39457"/>
    <cellStyle name="Vírgula 10 3 2 6" xfId="33546"/>
    <cellStyle name="Vírgula 10 3 3" xfId="9490"/>
    <cellStyle name="Vírgula 10 3 3 2" xfId="27704"/>
    <cellStyle name="Vírgula 10 3 3 2 2" xfId="52771"/>
    <cellStyle name="Vírgula 10 3 3 3" xfId="21790"/>
    <cellStyle name="Vírgula 10 3 3 3 2" xfId="46857"/>
    <cellStyle name="Vírgula 10 3 3 4" xfId="15876"/>
    <cellStyle name="Vírgula 10 3 3 4 2" xfId="40943"/>
    <cellStyle name="Vírgula 10 3 3 5" xfId="35035"/>
    <cellStyle name="Vírgula 10 3 4" xfId="6274"/>
    <cellStyle name="Vírgula 10 3 4 2" xfId="24747"/>
    <cellStyle name="Vírgula 10 3 4 2 2" xfId="49814"/>
    <cellStyle name="Vírgula 10 3 4 3" xfId="32078"/>
    <cellStyle name="Vírgula 10 3 5" xfId="18833"/>
    <cellStyle name="Vírgula 10 3 5 2" xfId="43900"/>
    <cellStyle name="Vírgula 10 3 6" xfId="12663"/>
    <cellStyle name="Vírgula 10 3 6 2" xfId="37989"/>
    <cellStyle name="Vírgula 10 3 7" xfId="30608"/>
    <cellStyle name="Vírgula 10 4" xfId="6058"/>
    <cellStyle name="Vírgula 10 4 2" xfId="7758"/>
    <cellStyle name="Vírgula 10 4 2 2" xfId="10834"/>
    <cellStyle name="Vírgula 10 4 2 2 2" xfId="29048"/>
    <cellStyle name="Vírgula 10 4 2 2 2 2" xfId="54115"/>
    <cellStyle name="Vírgula 10 4 2 2 3" xfId="23134"/>
    <cellStyle name="Vírgula 10 4 2 2 3 2" xfId="48201"/>
    <cellStyle name="Vírgula 10 4 2 2 4" xfId="17220"/>
    <cellStyle name="Vírgula 10 4 2 2 4 2" xfId="42287"/>
    <cellStyle name="Vírgula 10 4 2 2 5" xfId="36379"/>
    <cellStyle name="Vírgula 10 4 2 3" xfId="26091"/>
    <cellStyle name="Vírgula 10 4 2 3 2" xfId="51158"/>
    <cellStyle name="Vírgula 10 4 2 4" xfId="20177"/>
    <cellStyle name="Vírgula 10 4 2 4 2" xfId="45244"/>
    <cellStyle name="Vírgula 10 4 2 5" xfId="14147"/>
    <cellStyle name="Vírgula 10 4 2 5 2" xfId="39333"/>
    <cellStyle name="Vírgula 10 4 2 6" xfId="33422"/>
    <cellStyle name="Vírgula 10 4 3" xfId="9366"/>
    <cellStyle name="Vírgula 10 4 3 2" xfId="27580"/>
    <cellStyle name="Vírgula 10 4 3 2 2" xfId="52647"/>
    <cellStyle name="Vírgula 10 4 3 3" xfId="21666"/>
    <cellStyle name="Vírgula 10 4 3 3 2" xfId="46733"/>
    <cellStyle name="Vírgula 10 4 3 4" xfId="15752"/>
    <cellStyle name="Vírgula 10 4 3 4 2" xfId="40819"/>
    <cellStyle name="Vírgula 10 4 3 5" xfId="34911"/>
    <cellStyle name="Vírgula 10 4 4" xfId="24623"/>
    <cellStyle name="Vírgula 10 4 4 2" xfId="49690"/>
    <cellStyle name="Vírgula 10 4 5" xfId="18709"/>
    <cellStyle name="Vírgula 10 4 5 2" xfId="43776"/>
    <cellStyle name="Vírgula 10 4 6" xfId="12446"/>
    <cellStyle name="Vírgula 10 4 6 2" xfId="37865"/>
    <cellStyle name="Vírgula 10 4 7" xfId="31954"/>
    <cellStyle name="Vírgula 10 5" xfId="6383"/>
    <cellStyle name="Vírgula 10 5 2" xfId="9552"/>
    <cellStyle name="Vírgula 10 5 2 2" xfId="27766"/>
    <cellStyle name="Vírgula 10 5 2 2 2" xfId="52833"/>
    <cellStyle name="Vírgula 10 5 2 3" xfId="21852"/>
    <cellStyle name="Vírgula 10 5 2 3 2" xfId="46919"/>
    <cellStyle name="Vírgula 10 5 2 4" xfId="15938"/>
    <cellStyle name="Vírgula 10 5 2 4 2" xfId="41005"/>
    <cellStyle name="Vírgula 10 5 2 5" xfId="35097"/>
    <cellStyle name="Vírgula 10 5 3" xfId="24809"/>
    <cellStyle name="Vírgula 10 5 3 2" xfId="49876"/>
    <cellStyle name="Vírgula 10 5 4" xfId="18895"/>
    <cellStyle name="Vírgula 10 5 4 2" xfId="43962"/>
    <cellStyle name="Vírgula 10 5 5" xfId="12772"/>
    <cellStyle name="Vírgula 10 5 5 2" xfId="38051"/>
    <cellStyle name="Vírgula 10 5 6" xfId="32140"/>
    <cellStyle name="Vírgula 10 6" xfId="8081"/>
    <cellStyle name="Vírgula 10 6 2" xfId="26295"/>
    <cellStyle name="Vírgula 10 6 2 2" xfId="51362"/>
    <cellStyle name="Vírgula 10 6 3" xfId="20381"/>
    <cellStyle name="Vírgula 10 6 3 2" xfId="45448"/>
    <cellStyle name="Vírgula 10 6 4" xfId="14470"/>
    <cellStyle name="Vírgula 10 6 4 2" xfId="39537"/>
    <cellStyle name="Vírgula 10 6 5" xfId="33626"/>
    <cellStyle name="Vírgula 10 7" xfId="4680"/>
    <cellStyle name="Vírgula 10 7 2" xfId="23338"/>
    <cellStyle name="Vírgula 10 7 2 2" xfId="48405"/>
    <cellStyle name="Vírgula 10 7 3" xfId="30670"/>
    <cellStyle name="Vírgula 10 8" xfId="17424"/>
    <cellStyle name="Vírgula 10 8 2" xfId="42491"/>
    <cellStyle name="Vírgula 10 9" xfId="11071"/>
    <cellStyle name="Vírgula 10 9 2" xfId="36583"/>
    <cellStyle name="Vírgula 11" xfId="4387"/>
    <cellStyle name="Vírgula 11 10" xfId="30502"/>
    <cellStyle name="Vírgula 11 2" xfId="4495"/>
    <cellStyle name="Vírgula 11 2 2" xfId="7897"/>
    <cellStyle name="Vírgula 11 2 2 2" xfId="10914"/>
    <cellStyle name="Vírgula 11 2 2 2 2" xfId="29128"/>
    <cellStyle name="Vírgula 11 2 2 2 2 2" xfId="54195"/>
    <cellStyle name="Vírgula 11 2 2 2 3" xfId="23214"/>
    <cellStyle name="Vírgula 11 2 2 2 3 2" xfId="48281"/>
    <cellStyle name="Vírgula 11 2 2 2 4" xfId="17300"/>
    <cellStyle name="Vírgula 11 2 2 2 4 2" xfId="42367"/>
    <cellStyle name="Vírgula 11 2 2 2 5" xfId="36459"/>
    <cellStyle name="Vírgula 11 2 2 3" xfId="26171"/>
    <cellStyle name="Vírgula 11 2 2 3 2" xfId="51238"/>
    <cellStyle name="Vírgula 11 2 2 4" xfId="20257"/>
    <cellStyle name="Vírgula 11 2 2 4 2" xfId="45324"/>
    <cellStyle name="Vírgula 11 2 2 5" xfId="14286"/>
    <cellStyle name="Vírgula 11 2 2 5 2" xfId="39413"/>
    <cellStyle name="Vírgula 11 2 2 6" xfId="33502"/>
    <cellStyle name="Vírgula 11 2 3" xfId="9446"/>
    <cellStyle name="Vírgula 11 2 3 2" xfId="27660"/>
    <cellStyle name="Vírgula 11 2 3 2 2" xfId="52727"/>
    <cellStyle name="Vírgula 11 2 3 3" xfId="21746"/>
    <cellStyle name="Vírgula 11 2 3 3 2" xfId="46813"/>
    <cellStyle name="Vírgula 11 2 3 4" xfId="15832"/>
    <cellStyle name="Vírgula 11 2 3 4 2" xfId="40899"/>
    <cellStyle name="Vírgula 11 2 3 5" xfId="34991"/>
    <cellStyle name="Vírgula 11 2 4" xfId="6196"/>
    <cellStyle name="Vírgula 11 2 4 2" xfId="24703"/>
    <cellStyle name="Vírgula 11 2 4 2 2" xfId="49770"/>
    <cellStyle name="Vírgula 11 2 4 3" xfId="32034"/>
    <cellStyle name="Vírgula 11 2 5" xfId="18789"/>
    <cellStyle name="Vírgula 11 2 5 2" xfId="43856"/>
    <cellStyle name="Vírgula 11 2 6" xfId="12585"/>
    <cellStyle name="Vírgula 11 2 6 2" xfId="37945"/>
    <cellStyle name="Vírgula 11 2 7" xfId="30564"/>
    <cellStyle name="Vírgula 11 3" xfId="4603"/>
    <cellStyle name="Vírgula 11 3 2" xfId="8006"/>
    <cellStyle name="Vírgula 11 3 2 2" xfId="10976"/>
    <cellStyle name="Vírgula 11 3 2 2 2" xfId="29190"/>
    <cellStyle name="Vírgula 11 3 2 2 2 2" xfId="54257"/>
    <cellStyle name="Vírgula 11 3 2 2 3" xfId="23276"/>
    <cellStyle name="Vírgula 11 3 2 2 3 2" xfId="48343"/>
    <cellStyle name="Vírgula 11 3 2 2 4" xfId="17362"/>
    <cellStyle name="Vírgula 11 3 2 2 4 2" xfId="42429"/>
    <cellStyle name="Vírgula 11 3 2 2 5" xfId="36521"/>
    <cellStyle name="Vírgula 11 3 2 3" xfId="26233"/>
    <cellStyle name="Vírgula 11 3 2 3 2" xfId="51300"/>
    <cellStyle name="Vírgula 11 3 2 4" xfId="20319"/>
    <cellStyle name="Vírgula 11 3 2 4 2" xfId="45386"/>
    <cellStyle name="Vírgula 11 3 2 5" xfId="14395"/>
    <cellStyle name="Vírgula 11 3 2 5 2" xfId="39475"/>
    <cellStyle name="Vírgula 11 3 2 6" xfId="33564"/>
    <cellStyle name="Vírgula 11 3 3" xfId="9508"/>
    <cellStyle name="Vírgula 11 3 3 2" xfId="27722"/>
    <cellStyle name="Vírgula 11 3 3 2 2" xfId="52789"/>
    <cellStyle name="Vírgula 11 3 3 3" xfId="21808"/>
    <cellStyle name="Vírgula 11 3 3 3 2" xfId="46875"/>
    <cellStyle name="Vírgula 11 3 3 4" xfId="15894"/>
    <cellStyle name="Vírgula 11 3 3 4 2" xfId="40961"/>
    <cellStyle name="Vírgula 11 3 3 5" xfId="35053"/>
    <cellStyle name="Vírgula 11 3 4" xfId="6305"/>
    <cellStyle name="Vírgula 11 3 4 2" xfId="24765"/>
    <cellStyle name="Vírgula 11 3 4 2 2" xfId="49832"/>
    <cellStyle name="Vírgula 11 3 4 3" xfId="32096"/>
    <cellStyle name="Vírgula 11 3 5" xfId="18851"/>
    <cellStyle name="Vírgula 11 3 5 2" xfId="43918"/>
    <cellStyle name="Vírgula 11 3 6" xfId="12694"/>
    <cellStyle name="Vírgula 11 3 6 2" xfId="38007"/>
    <cellStyle name="Vírgula 11 3 7" xfId="30626"/>
    <cellStyle name="Vírgula 11 4" xfId="6089"/>
    <cellStyle name="Vírgula 11 4 2" xfId="7789"/>
    <cellStyle name="Vírgula 11 4 2 2" xfId="10852"/>
    <cellStyle name="Vírgula 11 4 2 2 2" xfId="29066"/>
    <cellStyle name="Vírgula 11 4 2 2 2 2" xfId="54133"/>
    <cellStyle name="Vírgula 11 4 2 2 3" xfId="23152"/>
    <cellStyle name="Vírgula 11 4 2 2 3 2" xfId="48219"/>
    <cellStyle name="Vírgula 11 4 2 2 4" xfId="17238"/>
    <cellStyle name="Vírgula 11 4 2 2 4 2" xfId="42305"/>
    <cellStyle name="Vírgula 11 4 2 2 5" xfId="36397"/>
    <cellStyle name="Vírgula 11 4 2 3" xfId="26109"/>
    <cellStyle name="Vírgula 11 4 2 3 2" xfId="51176"/>
    <cellStyle name="Vírgula 11 4 2 4" xfId="20195"/>
    <cellStyle name="Vírgula 11 4 2 4 2" xfId="45262"/>
    <cellStyle name="Vírgula 11 4 2 5" xfId="14178"/>
    <cellStyle name="Vírgula 11 4 2 5 2" xfId="39351"/>
    <cellStyle name="Vírgula 11 4 2 6" xfId="33440"/>
    <cellStyle name="Vírgula 11 4 3" xfId="9384"/>
    <cellStyle name="Vírgula 11 4 3 2" xfId="27598"/>
    <cellStyle name="Vírgula 11 4 3 2 2" xfId="52665"/>
    <cellStyle name="Vírgula 11 4 3 3" xfId="21684"/>
    <cellStyle name="Vírgula 11 4 3 3 2" xfId="46751"/>
    <cellStyle name="Vírgula 11 4 3 4" xfId="15770"/>
    <cellStyle name="Vírgula 11 4 3 4 2" xfId="40837"/>
    <cellStyle name="Vírgula 11 4 3 5" xfId="34929"/>
    <cellStyle name="Vírgula 11 4 4" xfId="24641"/>
    <cellStyle name="Vírgula 11 4 4 2" xfId="49708"/>
    <cellStyle name="Vírgula 11 4 5" xfId="18727"/>
    <cellStyle name="Vírgula 11 4 5 2" xfId="43794"/>
    <cellStyle name="Vírgula 11 4 6" xfId="12477"/>
    <cellStyle name="Vírgula 11 4 6 2" xfId="37883"/>
    <cellStyle name="Vírgula 11 4 7" xfId="31972"/>
    <cellStyle name="Vírgula 11 5" xfId="6414"/>
    <cellStyle name="Vírgula 11 5 2" xfId="9570"/>
    <cellStyle name="Vírgula 11 5 2 2" xfId="27784"/>
    <cellStyle name="Vírgula 11 5 2 2 2" xfId="52851"/>
    <cellStyle name="Vírgula 11 5 2 3" xfId="21870"/>
    <cellStyle name="Vírgula 11 5 2 3 2" xfId="46937"/>
    <cellStyle name="Vírgula 11 5 2 4" xfId="15956"/>
    <cellStyle name="Vírgula 11 5 2 4 2" xfId="41023"/>
    <cellStyle name="Vírgula 11 5 2 5" xfId="35115"/>
    <cellStyle name="Vírgula 11 5 3" xfId="24827"/>
    <cellStyle name="Vírgula 11 5 3 2" xfId="49894"/>
    <cellStyle name="Vírgula 11 5 4" xfId="18913"/>
    <cellStyle name="Vírgula 11 5 4 2" xfId="43980"/>
    <cellStyle name="Vírgula 11 5 5" xfId="12803"/>
    <cellStyle name="Vírgula 11 5 5 2" xfId="38069"/>
    <cellStyle name="Vírgula 11 5 6" xfId="32158"/>
    <cellStyle name="Vírgula 11 6" xfId="8099"/>
    <cellStyle name="Vírgula 11 6 2" xfId="26313"/>
    <cellStyle name="Vírgula 11 6 2 2" xfId="51380"/>
    <cellStyle name="Vírgula 11 6 3" xfId="20399"/>
    <cellStyle name="Vírgula 11 6 3 2" xfId="45466"/>
    <cellStyle name="Vírgula 11 6 4" xfId="14488"/>
    <cellStyle name="Vírgula 11 6 4 2" xfId="39555"/>
    <cellStyle name="Vírgula 11 6 5" xfId="33644"/>
    <cellStyle name="Vírgula 11 7" xfId="4711"/>
    <cellStyle name="Vírgula 11 7 2" xfId="23356"/>
    <cellStyle name="Vírgula 11 7 2 2" xfId="48423"/>
    <cellStyle name="Vírgula 11 7 3" xfId="30688"/>
    <cellStyle name="Vírgula 11 8" xfId="17442"/>
    <cellStyle name="Vírgula 11 8 2" xfId="42509"/>
    <cellStyle name="Vírgula 11 9" xfId="11102"/>
    <cellStyle name="Vírgula 11 9 2" xfId="36601"/>
    <cellStyle name="Vírgula 12" xfId="8007"/>
    <cellStyle name="Vírgula 12 2" xfId="10977"/>
    <cellStyle name="Vírgula 12 2 2" xfId="29191"/>
    <cellStyle name="Vírgula 12 2 2 2" xfId="54258"/>
    <cellStyle name="Vírgula 12 2 3" xfId="23277"/>
    <cellStyle name="Vírgula 12 2 3 2" xfId="48344"/>
    <cellStyle name="Vírgula 12 2 4" xfId="17363"/>
    <cellStyle name="Vírgula 12 2 4 2" xfId="42430"/>
    <cellStyle name="Vírgula 12 2 5" xfId="36522"/>
    <cellStyle name="Vírgula 12 3" xfId="26234"/>
    <cellStyle name="Vírgula 12 3 2" xfId="51301"/>
    <cellStyle name="Vírgula 12 4" xfId="20320"/>
    <cellStyle name="Vírgula 12 4 2" xfId="45387"/>
    <cellStyle name="Vírgula 12 5" xfId="14396"/>
    <cellStyle name="Vírgula 12 5 2" xfId="39476"/>
    <cellStyle name="Vírgula 12 6" xfId="33565"/>
    <cellStyle name="Vírgula 13" xfId="29209"/>
    <cellStyle name="Vírgula 13 2" xfId="54276"/>
    <cellStyle name="Vírgula 14" xfId="12"/>
    <cellStyle name="Vírgula 14 2" xfId="29216"/>
    <cellStyle name="Vírgula 2" xfId="7"/>
    <cellStyle name="Vírgula 2 2" xfId="211"/>
    <cellStyle name="Vírgula 2 2 10" xfId="4217"/>
    <cellStyle name="Vírgula 2 2 10 2" xfId="7617"/>
    <cellStyle name="Vírgula 2 2 10 2 2" xfId="10754"/>
    <cellStyle name="Vírgula 2 2 10 2 2 2" xfId="28968"/>
    <cellStyle name="Vírgula 2 2 10 2 2 2 2" xfId="54035"/>
    <cellStyle name="Vírgula 2 2 10 2 2 3" xfId="23054"/>
    <cellStyle name="Vírgula 2 2 10 2 2 3 2" xfId="48121"/>
    <cellStyle name="Vírgula 2 2 10 2 2 4" xfId="17140"/>
    <cellStyle name="Vírgula 2 2 10 2 2 4 2" xfId="42207"/>
    <cellStyle name="Vírgula 2 2 10 2 2 5" xfId="36299"/>
    <cellStyle name="Vírgula 2 2 10 2 3" xfId="26011"/>
    <cellStyle name="Vírgula 2 2 10 2 3 2" xfId="51078"/>
    <cellStyle name="Vírgula 2 2 10 2 4" xfId="20097"/>
    <cellStyle name="Vírgula 2 2 10 2 4 2" xfId="45164"/>
    <cellStyle name="Vírgula 2 2 10 2 5" xfId="14006"/>
    <cellStyle name="Vírgula 2 2 10 2 5 2" xfId="39253"/>
    <cellStyle name="Vírgula 2 2 10 2 6" xfId="33342"/>
    <cellStyle name="Vírgula 2 2 10 3" xfId="9286"/>
    <cellStyle name="Vírgula 2 2 10 3 2" xfId="27500"/>
    <cellStyle name="Vírgula 2 2 10 3 2 2" xfId="52567"/>
    <cellStyle name="Vírgula 2 2 10 3 3" xfId="21586"/>
    <cellStyle name="Vírgula 2 2 10 3 3 2" xfId="46653"/>
    <cellStyle name="Vírgula 2 2 10 3 4" xfId="15672"/>
    <cellStyle name="Vírgula 2 2 10 3 4 2" xfId="40739"/>
    <cellStyle name="Vírgula 2 2 10 3 5" xfId="34831"/>
    <cellStyle name="Vírgula 2 2 10 4" xfId="5918"/>
    <cellStyle name="Vírgula 2 2 10 4 2" xfId="24543"/>
    <cellStyle name="Vírgula 2 2 10 4 2 2" xfId="49610"/>
    <cellStyle name="Vírgula 2 2 10 4 3" xfId="31874"/>
    <cellStyle name="Vírgula 2 2 10 5" xfId="18629"/>
    <cellStyle name="Vírgula 2 2 10 5 2" xfId="43696"/>
    <cellStyle name="Vírgula 2 2 10 6" xfId="12305"/>
    <cellStyle name="Vírgula 2 2 10 6 2" xfId="37785"/>
    <cellStyle name="Vírgula 2 2 10 7" xfId="30404"/>
    <cellStyle name="Vírgula 2 2 11" xfId="4293"/>
    <cellStyle name="Vírgula 2 2 11 2" xfId="7694"/>
    <cellStyle name="Vírgula 2 2 11 2 2" xfId="10797"/>
    <cellStyle name="Vírgula 2 2 11 2 2 2" xfId="29011"/>
    <cellStyle name="Vírgula 2 2 11 2 2 2 2" xfId="54078"/>
    <cellStyle name="Vírgula 2 2 11 2 2 3" xfId="23097"/>
    <cellStyle name="Vírgula 2 2 11 2 2 3 2" xfId="48164"/>
    <cellStyle name="Vírgula 2 2 11 2 2 4" xfId="17183"/>
    <cellStyle name="Vírgula 2 2 11 2 2 4 2" xfId="42250"/>
    <cellStyle name="Vírgula 2 2 11 2 2 5" xfId="36342"/>
    <cellStyle name="Vírgula 2 2 11 2 3" xfId="26054"/>
    <cellStyle name="Vírgula 2 2 11 2 3 2" xfId="51121"/>
    <cellStyle name="Vírgula 2 2 11 2 4" xfId="20140"/>
    <cellStyle name="Vírgula 2 2 11 2 4 2" xfId="45207"/>
    <cellStyle name="Vírgula 2 2 11 2 5" xfId="14083"/>
    <cellStyle name="Vírgula 2 2 11 2 5 2" xfId="39296"/>
    <cellStyle name="Vírgula 2 2 11 2 6" xfId="33385"/>
    <cellStyle name="Vírgula 2 2 11 3" xfId="9329"/>
    <cellStyle name="Vírgula 2 2 11 3 2" xfId="27543"/>
    <cellStyle name="Vírgula 2 2 11 3 2 2" xfId="52610"/>
    <cellStyle name="Vírgula 2 2 11 3 3" xfId="21629"/>
    <cellStyle name="Vírgula 2 2 11 3 3 2" xfId="46696"/>
    <cellStyle name="Vírgula 2 2 11 3 4" xfId="15715"/>
    <cellStyle name="Vírgula 2 2 11 3 4 2" xfId="40782"/>
    <cellStyle name="Vírgula 2 2 11 3 5" xfId="34874"/>
    <cellStyle name="Vírgula 2 2 11 4" xfId="5994"/>
    <cellStyle name="Vírgula 2 2 11 4 2" xfId="24586"/>
    <cellStyle name="Vírgula 2 2 11 4 2 2" xfId="49653"/>
    <cellStyle name="Vírgula 2 2 11 4 3" xfId="31917"/>
    <cellStyle name="Vírgula 2 2 11 5" xfId="18672"/>
    <cellStyle name="Vírgula 2 2 11 5 2" xfId="43739"/>
    <cellStyle name="Vírgula 2 2 11 6" xfId="12382"/>
    <cellStyle name="Vírgula 2 2 11 6 2" xfId="37828"/>
    <cellStyle name="Vírgula 2 2 11 7" xfId="30447"/>
    <cellStyle name="Vírgula 2 2 12" xfId="4401"/>
    <cellStyle name="Vírgula 2 2 12 2" xfId="7803"/>
    <cellStyle name="Vírgula 2 2 12 2 2" xfId="10859"/>
    <cellStyle name="Vírgula 2 2 12 2 2 2" xfId="29073"/>
    <cellStyle name="Vírgula 2 2 12 2 2 2 2" xfId="54140"/>
    <cellStyle name="Vírgula 2 2 12 2 2 3" xfId="23159"/>
    <cellStyle name="Vírgula 2 2 12 2 2 3 2" xfId="48226"/>
    <cellStyle name="Vírgula 2 2 12 2 2 4" xfId="17245"/>
    <cellStyle name="Vírgula 2 2 12 2 2 4 2" xfId="42312"/>
    <cellStyle name="Vírgula 2 2 12 2 2 5" xfId="36404"/>
    <cellStyle name="Vírgula 2 2 12 2 3" xfId="26116"/>
    <cellStyle name="Vírgula 2 2 12 2 3 2" xfId="51183"/>
    <cellStyle name="Vírgula 2 2 12 2 4" xfId="20202"/>
    <cellStyle name="Vírgula 2 2 12 2 4 2" xfId="45269"/>
    <cellStyle name="Vírgula 2 2 12 2 5" xfId="14192"/>
    <cellStyle name="Vírgula 2 2 12 2 5 2" xfId="39358"/>
    <cellStyle name="Vírgula 2 2 12 2 6" xfId="33447"/>
    <cellStyle name="Vírgula 2 2 12 3" xfId="9391"/>
    <cellStyle name="Vírgula 2 2 12 3 2" xfId="27605"/>
    <cellStyle name="Vírgula 2 2 12 3 2 2" xfId="52672"/>
    <cellStyle name="Vírgula 2 2 12 3 3" xfId="21691"/>
    <cellStyle name="Vírgula 2 2 12 3 3 2" xfId="46758"/>
    <cellStyle name="Vírgula 2 2 12 3 4" xfId="15777"/>
    <cellStyle name="Vírgula 2 2 12 3 4 2" xfId="40844"/>
    <cellStyle name="Vírgula 2 2 12 3 5" xfId="34936"/>
    <cellStyle name="Vírgula 2 2 12 4" xfId="6103"/>
    <cellStyle name="Vírgula 2 2 12 4 2" xfId="24648"/>
    <cellStyle name="Vírgula 2 2 12 4 2 2" xfId="49715"/>
    <cellStyle name="Vírgula 2 2 12 4 3" xfId="31979"/>
    <cellStyle name="Vírgula 2 2 12 5" xfId="18734"/>
    <cellStyle name="Vírgula 2 2 12 5 2" xfId="43801"/>
    <cellStyle name="Vírgula 2 2 12 6" xfId="12491"/>
    <cellStyle name="Vírgula 2 2 12 6 2" xfId="37890"/>
    <cellStyle name="Vírgula 2 2 12 7" xfId="30509"/>
    <cellStyle name="Vírgula 2 2 13" xfId="4509"/>
    <cellStyle name="Vírgula 2 2 13 2" xfId="7911"/>
    <cellStyle name="Vírgula 2 2 13 2 2" xfId="10921"/>
    <cellStyle name="Vírgula 2 2 13 2 2 2" xfId="29135"/>
    <cellStyle name="Vírgula 2 2 13 2 2 2 2" xfId="54202"/>
    <cellStyle name="Vírgula 2 2 13 2 2 3" xfId="23221"/>
    <cellStyle name="Vírgula 2 2 13 2 2 3 2" xfId="48288"/>
    <cellStyle name="Vírgula 2 2 13 2 2 4" xfId="17307"/>
    <cellStyle name="Vírgula 2 2 13 2 2 4 2" xfId="42374"/>
    <cellStyle name="Vírgula 2 2 13 2 2 5" xfId="36466"/>
    <cellStyle name="Vírgula 2 2 13 2 3" xfId="26178"/>
    <cellStyle name="Vírgula 2 2 13 2 3 2" xfId="51245"/>
    <cellStyle name="Vírgula 2 2 13 2 4" xfId="20264"/>
    <cellStyle name="Vírgula 2 2 13 2 4 2" xfId="45331"/>
    <cellStyle name="Vírgula 2 2 13 2 5" xfId="14300"/>
    <cellStyle name="Vírgula 2 2 13 2 5 2" xfId="39420"/>
    <cellStyle name="Vírgula 2 2 13 2 6" xfId="33509"/>
    <cellStyle name="Vírgula 2 2 13 3" xfId="9453"/>
    <cellStyle name="Vírgula 2 2 13 3 2" xfId="27667"/>
    <cellStyle name="Vírgula 2 2 13 3 2 2" xfId="52734"/>
    <cellStyle name="Vírgula 2 2 13 3 3" xfId="21753"/>
    <cellStyle name="Vírgula 2 2 13 3 3 2" xfId="46820"/>
    <cellStyle name="Vírgula 2 2 13 3 4" xfId="15839"/>
    <cellStyle name="Vírgula 2 2 13 3 4 2" xfId="40906"/>
    <cellStyle name="Vírgula 2 2 13 3 5" xfId="34998"/>
    <cellStyle name="Vírgula 2 2 13 4" xfId="6210"/>
    <cellStyle name="Vírgula 2 2 13 4 2" xfId="24710"/>
    <cellStyle name="Vírgula 2 2 13 4 2 2" xfId="49777"/>
    <cellStyle name="Vírgula 2 2 13 4 3" xfId="32041"/>
    <cellStyle name="Vírgula 2 2 13 5" xfId="18796"/>
    <cellStyle name="Vírgula 2 2 13 5 2" xfId="43863"/>
    <cellStyle name="Vírgula 2 2 13 6" xfId="12599"/>
    <cellStyle name="Vírgula 2 2 13 6 2" xfId="37952"/>
    <cellStyle name="Vírgula 2 2 13 7" xfId="30571"/>
    <cellStyle name="Vírgula 2 2 14" xfId="4769"/>
    <cellStyle name="Vírgula 2 2 14 2" xfId="6470"/>
    <cellStyle name="Vírgula 2 2 14 2 2" xfId="9623"/>
    <cellStyle name="Vírgula 2 2 14 2 2 2" xfId="27837"/>
    <cellStyle name="Vírgula 2 2 14 2 2 2 2" xfId="52904"/>
    <cellStyle name="Vírgula 2 2 14 2 2 3" xfId="21923"/>
    <cellStyle name="Vírgula 2 2 14 2 2 3 2" xfId="46990"/>
    <cellStyle name="Vírgula 2 2 14 2 2 4" xfId="16009"/>
    <cellStyle name="Vírgula 2 2 14 2 2 4 2" xfId="41076"/>
    <cellStyle name="Vírgula 2 2 14 2 2 5" xfId="35168"/>
    <cellStyle name="Vírgula 2 2 14 2 3" xfId="24880"/>
    <cellStyle name="Vírgula 2 2 14 2 3 2" xfId="49947"/>
    <cellStyle name="Vírgula 2 2 14 2 4" xfId="18966"/>
    <cellStyle name="Vírgula 2 2 14 2 4 2" xfId="44033"/>
    <cellStyle name="Vírgula 2 2 14 2 5" xfId="12859"/>
    <cellStyle name="Vírgula 2 2 14 2 5 2" xfId="38122"/>
    <cellStyle name="Vírgula 2 2 14 2 6" xfId="32211"/>
    <cellStyle name="Vírgula 2 2 14 3" xfId="8152"/>
    <cellStyle name="Vírgula 2 2 14 3 2" xfId="26366"/>
    <cellStyle name="Vírgula 2 2 14 3 2 2" xfId="51433"/>
    <cellStyle name="Vírgula 2 2 14 3 3" xfId="20452"/>
    <cellStyle name="Vírgula 2 2 14 3 3 2" xfId="45519"/>
    <cellStyle name="Vírgula 2 2 14 3 4" xfId="14541"/>
    <cellStyle name="Vírgula 2 2 14 3 4 2" xfId="39608"/>
    <cellStyle name="Vírgula 2 2 14 3 5" xfId="33697"/>
    <cellStyle name="Vírgula 2 2 14 4" xfId="23409"/>
    <cellStyle name="Vírgula 2 2 14 4 2" xfId="48476"/>
    <cellStyle name="Vírgula 2 2 14 5" xfId="17495"/>
    <cellStyle name="Vírgula 2 2 14 5 2" xfId="42562"/>
    <cellStyle name="Vírgula 2 2 14 6" xfId="11158"/>
    <cellStyle name="Vírgula 2 2 14 6 2" xfId="36654"/>
    <cellStyle name="Vírgula 2 2 14 7" xfId="30741"/>
    <cellStyle name="Vírgula 2 2 15" xfId="6319"/>
    <cellStyle name="Vírgula 2 2 15 2" xfId="9515"/>
    <cellStyle name="Vírgula 2 2 15 2 2" xfId="27729"/>
    <cellStyle name="Vírgula 2 2 15 2 2 2" xfId="52796"/>
    <cellStyle name="Vírgula 2 2 15 2 3" xfId="21815"/>
    <cellStyle name="Vírgula 2 2 15 2 3 2" xfId="46882"/>
    <cellStyle name="Vírgula 2 2 15 2 4" xfId="15901"/>
    <cellStyle name="Vírgula 2 2 15 2 4 2" xfId="40968"/>
    <cellStyle name="Vírgula 2 2 15 2 5" xfId="35060"/>
    <cellStyle name="Vírgula 2 2 15 3" xfId="24772"/>
    <cellStyle name="Vírgula 2 2 15 3 2" xfId="49839"/>
    <cellStyle name="Vírgula 2 2 15 4" xfId="18858"/>
    <cellStyle name="Vírgula 2 2 15 4 2" xfId="43925"/>
    <cellStyle name="Vírgula 2 2 15 5" xfId="12708"/>
    <cellStyle name="Vírgula 2 2 15 5 2" xfId="38014"/>
    <cellStyle name="Vírgula 2 2 15 6" xfId="32103"/>
    <cellStyle name="Vírgula 2 2 16" xfId="8011"/>
    <cellStyle name="Vírgula 2 2 16 2" xfId="10979"/>
    <cellStyle name="Vírgula 2 2 16 2 2" xfId="29193"/>
    <cellStyle name="Vírgula 2 2 16 2 2 2" xfId="54260"/>
    <cellStyle name="Vírgula 2 2 16 2 3" xfId="23279"/>
    <cellStyle name="Vírgula 2 2 16 2 3 2" xfId="48346"/>
    <cellStyle name="Vírgula 2 2 16 2 4" xfId="17365"/>
    <cellStyle name="Vírgula 2 2 16 2 4 2" xfId="42432"/>
    <cellStyle name="Vírgula 2 2 16 2 5" xfId="36524"/>
    <cellStyle name="Vírgula 2 2 16 3" xfId="26236"/>
    <cellStyle name="Vírgula 2 2 16 3 2" xfId="51303"/>
    <cellStyle name="Vírgula 2 2 16 4" xfId="20322"/>
    <cellStyle name="Vírgula 2 2 16 4 2" xfId="45389"/>
    <cellStyle name="Vírgula 2 2 16 5" xfId="14400"/>
    <cellStyle name="Vírgula 2 2 16 5 2" xfId="39478"/>
    <cellStyle name="Vírgula 2 2 16 6" xfId="33567"/>
    <cellStyle name="Vírgula 2 2 17" xfId="8044"/>
    <cellStyle name="Vírgula 2 2 17 2" xfId="26258"/>
    <cellStyle name="Vírgula 2 2 17 2 2" xfId="51325"/>
    <cellStyle name="Vírgula 2 2 17 3" xfId="20344"/>
    <cellStyle name="Vírgula 2 2 17 3 2" xfId="45411"/>
    <cellStyle name="Vírgula 2 2 17 4" xfId="14433"/>
    <cellStyle name="Vírgula 2 2 17 4 2" xfId="39500"/>
    <cellStyle name="Vírgula 2 2 17 5" xfId="33589"/>
    <cellStyle name="Vírgula 2 2 18" xfId="4617"/>
    <cellStyle name="Vírgula 2 2 18 2" xfId="23301"/>
    <cellStyle name="Vírgula 2 2 18 2 2" xfId="48368"/>
    <cellStyle name="Vírgula 2 2 18 3" xfId="30633"/>
    <cellStyle name="Vírgula 2 2 19" xfId="17387"/>
    <cellStyle name="Vírgula 2 2 19 2" xfId="42454"/>
    <cellStyle name="Vírgula 2 2 2" xfId="668"/>
    <cellStyle name="Vírgula 2 2 2 10" xfId="4514"/>
    <cellStyle name="Vírgula 2 2 2 10 2" xfId="7916"/>
    <cellStyle name="Vírgula 2 2 2 10 2 2" xfId="10924"/>
    <cellStyle name="Vírgula 2 2 2 10 2 2 2" xfId="29138"/>
    <cellStyle name="Vírgula 2 2 2 10 2 2 2 2" xfId="54205"/>
    <cellStyle name="Vírgula 2 2 2 10 2 2 3" xfId="23224"/>
    <cellStyle name="Vírgula 2 2 2 10 2 2 3 2" xfId="48291"/>
    <cellStyle name="Vírgula 2 2 2 10 2 2 4" xfId="17310"/>
    <cellStyle name="Vírgula 2 2 2 10 2 2 4 2" xfId="42377"/>
    <cellStyle name="Vírgula 2 2 2 10 2 2 5" xfId="36469"/>
    <cellStyle name="Vírgula 2 2 2 10 2 3" xfId="26181"/>
    <cellStyle name="Vírgula 2 2 2 10 2 3 2" xfId="51248"/>
    <cellStyle name="Vírgula 2 2 2 10 2 4" xfId="20267"/>
    <cellStyle name="Vírgula 2 2 2 10 2 4 2" xfId="45334"/>
    <cellStyle name="Vírgula 2 2 2 10 2 5" xfId="14305"/>
    <cellStyle name="Vírgula 2 2 2 10 2 5 2" xfId="39423"/>
    <cellStyle name="Vírgula 2 2 2 10 2 6" xfId="33512"/>
    <cellStyle name="Vírgula 2 2 2 10 3" xfId="9456"/>
    <cellStyle name="Vírgula 2 2 2 10 3 2" xfId="27670"/>
    <cellStyle name="Vírgula 2 2 2 10 3 2 2" xfId="52737"/>
    <cellStyle name="Vírgula 2 2 2 10 3 3" xfId="21756"/>
    <cellStyle name="Vírgula 2 2 2 10 3 3 2" xfId="46823"/>
    <cellStyle name="Vírgula 2 2 2 10 3 4" xfId="15842"/>
    <cellStyle name="Vírgula 2 2 2 10 3 4 2" xfId="40909"/>
    <cellStyle name="Vírgula 2 2 2 10 3 5" xfId="35001"/>
    <cellStyle name="Vírgula 2 2 2 10 4" xfId="6215"/>
    <cellStyle name="Vírgula 2 2 2 10 4 2" xfId="24713"/>
    <cellStyle name="Vírgula 2 2 2 10 4 2 2" xfId="49780"/>
    <cellStyle name="Vírgula 2 2 2 10 4 3" xfId="32044"/>
    <cellStyle name="Vírgula 2 2 2 10 5" xfId="18799"/>
    <cellStyle name="Vírgula 2 2 2 10 5 2" xfId="43866"/>
    <cellStyle name="Vírgula 2 2 2 10 6" xfId="12604"/>
    <cellStyle name="Vírgula 2 2 2 10 6 2" xfId="37955"/>
    <cellStyle name="Vírgula 2 2 2 10 7" xfId="30574"/>
    <cellStyle name="Vírgula 2 2 2 11" xfId="4904"/>
    <cellStyle name="Vírgula 2 2 2 11 2" xfId="6603"/>
    <cellStyle name="Vírgula 2 2 2 11 2 2" xfId="9750"/>
    <cellStyle name="Vírgula 2 2 2 11 2 2 2" xfId="27964"/>
    <cellStyle name="Vírgula 2 2 2 11 2 2 2 2" xfId="53031"/>
    <cellStyle name="Vírgula 2 2 2 11 2 2 3" xfId="22050"/>
    <cellStyle name="Vírgula 2 2 2 11 2 2 3 2" xfId="47117"/>
    <cellStyle name="Vírgula 2 2 2 11 2 2 4" xfId="16136"/>
    <cellStyle name="Vírgula 2 2 2 11 2 2 4 2" xfId="41203"/>
    <cellStyle name="Vírgula 2 2 2 11 2 2 5" xfId="35295"/>
    <cellStyle name="Vírgula 2 2 2 11 2 3" xfId="25007"/>
    <cellStyle name="Vírgula 2 2 2 11 2 3 2" xfId="50074"/>
    <cellStyle name="Vírgula 2 2 2 11 2 4" xfId="19093"/>
    <cellStyle name="Vírgula 2 2 2 11 2 4 2" xfId="44160"/>
    <cellStyle name="Vírgula 2 2 2 11 2 5" xfId="12992"/>
    <cellStyle name="Vírgula 2 2 2 11 2 5 2" xfId="38249"/>
    <cellStyle name="Vírgula 2 2 2 11 2 6" xfId="32338"/>
    <cellStyle name="Vírgula 2 2 2 11 3" xfId="8282"/>
    <cellStyle name="Vírgula 2 2 2 11 3 2" xfId="26496"/>
    <cellStyle name="Vírgula 2 2 2 11 3 2 2" xfId="51563"/>
    <cellStyle name="Vírgula 2 2 2 11 3 3" xfId="20582"/>
    <cellStyle name="Vírgula 2 2 2 11 3 3 2" xfId="45649"/>
    <cellStyle name="Vírgula 2 2 2 11 3 4" xfId="14668"/>
    <cellStyle name="Vírgula 2 2 2 11 3 4 2" xfId="39735"/>
    <cellStyle name="Vírgula 2 2 2 11 3 5" xfId="33827"/>
    <cellStyle name="Vírgula 2 2 2 11 4" xfId="23539"/>
    <cellStyle name="Vírgula 2 2 2 11 4 2" xfId="48606"/>
    <cellStyle name="Vírgula 2 2 2 11 5" xfId="17625"/>
    <cellStyle name="Vírgula 2 2 2 11 5 2" xfId="42692"/>
    <cellStyle name="Vírgula 2 2 2 11 6" xfId="11291"/>
    <cellStyle name="Vírgula 2 2 2 11 6 2" xfId="36781"/>
    <cellStyle name="Vírgula 2 2 2 11 7" xfId="30870"/>
    <cellStyle name="Vírgula 2 2 2 12" xfId="6324"/>
    <cellStyle name="Vírgula 2 2 2 12 2" xfId="9518"/>
    <cellStyle name="Vírgula 2 2 2 12 2 2" xfId="27732"/>
    <cellStyle name="Vírgula 2 2 2 12 2 2 2" xfId="52799"/>
    <cellStyle name="Vírgula 2 2 2 12 2 3" xfId="21818"/>
    <cellStyle name="Vírgula 2 2 2 12 2 3 2" xfId="46885"/>
    <cellStyle name="Vírgula 2 2 2 12 2 4" xfId="15904"/>
    <cellStyle name="Vírgula 2 2 2 12 2 4 2" xfId="40971"/>
    <cellStyle name="Vírgula 2 2 2 12 2 5" xfId="35063"/>
    <cellStyle name="Vírgula 2 2 2 12 3" xfId="24775"/>
    <cellStyle name="Vírgula 2 2 2 12 3 2" xfId="49842"/>
    <cellStyle name="Vírgula 2 2 2 12 4" xfId="18861"/>
    <cellStyle name="Vírgula 2 2 2 12 4 2" xfId="43928"/>
    <cellStyle name="Vírgula 2 2 2 12 5" xfId="12713"/>
    <cellStyle name="Vírgula 2 2 2 12 5 2" xfId="38017"/>
    <cellStyle name="Vírgula 2 2 2 12 6" xfId="32106"/>
    <cellStyle name="Vírgula 2 2 2 13" xfId="8016"/>
    <cellStyle name="Vírgula 2 2 2 13 2" xfId="10982"/>
    <cellStyle name="Vírgula 2 2 2 13 2 2" xfId="29196"/>
    <cellStyle name="Vírgula 2 2 2 13 2 2 2" xfId="54263"/>
    <cellStyle name="Vírgula 2 2 2 13 2 3" xfId="23282"/>
    <cellStyle name="Vírgula 2 2 2 13 2 3 2" xfId="48349"/>
    <cellStyle name="Vírgula 2 2 2 13 2 4" xfId="17368"/>
    <cellStyle name="Vírgula 2 2 2 13 2 4 2" xfId="42435"/>
    <cellStyle name="Vírgula 2 2 2 13 2 5" xfId="36527"/>
    <cellStyle name="Vírgula 2 2 2 13 3" xfId="26239"/>
    <cellStyle name="Vírgula 2 2 2 13 3 2" xfId="51306"/>
    <cellStyle name="Vírgula 2 2 2 13 4" xfId="20325"/>
    <cellStyle name="Vírgula 2 2 2 13 4 2" xfId="45392"/>
    <cellStyle name="Vírgula 2 2 2 13 5" xfId="14405"/>
    <cellStyle name="Vírgula 2 2 2 13 5 2" xfId="39481"/>
    <cellStyle name="Vírgula 2 2 2 13 6" xfId="33570"/>
    <cellStyle name="Vírgula 2 2 2 14" xfId="8047"/>
    <cellStyle name="Vírgula 2 2 2 14 2" xfId="26261"/>
    <cellStyle name="Vírgula 2 2 2 14 2 2" xfId="51328"/>
    <cellStyle name="Vírgula 2 2 2 14 3" xfId="20347"/>
    <cellStyle name="Vírgula 2 2 2 14 3 2" xfId="45414"/>
    <cellStyle name="Vírgula 2 2 2 14 4" xfId="14436"/>
    <cellStyle name="Vírgula 2 2 2 14 4 2" xfId="39503"/>
    <cellStyle name="Vírgula 2 2 2 14 5" xfId="33592"/>
    <cellStyle name="Vírgula 2 2 2 15" xfId="4622"/>
    <cellStyle name="Vírgula 2 2 2 15 2" xfId="23304"/>
    <cellStyle name="Vírgula 2 2 2 15 2 2" xfId="48371"/>
    <cellStyle name="Vírgula 2 2 2 15 3" xfId="30636"/>
    <cellStyle name="Vírgula 2 2 2 16" xfId="17390"/>
    <cellStyle name="Vírgula 2 2 2 16 2" xfId="42457"/>
    <cellStyle name="Vírgula 2 2 2 17" xfId="11013"/>
    <cellStyle name="Vírgula 2 2 2 17 2" xfId="36549"/>
    <cellStyle name="Vírgula 2 2 2 18" xfId="29400"/>
    <cellStyle name="Vírgula 2 2 2 2" xfId="2003"/>
    <cellStyle name="Vírgula 2 2 2 2 10" xfId="8056"/>
    <cellStyle name="Vírgula 2 2 2 2 10 2" xfId="26270"/>
    <cellStyle name="Vírgula 2 2 2 2 10 2 2" xfId="51337"/>
    <cellStyle name="Vírgula 2 2 2 2 10 3" xfId="20356"/>
    <cellStyle name="Vírgula 2 2 2 2 10 3 2" xfId="45423"/>
    <cellStyle name="Vírgula 2 2 2 2 10 4" xfId="14445"/>
    <cellStyle name="Vírgula 2 2 2 2 10 4 2" xfId="39512"/>
    <cellStyle name="Vírgula 2 2 2 2 10 5" xfId="33601"/>
    <cellStyle name="Vírgula 2 2 2 2 11" xfId="4637"/>
    <cellStyle name="Vírgula 2 2 2 2 11 2" xfId="23313"/>
    <cellStyle name="Vírgula 2 2 2 2 11 2 2" xfId="48380"/>
    <cellStyle name="Vírgula 2 2 2 2 11 3" xfId="30645"/>
    <cellStyle name="Vírgula 2 2 2 2 12" xfId="17399"/>
    <cellStyle name="Vírgula 2 2 2 2 12 2" xfId="42466"/>
    <cellStyle name="Vírgula 2 2 2 2 13" xfId="11028"/>
    <cellStyle name="Vírgula 2 2 2 2 13 2" xfId="36558"/>
    <cellStyle name="Vírgula 2 2 2 2 14" xfId="29785"/>
    <cellStyle name="Vírgula 2 2 2 2 2" xfId="4272"/>
    <cellStyle name="Vírgula 2 2 2 2 2 10" xfId="11063"/>
    <cellStyle name="Vírgula 2 2 2 2 2 10 2" xfId="36578"/>
    <cellStyle name="Vírgula 2 2 2 2 2 11" xfId="30436"/>
    <cellStyle name="Vírgula 2 2 2 2 2 2" xfId="4349"/>
    <cellStyle name="Vírgula 2 2 2 2 2 2 2" xfId="7750"/>
    <cellStyle name="Vírgula 2 2 2 2 2 2 2 2" xfId="10829"/>
    <cellStyle name="Vírgula 2 2 2 2 2 2 2 2 2" xfId="29043"/>
    <cellStyle name="Vírgula 2 2 2 2 2 2 2 2 2 2" xfId="54110"/>
    <cellStyle name="Vírgula 2 2 2 2 2 2 2 2 3" xfId="23129"/>
    <cellStyle name="Vírgula 2 2 2 2 2 2 2 2 3 2" xfId="48196"/>
    <cellStyle name="Vírgula 2 2 2 2 2 2 2 2 4" xfId="17215"/>
    <cellStyle name="Vírgula 2 2 2 2 2 2 2 2 4 2" xfId="42282"/>
    <cellStyle name="Vírgula 2 2 2 2 2 2 2 2 5" xfId="36374"/>
    <cellStyle name="Vírgula 2 2 2 2 2 2 2 3" xfId="26086"/>
    <cellStyle name="Vírgula 2 2 2 2 2 2 2 3 2" xfId="51153"/>
    <cellStyle name="Vírgula 2 2 2 2 2 2 2 4" xfId="20172"/>
    <cellStyle name="Vírgula 2 2 2 2 2 2 2 4 2" xfId="45239"/>
    <cellStyle name="Vírgula 2 2 2 2 2 2 2 5" xfId="14139"/>
    <cellStyle name="Vírgula 2 2 2 2 2 2 2 5 2" xfId="39328"/>
    <cellStyle name="Vírgula 2 2 2 2 2 2 2 6" xfId="33417"/>
    <cellStyle name="Vírgula 2 2 2 2 2 2 3" xfId="9361"/>
    <cellStyle name="Vírgula 2 2 2 2 2 2 3 2" xfId="27575"/>
    <cellStyle name="Vírgula 2 2 2 2 2 2 3 2 2" xfId="52642"/>
    <cellStyle name="Vírgula 2 2 2 2 2 2 3 3" xfId="21661"/>
    <cellStyle name="Vírgula 2 2 2 2 2 2 3 3 2" xfId="46728"/>
    <cellStyle name="Vírgula 2 2 2 2 2 2 3 4" xfId="15747"/>
    <cellStyle name="Vírgula 2 2 2 2 2 2 3 4 2" xfId="40814"/>
    <cellStyle name="Vírgula 2 2 2 2 2 2 3 5" xfId="34906"/>
    <cellStyle name="Vírgula 2 2 2 2 2 2 4" xfId="6050"/>
    <cellStyle name="Vírgula 2 2 2 2 2 2 4 2" xfId="24618"/>
    <cellStyle name="Vírgula 2 2 2 2 2 2 4 2 2" xfId="49685"/>
    <cellStyle name="Vírgula 2 2 2 2 2 2 4 3" xfId="31949"/>
    <cellStyle name="Vírgula 2 2 2 2 2 2 5" xfId="18704"/>
    <cellStyle name="Vírgula 2 2 2 2 2 2 5 2" xfId="43771"/>
    <cellStyle name="Vírgula 2 2 2 2 2 2 6" xfId="12438"/>
    <cellStyle name="Vírgula 2 2 2 2 2 2 6 2" xfId="37860"/>
    <cellStyle name="Vírgula 2 2 2 2 2 2 7" xfId="30479"/>
    <cellStyle name="Vírgula 2 2 2 2 2 3" xfId="4457"/>
    <cellStyle name="Vírgula 2 2 2 2 2 3 2" xfId="7859"/>
    <cellStyle name="Vírgula 2 2 2 2 2 3 2 2" xfId="10891"/>
    <cellStyle name="Vírgula 2 2 2 2 2 3 2 2 2" xfId="29105"/>
    <cellStyle name="Vírgula 2 2 2 2 2 3 2 2 2 2" xfId="54172"/>
    <cellStyle name="Vírgula 2 2 2 2 2 3 2 2 3" xfId="23191"/>
    <cellStyle name="Vírgula 2 2 2 2 2 3 2 2 3 2" xfId="48258"/>
    <cellStyle name="Vírgula 2 2 2 2 2 3 2 2 4" xfId="17277"/>
    <cellStyle name="Vírgula 2 2 2 2 2 3 2 2 4 2" xfId="42344"/>
    <cellStyle name="Vírgula 2 2 2 2 2 3 2 2 5" xfId="36436"/>
    <cellStyle name="Vírgula 2 2 2 2 2 3 2 3" xfId="26148"/>
    <cellStyle name="Vírgula 2 2 2 2 2 3 2 3 2" xfId="51215"/>
    <cellStyle name="Vírgula 2 2 2 2 2 3 2 4" xfId="20234"/>
    <cellStyle name="Vírgula 2 2 2 2 2 3 2 4 2" xfId="45301"/>
    <cellStyle name="Vírgula 2 2 2 2 2 3 2 5" xfId="14248"/>
    <cellStyle name="Vírgula 2 2 2 2 2 3 2 5 2" xfId="39390"/>
    <cellStyle name="Vírgula 2 2 2 2 2 3 2 6" xfId="33479"/>
    <cellStyle name="Vírgula 2 2 2 2 2 3 3" xfId="9423"/>
    <cellStyle name="Vírgula 2 2 2 2 2 3 3 2" xfId="27637"/>
    <cellStyle name="Vírgula 2 2 2 2 2 3 3 2 2" xfId="52704"/>
    <cellStyle name="Vírgula 2 2 2 2 2 3 3 3" xfId="21723"/>
    <cellStyle name="Vírgula 2 2 2 2 2 3 3 3 2" xfId="46790"/>
    <cellStyle name="Vírgula 2 2 2 2 2 3 3 4" xfId="15809"/>
    <cellStyle name="Vírgula 2 2 2 2 2 3 3 4 2" xfId="40876"/>
    <cellStyle name="Vírgula 2 2 2 2 2 3 3 5" xfId="34968"/>
    <cellStyle name="Vírgula 2 2 2 2 2 3 4" xfId="6159"/>
    <cellStyle name="Vírgula 2 2 2 2 2 3 4 2" xfId="24680"/>
    <cellStyle name="Vírgula 2 2 2 2 2 3 4 2 2" xfId="49747"/>
    <cellStyle name="Vírgula 2 2 2 2 2 3 4 3" xfId="32011"/>
    <cellStyle name="Vírgula 2 2 2 2 2 3 5" xfId="18766"/>
    <cellStyle name="Vírgula 2 2 2 2 2 3 5 2" xfId="43833"/>
    <cellStyle name="Vírgula 2 2 2 2 2 3 6" xfId="12547"/>
    <cellStyle name="Vírgula 2 2 2 2 2 3 6 2" xfId="37922"/>
    <cellStyle name="Vírgula 2 2 2 2 2 3 7" xfId="30541"/>
    <cellStyle name="Vírgula 2 2 2 2 2 4" xfId="4565"/>
    <cellStyle name="Vírgula 2 2 2 2 2 4 2" xfId="7967"/>
    <cellStyle name="Vírgula 2 2 2 2 2 4 2 2" xfId="10953"/>
    <cellStyle name="Vírgula 2 2 2 2 2 4 2 2 2" xfId="29167"/>
    <cellStyle name="Vírgula 2 2 2 2 2 4 2 2 2 2" xfId="54234"/>
    <cellStyle name="Vírgula 2 2 2 2 2 4 2 2 3" xfId="23253"/>
    <cellStyle name="Vírgula 2 2 2 2 2 4 2 2 3 2" xfId="48320"/>
    <cellStyle name="Vírgula 2 2 2 2 2 4 2 2 4" xfId="17339"/>
    <cellStyle name="Vírgula 2 2 2 2 2 4 2 2 4 2" xfId="42406"/>
    <cellStyle name="Vírgula 2 2 2 2 2 4 2 2 5" xfId="36498"/>
    <cellStyle name="Vírgula 2 2 2 2 2 4 2 3" xfId="26210"/>
    <cellStyle name="Vírgula 2 2 2 2 2 4 2 3 2" xfId="51277"/>
    <cellStyle name="Vírgula 2 2 2 2 2 4 2 4" xfId="20296"/>
    <cellStyle name="Vírgula 2 2 2 2 2 4 2 4 2" xfId="45363"/>
    <cellStyle name="Vírgula 2 2 2 2 2 4 2 5" xfId="14356"/>
    <cellStyle name="Vírgula 2 2 2 2 2 4 2 5 2" xfId="39452"/>
    <cellStyle name="Vírgula 2 2 2 2 2 4 2 6" xfId="33541"/>
    <cellStyle name="Vírgula 2 2 2 2 2 4 3" xfId="9485"/>
    <cellStyle name="Vírgula 2 2 2 2 2 4 3 2" xfId="27699"/>
    <cellStyle name="Vírgula 2 2 2 2 2 4 3 2 2" xfId="52766"/>
    <cellStyle name="Vírgula 2 2 2 2 2 4 3 3" xfId="21785"/>
    <cellStyle name="Vírgula 2 2 2 2 2 4 3 3 2" xfId="46852"/>
    <cellStyle name="Vírgula 2 2 2 2 2 4 3 4" xfId="15871"/>
    <cellStyle name="Vírgula 2 2 2 2 2 4 3 4 2" xfId="40938"/>
    <cellStyle name="Vírgula 2 2 2 2 2 4 3 5" xfId="35030"/>
    <cellStyle name="Vírgula 2 2 2 2 2 4 4" xfId="6266"/>
    <cellStyle name="Vírgula 2 2 2 2 2 4 4 2" xfId="24742"/>
    <cellStyle name="Vírgula 2 2 2 2 2 4 4 2 2" xfId="49809"/>
    <cellStyle name="Vírgula 2 2 2 2 2 4 4 3" xfId="32073"/>
    <cellStyle name="Vírgula 2 2 2 2 2 4 5" xfId="18828"/>
    <cellStyle name="Vírgula 2 2 2 2 2 4 5 2" xfId="43895"/>
    <cellStyle name="Vírgula 2 2 2 2 2 4 6" xfId="12655"/>
    <cellStyle name="Vírgula 2 2 2 2 2 4 6 2" xfId="37984"/>
    <cellStyle name="Vírgula 2 2 2 2 2 4 7" xfId="30603"/>
    <cellStyle name="Vírgula 2 2 2 2 2 5" xfId="5973"/>
    <cellStyle name="Vírgula 2 2 2 2 2 5 2" xfId="7673"/>
    <cellStyle name="Vírgula 2 2 2 2 2 5 2 2" xfId="10786"/>
    <cellStyle name="Vírgula 2 2 2 2 2 5 2 2 2" xfId="29000"/>
    <cellStyle name="Vírgula 2 2 2 2 2 5 2 2 2 2" xfId="54067"/>
    <cellStyle name="Vírgula 2 2 2 2 2 5 2 2 3" xfId="23086"/>
    <cellStyle name="Vírgula 2 2 2 2 2 5 2 2 3 2" xfId="48153"/>
    <cellStyle name="Vírgula 2 2 2 2 2 5 2 2 4" xfId="17172"/>
    <cellStyle name="Vírgula 2 2 2 2 2 5 2 2 4 2" xfId="42239"/>
    <cellStyle name="Vírgula 2 2 2 2 2 5 2 2 5" xfId="36331"/>
    <cellStyle name="Vírgula 2 2 2 2 2 5 2 3" xfId="26043"/>
    <cellStyle name="Vírgula 2 2 2 2 2 5 2 3 2" xfId="51110"/>
    <cellStyle name="Vírgula 2 2 2 2 2 5 2 4" xfId="20129"/>
    <cellStyle name="Vírgula 2 2 2 2 2 5 2 4 2" xfId="45196"/>
    <cellStyle name="Vírgula 2 2 2 2 2 5 2 5" xfId="14062"/>
    <cellStyle name="Vírgula 2 2 2 2 2 5 2 5 2" xfId="39285"/>
    <cellStyle name="Vírgula 2 2 2 2 2 5 2 6" xfId="33374"/>
    <cellStyle name="Vírgula 2 2 2 2 2 5 3" xfId="9318"/>
    <cellStyle name="Vírgula 2 2 2 2 2 5 3 2" xfId="27532"/>
    <cellStyle name="Vírgula 2 2 2 2 2 5 3 2 2" xfId="52599"/>
    <cellStyle name="Vírgula 2 2 2 2 2 5 3 3" xfId="21618"/>
    <cellStyle name="Vírgula 2 2 2 2 2 5 3 3 2" xfId="46685"/>
    <cellStyle name="Vírgula 2 2 2 2 2 5 3 4" xfId="15704"/>
    <cellStyle name="Vírgula 2 2 2 2 2 5 3 4 2" xfId="40771"/>
    <cellStyle name="Vírgula 2 2 2 2 2 5 3 5" xfId="34863"/>
    <cellStyle name="Vírgula 2 2 2 2 2 5 4" xfId="24575"/>
    <cellStyle name="Vírgula 2 2 2 2 2 5 4 2" xfId="49642"/>
    <cellStyle name="Vírgula 2 2 2 2 2 5 5" xfId="18661"/>
    <cellStyle name="Vírgula 2 2 2 2 2 5 5 2" xfId="43728"/>
    <cellStyle name="Vírgula 2 2 2 2 2 5 6" xfId="12361"/>
    <cellStyle name="Vírgula 2 2 2 2 2 5 6 2" xfId="37817"/>
    <cellStyle name="Vírgula 2 2 2 2 2 5 7" xfId="31906"/>
    <cellStyle name="Vírgula 2 2 2 2 2 6" xfId="6375"/>
    <cellStyle name="Vírgula 2 2 2 2 2 6 2" xfId="9547"/>
    <cellStyle name="Vírgula 2 2 2 2 2 6 2 2" xfId="27761"/>
    <cellStyle name="Vírgula 2 2 2 2 2 6 2 2 2" xfId="52828"/>
    <cellStyle name="Vírgula 2 2 2 2 2 6 2 3" xfId="21847"/>
    <cellStyle name="Vírgula 2 2 2 2 2 6 2 3 2" xfId="46914"/>
    <cellStyle name="Vírgula 2 2 2 2 2 6 2 4" xfId="15933"/>
    <cellStyle name="Vírgula 2 2 2 2 2 6 2 4 2" xfId="41000"/>
    <cellStyle name="Vírgula 2 2 2 2 2 6 2 5" xfId="35092"/>
    <cellStyle name="Vírgula 2 2 2 2 2 6 3" xfId="24804"/>
    <cellStyle name="Vírgula 2 2 2 2 2 6 3 2" xfId="49871"/>
    <cellStyle name="Vírgula 2 2 2 2 2 6 4" xfId="18890"/>
    <cellStyle name="Vírgula 2 2 2 2 2 6 4 2" xfId="43957"/>
    <cellStyle name="Vírgula 2 2 2 2 2 6 5" xfId="12764"/>
    <cellStyle name="Vírgula 2 2 2 2 2 6 5 2" xfId="38046"/>
    <cellStyle name="Vírgula 2 2 2 2 2 6 6" xfId="32135"/>
    <cellStyle name="Vírgula 2 2 2 2 2 7" xfId="8076"/>
    <cellStyle name="Vírgula 2 2 2 2 2 7 2" xfId="26290"/>
    <cellStyle name="Vírgula 2 2 2 2 2 7 2 2" xfId="51357"/>
    <cellStyle name="Vírgula 2 2 2 2 2 7 3" xfId="20376"/>
    <cellStyle name="Vírgula 2 2 2 2 2 7 3 2" xfId="45443"/>
    <cellStyle name="Vírgula 2 2 2 2 2 7 4" xfId="14465"/>
    <cellStyle name="Vírgula 2 2 2 2 2 7 4 2" xfId="39532"/>
    <cellStyle name="Vírgula 2 2 2 2 2 7 5" xfId="33621"/>
    <cellStyle name="Vírgula 2 2 2 2 2 8" xfId="4672"/>
    <cellStyle name="Vírgula 2 2 2 2 2 8 2" xfId="23333"/>
    <cellStyle name="Vírgula 2 2 2 2 2 8 2 2" xfId="48400"/>
    <cellStyle name="Vírgula 2 2 2 2 2 8 3" xfId="30665"/>
    <cellStyle name="Vírgula 2 2 2 2 2 9" xfId="17419"/>
    <cellStyle name="Vírgula 2 2 2 2 2 9 2" xfId="42486"/>
    <cellStyle name="Vírgula 2 2 2 2 3" xfId="4237"/>
    <cellStyle name="Vírgula 2 2 2 2 3 10" xfId="11096"/>
    <cellStyle name="Vírgula 2 2 2 2 3 10 2" xfId="36597"/>
    <cellStyle name="Vírgula 2 2 2 2 3 11" xfId="30416"/>
    <cellStyle name="Vírgula 2 2 2 2 3 2" xfId="4381"/>
    <cellStyle name="Vírgula 2 2 2 2 3 2 2" xfId="7783"/>
    <cellStyle name="Vírgula 2 2 2 2 3 2 2 2" xfId="10848"/>
    <cellStyle name="Vírgula 2 2 2 2 3 2 2 2 2" xfId="29062"/>
    <cellStyle name="Vírgula 2 2 2 2 3 2 2 2 2 2" xfId="54129"/>
    <cellStyle name="Vírgula 2 2 2 2 3 2 2 2 3" xfId="23148"/>
    <cellStyle name="Vírgula 2 2 2 2 3 2 2 2 3 2" xfId="48215"/>
    <cellStyle name="Vírgula 2 2 2 2 3 2 2 2 4" xfId="17234"/>
    <cellStyle name="Vírgula 2 2 2 2 3 2 2 2 4 2" xfId="42301"/>
    <cellStyle name="Vírgula 2 2 2 2 3 2 2 2 5" xfId="36393"/>
    <cellStyle name="Vírgula 2 2 2 2 3 2 2 3" xfId="26105"/>
    <cellStyle name="Vírgula 2 2 2 2 3 2 2 3 2" xfId="51172"/>
    <cellStyle name="Vírgula 2 2 2 2 3 2 2 4" xfId="20191"/>
    <cellStyle name="Vírgula 2 2 2 2 3 2 2 4 2" xfId="45258"/>
    <cellStyle name="Vírgula 2 2 2 2 3 2 2 5" xfId="14172"/>
    <cellStyle name="Vírgula 2 2 2 2 3 2 2 5 2" xfId="39347"/>
    <cellStyle name="Vírgula 2 2 2 2 3 2 2 6" xfId="33436"/>
    <cellStyle name="Vírgula 2 2 2 2 3 2 3" xfId="9380"/>
    <cellStyle name="Vírgula 2 2 2 2 3 2 3 2" xfId="27594"/>
    <cellStyle name="Vírgula 2 2 2 2 3 2 3 2 2" xfId="52661"/>
    <cellStyle name="Vírgula 2 2 2 2 3 2 3 3" xfId="21680"/>
    <cellStyle name="Vírgula 2 2 2 2 3 2 3 3 2" xfId="46747"/>
    <cellStyle name="Vírgula 2 2 2 2 3 2 3 4" xfId="15766"/>
    <cellStyle name="Vírgula 2 2 2 2 3 2 3 4 2" xfId="40833"/>
    <cellStyle name="Vírgula 2 2 2 2 3 2 3 5" xfId="34925"/>
    <cellStyle name="Vírgula 2 2 2 2 3 2 4" xfId="6083"/>
    <cellStyle name="Vírgula 2 2 2 2 3 2 4 2" xfId="24637"/>
    <cellStyle name="Vírgula 2 2 2 2 3 2 4 2 2" xfId="49704"/>
    <cellStyle name="Vírgula 2 2 2 2 3 2 4 3" xfId="31968"/>
    <cellStyle name="Vírgula 2 2 2 2 3 2 5" xfId="18723"/>
    <cellStyle name="Vírgula 2 2 2 2 3 2 5 2" xfId="43790"/>
    <cellStyle name="Vírgula 2 2 2 2 3 2 6" xfId="12471"/>
    <cellStyle name="Vírgula 2 2 2 2 3 2 6 2" xfId="37879"/>
    <cellStyle name="Vírgula 2 2 2 2 3 2 7" xfId="30498"/>
    <cellStyle name="Vírgula 2 2 2 2 3 3" xfId="4489"/>
    <cellStyle name="Vírgula 2 2 2 2 3 3 2" xfId="7891"/>
    <cellStyle name="Vírgula 2 2 2 2 3 3 2 2" xfId="10910"/>
    <cellStyle name="Vírgula 2 2 2 2 3 3 2 2 2" xfId="29124"/>
    <cellStyle name="Vírgula 2 2 2 2 3 3 2 2 2 2" xfId="54191"/>
    <cellStyle name="Vírgula 2 2 2 2 3 3 2 2 3" xfId="23210"/>
    <cellStyle name="Vírgula 2 2 2 2 3 3 2 2 3 2" xfId="48277"/>
    <cellStyle name="Vírgula 2 2 2 2 3 3 2 2 4" xfId="17296"/>
    <cellStyle name="Vírgula 2 2 2 2 3 3 2 2 4 2" xfId="42363"/>
    <cellStyle name="Vírgula 2 2 2 2 3 3 2 2 5" xfId="36455"/>
    <cellStyle name="Vírgula 2 2 2 2 3 3 2 3" xfId="26167"/>
    <cellStyle name="Vírgula 2 2 2 2 3 3 2 3 2" xfId="51234"/>
    <cellStyle name="Vírgula 2 2 2 2 3 3 2 4" xfId="20253"/>
    <cellStyle name="Vírgula 2 2 2 2 3 3 2 4 2" xfId="45320"/>
    <cellStyle name="Vírgula 2 2 2 2 3 3 2 5" xfId="14280"/>
    <cellStyle name="Vírgula 2 2 2 2 3 3 2 5 2" xfId="39409"/>
    <cellStyle name="Vírgula 2 2 2 2 3 3 2 6" xfId="33498"/>
    <cellStyle name="Vírgula 2 2 2 2 3 3 3" xfId="9442"/>
    <cellStyle name="Vírgula 2 2 2 2 3 3 3 2" xfId="27656"/>
    <cellStyle name="Vírgula 2 2 2 2 3 3 3 2 2" xfId="52723"/>
    <cellStyle name="Vírgula 2 2 2 2 3 3 3 3" xfId="21742"/>
    <cellStyle name="Vírgula 2 2 2 2 3 3 3 3 2" xfId="46809"/>
    <cellStyle name="Vírgula 2 2 2 2 3 3 3 4" xfId="15828"/>
    <cellStyle name="Vírgula 2 2 2 2 3 3 3 4 2" xfId="40895"/>
    <cellStyle name="Vírgula 2 2 2 2 3 3 3 5" xfId="34987"/>
    <cellStyle name="Vírgula 2 2 2 2 3 3 4" xfId="6190"/>
    <cellStyle name="Vírgula 2 2 2 2 3 3 4 2" xfId="24699"/>
    <cellStyle name="Vírgula 2 2 2 2 3 3 4 2 2" xfId="49766"/>
    <cellStyle name="Vírgula 2 2 2 2 3 3 4 3" xfId="32030"/>
    <cellStyle name="Vírgula 2 2 2 2 3 3 5" xfId="18785"/>
    <cellStyle name="Vírgula 2 2 2 2 3 3 5 2" xfId="43852"/>
    <cellStyle name="Vírgula 2 2 2 2 3 3 6" xfId="12579"/>
    <cellStyle name="Vírgula 2 2 2 2 3 3 6 2" xfId="37941"/>
    <cellStyle name="Vírgula 2 2 2 2 3 3 7" xfId="30560"/>
    <cellStyle name="Vírgula 2 2 2 2 3 4" xfId="4597"/>
    <cellStyle name="Vírgula 2 2 2 2 3 4 2" xfId="8000"/>
    <cellStyle name="Vírgula 2 2 2 2 3 4 2 2" xfId="10972"/>
    <cellStyle name="Vírgula 2 2 2 2 3 4 2 2 2" xfId="29186"/>
    <cellStyle name="Vírgula 2 2 2 2 3 4 2 2 2 2" xfId="54253"/>
    <cellStyle name="Vírgula 2 2 2 2 3 4 2 2 3" xfId="23272"/>
    <cellStyle name="Vírgula 2 2 2 2 3 4 2 2 3 2" xfId="48339"/>
    <cellStyle name="Vírgula 2 2 2 2 3 4 2 2 4" xfId="17358"/>
    <cellStyle name="Vírgula 2 2 2 2 3 4 2 2 4 2" xfId="42425"/>
    <cellStyle name="Vírgula 2 2 2 2 3 4 2 2 5" xfId="36517"/>
    <cellStyle name="Vírgula 2 2 2 2 3 4 2 3" xfId="26229"/>
    <cellStyle name="Vírgula 2 2 2 2 3 4 2 3 2" xfId="51296"/>
    <cellStyle name="Vírgula 2 2 2 2 3 4 2 4" xfId="20315"/>
    <cellStyle name="Vírgula 2 2 2 2 3 4 2 4 2" xfId="45382"/>
    <cellStyle name="Vírgula 2 2 2 2 3 4 2 5" xfId="14389"/>
    <cellStyle name="Vírgula 2 2 2 2 3 4 2 5 2" xfId="39471"/>
    <cellStyle name="Vírgula 2 2 2 2 3 4 2 6" xfId="33560"/>
    <cellStyle name="Vírgula 2 2 2 2 3 4 3" xfId="9504"/>
    <cellStyle name="Vírgula 2 2 2 2 3 4 3 2" xfId="27718"/>
    <cellStyle name="Vírgula 2 2 2 2 3 4 3 2 2" xfId="52785"/>
    <cellStyle name="Vírgula 2 2 2 2 3 4 3 3" xfId="21804"/>
    <cellStyle name="Vírgula 2 2 2 2 3 4 3 3 2" xfId="46871"/>
    <cellStyle name="Vírgula 2 2 2 2 3 4 3 4" xfId="15890"/>
    <cellStyle name="Vírgula 2 2 2 2 3 4 3 4 2" xfId="40957"/>
    <cellStyle name="Vírgula 2 2 2 2 3 4 3 5" xfId="35049"/>
    <cellStyle name="Vírgula 2 2 2 2 3 4 4" xfId="6299"/>
    <cellStyle name="Vírgula 2 2 2 2 3 4 4 2" xfId="24761"/>
    <cellStyle name="Vírgula 2 2 2 2 3 4 4 2 2" xfId="49828"/>
    <cellStyle name="Vírgula 2 2 2 2 3 4 4 3" xfId="32092"/>
    <cellStyle name="Vírgula 2 2 2 2 3 4 5" xfId="18847"/>
    <cellStyle name="Vírgula 2 2 2 2 3 4 5 2" xfId="43914"/>
    <cellStyle name="Vírgula 2 2 2 2 3 4 6" xfId="12688"/>
    <cellStyle name="Vírgula 2 2 2 2 3 4 6 2" xfId="38003"/>
    <cellStyle name="Vírgula 2 2 2 2 3 4 7" xfId="30622"/>
    <cellStyle name="Vírgula 2 2 2 2 3 5" xfId="5938"/>
    <cellStyle name="Vírgula 2 2 2 2 3 5 2" xfId="7638"/>
    <cellStyle name="Vírgula 2 2 2 2 3 5 2 2" xfId="10766"/>
    <cellStyle name="Vírgula 2 2 2 2 3 5 2 2 2" xfId="28980"/>
    <cellStyle name="Vírgula 2 2 2 2 3 5 2 2 2 2" xfId="54047"/>
    <cellStyle name="Vírgula 2 2 2 2 3 5 2 2 3" xfId="23066"/>
    <cellStyle name="Vírgula 2 2 2 2 3 5 2 2 3 2" xfId="48133"/>
    <cellStyle name="Vírgula 2 2 2 2 3 5 2 2 4" xfId="17152"/>
    <cellStyle name="Vírgula 2 2 2 2 3 5 2 2 4 2" xfId="42219"/>
    <cellStyle name="Vírgula 2 2 2 2 3 5 2 2 5" xfId="36311"/>
    <cellStyle name="Vírgula 2 2 2 2 3 5 2 3" xfId="26023"/>
    <cellStyle name="Vírgula 2 2 2 2 3 5 2 3 2" xfId="51090"/>
    <cellStyle name="Vírgula 2 2 2 2 3 5 2 4" xfId="20109"/>
    <cellStyle name="Vírgula 2 2 2 2 3 5 2 4 2" xfId="45176"/>
    <cellStyle name="Vírgula 2 2 2 2 3 5 2 5" xfId="14027"/>
    <cellStyle name="Vírgula 2 2 2 2 3 5 2 5 2" xfId="39265"/>
    <cellStyle name="Vírgula 2 2 2 2 3 5 2 6" xfId="33354"/>
    <cellStyle name="Vírgula 2 2 2 2 3 5 3" xfId="9298"/>
    <cellStyle name="Vírgula 2 2 2 2 3 5 3 2" xfId="27512"/>
    <cellStyle name="Vírgula 2 2 2 2 3 5 3 2 2" xfId="52579"/>
    <cellStyle name="Vírgula 2 2 2 2 3 5 3 3" xfId="21598"/>
    <cellStyle name="Vírgula 2 2 2 2 3 5 3 3 2" xfId="46665"/>
    <cellStyle name="Vírgula 2 2 2 2 3 5 3 4" xfId="15684"/>
    <cellStyle name="Vírgula 2 2 2 2 3 5 3 4 2" xfId="40751"/>
    <cellStyle name="Vírgula 2 2 2 2 3 5 3 5" xfId="34843"/>
    <cellStyle name="Vírgula 2 2 2 2 3 5 4" xfId="24555"/>
    <cellStyle name="Vírgula 2 2 2 2 3 5 4 2" xfId="49622"/>
    <cellStyle name="Vírgula 2 2 2 2 3 5 5" xfId="18641"/>
    <cellStyle name="Vírgula 2 2 2 2 3 5 5 2" xfId="43708"/>
    <cellStyle name="Vírgula 2 2 2 2 3 5 6" xfId="12326"/>
    <cellStyle name="Vírgula 2 2 2 2 3 5 6 2" xfId="37797"/>
    <cellStyle name="Vírgula 2 2 2 2 3 5 7" xfId="31886"/>
    <cellStyle name="Vírgula 2 2 2 2 3 6" xfId="6408"/>
    <cellStyle name="Vírgula 2 2 2 2 3 6 2" xfId="9566"/>
    <cellStyle name="Vírgula 2 2 2 2 3 6 2 2" xfId="27780"/>
    <cellStyle name="Vírgula 2 2 2 2 3 6 2 2 2" xfId="52847"/>
    <cellStyle name="Vírgula 2 2 2 2 3 6 2 3" xfId="21866"/>
    <cellStyle name="Vírgula 2 2 2 2 3 6 2 3 2" xfId="46933"/>
    <cellStyle name="Vírgula 2 2 2 2 3 6 2 4" xfId="15952"/>
    <cellStyle name="Vírgula 2 2 2 2 3 6 2 4 2" xfId="41019"/>
    <cellStyle name="Vírgula 2 2 2 2 3 6 2 5" xfId="35111"/>
    <cellStyle name="Vírgula 2 2 2 2 3 6 3" xfId="24823"/>
    <cellStyle name="Vírgula 2 2 2 2 3 6 3 2" xfId="49890"/>
    <cellStyle name="Vírgula 2 2 2 2 3 6 4" xfId="18909"/>
    <cellStyle name="Vírgula 2 2 2 2 3 6 4 2" xfId="43976"/>
    <cellStyle name="Vírgula 2 2 2 2 3 6 5" xfId="12797"/>
    <cellStyle name="Vírgula 2 2 2 2 3 6 5 2" xfId="38065"/>
    <cellStyle name="Vírgula 2 2 2 2 3 6 6" xfId="32154"/>
    <cellStyle name="Vírgula 2 2 2 2 3 7" xfId="8095"/>
    <cellStyle name="Vírgula 2 2 2 2 3 7 2" xfId="26309"/>
    <cellStyle name="Vírgula 2 2 2 2 3 7 2 2" xfId="51376"/>
    <cellStyle name="Vírgula 2 2 2 2 3 7 3" xfId="20395"/>
    <cellStyle name="Vírgula 2 2 2 2 3 7 3 2" xfId="45462"/>
    <cellStyle name="Vírgula 2 2 2 2 3 7 4" xfId="14484"/>
    <cellStyle name="Vírgula 2 2 2 2 3 7 4 2" xfId="39551"/>
    <cellStyle name="Vírgula 2 2 2 2 3 7 5" xfId="33640"/>
    <cellStyle name="Vírgula 2 2 2 2 3 8" xfId="4705"/>
    <cellStyle name="Vírgula 2 2 2 2 3 8 2" xfId="23352"/>
    <cellStyle name="Vírgula 2 2 2 2 3 8 2 2" xfId="48419"/>
    <cellStyle name="Vírgula 2 2 2 2 3 8 3" xfId="30684"/>
    <cellStyle name="Vírgula 2 2 2 2 3 9" xfId="17438"/>
    <cellStyle name="Vírgula 2 2 2 2 3 9 2" xfId="42505"/>
    <cellStyle name="Vírgula 2 2 2 2 4" xfId="4314"/>
    <cellStyle name="Vírgula 2 2 2 2 4 2" xfId="7715"/>
    <cellStyle name="Vírgula 2 2 2 2 4 2 2" xfId="10809"/>
    <cellStyle name="Vírgula 2 2 2 2 4 2 2 2" xfId="29023"/>
    <cellStyle name="Vírgula 2 2 2 2 4 2 2 2 2" xfId="54090"/>
    <cellStyle name="Vírgula 2 2 2 2 4 2 2 3" xfId="23109"/>
    <cellStyle name="Vírgula 2 2 2 2 4 2 2 3 2" xfId="48176"/>
    <cellStyle name="Vírgula 2 2 2 2 4 2 2 4" xfId="17195"/>
    <cellStyle name="Vírgula 2 2 2 2 4 2 2 4 2" xfId="42262"/>
    <cellStyle name="Vírgula 2 2 2 2 4 2 2 5" xfId="36354"/>
    <cellStyle name="Vírgula 2 2 2 2 4 2 3" xfId="26066"/>
    <cellStyle name="Vírgula 2 2 2 2 4 2 3 2" xfId="51133"/>
    <cellStyle name="Vírgula 2 2 2 2 4 2 4" xfId="20152"/>
    <cellStyle name="Vírgula 2 2 2 2 4 2 4 2" xfId="45219"/>
    <cellStyle name="Vírgula 2 2 2 2 4 2 5" xfId="14104"/>
    <cellStyle name="Vírgula 2 2 2 2 4 2 5 2" xfId="39308"/>
    <cellStyle name="Vírgula 2 2 2 2 4 2 6" xfId="33397"/>
    <cellStyle name="Vírgula 2 2 2 2 4 3" xfId="9341"/>
    <cellStyle name="Vírgula 2 2 2 2 4 3 2" xfId="27555"/>
    <cellStyle name="Vírgula 2 2 2 2 4 3 2 2" xfId="52622"/>
    <cellStyle name="Vírgula 2 2 2 2 4 3 3" xfId="21641"/>
    <cellStyle name="Vírgula 2 2 2 2 4 3 3 2" xfId="46708"/>
    <cellStyle name="Vírgula 2 2 2 2 4 3 4" xfId="15727"/>
    <cellStyle name="Vírgula 2 2 2 2 4 3 4 2" xfId="40794"/>
    <cellStyle name="Vírgula 2 2 2 2 4 3 5" xfId="34886"/>
    <cellStyle name="Vírgula 2 2 2 2 4 4" xfId="6015"/>
    <cellStyle name="Vírgula 2 2 2 2 4 4 2" xfId="24598"/>
    <cellStyle name="Vírgula 2 2 2 2 4 4 2 2" xfId="49665"/>
    <cellStyle name="Vírgula 2 2 2 2 4 4 3" xfId="31929"/>
    <cellStyle name="Vírgula 2 2 2 2 4 5" xfId="18684"/>
    <cellStyle name="Vírgula 2 2 2 2 4 5 2" xfId="43751"/>
    <cellStyle name="Vírgula 2 2 2 2 4 6" xfId="12403"/>
    <cellStyle name="Vírgula 2 2 2 2 4 6 2" xfId="37840"/>
    <cellStyle name="Vírgula 2 2 2 2 4 7" xfId="30459"/>
    <cellStyle name="Vírgula 2 2 2 2 5" xfId="4422"/>
    <cellStyle name="Vírgula 2 2 2 2 5 2" xfId="7824"/>
    <cellStyle name="Vírgula 2 2 2 2 5 2 2" xfId="10871"/>
    <cellStyle name="Vírgula 2 2 2 2 5 2 2 2" xfId="29085"/>
    <cellStyle name="Vírgula 2 2 2 2 5 2 2 2 2" xfId="54152"/>
    <cellStyle name="Vírgula 2 2 2 2 5 2 2 3" xfId="23171"/>
    <cellStyle name="Vírgula 2 2 2 2 5 2 2 3 2" xfId="48238"/>
    <cellStyle name="Vírgula 2 2 2 2 5 2 2 4" xfId="17257"/>
    <cellStyle name="Vírgula 2 2 2 2 5 2 2 4 2" xfId="42324"/>
    <cellStyle name="Vírgula 2 2 2 2 5 2 2 5" xfId="36416"/>
    <cellStyle name="Vírgula 2 2 2 2 5 2 3" xfId="26128"/>
    <cellStyle name="Vírgula 2 2 2 2 5 2 3 2" xfId="51195"/>
    <cellStyle name="Vírgula 2 2 2 2 5 2 4" xfId="20214"/>
    <cellStyle name="Vírgula 2 2 2 2 5 2 4 2" xfId="45281"/>
    <cellStyle name="Vírgula 2 2 2 2 5 2 5" xfId="14213"/>
    <cellStyle name="Vírgula 2 2 2 2 5 2 5 2" xfId="39370"/>
    <cellStyle name="Vírgula 2 2 2 2 5 2 6" xfId="33459"/>
    <cellStyle name="Vírgula 2 2 2 2 5 3" xfId="9403"/>
    <cellStyle name="Vírgula 2 2 2 2 5 3 2" xfId="27617"/>
    <cellStyle name="Vírgula 2 2 2 2 5 3 2 2" xfId="52684"/>
    <cellStyle name="Vírgula 2 2 2 2 5 3 3" xfId="21703"/>
    <cellStyle name="Vírgula 2 2 2 2 5 3 3 2" xfId="46770"/>
    <cellStyle name="Vírgula 2 2 2 2 5 3 4" xfId="15789"/>
    <cellStyle name="Vírgula 2 2 2 2 5 3 4 2" xfId="40856"/>
    <cellStyle name="Vírgula 2 2 2 2 5 3 5" xfId="34948"/>
    <cellStyle name="Vírgula 2 2 2 2 5 4" xfId="6124"/>
    <cellStyle name="Vírgula 2 2 2 2 5 4 2" xfId="24660"/>
    <cellStyle name="Vírgula 2 2 2 2 5 4 2 2" xfId="49727"/>
    <cellStyle name="Vírgula 2 2 2 2 5 4 3" xfId="31991"/>
    <cellStyle name="Vírgula 2 2 2 2 5 5" xfId="18746"/>
    <cellStyle name="Vírgula 2 2 2 2 5 5 2" xfId="43813"/>
    <cellStyle name="Vírgula 2 2 2 2 5 6" xfId="12512"/>
    <cellStyle name="Vírgula 2 2 2 2 5 6 2" xfId="37902"/>
    <cellStyle name="Vírgula 2 2 2 2 5 7" xfId="30521"/>
    <cellStyle name="Vírgula 2 2 2 2 6" xfId="4530"/>
    <cellStyle name="Vírgula 2 2 2 2 6 2" xfId="7932"/>
    <cellStyle name="Vírgula 2 2 2 2 6 2 2" xfId="10933"/>
    <cellStyle name="Vírgula 2 2 2 2 6 2 2 2" xfId="29147"/>
    <cellStyle name="Vírgula 2 2 2 2 6 2 2 2 2" xfId="54214"/>
    <cellStyle name="Vírgula 2 2 2 2 6 2 2 3" xfId="23233"/>
    <cellStyle name="Vírgula 2 2 2 2 6 2 2 3 2" xfId="48300"/>
    <cellStyle name="Vírgula 2 2 2 2 6 2 2 4" xfId="17319"/>
    <cellStyle name="Vírgula 2 2 2 2 6 2 2 4 2" xfId="42386"/>
    <cellStyle name="Vírgula 2 2 2 2 6 2 2 5" xfId="36478"/>
    <cellStyle name="Vírgula 2 2 2 2 6 2 3" xfId="26190"/>
    <cellStyle name="Vírgula 2 2 2 2 6 2 3 2" xfId="51257"/>
    <cellStyle name="Vírgula 2 2 2 2 6 2 4" xfId="20276"/>
    <cellStyle name="Vírgula 2 2 2 2 6 2 4 2" xfId="45343"/>
    <cellStyle name="Vírgula 2 2 2 2 6 2 5" xfId="14321"/>
    <cellStyle name="Vírgula 2 2 2 2 6 2 5 2" xfId="39432"/>
    <cellStyle name="Vírgula 2 2 2 2 6 2 6" xfId="33521"/>
    <cellStyle name="Vírgula 2 2 2 2 6 3" xfId="9465"/>
    <cellStyle name="Vírgula 2 2 2 2 6 3 2" xfId="27679"/>
    <cellStyle name="Vírgula 2 2 2 2 6 3 2 2" xfId="52746"/>
    <cellStyle name="Vírgula 2 2 2 2 6 3 3" xfId="21765"/>
    <cellStyle name="Vírgula 2 2 2 2 6 3 3 2" xfId="46832"/>
    <cellStyle name="Vírgula 2 2 2 2 6 3 4" xfId="15851"/>
    <cellStyle name="Vírgula 2 2 2 2 6 3 4 2" xfId="40918"/>
    <cellStyle name="Vírgula 2 2 2 2 6 3 5" xfId="35010"/>
    <cellStyle name="Vírgula 2 2 2 2 6 4" xfId="6231"/>
    <cellStyle name="Vírgula 2 2 2 2 6 4 2" xfId="24722"/>
    <cellStyle name="Vírgula 2 2 2 2 6 4 2 2" xfId="49789"/>
    <cellStyle name="Vírgula 2 2 2 2 6 4 3" xfId="32053"/>
    <cellStyle name="Vírgula 2 2 2 2 6 5" xfId="18808"/>
    <cellStyle name="Vírgula 2 2 2 2 6 5 2" xfId="43875"/>
    <cellStyle name="Vírgula 2 2 2 2 6 6" xfId="12620"/>
    <cellStyle name="Vírgula 2 2 2 2 6 6 2" xfId="37964"/>
    <cellStyle name="Vírgula 2 2 2 2 6 7" xfId="30583"/>
    <cellStyle name="Vírgula 2 2 2 2 7" xfId="5290"/>
    <cellStyle name="Vírgula 2 2 2 2 7 2" xfId="6989"/>
    <cellStyle name="Vírgula 2 2 2 2 7 2 2" xfId="10135"/>
    <cellStyle name="Vírgula 2 2 2 2 7 2 2 2" xfId="28349"/>
    <cellStyle name="Vírgula 2 2 2 2 7 2 2 2 2" xfId="53416"/>
    <cellStyle name="Vírgula 2 2 2 2 7 2 2 3" xfId="22435"/>
    <cellStyle name="Vírgula 2 2 2 2 7 2 2 3 2" xfId="47502"/>
    <cellStyle name="Vírgula 2 2 2 2 7 2 2 4" xfId="16521"/>
    <cellStyle name="Vírgula 2 2 2 2 7 2 2 4 2" xfId="41588"/>
    <cellStyle name="Vírgula 2 2 2 2 7 2 2 5" xfId="35680"/>
    <cellStyle name="Vírgula 2 2 2 2 7 2 3" xfId="25392"/>
    <cellStyle name="Vírgula 2 2 2 2 7 2 3 2" xfId="50459"/>
    <cellStyle name="Vírgula 2 2 2 2 7 2 4" xfId="19478"/>
    <cellStyle name="Vírgula 2 2 2 2 7 2 4 2" xfId="44545"/>
    <cellStyle name="Vírgula 2 2 2 2 7 2 5" xfId="13378"/>
    <cellStyle name="Vírgula 2 2 2 2 7 2 5 2" xfId="38634"/>
    <cellStyle name="Vírgula 2 2 2 2 7 2 6" xfId="32723"/>
    <cellStyle name="Vírgula 2 2 2 2 7 3" xfId="8667"/>
    <cellStyle name="Vírgula 2 2 2 2 7 3 2" xfId="26881"/>
    <cellStyle name="Vírgula 2 2 2 2 7 3 2 2" xfId="51948"/>
    <cellStyle name="Vírgula 2 2 2 2 7 3 3" xfId="20967"/>
    <cellStyle name="Vírgula 2 2 2 2 7 3 3 2" xfId="46034"/>
    <cellStyle name="Vírgula 2 2 2 2 7 3 4" xfId="15053"/>
    <cellStyle name="Vírgula 2 2 2 2 7 3 4 2" xfId="40120"/>
    <cellStyle name="Vírgula 2 2 2 2 7 3 5" xfId="34212"/>
    <cellStyle name="Vírgula 2 2 2 2 7 4" xfId="23924"/>
    <cellStyle name="Vírgula 2 2 2 2 7 4 2" xfId="48991"/>
    <cellStyle name="Vírgula 2 2 2 2 7 5" xfId="18010"/>
    <cellStyle name="Vírgula 2 2 2 2 7 5 2" xfId="43077"/>
    <cellStyle name="Vírgula 2 2 2 2 7 6" xfId="11677"/>
    <cellStyle name="Vírgula 2 2 2 2 7 6 2" xfId="37166"/>
    <cellStyle name="Vírgula 2 2 2 2 7 7" xfId="31255"/>
    <cellStyle name="Vírgula 2 2 2 2 8" xfId="6340"/>
    <cellStyle name="Vírgula 2 2 2 2 8 2" xfId="9527"/>
    <cellStyle name="Vírgula 2 2 2 2 8 2 2" xfId="27741"/>
    <cellStyle name="Vírgula 2 2 2 2 8 2 2 2" xfId="52808"/>
    <cellStyle name="Vírgula 2 2 2 2 8 2 3" xfId="21827"/>
    <cellStyle name="Vírgula 2 2 2 2 8 2 3 2" xfId="46894"/>
    <cellStyle name="Vírgula 2 2 2 2 8 2 4" xfId="15913"/>
    <cellStyle name="Vírgula 2 2 2 2 8 2 4 2" xfId="40980"/>
    <cellStyle name="Vírgula 2 2 2 2 8 2 5" xfId="35072"/>
    <cellStyle name="Vírgula 2 2 2 2 8 3" xfId="24784"/>
    <cellStyle name="Vírgula 2 2 2 2 8 3 2" xfId="49851"/>
    <cellStyle name="Vírgula 2 2 2 2 8 4" xfId="18870"/>
    <cellStyle name="Vírgula 2 2 2 2 8 4 2" xfId="43937"/>
    <cellStyle name="Vírgula 2 2 2 2 8 5" xfId="12729"/>
    <cellStyle name="Vírgula 2 2 2 2 8 5 2" xfId="38026"/>
    <cellStyle name="Vírgula 2 2 2 2 8 6" xfId="32115"/>
    <cellStyle name="Vírgula 2 2 2 2 9" xfId="8032"/>
    <cellStyle name="Vírgula 2 2 2 2 9 2" xfId="10991"/>
    <cellStyle name="Vírgula 2 2 2 2 9 2 2" xfId="29205"/>
    <cellStyle name="Vírgula 2 2 2 2 9 2 2 2" xfId="54272"/>
    <cellStyle name="Vírgula 2 2 2 2 9 2 3" xfId="23291"/>
    <cellStyle name="Vírgula 2 2 2 2 9 2 3 2" xfId="48358"/>
    <cellStyle name="Vírgula 2 2 2 2 9 2 4" xfId="17377"/>
    <cellStyle name="Vírgula 2 2 2 2 9 2 4 2" xfId="42444"/>
    <cellStyle name="Vírgula 2 2 2 2 9 2 5" xfId="36536"/>
    <cellStyle name="Vírgula 2 2 2 2 9 3" xfId="26248"/>
    <cellStyle name="Vírgula 2 2 2 2 9 3 2" xfId="51315"/>
    <cellStyle name="Vírgula 2 2 2 2 9 4" xfId="20334"/>
    <cellStyle name="Vírgula 2 2 2 2 9 4 2" xfId="45401"/>
    <cellStyle name="Vírgula 2 2 2 2 9 5" xfId="14421"/>
    <cellStyle name="Vírgula 2 2 2 2 9 5 2" xfId="39490"/>
    <cellStyle name="Vírgula 2 2 2 2 9 6" xfId="33579"/>
    <cellStyle name="Vírgula 2 2 2 3" xfId="2532"/>
    <cellStyle name="Vírgula 2 2 2 3 10" xfId="17410"/>
    <cellStyle name="Vírgula 2 2 2 3 10 2" xfId="42477"/>
    <cellStyle name="Vírgula 2 2 2 3 11" xfId="11048"/>
    <cellStyle name="Vírgula 2 2 2 3 11 2" xfId="36569"/>
    <cellStyle name="Vírgula 2 2 2 3 12" xfId="29932"/>
    <cellStyle name="Vírgula 2 2 2 3 2" xfId="4257"/>
    <cellStyle name="Vírgula 2 2 2 3 2 2" xfId="7658"/>
    <cellStyle name="Vírgula 2 2 2 3 2 2 2" xfId="10777"/>
    <cellStyle name="Vírgula 2 2 2 3 2 2 2 2" xfId="28991"/>
    <cellStyle name="Vírgula 2 2 2 3 2 2 2 2 2" xfId="54058"/>
    <cellStyle name="Vírgula 2 2 2 3 2 2 2 3" xfId="23077"/>
    <cellStyle name="Vírgula 2 2 2 3 2 2 2 3 2" xfId="48144"/>
    <cellStyle name="Vírgula 2 2 2 3 2 2 2 4" xfId="17163"/>
    <cellStyle name="Vírgula 2 2 2 3 2 2 2 4 2" xfId="42230"/>
    <cellStyle name="Vírgula 2 2 2 3 2 2 2 5" xfId="36322"/>
    <cellStyle name="Vírgula 2 2 2 3 2 2 3" xfId="26034"/>
    <cellStyle name="Vírgula 2 2 2 3 2 2 3 2" xfId="51101"/>
    <cellStyle name="Vírgula 2 2 2 3 2 2 4" xfId="20120"/>
    <cellStyle name="Vírgula 2 2 2 3 2 2 4 2" xfId="45187"/>
    <cellStyle name="Vírgula 2 2 2 3 2 2 5" xfId="14047"/>
    <cellStyle name="Vírgula 2 2 2 3 2 2 5 2" xfId="39276"/>
    <cellStyle name="Vírgula 2 2 2 3 2 2 6" xfId="33365"/>
    <cellStyle name="Vírgula 2 2 2 3 2 3" xfId="9309"/>
    <cellStyle name="Vírgula 2 2 2 3 2 3 2" xfId="27523"/>
    <cellStyle name="Vírgula 2 2 2 3 2 3 2 2" xfId="52590"/>
    <cellStyle name="Vírgula 2 2 2 3 2 3 3" xfId="21609"/>
    <cellStyle name="Vírgula 2 2 2 3 2 3 3 2" xfId="46676"/>
    <cellStyle name="Vírgula 2 2 2 3 2 3 4" xfId="15695"/>
    <cellStyle name="Vírgula 2 2 2 3 2 3 4 2" xfId="40762"/>
    <cellStyle name="Vírgula 2 2 2 3 2 3 5" xfId="34854"/>
    <cellStyle name="Vírgula 2 2 2 3 2 4" xfId="5958"/>
    <cellStyle name="Vírgula 2 2 2 3 2 4 2" xfId="24566"/>
    <cellStyle name="Vírgula 2 2 2 3 2 4 2 2" xfId="49633"/>
    <cellStyle name="Vírgula 2 2 2 3 2 4 3" xfId="31897"/>
    <cellStyle name="Vírgula 2 2 2 3 2 5" xfId="18652"/>
    <cellStyle name="Vírgula 2 2 2 3 2 5 2" xfId="43719"/>
    <cellStyle name="Vírgula 2 2 2 3 2 6" xfId="12346"/>
    <cellStyle name="Vírgula 2 2 2 3 2 6 2" xfId="37808"/>
    <cellStyle name="Vírgula 2 2 2 3 2 7" xfId="30427"/>
    <cellStyle name="Vírgula 2 2 2 3 3" xfId="4334"/>
    <cellStyle name="Vírgula 2 2 2 3 3 2" xfId="7735"/>
    <cellStyle name="Vírgula 2 2 2 3 3 2 2" xfId="10820"/>
    <cellStyle name="Vírgula 2 2 2 3 3 2 2 2" xfId="29034"/>
    <cellStyle name="Vírgula 2 2 2 3 3 2 2 2 2" xfId="54101"/>
    <cellStyle name="Vírgula 2 2 2 3 3 2 2 3" xfId="23120"/>
    <cellStyle name="Vírgula 2 2 2 3 3 2 2 3 2" xfId="48187"/>
    <cellStyle name="Vírgula 2 2 2 3 3 2 2 4" xfId="17206"/>
    <cellStyle name="Vírgula 2 2 2 3 3 2 2 4 2" xfId="42273"/>
    <cellStyle name="Vírgula 2 2 2 3 3 2 2 5" xfId="36365"/>
    <cellStyle name="Vírgula 2 2 2 3 3 2 3" xfId="26077"/>
    <cellStyle name="Vírgula 2 2 2 3 3 2 3 2" xfId="51144"/>
    <cellStyle name="Vírgula 2 2 2 3 3 2 4" xfId="20163"/>
    <cellStyle name="Vírgula 2 2 2 3 3 2 4 2" xfId="45230"/>
    <cellStyle name="Vírgula 2 2 2 3 3 2 5" xfId="14124"/>
    <cellStyle name="Vírgula 2 2 2 3 3 2 5 2" xfId="39319"/>
    <cellStyle name="Vírgula 2 2 2 3 3 2 6" xfId="33408"/>
    <cellStyle name="Vírgula 2 2 2 3 3 3" xfId="9352"/>
    <cellStyle name="Vírgula 2 2 2 3 3 3 2" xfId="27566"/>
    <cellStyle name="Vírgula 2 2 2 3 3 3 2 2" xfId="52633"/>
    <cellStyle name="Vírgula 2 2 2 3 3 3 3" xfId="21652"/>
    <cellStyle name="Vírgula 2 2 2 3 3 3 3 2" xfId="46719"/>
    <cellStyle name="Vírgula 2 2 2 3 3 3 4" xfId="15738"/>
    <cellStyle name="Vírgula 2 2 2 3 3 3 4 2" xfId="40805"/>
    <cellStyle name="Vírgula 2 2 2 3 3 3 5" xfId="34897"/>
    <cellStyle name="Vírgula 2 2 2 3 3 4" xfId="6035"/>
    <cellStyle name="Vírgula 2 2 2 3 3 4 2" xfId="24609"/>
    <cellStyle name="Vírgula 2 2 2 3 3 4 2 2" xfId="49676"/>
    <cellStyle name="Vírgula 2 2 2 3 3 4 3" xfId="31940"/>
    <cellStyle name="Vírgula 2 2 2 3 3 5" xfId="18695"/>
    <cellStyle name="Vírgula 2 2 2 3 3 5 2" xfId="43762"/>
    <cellStyle name="Vírgula 2 2 2 3 3 6" xfId="12423"/>
    <cellStyle name="Vírgula 2 2 2 3 3 6 2" xfId="37851"/>
    <cellStyle name="Vírgula 2 2 2 3 3 7" xfId="30470"/>
    <cellStyle name="Vírgula 2 2 2 3 4" xfId="4442"/>
    <cellStyle name="Vírgula 2 2 2 3 4 2" xfId="7844"/>
    <cellStyle name="Vírgula 2 2 2 3 4 2 2" xfId="10882"/>
    <cellStyle name="Vírgula 2 2 2 3 4 2 2 2" xfId="29096"/>
    <cellStyle name="Vírgula 2 2 2 3 4 2 2 2 2" xfId="54163"/>
    <cellStyle name="Vírgula 2 2 2 3 4 2 2 3" xfId="23182"/>
    <cellStyle name="Vírgula 2 2 2 3 4 2 2 3 2" xfId="48249"/>
    <cellStyle name="Vírgula 2 2 2 3 4 2 2 4" xfId="17268"/>
    <cellStyle name="Vírgula 2 2 2 3 4 2 2 4 2" xfId="42335"/>
    <cellStyle name="Vírgula 2 2 2 3 4 2 2 5" xfId="36427"/>
    <cellStyle name="Vírgula 2 2 2 3 4 2 3" xfId="26139"/>
    <cellStyle name="Vírgula 2 2 2 3 4 2 3 2" xfId="51206"/>
    <cellStyle name="Vírgula 2 2 2 3 4 2 4" xfId="20225"/>
    <cellStyle name="Vírgula 2 2 2 3 4 2 4 2" xfId="45292"/>
    <cellStyle name="Vírgula 2 2 2 3 4 2 5" xfId="14233"/>
    <cellStyle name="Vírgula 2 2 2 3 4 2 5 2" xfId="39381"/>
    <cellStyle name="Vírgula 2 2 2 3 4 2 6" xfId="33470"/>
    <cellStyle name="Vírgula 2 2 2 3 4 3" xfId="9414"/>
    <cellStyle name="Vírgula 2 2 2 3 4 3 2" xfId="27628"/>
    <cellStyle name="Vírgula 2 2 2 3 4 3 2 2" xfId="52695"/>
    <cellStyle name="Vírgula 2 2 2 3 4 3 3" xfId="21714"/>
    <cellStyle name="Vírgula 2 2 2 3 4 3 3 2" xfId="46781"/>
    <cellStyle name="Vírgula 2 2 2 3 4 3 4" xfId="15800"/>
    <cellStyle name="Vírgula 2 2 2 3 4 3 4 2" xfId="40867"/>
    <cellStyle name="Vírgula 2 2 2 3 4 3 5" xfId="34959"/>
    <cellStyle name="Vírgula 2 2 2 3 4 4" xfId="6144"/>
    <cellStyle name="Vírgula 2 2 2 3 4 4 2" xfId="24671"/>
    <cellStyle name="Vírgula 2 2 2 3 4 4 2 2" xfId="49738"/>
    <cellStyle name="Vírgula 2 2 2 3 4 4 3" xfId="32002"/>
    <cellStyle name="Vírgula 2 2 2 3 4 5" xfId="18757"/>
    <cellStyle name="Vírgula 2 2 2 3 4 5 2" xfId="43824"/>
    <cellStyle name="Vírgula 2 2 2 3 4 6" xfId="12532"/>
    <cellStyle name="Vírgula 2 2 2 3 4 6 2" xfId="37913"/>
    <cellStyle name="Vírgula 2 2 2 3 4 7" xfId="30532"/>
    <cellStyle name="Vírgula 2 2 2 3 5" xfId="4550"/>
    <cellStyle name="Vírgula 2 2 2 3 5 2" xfId="7952"/>
    <cellStyle name="Vírgula 2 2 2 3 5 2 2" xfId="10944"/>
    <cellStyle name="Vírgula 2 2 2 3 5 2 2 2" xfId="29158"/>
    <cellStyle name="Vírgula 2 2 2 3 5 2 2 2 2" xfId="54225"/>
    <cellStyle name="Vírgula 2 2 2 3 5 2 2 3" xfId="23244"/>
    <cellStyle name="Vírgula 2 2 2 3 5 2 2 3 2" xfId="48311"/>
    <cellStyle name="Vírgula 2 2 2 3 5 2 2 4" xfId="17330"/>
    <cellStyle name="Vírgula 2 2 2 3 5 2 2 4 2" xfId="42397"/>
    <cellStyle name="Vírgula 2 2 2 3 5 2 2 5" xfId="36489"/>
    <cellStyle name="Vírgula 2 2 2 3 5 2 3" xfId="26201"/>
    <cellStyle name="Vírgula 2 2 2 3 5 2 3 2" xfId="51268"/>
    <cellStyle name="Vírgula 2 2 2 3 5 2 4" xfId="20287"/>
    <cellStyle name="Vírgula 2 2 2 3 5 2 4 2" xfId="45354"/>
    <cellStyle name="Vírgula 2 2 2 3 5 2 5" xfId="14341"/>
    <cellStyle name="Vírgula 2 2 2 3 5 2 5 2" xfId="39443"/>
    <cellStyle name="Vírgula 2 2 2 3 5 2 6" xfId="33532"/>
    <cellStyle name="Vírgula 2 2 2 3 5 3" xfId="9476"/>
    <cellStyle name="Vírgula 2 2 2 3 5 3 2" xfId="27690"/>
    <cellStyle name="Vírgula 2 2 2 3 5 3 2 2" xfId="52757"/>
    <cellStyle name="Vírgula 2 2 2 3 5 3 3" xfId="21776"/>
    <cellStyle name="Vírgula 2 2 2 3 5 3 3 2" xfId="46843"/>
    <cellStyle name="Vírgula 2 2 2 3 5 3 4" xfId="15862"/>
    <cellStyle name="Vírgula 2 2 2 3 5 3 4 2" xfId="40929"/>
    <cellStyle name="Vírgula 2 2 2 3 5 3 5" xfId="35021"/>
    <cellStyle name="Vírgula 2 2 2 3 5 4" xfId="6251"/>
    <cellStyle name="Vírgula 2 2 2 3 5 4 2" xfId="24733"/>
    <cellStyle name="Vírgula 2 2 2 3 5 4 2 2" xfId="49800"/>
    <cellStyle name="Vírgula 2 2 2 3 5 4 3" xfId="32064"/>
    <cellStyle name="Vírgula 2 2 2 3 5 5" xfId="18819"/>
    <cellStyle name="Vírgula 2 2 2 3 5 5 2" xfId="43886"/>
    <cellStyle name="Vírgula 2 2 2 3 5 6" xfId="12640"/>
    <cellStyle name="Vírgula 2 2 2 3 5 6 2" xfId="37975"/>
    <cellStyle name="Vírgula 2 2 2 3 5 7" xfId="30594"/>
    <cellStyle name="Vírgula 2 2 2 3 6" xfId="5439"/>
    <cellStyle name="Vírgula 2 2 2 3 6 2" xfId="7138"/>
    <cellStyle name="Vírgula 2 2 2 3 6 2 2" xfId="10282"/>
    <cellStyle name="Vírgula 2 2 2 3 6 2 2 2" xfId="28496"/>
    <cellStyle name="Vírgula 2 2 2 3 6 2 2 2 2" xfId="53563"/>
    <cellStyle name="Vírgula 2 2 2 3 6 2 2 3" xfId="22582"/>
    <cellStyle name="Vírgula 2 2 2 3 6 2 2 3 2" xfId="47649"/>
    <cellStyle name="Vírgula 2 2 2 3 6 2 2 4" xfId="16668"/>
    <cellStyle name="Vírgula 2 2 2 3 6 2 2 4 2" xfId="41735"/>
    <cellStyle name="Vírgula 2 2 2 3 6 2 2 5" xfId="35827"/>
    <cellStyle name="Vírgula 2 2 2 3 6 2 3" xfId="25539"/>
    <cellStyle name="Vírgula 2 2 2 3 6 2 3 2" xfId="50606"/>
    <cellStyle name="Vírgula 2 2 2 3 6 2 4" xfId="19625"/>
    <cellStyle name="Vírgula 2 2 2 3 6 2 4 2" xfId="44692"/>
    <cellStyle name="Vírgula 2 2 2 3 6 2 5" xfId="13527"/>
    <cellStyle name="Vírgula 2 2 2 3 6 2 5 2" xfId="38781"/>
    <cellStyle name="Vírgula 2 2 2 3 6 2 6" xfId="32870"/>
    <cellStyle name="Vírgula 2 2 2 3 6 3" xfId="8814"/>
    <cellStyle name="Vírgula 2 2 2 3 6 3 2" xfId="27028"/>
    <cellStyle name="Vírgula 2 2 2 3 6 3 2 2" xfId="52095"/>
    <cellStyle name="Vírgula 2 2 2 3 6 3 3" xfId="21114"/>
    <cellStyle name="Vírgula 2 2 2 3 6 3 3 2" xfId="46181"/>
    <cellStyle name="Vírgula 2 2 2 3 6 3 4" xfId="15200"/>
    <cellStyle name="Vírgula 2 2 2 3 6 3 4 2" xfId="40267"/>
    <cellStyle name="Vírgula 2 2 2 3 6 3 5" xfId="34359"/>
    <cellStyle name="Vírgula 2 2 2 3 6 4" xfId="24071"/>
    <cellStyle name="Vírgula 2 2 2 3 6 4 2" xfId="49138"/>
    <cellStyle name="Vírgula 2 2 2 3 6 5" xfId="18157"/>
    <cellStyle name="Vírgula 2 2 2 3 6 5 2" xfId="43224"/>
    <cellStyle name="Vírgula 2 2 2 3 6 6" xfId="11826"/>
    <cellStyle name="Vírgula 2 2 2 3 6 6 2" xfId="37313"/>
    <cellStyle name="Vírgula 2 2 2 3 6 7" xfId="31402"/>
    <cellStyle name="Vírgula 2 2 2 3 7" xfId="6360"/>
    <cellStyle name="Vírgula 2 2 2 3 7 2" xfId="9538"/>
    <cellStyle name="Vírgula 2 2 2 3 7 2 2" xfId="27752"/>
    <cellStyle name="Vírgula 2 2 2 3 7 2 2 2" xfId="52819"/>
    <cellStyle name="Vírgula 2 2 2 3 7 2 3" xfId="21838"/>
    <cellStyle name="Vírgula 2 2 2 3 7 2 3 2" xfId="46905"/>
    <cellStyle name="Vírgula 2 2 2 3 7 2 4" xfId="15924"/>
    <cellStyle name="Vírgula 2 2 2 3 7 2 4 2" xfId="40991"/>
    <cellStyle name="Vírgula 2 2 2 3 7 2 5" xfId="35083"/>
    <cellStyle name="Vírgula 2 2 2 3 7 3" xfId="24795"/>
    <cellStyle name="Vírgula 2 2 2 3 7 3 2" xfId="49862"/>
    <cellStyle name="Vírgula 2 2 2 3 7 4" xfId="18881"/>
    <cellStyle name="Vírgula 2 2 2 3 7 4 2" xfId="43948"/>
    <cellStyle name="Vírgula 2 2 2 3 7 5" xfId="12749"/>
    <cellStyle name="Vírgula 2 2 2 3 7 5 2" xfId="38037"/>
    <cellStyle name="Vírgula 2 2 2 3 7 6" xfId="32126"/>
    <cellStyle name="Vírgula 2 2 2 3 8" xfId="8067"/>
    <cellStyle name="Vírgula 2 2 2 3 8 2" xfId="26281"/>
    <cellStyle name="Vírgula 2 2 2 3 8 2 2" xfId="51348"/>
    <cellStyle name="Vírgula 2 2 2 3 8 3" xfId="20367"/>
    <cellStyle name="Vírgula 2 2 2 3 8 3 2" xfId="45434"/>
    <cellStyle name="Vírgula 2 2 2 3 8 4" xfId="14456"/>
    <cellStyle name="Vírgula 2 2 2 3 8 4 2" xfId="39523"/>
    <cellStyle name="Vírgula 2 2 2 3 8 5" xfId="33612"/>
    <cellStyle name="Vírgula 2 2 2 3 9" xfId="4657"/>
    <cellStyle name="Vírgula 2 2 2 3 9 2" xfId="23324"/>
    <cellStyle name="Vírgula 2 2 2 3 9 2 2" xfId="48391"/>
    <cellStyle name="Vírgula 2 2 2 3 9 3" xfId="30656"/>
    <cellStyle name="Vírgula 2 2 2 4" xfId="3059"/>
    <cellStyle name="Vírgula 2 2 2 4 10" xfId="11080"/>
    <cellStyle name="Vírgula 2 2 2 4 10 2" xfId="36588"/>
    <cellStyle name="Vírgula 2 2 2 4 11" xfId="30079"/>
    <cellStyle name="Vírgula 2 2 2 4 2" xfId="4366"/>
    <cellStyle name="Vírgula 2 2 2 4 2 2" xfId="7767"/>
    <cellStyle name="Vírgula 2 2 2 4 2 2 2" xfId="10839"/>
    <cellStyle name="Vírgula 2 2 2 4 2 2 2 2" xfId="29053"/>
    <cellStyle name="Vírgula 2 2 2 4 2 2 2 2 2" xfId="54120"/>
    <cellStyle name="Vírgula 2 2 2 4 2 2 2 3" xfId="23139"/>
    <cellStyle name="Vírgula 2 2 2 4 2 2 2 3 2" xfId="48206"/>
    <cellStyle name="Vírgula 2 2 2 4 2 2 2 4" xfId="17225"/>
    <cellStyle name="Vírgula 2 2 2 4 2 2 2 4 2" xfId="42292"/>
    <cellStyle name="Vírgula 2 2 2 4 2 2 2 5" xfId="36384"/>
    <cellStyle name="Vírgula 2 2 2 4 2 2 3" xfId="26096"/>
    <cellStyle name="Vírgula 2 2 2 4 2 2 3 2" xfId="51163"/>
    <cellStyle name="Vírgula 2 2 2 4 2 2 4" xfId="20182"/>
    <cellStyle name="Vírgula 2 2 2 4 2 2 4 2" xfId="45249"/>
    <cellStyle name="Vírgula 2 2 2 4 2 2 5" xfId="14156"/>
    <cellStyle name="Vírgula 2 2 2 4 2 2 5 2" xfId="39338"/>
    <cellStyle name="Vírgula 2 2 2 4 2 2 6" xfId="33427"/>
    <cellStyle name="Vírgula 2 2 2 4 2 3" xfId="9371"/>
    <cellStyle name="Vírgula 2 2 2 4 2 3 2" xfId="27585"/>
    <cellStyle name="Vírgula 2 2 2 4 2 3 2 2" xfId="52652"/>
    <cellStyle name="Vírgula 2 2 2 4 2 3 3" xfId="21671"/>
    <cellStyle name="Vírgula 2 2 2 4 2 3 3 2" xfId="46738"/>
    <cellStyle name="Vírgula 2 2 2 4 2 3 4" xfId="15757"/>
    <cellStyle name="Vírgula 2 2 2 4 2 3 4 2" xfId="40824"/>
    <cellStyle name="Vírgula 2 2 2 4 2 3 5" xfId="34916"/>
    <cellStyle name="Vírgula 2 2 2 4 2 4" xfId="6067"/>
    <cellStyle name="Vírgula 2 2 2 4 2 4 2" xfId="24628"/>
    <cellStyle name="Vírgula 2 2 2 4 2 4 2 2" xfId="49695"/>
    <cellStyle name="Vírgula 2 2 2 4 2 4 3" xfId="31959"/>
    <cellStyle name="Vírgula 2 2 2 4 2 5" xfId="18714"/>
    <cellStyle name="Vírgula 2 2 2 4 2 5 2" xfId="43781"/>
    <cellStyle name="Vírgula 2 2 2 4 2 6" xfId="12455"/>
    <cellStyle name="Vírgula 2 2 2 4 2 6 2" xfId="37870"/>
    <cellStyle name="Vírgula 2 2 2 4 2 7" xfId="30489"/>
    <cellStyle name="Vírgula 2 2 2 4 3" xfId="4474"/>
    <cellStyle name="Vírgula 2 2 2 4 3 2" xfId="7876"/>
    <cellStyle name="Vírgula 2 2 2 4 3 2 2" xfId="10901"/>
    <cellStyle name="Vírgula 2 2 2 4 3 2 2 2" xfId="29115"/>
    <cellStyle name="Vírgula 2 2 2 4 3 2 2 2 2" xfId="54182"/>
    <cellStyle name="Vírgula 2 2 2 4 3 2 2 3" xfId="23201"/>
    <cellStyle name="Vírgula 2 2 2 4 3 2 2 3 2" xfId="48268"/>
    <cellStyle name="Vírgula 2 2 2 4 3 2 2 4" xfId="17287"/>
    <cellStyle name="Vírgula 2 2 2 4 3 2 2 4 2" xfId="42354"/>
    <cellStyle name="Vírgula 2 2 2 4 3 2 2 5" xfId="36446"/>
    <cellStyle name="Vírgula 2 2 2 4 3 2 3" xfId="26158"/>
    <cellStyle name="Vírgula 2 2 2 4 3 2 3 2" xfId="51225"/>
    <cellStyle name="Vírgula 2 2 2 4 3 2 4" xfId="20244"/>
    <cellStyle name="Vírgula 2 2 2 4 3 2 4 2" xfId="45311"/>
    <cellStyle name="Vírgula 2 2 2 4 3 2 5" xfId="14265"/>
    <cellStyle name="Vírgula 2 2 2 4 3 2 5 2" xfId="39400"/>
    <cellStyle name="Vírgula 2 2 2 4 3 2 6" xfId="33489"/>
    <cellStyle name="Vírgula 2 2 2 4 3 3" xfId="9433"/>
    <cellStyle name="Vírgula 2 2 2 4 3 3 2" xfId="27647"/>
    <cellStyle name="Vírgula 2 2 2 4 3 3 2 2" xfId="52714"/>
    <cellStyle name="Vírgula 2 2 2 4 3 3 3" xfId="21733"/>
    <cellStyle name="Vírgula 2 2 2 4 3 3 3 2" xfId="46800"/>
    <cellStyle name="Vírgula 2 2 2 4 3 3 4" xfId="15819"/>
    <cellStyle name="Vírgula 2 2 2 4 3 3 4 2" xfId="40886"/>
    <cellStyle name="Vírgula 2 2 2 4 3 3 5" xfId="34978"/>
    <cellStyle name="Vírgula 2 2 2 4 3 4" xfId="6175"/>
    <cellStyle name="Vírgula 2 2 2 4 3 4 2" xfId="24690"/>
    <cellStyle name="Vírgula 2 2 2 4 3 4 2 2" xfId="49757"/>
    <cellStyle name="Vírgula 2 2 2 4 3 4 3" xfId="32021"/>
    <cellStyle name="Vírgula 2 2 2 4 3 5" xfId="18776"/>
    <cellStyle name="Vírgula 2 2 2 4 3 5 2" xfId="43843"/>
    <cellStyle name="Vírgula 2 2 2 4 3 6" xfId="12564"/>
    <cellStyle name="Vírgula 2 2 2 4 3 6 2" xfId="37932"/>
    <cellStyle name="Vírgula 2 2 2 4 3 7" xfId="30551"/>
    <cellStyle name="Vírgula 2 2 2 4 4" xfId="4582"/>
    <cellStyle name="Vírgula 2 2 2 4 4 2" xfId="7984"/>
    <cellStyle name="Vírgula 2 2 2 4 4 2 2" xfId="10963"/>
    <cellStyle name="Vírgula 2 2 2 4 4 2 2 2" xfId="29177"/>
    <cellStyle name="Vírgula 2 2 2 4 4 2 2 2 2" xfId="54244"/>
    <cellStyle name="Vírgula 2 2 2 4 4 2 2 3" xfId="23263"/>
    <cellStyle name="Vírgula 2 2 2 4 4 2 2 3 2" xfId="48330"/>
    <cellStyle name="Vírgula 2 2 2 4 4 2 2 4" xfId="17349"/>
    <cellStyle name="Vírgula 2 2 2 4 4 2 2 4 2" xfId="42416"/>
    <cellStyle name="Vírgula 2 2 2 4 4 2 2 5" xfId="36508"/>
    <cellStyle name="Vírgula 2 2 2 4 4 2 3" xfId="26220"/>
    <cellStyle name="Vírgula 2 2 2 4 4 2 3 2" xfId="51287"/>
    <cellStyle name="Vírgula 2 2 2 4 4 2 4" xfId="20306"/>
    <cellStyle name="Vírgula 2 2 2 4 4 2 4 2" xfId="45373"/>
    <cellStyle name="Vírgula 2 2 2 4 4 2 5" xfId="14373"/>
    <cellStyle name="Vírgula 2 2 2 4 4 2 5 2" xfId="39462"/>
    <cellStyle name="Vírgula 2 2 2 4 4 2 6" xfId="33551"/>
    <cellStyle name="Vírgula 2 2 2 4 4 3" xfId="9495"/>
    <cellStyle name="Vírgula 2 2 2 4 4 3 2" xfId="27709"/>
    <cellStyle name="Vírgula 2 2 2 4 4 3 2 2" xfId="52776"/>
    <cellStyle name="Vírgula 2 2 2 4 4 3 3" xfId="21795"/>
    <cellStyle name="Vírgula 2 2 2 4 4 3 3 2" xfId="46862"/>
    <cellStyle name="Vírgula 2 2 2 4 4 3 4" xfId="15881"/>
    <cellStyle name="Vírgula 2 2 2 4 4 3 4 2" xfId="40948"/>
    <cellStyle name="Vírgula 2 2 2 4 4 3 5" xfId="35040"/>
    <cellStyle name="Vírgula 2 2 2 4 4 4" xfId="6283"/>
    <cellStyle name="Vírgula 2 2 2 4 4 4 2" xfId="24752"/>
    <cellStyle name="Vírgula 2 2 2 4 4 4 2 2" xfId="49819"/>
    <cellStyle name="Vírgula 2 2 2 4 4 4 3" xfId="32083"/>
    <cellStyle name="Vírgula 2 2 2 4 4 5" xfId="18838"/>
    <cellStyle name="Vírgula 2 2 2 4 4 5 2" xfId="43905"/>
    <cellStyle name="Vírgula 2 2 2 4 4 6" xfId="12672"/>
    <cellStyle name="Vírgula 2 2 2 4 4 6 2" xfId="37994"/>
    <cellStyle name="Vírgula 2 2 2 4 4 7" xfId="30613"/>
    <cellStyle name="Vírgula 2 2 2 4 5" xfId="5586"/>
    <cellStyle name="Vírgula 2 2 2 4 5 2" xfId="7285"/>
    <cellStyle name="Vírgula 2 2 2 4 5 2 2" xfId="10429"/>
    <cellStyle name="Vírgula 2 2 2 4 5 2 2 2" xfId="28643"/>
    <cellStyle name="Vírgula 2 2 2 4 5 2 2 2 2" xfId="53710"/>
    <cellStyle name="Vírgula 2 2 2 4 5 2 2 3" xfId="22729"/>
    <cellStyle name="Vírgula 2 2 2 4 5 2 2 3 2" xfId="47796"/>
    <cellStyle name="Vírgula 2 2 2 4 5 2 2 4" xfId="16815"/>
    <cellStyle name="Vírgula 2 2 2 4 5 2 2 4 2" xfId="41882"/>
    <cellStyle name="Vírgula 2 2 2 4 5 2 2 5" xfId="35974"/>
    <cellStyle name="Vírgula 2 2 2 4 5 2 3" xfId="25686"/>
    <cellStyle name="Vírgula 2 2 2 4 5 2 3 2" xfId="50753"/>
    <cellStyle name="Vírgula 2 2 2 4 5 2 4" xfId="19772"/>
    <cellStyle name="Vírgula 2 2 2 4 5 2 4 2" xfId="44839"/>
    <cellStyle name="Vírgula 2 2 2 4 5 2 5" xfId="13674"/>
    <cellStyle name="Vírgula 2 2 2 4 5 2 5 2" xfId="38928"/>
    <cellStyle name="Vírgula 2 2 2 4 5 2 6" xfId="33017"/>
    <cellStyle name="Vírgula 2 2 2 4 5 3" xfId="8961"/>
    <cellStyle name="Vírgula 2 2 2 4 5 3 2" xfId="27175"/>
    <cellStyle name="Vírgula 2 2 2 4 5 3 2 2" xfId="52242"/>
    <cellStyle name="Vírgula 2 2 2 4 5 3 3" xfId="21261"/>
    <cellStyle name="Vírgula 2 2 2 4 5 3 3 2" xfId="46328"/>
    <cellStyle name="Vírgula 2 2 2 4 5 3 4" xfId="15347"/>
    <cellStyle name="Vírgula 2 2 2 4 5 3 4 2" xfId="40414"/>
    <cellStyle name="Vírgula 2 2 2 4 5 3 5" xfId="34506"/>
    <cellStyle name="Vírgula 2 2 2 4 5 4" xfId="24218"/>
    <cellStyle name="Vírgula 2 2 2 4 5 4 2" xfId="49285"/>
    <cellStyle name="Vírgula 2 2 2 4 5 5" xfId="18304"/>
    <cellStyle name="Vírgula 2 2 2 4 5 5 2" xfId="43371"/>
    <cellStyle name="Vírgula 2 2 2 4 5 6" xfId="11973"/>
    <cellStyle name="Vírgula 2 2 2 4 5 6 2" xfId="37460"/>
    <cellStyle name="Vírgula 2 2 2 4 5 7" xfId="31549"/>
    <cellStyle name="Vírgula 2 2 2 4 6" xfId="6392"/>
    <cellStyle name="Vírgula 2 2 2 4 6 2" xfId="9557"/>
    <cellStyle name="Vírgula 2 2 2 4 6 2 2" xfId="27771"/>
    <cellStyle name="Vírgula 2 2 2 4 6 2 2 2" xfId="52838"/>
    <cellStyle name="Vírgula 2 2 2 4 6 2 3" xfId="21857"/>
    <cellStyle name="Vírgula 2 2 2 4 6 2 3 2" xfId="46924"/>
    <cellStyle name="Vírgula 2 2 2 4 6 2 4" xfId="15943"/>
    <cellStyle name="Vírgula 2 2 2 4 6 2 4 2" xfId="41010"/>
    <cellStyle name="Vírgula 2 2 2 4 6 2 5" xfId="35102"/>
    <cellStyle name="Vírgula 2 2 2 4 6 3" xfId="24814"/>
    <cellStyle name="Vírgula 2 2 2 4 6 3 2" xfId="49881"/>
    <cellStyle name="Vírgula 2 2 2 4 6 4" xfId="18900"/>
    <cellStyle name="Vírgula 2 2 2 4 6 4 2" xfId="43967"/>
    <cellStyle name="Vírgula 2 2 2 4 6 5" xfId="12781"/>
    <cellStyle name="Vírgula 2 2 2 4 6 5 2" xfId="38056"/>
    <cellStyle name="Vírgula 2 2 2 4 6 6" xfId="32145"/>
    <cellStyle name="Vírgula 2 2 2 4 7" xfId="8086"/>
    <cellStyle name="Vírgula 2 2 2 4 7 2" xfId="26300"/>
    <cellStyle name="Vírgula 2 2 2 4 7 2 2" xfId="51367"/>
    <cellStyle name="Vírgula 2 2 2 4 7 3" xfId="20386"/>
    <cellStyle name="Vírgula 2 2 2 4 7 3 2" xfId="45453"/>
    <cellStyle name="Vírgula 2 2 2 4 7 4" xfId="14475"/>
    <cellStyle name="Vírgula 2 2 2 4 7 4 2" xfId="39542"/>
    <cellStyle name="Vírgula 2 2 2 4 7 5" xfId="33631"/>
    <cellStyle name="Vírgula 2 2 2 4 8" xfId="4689"/>
    <cellStyle name="Vírgula 2 2 2 4 8 2" xfId="23343"/>
    <cellStyle name="Vírgula 2 2 2 4 8 2 2" xfId="48410"/>
    <cellStyle name="Vírgula 2 2 2 4 8 3" xfId="30675"/>
    <cellStyle name="Vírgula 2 2 2 4 9" xfId="17429"/>
    <cellStyle name="Vírgula 2 2 2 4 9 2" xfId="42496"/>
    <cellStyle name="Vírgula 2 2 2 5" xfId="3586"/>
    <cellStyle name="Vírgula 2 2 2 5 2" xfId="7432"/>
    <cellStyle name="Vírgula 2 2 2 5 2 2" xfId="10576"/>
    <cellStyle name="Vírgula 2 2 2 5 2 2 2" xfId="28790"/>
    <cellStyle name="Vírgula 2 2 2 5 2 2 2 2" xfId="53857"/>
    <cellStyle name="Vírgula 2 2 2 5 2 2 3" xfId="22876"/>
    <cellStyle name="Vírgula 2 2 2 5 2 2 3 2" xfId="47943"/>
    <cellStyle name="Vírgula 2 2 2 5 2 2 4" xfId="16962"/>
    <cellStyle name="Vírgula 2 2 2 5 2 2 4 2" xfId="42029"/>
    <cellStyle name="Vírgula 2 2 2 5 2 2 5" xfId="36121"/>
    <cellStyle name="Vírgula 2 2 2 5 2 3" xfId="25833"/>
    <cellStyle name="Vírgula 2 2 2 5 2 3 2" xfId="50900"/>
    <cellStyle name="Vírgula 2 2 2 5 2 4" xfId="19919"/>
    <cellStyle name="Vírgula 2 2 2 5 2 4 2" xfId="44986"/>
    <cellStyle name="Vírgula 2 2 2 5 2 5" xfId="13821"/>
    <cellStyle name="Vírgula 2 2 2 5 2 5 2" xfId="39075"/>
    <cellStyle name="Vírgula 2 2 2 5 2 6" xfId="33164"/>
    <cellStyle name="Vírgula 2 2 2 5 3" xfId="9108"/>
    <cellStyle name="Vírgula 2 2 2 5 3 2" xfId="27322"/>
    <cellStyle name="Vírgula 2 2 2 5 3 2 2" xfId="52389"/>
    <cellStyle name="Vírgula 2 2 2 5 3 3" xfId="21408"/>
    <cellStyle name="Vírgula 2 2 2 5 3 3 2" xfId="46475"/>
    <cellStyle name="Vírgula 2 2 2 5 3 4" xfId="15494"/>
    <cellStyle name="Vírgula 2 2 2 5 3 4 2" xfId="40561"/>
    <cellStyle name="Vírgula 2 2 2 5 3 5" xfId="34653"/>
    <cellStyle name="Vírgula 2 2 2 5 4" xfId="5733"/>
    <cellStyle name="Vírgula 2 2 2 5 4 2" xfId="24365"/>
    <cellStyle name="Vírgula 2 2 2 5 4 2 2" xfId="49432"/>
    <cellStyle name="Vírgula 2 2 2 5 4 3" xfId="31696"/>
    <cellStyle name="Vírgula 2 2 2 5 5" xfId="18451"/>
    <cellStyle name="Vírgula 2 2 2 5 5 2" xfId="43518"/>
    <cellStyle name="Vírgula 2 2 2 5 6" xfId="12120"/>
    <cellStyle name="Vírgula 2 2 2 5 6 2" xfId="37607"/>
    <cellStyle name="Vírgula 2 2 2 5 7" xfId="30226"/>
    <cellStyle name="Vírgula 2 2 2 6" xfId="4113"/>
    <cellStyle name="Vírgula 2 2 2 6 2" xfId="7579"/>
    <cellStyle name="Vírgula 2 2 2 6 2 2" xfId="10723"/>
    <cellStyle name="Vírgula 2 2 2 6 2 2 2" xfId="28937"/>
    <cellStyle name="Vírgula 2 2 2 6 2 2 2 2" xfId="54004"/>
    <cellStyle name="Vírgula 2 2 2 6 2 2 3" xfId="23023"/>
    <cellStyle name="Vírgula 2 2 2 6 2 2 3 2" xfId="48090"/>
    <cellStyle name="Vírgula 2 2 2 6 2 2 4" xfId="17109"/>
    <cellStyle name="Vírgula 2 2 2 6 2 2 4 2" xfId="42176"/>
    <cellStyle name="Vírgula 2 2 2 6 2 2 5" xfId="36268"/>
    <cellStyle name="Vírgula 2 2 2 6 2 3" xfId="25980"/>
    <cellStyle name="Vírgula 2 2 2 6 2 3 2" xfId="51047"/>
    <cellStyle name="Vírgula 2 2 2 6 2 4" xfId="20066"/>
    <cellStyle name="Vírgula 2 2 2 6 2 4 2" xfId="45133"/>
    <cellStyle name="Vírgula 2 2 2 6 2 5" xfId="13968"/>
    <cellStyle name="Vírgula 2 2 2 6 2 5 2" xfId="39222"/>
    <cellStyle name="Vírgula 2 2 2 6 2 6" xfId="33311"/>
    <cellStyle name="Vírgula 2 2 2 6 3" xfId="9255"/>
    <cellStyle name="Vírgula 2 2 2 6 3 2" xfId="27469"/>
    <cellStyle name="Vírgula 2 2 2 6 3 2 2" xfId="52536"/>
    <cellStyle name="Vírgula 2 2 2 6 3 3" xfId="21555"/>
    <cellStyle name="Vírgula 2 2 2 6 3 3 2" xfId="46622"/>
    <cellStyle name="Vírgula 2 2 2 6 3 4" xfId="15641"/>
    <cellStyle name="Vírgula 2 2 2 6 3 4 2" xfId="40708"/>
    <cellStyle name="Vírgula 2 2 2 6 3 5" xfId="34800"/>
    <cellStyle name="Vírgula 2 2 2 6 4" xfId="5880"/>
    <cellStyle name="Vírgula 2 2 2 6 4 2" xfId="24512"/>
    <cellStyle name="Vírgula 2 2 2 6 4 2 2" xfId="49579"/>
    <cellStyle name="Vírgula 2 2 2 6 4 3" xfId="31843"/>
    <cellStyle name="Vírgula 2 2 2 6 5" xfId="18598"/>
    <cellStyle name="Vírgula 2 2 2 6 5 2" xfId="43665"/>
    <cellStyle name="Vírgula 2 2 2 6 6" xfId="12267"/>
    <cellStyle name="Vírgula 2 2 2 6 6 2" xfId="37754"/>
    <cellStyle name="Vírgula 2 2 2 6 7" xfId="30373"/>
    <cellStyle name="Vírgula 2 2 2 7" xfId="4222"/>
    <cellStyle name="Vírgula 2 2 2 7 2" xfId="7622"/>
    <cellStyle name="Vírgula 2 2 2 7 2 2" xfId="10757"/>
    <cellStyle name="Vírgula 2 2 2 7 2 2 2" xfId="28971"/>
    <cellStyle name="Vírgula 2 2 2 7 2 2 2 2" xfId="54038"/>
    <cellStyle name="Vírgula 2 2 2 7 2 2 3" xfId="23057"/>
    <cellStyle name="Vírgula 2 2 2 7 2 2 3 2" xfId="48124"/>
    <cellStyle name="Vírgula 2 2 2 7 2 2 4" xfId="17143"/>
    <cellStyle name="Vírgula 2 2 2 7 2 2 4 2" xfId="42210"/>
    <cellStyle name="Vírgula 2 2 2 7 2 2 5" xfId="36302"/>
    <cellStyle name="Vírgula 2 2 2 7 2 3" xfId="26014"/>
    <cellStyle name="Vírgula 2 2 2 7 2 3 2" xfId="51081"/>
    <cellStyle name="Vírgula 2 2 2 7 2 4" xfId="20100"/>
    <cellStyle name="Vírgula 2 2 2 7 2 4 2" xfId="45167"/>
    <cellStyle name="Vírgula 2 2 2 7 2 5" xfId="14011"/>
    <cellStyle name="Vírgula 2 2 2 7 2 5 2" xfId="39256"/>
    <cellStyle name="Vírgula 2 2 2 7 2 6" xfId="33345"/>
    <cellStyle name="Vírgula 2 2 2 7 3" xfId="9289"/>
    <cellStyle name="Vírgula 2 2 2 7 3 2" xfId="27503"/>
    <cellStyle name="Vírgula 2 2 2 7 3 2 2" xfId="52570"/>
    <cellStyle name="Vírgula 2 2 2 7 3 3" xfId="21589"/>
    <cellStyle name="Vírgula 2 2 2 7 3 3 2" xfId="46656"/>
    <cellStyle name="Vírgula 2 2 2 7 3 4" xfId="15675"/>
    <cellStyle name="Vírgula 2 2 2 7 3 4 2" xfId="40742"/>
    <cellStyle name="Vírgula 2 2 2 7 3 5" xfId="34834"/>
    <cellStyle name="Vírgula 2 2 2 7 4" xfId="5922"/>
    <cellStyle name="Vírgula 2 2 2 7 4 2" xfId="24546"/>
    <cellStyle name="Vírgula 2 2 2 7 4 2 2" xfId="49613"/>
    <cellStyle name="Vírgula 2 2 2 7 4 3" xfId="31877"/>
    <cellStyle name="Vírgula 2 2 2 7 5" xfId="18632"/>
    <cellStyle name="Vírgula 2 2 2 7 5 2" xfId="43699"/>
    <cellStyle name="Vírgula 2 2 2 7 6" xfId="12310"/>
    <cellStyle name="Vírgula 2 2 2 7 6 2" xfId="37788"/>
    <cellStyle name="Vírgula 2 2 2 7 7" xfId="30407"/>
    <cellStyle name="Vírgula 2 2 2 8" xfId="4298"/>
    <cellStyle name="Vírgula 2 2 2 8 2" xfId="7699"/>
    <cellStyle name="Vírgula 2 2 2 8 2 2" xfId="10800"/>
    <cellStyle name="Vírgula 2 2 2 8 2 2 2" xfId="29014"/>
    <cellStyle name="Vírgula 2 2 2 8 2 2 2 2" xfId="54081"/>
    <cellStyle name="Vírgula 2 2 2 8 2 2 3" xfId="23100"/>
    <cellStyle name="Vírgula 2 2 2 8 2 2 3 2" xfId="48167"/>
    <cellStyle name="Vírgula 2 2 2 8 2 2 4" xfId="17186"/>
    <cellStyle name="Vírgula 2 2 2 8 2 2 4 2" xfId="42253"/>
    <cellStyle name="Vírgula 2 2 2 8 2 2 5" xfId="36345"/>
    <cellStyle name="Vírgula 2 2 2 8 2 3" xfId="26057"/>
    <cellStyle name="Vírgula 2 2 2 8 2 3 2" xfId="51124"/>
    <cellStyle name="Vírgula 2 2 2 8 2 4" xfId="20143"/>
    <cellStyle name="Vírgula 2 2 2 8 2 4 2" xfId="45210"/>
    <cellStyle name="Vírgula 2 2 2 8 2 5" xfId="14088"/>
    <cellStyle name="Vírgula 2 2 2 8 2 5 2" xfId="39299"/>
    <cellStyle name="Vírgula 2 2 2 8 2 6" xfId="33388"/>
    <cellStyle name="Vírgula 2 2 2 8 3" xfId="9332"/>
    <cellStyle name="Vírgula 2 2 2 8 3 2" xfId="27546"/>
    <cellStyle name="Vírgula 2 2 2 8 3 2 2" xfId="52613"/>
    <cellStyle name="Vírgula 2 2 2 8 3 3" xfId="21632"/>
    <cellStyle name="Vírgula 2 2 2 8 3 3 2" xfId="46699"/>
    <cellStyle name="Vírgula 2 2 2 8 3 4" xfId="15718"/>
    <cellStyle name="Vírgula 2 2 2 8 3 4 2" xfId="40785"/>
    <cellStyle name="Vírgula 2 2 2 8 3 5" xfId="34877"/>
    <cellStyle name="Vírgula 2 2 2 8 4" xfId="5999"/>
    <cellStyle name="Vírgula 2 2 2 8 4 2" xfId="24589"/>
    <cellStyle name="Vírgula 2 2 2 8 4 2 2" xfId="49656"/>
    <cellStyle name="Vírgula 2 2 2 8 4 3" xfId="31920"/>
    <cellStyle name="Vírgula 2 2 2 8 5" xfId="18675"/>
    <cellStyle name="Vírgula 2 2 2 8 5 2" xfId="43742"/>
    <cellStyle name="Vírgula 2 2 2 8 6" xfId="12387"/>
    <cellStyle name="Vírgula 2 2 2 8 6 2" xfId="37831"/>
    <cellStyle name="Vírgula 2 2 2 8 7" xfId="30450"/>
    <cellStyle name="Vírgula 2 2 2 9" xfId="4406"/>
    <cellStyle name="Vírgula 2 2 2 9 2" xfId="7808"/>
    <cellStyle name="Vírgula 2 2 2 9 2 2" xfId="10862"/>
    <cellStyle name="Vírgula 2 2 2 9 2 2 2" xfId="29076"/>
    <cellStyle name="Vírgula 2 2 2 9 2 2 2 2" xfId="54143"/>
    <cellStyle name="Vírgula 2 2 2 9 2 2 3" xfId="23162"/>
    <cellStyle name="Vírgula 2 2 2 9 2 2 3 2" xfId="48229"/>
    <cellStyle name="Vírgula 2 2 2 9 2 2 4" xfId="17248"/>
    <cellStyle name="Vírgula 2 2 2 9 2 2 4 2" xfId="42315"/>
    <cellStyle name="Vírgula 2 2 2 9 2 2 5" xfId="36407"/>
    <cellStyle name="Vírgula 2 2 2 9 2 3" xfId="26119"/>
    <cellStyle name="Vírgula 2 2 2 9 2 3 2" xfId="51186"/>
    <cellStyle name="Vírgula 2 2 2 9 2 4" xfId="20205"/>
    <cellStyle name="Vírgula 2 2 2 9 2 4 2" xfId="45272"/>
    <cellStyle name="Vírgula 2 2 2 9 2 5" xfId="14197"/>
    <cellStyle name="Vírgula 2 2 2 9 2 5 2" xfId="39361"/>
    <cellStyle name="Vírgula 2 2 2 9 2 6" xfId="33450"/>
    <cellStyle name="Vírgula 2 2 2 9 3" xfId="9394"/>
    <cellStyle name="Vírgula 2 2 2 9 3 2" xfId="27608"/>
    <cellStyle name="Vírgula 2 2 2 9 3 2 2" xfId="52675"/>
    <cellStyle name="Vírgula 2 2 2 9 3 3" xfId="21694"/>
    <cellStyle name="Vírgula 2 2 2 9 3 3 2" xfId="46761"/>
    <cellStyle name="Vírgula 2 2 2 9 3 4" xfId="15780"/>
    <cellStyle name="Vírgula 2 2 2 9 3 4 2" xfId="40847"/>
    <cellStyle name="Vírgula 2 2 2 9 3 5" xfId="34939"/>
    <cellStyle name="Vírgula 2 2 2 9 4" xfId="6108"/>
    <cellStyle name="Vírgula 2 2 2 9 4 2" xfId="24651"/>
    <cellStyle name="Vírgula 2 2 2 9 4 2 2" xfId="49718"/>
    <cellStyle name="Vírgula 2 2 2 9 4 3" xfId="31982"/>
    <cellStyle name="Vírgula 2 2 2 9 5" xfId="18737"/>
    <cellStyle name="Vírgula 2 2 2 9 5 2" xfId="43804"/>
    <cellStyle name="Vírgula 2 2 2 9 6" xfId="12496"/>
    <cellStyle name="Vírgula 2 2 2 9 6 2" xfId="37893"/>
    <cellStyle name="Vírgula 2 2 2 9 7" xfId="30512"/>
    <cellStyle name="Vírgula 2 2 20" xfId="11008"/>
    <cellStyle name="Vírgula 2 2 20 2" xfId="36546"/>
    <cellStyle name="Vírgula 2 2 21" xfId="29270"/>
    <cellStyle name="Vírgula 2 2 3" xfId="956"/>
    <cellStyle name="Vírgula 2 2 3 10" xfId="8021"/>
    <cellStyle name="Vírgula 2 2 3 10 2" xfId="10985"/>
    <cellStyle name="Vírgula 2 2 3 10 2 2" xfId="29199"/>
    <cellStyle name="Vírgula 2 2 3 10 2 2 2" xfId="54266"/>
    <cellStyle name="Vírgula 2 2 3 10 2 3" xfId="23285"/>
    <cellStyle name="Vírgula 2 2 3 10 2 3 2" xfId="48352"/>
    <cellStyle name="Vírgula 2 2 3 10 2 4" xfId="17371"/>
    <cellStyle name="Vírgula 2 2 3 10 2 4 2" xfId="42438"/>
    <cellStyle name="Vírgula 2 2 3 10 2 5" xfId="36530"/>
    <cellStyle name="Vírgula 2 2 3 10 3" xfId="26242"/>
    <cellStyle name="Vírgula 2 2 3 10 3 2" xfId="51309"/>
    <cellStyle name="Vírgula 2 2 3 10 4" xfId="20328"/>
    <cellStyle name="Vírgula 2 2 3 10 4 2" xfId="45395"/>
    <cellStyle name="Vírgula 2 2 3 10 5" xfId="14410"/>
    <cellStyle name="Vírgula 2 2 3 10 5 2" xfId="39484"/>
    <cellStyle name="Vírgula 2 2 3 10 6" xfId="33573"/>
    <cellStyle name="Vírgula 2 2 3 11" xfId="8050"/>
    <cellStyle name="Vírgula 2 2 3 11 2" xfId="26264"/>
    <cellStyle name="Vírgula 2 2 3 11 2 2" xfId="51331"/>
    <cellStyle name="Vírgula 2 2 3 11 3" xfId="20350"/>
    <cellStyle name="Vírgula 2 2 3 11 3 2" xfId="45417"/>
    <cellStyle name="Vírgula 2 2 3 11 4" xfId="14439"/>
    <cellStyle name="Vírgula 2 2 3 11 4 2" xfId="39506"/>
    <cellStyle name="Vírgula 2 2 3 11 5" xfId="33595"/>
    <cellStyle name="Vírgula 2 2 3 12" xfId="4627"/>
    <cellStyle name="Vírgula 2 2 3 12 2" xfId="23307"/>
    <cellStyle name="Vírgula 2 2 3 12 2 2" xfId="48374"/>
    <cellStyle name="Vírgula 2 2 3 12 3" xfId="30639"/>
    <cellStyle name="Vírgula 2 2 3 13" xfId="17393"/>
    <cellStyle name="Vírgula 2 2 3 13 2" xfId="42460"/>
    <cellStyle name="Vírgula 2 2 3 14" xfId="11018"/>
    <cellStyle name="Vírgula 2 2 3 14 2" xfId="36552"/>
    <cellStyle name="Vírgula 2 2 3 15" xfId="29498"/>
    <cellStyle name="Vírgula 2 2 3 2" xfId="4242"/>
    <cellStyle name="Vírgula 2 2 3 2 10" xfId="8059"/>
    <cellStyle name="Vírgula 2 2 3 2 10 2" xfId="26273"/>
    <cellStyle name="Vírgula 2 2 3 2 10 2 2" xfId="51340"/>
    <cellStyle name="Vírgula 2 2 3 2 10 3" xfId="20359"/>
    <cellStyle name="Vírgula 2 2 3 2 10 3 2" xfId="45426"/>
    <cellStyle name="Vírgula 2 2 3 2 10 4" xfId="14448"/>
    <cellStyle name="Vírgula 2 2 3 2 10 4 2" xfId="39515"/>
    <cellStyle name="Vírgula 2 2 3 2 10 5" xfId="33604"/>
    <cellStyle name="Vírgula 2 2 3 2 11" xfId="4642"/>
    <cellStyle name="Vírgula 2 2 3 2 11 2" xfId="23316"/>
    <cellStyle name="Vírgula 2 2 3 2 11 2 2" xfId="48383"/>
    <cellStyle name="Vírgula 2 2 3 2 11 3" xfId="30648"/>
    <cellStyle name="Vírgula 2 2 3 2 12" xfId="17402"/>
    <cellStyle name="Vírgula 2 2 3 2 12 2" xfId="42469"/>
    <cellStyle name="Vírgula 2 2 3 2 13" xfId="11033"/>
    <cellStyle name="Vírgula 2 2 3 2 13 2" xfId="36561"/>
    <cellStyle name="Vírgula 2 2 3 2 14" xfId="30419"/>
    <cellStyle name="Vírgula 2 2 3 2 2" xfId="4277"/>
    <cellStyle name="Vírgula 2 2 3 2 2 10" xfId="11068"/>
    <cellStyle name="Vírgula 2 2 3 2 2 10 2" xfId="36581"/>
    <cellStyle name="Vírgula 2 2 3 2 2 11" xfId="30439"/>
    <cellStyle name="Vírgula 2 2 3 2 2 2" xfId="4354"/>
    <cellStyle name="Vírgula 2 2 3 2 2 2 2" xfId="7755"/>
    <cellStyle name="Vírgula 2 2 3 2 2 2 2 2" xfId="10832"/>
    <cellStyle name="Vírgula 2 2 3 2 2 2 2 2 2" xfId="29046"/>
    <cellStyle name="Vírgula 2 2 3 2 2 2 2 2 2 2" xfId="54113"/>
    <cellStyle name="Vírgula 2 2 3 2 2 2 2 2 3" xfId="23132"/>
    <cellStyle name="Vírgula 2 2 3 2 2 2 2 2 3 2" xfId="48199"/>
    <cellStyle name="Vírgula 2 2 3 2 2 2 2 2 4" xfId="17218"/>
    <cellStyle name="Vírgula 2 2 3 2 2 2 2 2 4 2" xfId="42285"/>
    <cellStyle name="Vírgula 2 2 3 2 2 2 2 2 5" xfId="36377"/>
    <cellStyle name="Vírgula 2 2 3 2 2 2 2 3" xfId="26089"/>
    <cellStyle name="Vírgula 2 2 3 2 2 2 2 3 2" xfId="51156"/>
    <cellStyle name="Vírgula 2 2 3 2 2 2 2 4" xfId="20175"/>
    <cellStyle name="Vírgula 2 2 3 2 2 2 2 4 2" xfId="45242"/>
    <cellStyle name="Vírgula 2 2 3 2 2 2 2 5" xfId="14144"/>
    <cellStyle name="Vírgula 2 2 3 2 2 2 2 5 2" xfId="39331"/>
    <cellStyle name="Vírgula 2 2 3 2 2 2 2 6" xfId="33420"/>
    <cellStyle name="Vírgula 2 2 3 2 2 2 3" xfId="9364"/>
    <cellStyle name="Vírgula 2 2 3 2 2 2 3 2" xfId="27578"/>
    <cellStyle name="Vírgula 2 2 3 2 2 2 3 2 2" xfId="52645"/>
    <cellStyle name="Vírgula 2 2 3 2 2 2 3 3" xfId="21664"/>
    <cellStyle name="Vírgula 2 2 3 2 2 2 3 3 2" xfId="46731"/>
    <cellStyle name="Vírgula 2 2 3 2 2 2 3 4" xfId="15750"/>
    <cellStyle name="Vírgula 2 2 3 2 2 2 3 4 2" xfId="40817"/>
    <cellStyle name="Vírgula 2 2 3 2 2 2 3 5" xfId="34909"/>
    <cellStyle name="Vírgula 2 2 3 2 2 2 4" xfId="6055"/>
    <cellStyle name="Vírgula 2 2 3 2 2 2 4 2" xfId="24621"/>
    <cellStyle name="Vírgula 2 2 3 2 2 2 4 2 2" xfId="49688"/>
    <cellStyle name="Vírgula 2 2 3 2 2 2 4 3" xfId="31952"/>
    <cellStyle name="Vírgula 2 2 3 2 2 2 5" xfId="18707"/>
    <cellStyle name="Vírgula 2 2 3 2 2 2 5 2" xfId="43774"/>
    <cellStyle name="Vírgula 2 2 3 2 2 2 6" xfId="12443"/>
    <cellStyle name="Vírgula 2 2 3 2 2 2 6 2" xfId="37863"/>
    <cellStyle name="Vírgula 2 2 3 2 2 2 7" xfId="30482"/>
    <cellStyle name="Vírgula 2 2 3 2 2 3" xfId="4462"/>
    <cellStyle name="Vírgula 2 2 3 2 2 3 2" xfId="7864"/>
    <cellStyle name="Vírgula 2 2 3 2 2 3 2 2" xfId="10894"/>
    <cellStyle name="Vírgula 2 2 3 2 2 3 2 2 2" xfId="29108"/>
    <cellStyle name="Vírgula 2 2 3 2 2 3 2 2 2 2" xfId="54175"/>
    <cellStyle name="Vírgula 2 2 3 2 2 3 2 2 3" xfId="23194"/>
    <cellStyle name="Vírgula 2 2 3 2 2 3 2 2 3 2" xfId="48261"/>
    <cellStyle name="Vírgula 2 2 3 2 2 3 2 2 4" xfId="17280"/>
    <cellStyle name="Vírgula 2 2 3 2 2 3 2 2 4 2" xfId="42347"/>
    <cellStyle name="Vírgula 2 2 3 2 2 3 2 2 5" xfId="36439"/>
    <cellStyle name="Vírgula 2 2 3 2 2 3 2 3" xfId="26151"/>
    <cellStyle name="Vírgula 2 2 3 2 2 3 2 3 2" xfId="51218"/>
    <cellStyle name="Vírgula 2 2 3 2 2 3 2 4" xfId="20237"/>
    <cellStyle name="Vírgula 2 2 3 2 2 3 2 4 2" xfId="45304"/>
    <cellStyle name="Vírgula 2 2 3 2 2 3 2 5" xfId="14253"/>
    <cellStyle name="Vírgula 2 2 3 2 2 3 2 5 2" xfId="39393"/>
    <cellStyle name="Vírgula 2 2 3 2 2 3 2 6" xfId="33482"/>
    <cellStyle name="Vírgula 2 2 3 2 2 3 3" xfId="9426"/>
    <cellStyle name="Vírgula 2 2 3 2 2 3 3 2" xfId="27640"/>
    <cellStyle name="Vírgula 2 2 3 2 2 3 3 2 2" xfId="52707"/>
    <cellStyle name="Vírgula 2 2 3 2 2 3 3 3" xfId="21726"/>
    <cellStyle name="Vírgula 2 2 3 2 2 3 3 3 2" xfId="46793"/>
    <cellStyle name="Vírgula 2 2 3 2 2 3 3 4" xfId="15812"/>
    <cellStyle name="Vírgula 2 2 3 2 2 3 3 4 2" xfId="40879"/>
    <cellStyle name="Vírgula 2 2 3 2 2 3 3 5" xfId="34971"/>
    <cellStyle name="Vírgula 2 2 3 2 2 3 4" xfId="6163"/>
    <cellStyle name="Vírgula 2 2 3 2 2 3 4 2" xfId="24683"/>
    <cellStyle name="Vírgula 2 2 3 2 2 3 4 2 2" xfId="49750"/>
    <cellStyle name="Vírgula 2 2 3 2 2 3 4 3" xfId="32014"/>
    <cellStyle name="Vírgula 2 2 3 2 2 3 5" xfId="18769"/>
    <cellStyle name="Vírgula 2 2 3 2 2 3 5 2" xfId="43836"/>
    <cellStyle name="Vírgula 2 2 3 2 2 3 6" xfId="12552"/>
    <cellStyle name="Vírgula 2 2 3 2 2 3 6 2" xfId="37925"/>
    <cellStyle name="Vírgula 2 2 3 2 2 3 7" xfId="30544"/>
    <cellStyle name="Vírgula 2 2 3 2 2 4" xfId="4570"/>
    <cellStyle name="Vírgula 2 2 3 2 2 4 2" xfId="7972"/>
    <cellStyle name="Vírgula 2 2 3 2 2 4 2 2" xfId="10956"/>
    <cellStyle name="Vírgula 2 2 3 2 2 4 2 2 2" xfId="29170"/>
    <cellStyle name="Vírgula 2 2 3 2 2 4 2 2 2 2" xfId="54237"/>
    <cellStyle name="Vírgula 2 2 3 2 2 4 2 2 3" xfId="23256"/>
    <cellStyle name="Vírgula 2 2 3 2 2 4 2 2 3 2" xfId="48323"/>
    <cellStyle name="Vírgula 2 2 3 2 2 4 2 2 4" xfId="17342"/>
    <cellStyle name="Vírgula 2 2 3 2 2 4 2 2 4 2" xfId="42409"/>
    <cellStyle name="Vírgula 2 2 3 2 2 4 2 2 5" xfId="36501"/>
    <cellStyle name="Vírgula 2 2 3 2 2 4 2 3" xfId="26213"/>
    <cellStyle name="Vírgula 2 2 3 2 2 4 2 3 2" xfId="51280"/>
    <cellStyle name="Vírgula 2 2 3 2 2 4 2 4" xfId="20299"/>
    <cellStyle name="Vírgula 2 2 3 2 2 4 2 4 2" xfId="45366"/>
    <cellStyle name="Vírgula 2 2 3 2 2 4 2 5" xfId="14361"/>
    <cellStyle name="Vírgula 2 2 3 2 2 4 2 5 2" xfId="39455"/>
    <cellStyle name="Vírgula 2 2 3 2 2 4 2 6" xfId="33544"/>
    <cellStyle name="Vírgula 2 2 3 2 2 4 3" xfId="9488"/>
    <cellStyle name="Vírgula 2 2 3 2 2 4 3 2" xfId="27702"/>
    <cellStyle name="Vírgula 2 2 3 2 2 4 3 2 2" xfId="52769"/>
    <cellStyle name="Vírgula 2 2 3 2 2 4 3 3" xfId="21788"/>
    <cellStyle name="Vírgula 2 2 3 2 2 4 3 3 2" xfId="46855"/>
    <cellStyle name="Vírgula 2 2 3 2 2 4 3 4" xfId="15874"/>
    <cellStyle name="Vírgula 2 2 3 2 2 4 3 4 2" xfId="40941"/>
    <cellStyle name="Vírgula 2 2 3 2 2 4 3 5" xfId="35033"/>
    <cellStyle name="Vírgula 2 2 3 2 2 4 4" xfId="6271"/>
    <cellStyle name="Vírgula 2 2 3 2 2 4 4 2" xfId="24745"/>
    <cellStyle name="Vírgula 2 2 3 2 2 4 4 2 2" xfId="49812"/>
    <cellStyle name="Vírgula 2 2 3 2 2 4 4 3" xfId="32076"/>
    <cellStyle name="Vírgula 2 2 3 2 2 4 5" xfId="18831"/>
    <cellStyle name="Vírgula 2 2 3 2 2 4 5 2" xfId="43898"/>
    <cellStyle name="Vírgula 2 2 3 2 2 4 6" xfId="12660"/>
    <cellStyle name="Vírgula 2 2 3 2 2 4 6 2" xfId="37987"/>
    <cellStyle name="Vírgula 2 2 3 2 2 4 7" xfId="30606"/>
    <cellStyle name="Vírgula 2 2 3 2 2 5" xfId="5978"/>
    <cellStyle name="Vírgula 2 2 3 2 2 5 2" xfId="7678"/>
    <cellStyle name="Vírgula 2 2 3 2 2 5 2 2" xfId="10789"/>
    <cellStyle name="Vírgula 2 2 3 2 2 5 2 2 2" xfId="29003"/>
    <cellStyle name="Vírgula 2 2 3 2 2 5 2 2 2 2" xfId="54070"/>
    <cellStyle name="Vírgula 2 2 3 2 2 5 2 2 3" xfId="23089"/>
    <cellStyle name="Vírgula 2 2 3 2 2 5 2 2 3 2" xfId="48156"/>
    <cellStyle name="Vírgula 2 2 3 2 2 5 2 2 4" xfId="17175"/>
    <cellStyle name="Vírgula 2 2 3 2 2 5 2 2 4 2" xfId="42242"/>
    <cellStyle name="Vírgula 2 2 3 2 2 5 2 2 5" xfId="36334"/>
    <cellStyle name="Vírgula 2 2 3 2 2 5 2 3" xfId="26046"/>
    <cellStyle name="Vírgula 2 2 3 2 2 5 2 3 2" xfId="51113"/>
    <cellStyle name="Vírgula 2 2 3 2 2 5 2 4" xfId="20132"/>
    <cellStyle name="Vírgula 2 2 3 2 2 5 2 4 2" xfId="45199"/>
    <cellStyle name="Vírgula 2 2 3 2 2 5 2 5" xfId="14067"/>
    <cellStyle name="Vírgula 2 2 3 2 2 5 2 5 2" xfId="39288"/>
    <cellStyle name="Vírgula 2 2 3 2 2 5 2 6" xfId="33377"/>
    <cellStyle name="Vírgula 2 2 3 2 2 5 3" xfId="9321"/>
    <cellStyle name="Vírgula 2 2 3 2 2 5 3 2" xfId="27535"/>
    <cellStyle name="Vírgula 2 2 3 2 2 5 3 2 2" xfId="52602"/>
    <cellStyle name="Vírgula 2 2 3 2 2 5 3 3" xfId="21621"/>
    <cellStyle name="Vírgula 2 2 3 2 2 5 3 3 2" xfId="46688"/>
    <cellStyle name="Vírgula 2 2 3 2 2 5 3 4" xfId="15707"/>
    <cellStyle name="Vírgula 2 2 3 2 2 5 3 4 2" xfId="40774"/>
    <cellStyle name="Vírgula 2 2 3 2 2 5 3 5" xfId="34866"/>
    <cellStyle name="Vírgula 2 2 3 2 2 5 4" xfId="24578"/>
    <cellStyle name="Vírgula 2 2 3 2 2 5 4 2" xfId="49645"/>
    <cellStyle name="Vírgula 2 2 3 2 2 5 5" xfId="18664"/>
    <cellStyle name="Vírgula 2 2 3 2 2 5 5 2" xfId="43731"/>
    <cellStyle name="Vírgula 2 2 3 2 2 5 6" xfId="12366"/>
    <cellStyle name="Vírgula 2 2 3 2 2 5 6 2" xfId="37820"/>
    <cellStyle name="Vírgula 2 2 3 2 2 5 7" xfId="31909"/>
    <cellStyle name="Vírgula 2 2 3 2 2 6" xfId="6380"/>
    <cellStyle name="Vírgula 2 2 3 2 2 6 2" xfId="9550"/>
    <cellStyle name="Vírgula 2 2 3 2 2 6 2 2" xfId="27764"/>
    <cellStyle name="Vírgula 2 2 3 2 2 6 2 2 2" xfId="52831"/>
    <cellStyle name="Vírgula 2 2 3 2 2 6 2 3" xfId="21850"/>
    <cellStyle name="Vírgula 2 2 3 2 2 6 2 3 2" xfId="46917"/>
    <cellStyle name="Vírgula 2 2 3 2 2 6 2 4" xfId="15936"/>
    <cellStyle name="Vírgula 2 2 3 2 2 6 2 4 2" xfId="41003"/>
    <cellStyle name="Vírgula 2 2 3 2 2 6 2 5" xfId="35095"/>
    <cellStyle name="Vírgula 2 2 3 2 2 6 3" xfId="24807"/>
    <cellStyle name="Vírgula 2 2 3 2 2 6 3 2" xfId="49874"/>
    <cellStyle name="Vírgula 2 2 3 2 2 6 4" xfId="18893"/>
    <cellStyle name="Vírgula 2 2 3 2 2 6 4 2" xfId="43960"/>
    <cellStyle name="Vírgula 2 2 3 2 2 6 5" xfId="12769"/>
    <cellStyle name="Vírgula 2 2 3 2 2 6 5 2" xfId="38049"/>
    <cellStyle name="Vírgula 2 2 3 2 2 6 6" xfId="32138"/>
    <cellStyle name="Vírgula 2 2 3 2 2 7" xfId="8079"/>
    <cellStyle name="Vírgula 2 2 3 2 2 7 2" xfId="26293"/>
    <cellStyle name="Vírgula 2 2 3 2 2 7 2 2" xfId="51360"/>
    <cellStyle name="Vírgula 2 2 3 2 2 7 3" xfId="20379"/>
    <cellStyle name="Vírgula 2 2 3 2 2 7 3 2" xfId="45446"/>
    <cellStyle name="Vírgula 2 2 3 2 2 7 4" xfId="14468"/>
    <cellStyle name="Vírgula 2 2 3 2 2 7 4 2" xfId="39535"/>
    <cellStyle name="Vírgula 2 2 3 2 2 7 5" xfId="33624"/>
    <cellStyle name="Vírgula 2 2 3 2 2 8" xfId="4677"/>
    <cellStyle name="Vírgula 2 2 3 2 2 8 2" xfId="23336"/>
    <cellStyle name="Vírgula 2 2 3 2 2 8 2 2" xfId="48403"/>
    <cellStyle name="Vírgula 2 2 3 2 2 8 3" xfId="30668"/>
    <cellStyle name="Vírgula 2 2 3 2 2 9" xfId="17422"/>
    <cellStyle name="Vírgula 2 2 3 2 2 9 2" xfId="42489"/>
    <cellStyle name="Vírgula 2 2 3 2 3" xfId="4386"/>
    <cellStyle name="Vírgula 2 2 3 2 3 10" xfId="30501"/>
    <cellStyle name="Vírgula 2 2 3 2 3 2" xfId="4494"/>
    <cellStyle name="Vírgula 2 2 3 2 3 2 2" xfId="7896"/>
    <cellStyle name="Vírgula 2 2 3 2 3 2 2 2" xfId="10913"/>
    <cellStyle name="Vírgula 2 2 3 2 3 2 2 2 2" xfId="29127"/>
    <cellStyle name="Vírgula 2 2 3 2 3 2 2 2 2 2" xfId="54194"/>
    <cellStyle name="Vírgula 2 2 3 2 3 2 2 2 3" xfId="23213"/>
    <cellStyle name="Vírgula 2 2 3 2 3 2 2 2 3 2" xfId="48280"/>
    <cellStyle name="Vírgula 2 2 3 2 3 2 2 2 4" xfId="17299"/>
    <cellStyle name="Vírgula 2 2 3 2 3 2 2 2 4 2" xfId="42366"/>
    <cellStyle name="Vírgula 2 2 3 2 3 2 2 2 5" xfId="36458"/>
    <cellStyle name="Vírgula 2 2 3 2 3 2 2 3" xfId="26170"/>
    <cellStyle name="Vírgula 2 2 3 2 3 2 2 3 2" xfId="51237"/>
    <cellStyle name="Vírgula 2 2 3 2 3 2 2 4" xfId="20256"/>
    <cellStyle name="Vírgula 2 2 3 2 3 2 2 4 2" xfId="45323"/>
    <cellStyle name="Vírgula 2 2 3 2 3 2 2 5" xfId="14285"/>
    <cellStyle name="Vírgula 2 2 3 2 3 2 2 5 2" xfId="39412"/>
    <cellStyle name="Vírgula 2 2 3 2 3 2 2 6" xfId="33501"/>
    <cellStyle name="Vírgula 2 2 3 2 3 2 3" xfId="9445"/>
    <cellStyle name="Vírgula 2 2 3 2 3 2 3 2" xfId="27659"/>
    <cellStyle name="Vírgula 2 2 3 2 3 2 3 2 2" xfId="52726"/>
    <cellStyle name="Vírgula 2 2 3 2 3 2 3 3" xfId="21745"/>
    <cellStyle name="Vírgula 2 2 3 2 3 2 3 3 2" xfId="46812"/>
    <cellStyle name="Vírgula 2 2 3 2 3 2 3 4" xfId="15831"/>
    <cellStyle name="Vírgula 2 2 3 2 3 2 3 4 2" xfId="40898"/>
    <cellStyle name="Vírgula 2 2 3 2 3 2 3 5" xfId="34990"/>
    <cellStyle name="Vírgula 2 2 3 2 3 2 4" xfId="6195"/>
    <cellStyle name="Vírgula 2 2 3 2 3 2 4 2" xfId="24702"/>
    <cellStyle name="Vírgula 2 2 3 2 3 2 4 2 2" xfId="49769"/>
    <cellStyle name="Vírgula 2 2 3 2 3 2 4 3" xfId="32033"/>
    <cellStyle name="Vírgula 2 2 3 2 3 2 5" xfId="18788"/>
    <cellStyle name="Vírgula 2 2 3 2 3 2 5 2" xfId="43855"/>
    <cellStyle name="Vírgula 2 2 3 2 3 2 6" xfId="12584"/>
    <cellStyle name="Vírgula 2 2 3 2 3 2 6 2" xfId="37944"/>
    <cellStyle name="Vírgula 2 2 3 2 3 2 7" xfId="30563"/>
    <cellStyle name="Vírgula 2 2 3 2 3 3" xfId="4602"/>
    <cellStyle name="Vírgula 2 2 3 2 3 3 2" xfId="8005"/>
    <cellStyle name="Vírgula 2 2 3 2 3 3 2 2" xfId="10975"/>
    <cellStyle name="Vírgula 2 2 3 2 3 3 2 2 2" xfId="29189"/>
    <cellStyle name="Vírgula 2 2 3 2 3 3 2 2 2 2" xfId="54256"/>
    <cellStyle name="Vírgula 2 2 3 2 3 3 2 2 3" xfId="23275"/>
    <cellStyle name="Vírgula 2 2 3 2 3 3 2 2 3 2" xfId="48342"/>
    <cellStyle name="Vírgula 2 2 3 2 3 3 2 2 4" xfId="17361"/>
    <cellStyle name="Vírgula 2 2 3 2 3 3 2 2 4 2" xfId="42428"/>
    <cellStyle name="Vírgula 2 2 3 2 3 3 2 2 5" xfId="36520"/>
    <cellStyle name="Vírgula 2 2 3 2 3 3 2 3" xfId="26232"/>
    <cellStyle name="Vírgula 2 2 3 2 3 3 2 3 2" xfId="51299"/>
    <cellStyle name="Vírgula 2 2 3 2 3 3 2 4" xfId="20318"/>
    <cellStyle name="Vírgula 2 2 3 2 3 3 2 4 2" xfId="45385"/>
    <cellStyle name="Vírgula 2 2 3 2 3 3 2 5" xfId="14394"/>
    <cellStyle name="Vírgula 2 2 3 2 3 3 2 5 2" xfId="39474"/>
    <cellStyle name="Vírgula 2 2 3 2 3 3 2 6" xfId="33563"/>
    <cellStyle name="Vírgula 2 2 3 2 3 3 3" xfId="9507"/>
    <cellStyle name="Vírgula 2 2 3 2 3 3 3 2" xfId="27721"/>
    <cellStyle name="Vírgula 2 2 3 2 3 3 3 2 2" xfId="52788"/>
    <cellStyle name="Vírgula 2 2 3 2 3 3 3 3" xfId="21807"/>
    <cellStyle name="Vírgula 2 2 3 2 3 3 3 3 2" xfId="46874"/>
    <cellStyle name="Vírgula 2 2 3 2 3 3 3 4" xfId="15893"/>
    <cellStyle name="Vírgula 2 2 3 2 3 3 3 4 2" xfId="40960"/>
    <cellStyle name="Vírgula 2 2 3 2 3 3 3 5" xfId="35052"/>
    <cellStyle name="Vírgula 2 2 3 2 3 3 4" xfId="6304"/>
    <cellStyle name="Vírgula 2 2 3 2 3 3 4 2" xfId="24764"/>
    <cellStyle name="Vírgula 2 2 3 2 3 3 4 2 2" xfId="49831"/>
    <cellStyle name="Vírgula 2 2 3 2 3 3 4 3" xfId="32095"/>
    <cellStyle name="Vírgula 2 2 3 2 3 3 5" xfId="18850"/>
    <cellStyle name="Vírgula 2 2 3 2 3 3 5 2" xfId="43917"/>
    <cellStyle name="Vírgula 2 2 3 2 3 3 6" xfId="12693"/>
    <cellStyle name="Vírgula 2 2 3 2 3 3 6 2" xfId="38006"/>
    <cellStyle name="Vírgula 2 2 3 2 3 3 7" xfId="30625"/>
    <cellStyle name="Vírgula 2 2 3 2 3 4" xfId="6088"/>
    <cellStyle name="Vírgula 2 2 3 2 3 4 2" xfId="7788"/>
    <cellStyle name="Vírgula 2 2 3 2 3 4 2 2" xfId="10851"/>
    <cellStyle name="Vírgula 2 2 3 2 3 4 2 2 2" xfId="29065"/>
    <cellStyle name="Vírgula 2 2 3 2 3 4 2 2 2 2" xfId="54132"/>
    <cellStyle name="Vírgula 2 2 3 2 3 4 2 2 3" xfId="23151"/>
    <cellStyle name="Vírgula 2 2 3 2 3 4 2 2 3 2" xfId="48218"/>
    <cellStyle name="Vírgula 2 2 3 2 3 4 2 2 4" xfId="17237"/>
    <cellStyle name="Vírgula 2 2 3 2 3 4 2 2 4 2" xfId="42304"/>
    <cellStyle name="Vírgula 2 2 3 2 3 4 2 2 5" xfId="36396"/>
    <cellStyle name="Vírgula 2 2 3 2 3 4 2 3" xfId="26108"/>
    <cellStyle name="Vírgula 2 2 3 2 3 4 2 3 2" xfId="51175"/>
    <cellStyle name="Vírgula 2 2 3 2 3 4 2 4" xfId="20194"/>
    <cellStyle name="Vírgula 2 2 3 2 3 4 2 4 2" xfId="45261"/>
    <cellStyle name="Vírgula 2 2 3 2 3 4 2 5" xfId="14177"/>
    <cellStyle name="Vírgula 2 2 3 2 3 4 2 5 2" xfId="39350"/>
    <cellStyle name="Vírgula 2 2 3 2 3 4 2 6" xfId="33439"/>
    <cellStyle name="Vírgula 2 2 3 2 3 4 3" xfId="9383"/>
    <cellStyle name="Vírgula 2 2 3 2 3 4 3 2" xfId="27597"/>
    <cellStyle name="Vírgula 2 2 3 2 3 4 3 2 2" xfId="52664"/>
    <cellStyle name="Vírgula 2 2 3 2 3 4 3 3" xfId="21683"/>
    <cellStyle name="Vírgula 2 2 3 2 3 4 3 3 2" xfId="46750"/>
    <cellStyle name="Vírgula 2 2 3 2 3 4 3 4" xfId="15769"/>
    <cellStyle name="Vírgula 2 2 3 2 3 4 3 4 2" xfId="40836"/>
    <cellStyle name="Vírgula 2 2 3 2 3 4 3 5" xfId="34928"/>
    <cellStyle name="Vírgula 2 2 3 2 3 4 4" xfId="24640"/>
    <cellStyle name="Vírgula 2 2 3 2 3 4 4 2" xfId="49707"/>
    <cellStyle name="Vírgula 2 2 3 2 3 4 5" xfId="18726"/>
    <cellStyle name="Vírgula 2 2 3 2 3 4 5 2" xfId="43793"/>
    <cellStyle name="Vírgula 2 2 3 2 3 4 6" xfId="12476"/>
    <cellStyle name="Vírgula 2 2 3 2 3 4 6 2" xfId="37882"/>
    <cellStyle name="Vírgula 2 2 3 2 3 4 7" xfId="31971"/>
    <cellStyle name="Vírgula 2 2 3 2 3 5" xfId="6413"/>
    <cellStyle name="Vírgula 2 2 3 2 3 5 2" xfId="9569"/>
    <cellStyle name="Vírgula 2 2 3 2 3 5 2 2" xfId="27783"/>
    <cellStyle name="Vírgula 2 2 3 2 3 5 2 2 2" xfId="52850"/>
    <cellStyle name="Vírgula 2 2 3 2 3 5 2 3" xfId="21869"/>
    <cellStyle name="Vírgula 2 2 3 2 3 5 2 3 2" xfId="46936"/>
    <cellStyle name="Vírgula 2 2 3 2 3 5 2 4" xfId="15955"/>
    <cellStyle name="Vírgula 2 2 3 2 3 5 2 4 2" xfId="41022"/>
    <cellStyle name="Vírgula 2 2 3 2 3 5 2 5" xfId="35114"/>
    <cellStyle name="Vírgula 2 2 3 2 3 5 3" xfId="24826"/>
    <cellStyle name="Vírgula 2 2 3 2 3 5 3 2" xfId="49893"/>
    <cellStyle name="Vírgula 2 2 3 2 3 5 4" xfId="18912"/>
    <cellStyle name="Vírgula 2 2 3 2 3 5 4 2" xfId="43979"/>
    <cellStyle name="Vírgula 2 2 3 2 3 5 5" xfId="12802"/>
    <cellStyle name="Vírgula 2 2 3 2 3 5 5 2" xfId="38068"/>
    <cellStyle name="Vírgula 2 2 3 2 3 5 6" xfId="32157"/>
    <cellStyle name="Vírgula 2 2 3 2 3 6" xfId="8098"/>
    <cellStyle name="Vírgula 2 2 3 2 3 6 2" xfId="26312"/>
    <cellStyle name="Vírgula 2 2 3 2 3 6 2 2" xfId="51379"/>
    <cellStyle name="Vírgula 2 2 3 2 3 6 3" xfId="20398"/>
    <cellStyle name="Vírgula 2 2 3 2 3 6 3 2" xfId="45465"/>
    <cellStyle name="Vírgula 2 2 3 2 3 6 4" xfId="14487"/>
    <cellStyle name="Vírgula 2 2 3 2 3 6 4 2" xfId="39554"/>
    <cellStyle name="Vírgula 2 2 3 2 3 6 5" xfId="33643"/>
    <cellStyle name="Vírgula 2 2 3 2 3 7" xfId="4710"/>
    <cellStyle name="Vírgula 2 2 3 2 3 7 2" xfId="23355"/>
    <cellStyle name="Vírgula 2 2 3 2 3 7 2 2" xfId="48422"/>
    <cellStyle name="Vírgula 2 2 3 2 3 7 3" xfId="30687"/>
    <cellStyle name="Vírgula 2 2 3 2 3 8" xfId="17441"/>
    <cellStyle name="Vírgula 2 2 3 2 3 8 2" xfId="42508"/>
    <cellStyle name="Vírgula 2 2 3 2 3 9" xfId="11101"/>
    <cellStyle name="Vírgula 2 2 3 2 3 9 2" xfId="36600"/>
    <cellStyle name="Vírgula 2 2 3 2 4" xfId="4319"/>
    <cellStyle name="Vírgula 2 2 3 2 4 2" xfId="7720"/>
    <cellStyle name="Vírgula 2 2 3 2 4 2 2" xfId="10812"/>
    <cellStyle name="Vírgula 2 2 3 2 4 2 2 2" xfId="29026"/>
    <cellStyle name="Vírgula 2 2 3 2 4 2 2 2 2" xfId="54093"/>
    <cellStyle name="Vírgula 2 2 3 2 4 2 2 3" xfId="23112"/>
    <cellStyle name="Vírgula 2 2 3 2 4 2 2 3 2" xfId="48179"/>
    <cellStyle name="Vírgula 2 2 3 2 4 2 2 4" xfId="17198"/>
    <cellStyle name="Vírgula 2 2 3 2 4 2 2 4 2" xfId="42265"/>
    <cellStyle name="Vírgula 2 2 3 2 4 2 2 5" xfId="36357"/>
    <cellStyle name="Vírgula 2 2 3 2 4 2 3" xfId="26069"/>
    <cellStyle name="Vírgula 2 2 3 2 4 2 3 2" xfId="51136"/>
    <cellStyle name="Vírgula 2 2 3 2 4 2 4" xfId="20155"/>
    <cellStyle name="Vírgula 2 2 3 2 4 2 4 2" xfId="45222"/>
    <cellStyle name="Vírgula 2 2 3 2 4 2 5" xfId="14109"/>
    <cellStyle name="Vírgula 2 2 3 2 4 2 5 2" xfId="39311"/>
    <cellStyle name="Vírgula 2 2 3 2 4 2 6" xfId="33400"/>
    <cellStyle name="Vírgula 2 2 3 2 4 3" xfId="9344"/>
    <cellStyle name="Vírgula 2 2 3 2 4 3 2" xfId="27558"/>
    <cellStyle name="Vírgula 2 2 3 2 4 3 2 2" xfId="52625"/>
    <cellStyle name="Vírgula 2 2 3 2 4 3 3" xfId="21644"/>
    <cellStyle name="Vírgula 2 2 3 2 4 3 3 2" xfId="46711"/>
    <cellStyle name="Vírgula 2 2 3 2 4 3 4" xfId="15730"/>
    <cellStyle name="Vírgula 2 2 3 2 4 3 4 2" xfId="40797"/>
    <cellStyle name="Vírgula 2 2 3 2 4 3 5" xfId="34889"/>
    <cellStyle name="Vírgula 2 2 3 2 4 4" xfId="6020"/>
    <cellStyle name="Vírgula 2 2 3 2 4 4 2" xfId="24601"/>
    <cellStyle name="Vírgula 2 2 3 2 4 4 2 2" xfId="49668"/>
    <cellStyle name="Vírgula 2 2 3 2 4 4 3" xfId="31932"/>
    <cellStyle name="Vírgula 2 2 3 2 4 5" xfId="18687"/>
    <cellStyle name="Vírgula 2 2 3 2 4 5 2" xfId="43754"/>
    <cellStyle name="Vírgula 2 2 3 2 4 6" xfId="12408"/>
    <cellStyle name="Vírgula 2 2 3 2 4 6 2" xfId="37843"/>
    <cellStyle name="Vírgula 2 2 3 2 4 7" xfId="30462"/>
    <cellStyle name="Vírgula 2 2 3 2 5" xfId="4427"/>
    <cellStyle name="Vírgula 2 2 3 2 5 2" xfId="7829"/>
    <cellStyle name="Vírgula 2 2 3 2 5 2 2" xfId="10874"/>
    <cellStyle name="Vírgula 2 2 3 2 5 2 2 2" xfId="29088"/>
    <cellStyle name="Vírgula 2 2 3 2 5 2 2 2 2" xfId="54155"/>
    <cellStyle name="Vírgula 2 2 3 2 5 2 2 3" xfId="23174"/>
    <cellStyle name="Vírgula 2 2 3 2 5 2 2 3 2" xfId="48241"/>
    <cellStyle name="Vírgula 2 2 3 2 5 2 2 4" xfId="17260"/>
    <cellStyle name="Vírgula 2 2 3 2 5 2 2 4 2" xfId="42327"/>
    <cellStyle name="Vírgula 2 2 3 2 5 2 2 5" xfId="36419"/>
    <cellStyle name="Vírgula 2 2 3 2 5 2 3" xfId="26131"/>
    <cellStyle name="Vírgula 2 2 3 2 5 2 3 2" xfId="51198"/>
    <cellStyle name="Vírgula 2 2 3 2 5 2 4" xfId="20217"/>
    <cellStyle name="Vírgula 2 2 3 2 5 2 4 2" xfId="45284"/>
    <cellStyle name="Vírgula 2 2 3 2 5 2 5" xfId="14218"/>
    <cellStyle name="Vírgula 2 2 3 2 5 2 5 2" xfId="39373"/>
    <cellStyle name="Vírgula 2 2 3 2 5 2 6" xfId="33462"/>
    <cellStyle name="Vírgula 2 2 3 2 5 3" xfId="9406"/>
    <cellStyle name="Vírgula 2 2 3 2 5 3 2" xfId="27620"/>
    <cellStyle name="Vírgula 2 2 3 2 5 3 2 2" xfId="52687"/>
    <cellStyle name="Vírgula 2 2 3 2 5 3 3" xfId="21706"/>
    <cellStyle name="Vírgula 2 2 3 2 5 3 3 2" xfId="46773"/>
    <cellStyle name="Vírgula 2 2 3 2 5 3 4" xfId="15792"/>
    <cellStyle name="Vírgula 2 2 3 2 5 3 4 2" xfId="40859"/>
    <cellStyle name="Vírgula 2 2 3 2 5 3 5" xfId="34951"/>
    <cellStyle name="Vírgula 2 2 3 2 5 4" xfId="6129"/>
    <cellStyle name="Vírgula 2 2 3 2 5 4 2" xfId="24663"/>
    <cellStyle name="Vírgula 2 2 3 2 5 4 2 2" xfId="49730"/>
    <cellStyle name="Vírgula 2 2 3 2 5 4 3" xfId="31994"/>
    <cellStyle name="Vírgula 2 2 3 2 5 5" xfId="18749"/>
    <cellStyle name="Vírgula 2 2 3 2 5 5 2" xfId="43816"/>
    <cellStyle name="Vírgula 2 2 3 2 5 6" xfId="12517"/>
    <cellStyle name="Vírgula 2 2 3 2 5 6 2" xfId="37905"/>
    <cellStyle name="Vírgula 2 2 3 2 5 7" xfId="30524"/>
    <cellStyle name="Vírgula 2 2 3 2 6" xfId="4535"/>
    <cellStyle name="Vírgula 2 2 3 2 6 2" xfId="7937"/>
    <cellStyle name="Vírgula 2 2 3 2 6 2 2" xfId="10936"/>
    <cellStyle name="Vírgula 2 2 3 2 6 2 2 2" xfId="29150"/>
    <cellStyle name="Vírgula 2 2 3 2 6 2 2 2 2" xfId="54217"/>
    <cellStyle name="Vírgula 2 2 3 2 6 2 2 3" xfId="23236"/>
    <cellStyle name="Vírgula 2 2 3 2 6 2 2 3 2" xfId="48303"/>
    <cellStyle name="Vírgula 2 2 3 2 6 2 2 4" xfId="17322"/>
    <cellStyle name="Vírgula 2 2 3 2 6 2 2 4 2" xfId="42389"/>
    <cellStyle name="Vírgula 2 2 3 2 6 2 2 5" xfId="36481"/>
    <cellStyle name="Vírgula 2 2 3 2 6 2 3" xfId="26193"/>
    <cellStyle name="Vírgula 2 2 3 2 6 2 3 2" xfId="51260"/>
    <cellStyle name="Vírgula 2 2 3 2 6 2 4" xfId="20279"/>
    <cellStyle name="Vírgula 2 2 3 2 6 2 4 2" xfId="45346"/>
    <cellStyle name="Vírgula 2 2 3 2 6 2 5" xfId="14326"/>
    <cellStyle name="Vírgula 2 2 3 2 6 2 5 2" xfId="39435"/>
    <cellStyle name="Vírgula 2 2 3 2 6 2 6" xfId="33524"/>
    <cellStyle name="Vírgula 2 2 3 2 6 3" xfId="9468"/>
    <cellStyle name="Vírgula 2 2 3 2 6 3 2" xfId="27682"/>
    <cellStyle name="Vírgula 2 2 3 2 6 3 2 2" xfId="52749"/>
    <cellStyle name="Vírgula 2 2 3 2 6 3 3" xfId="21768"/>
    <cellStyle name="Vírgula 2 2 3 2 6 3 3 2" xfId="46835"/>
    <cellStyle name="Vírgula 2 2 3 2 6 3 4" xfId="15854"/>
    <cellStyle name="Vírgula 2 2 3 2 6 3 4 2" xfId="40921"/>
    <cellStyle name="Vírgula 2 2 3 2 6 3 5" xfId="35013"/>
    <cellStyle name="Vírgula 2 2 3 2 6 4" xfId="6236"/>
    <cellStyle name="Vírgula 2 2 3 2 6 4 2" xfId="24725"/>
    <cellStyle name="Vírgula 2 2 3 2 6 4 2 2" xfId="49792"/>
    <cellStyle name="Vírgula 2 2 3 2 6 4 3" xfId="32056"/>
    <cellStyle name="Vírgula 2 2 3 2 6 5" xfId="18811"/>
    <cellStyle name="Vírgula 2 2 3 2 6 5 2" xfId="43878"/>
    <cellStyle name="Vírgula 2 2 3 2 6 6" xfId="12625"/>
    <cellStyle name="Vírgula 2 2 3 2 6 6 2" xfId="37967"/>
    <cellStyle name="Vírgula 2 2 3 2 6 7" xfId="30586"/>
    <cellStyle name="Vírgula 2 2 3 2 7" xfId="5943"/>
    <cellStyle name="Vírgula 2 2 3 2 7 2" xfId="7643"/>
    <cellStyle name="Vírgula 2 2 3 2 7 2 2" xfId="10769"/>
    <cellStyle name="Vírgula 2 2 3 2 7 2 2 2" xfId="28983"/>
    <cellStyle name="Vírgula 2 2 3 2 7 2 2 2 2" xfId="54050"/>
    <cellStyle name="Vírgula 2 2 3 2 7 2 2 3" xfId="23069"/>
    <cellStyle name="Vírgula 2 2 3 2 7 2 2 3 2" xfId="48136"/>
    <cellStyle name="Vírgula 2 2 3 2 7 2 2 4" xfId="17155"/>
    <cellStyle name="Vírgula 2 2 3 2 7 2 2 4 2" xfId="42222"/>
    <cellStyle name="Vírgula 2 2 3 2 7 2 2 5" xfId="36314"/>
    <cellStyle name="Vírgula 2 2 3 2 7 2 3" xfId="26026"/>
    <cellStyle name="Vírgula 2 2 3 2 7 2 3 2" xfId="51093"/>
    <cellStyle name="Vírgula 2 2 3 2 7 2 4" xfId="20112"/>
    <cellStyle name="Vírgula 2 2 3 2 7 2 4 2" xfId="45179"/>
    <cellStyle name="Vírgula 2 2 3 2 7 2 5" xfId="14032"/>
    <cellStyle name="Vírgula 2 2 3 2 7 2 5 2" xfId="39268"/>
    <cellStyle name="Vírgula 2 2 3 2 7 2 6" xfId="33357"/>
    <cellStyle name="Vírgula 2 2 3 2 7 3" xfId="9301"/>
    <cellStyle name="Vírgula 2 2 3 2 7 3 2" xfId="27515"/>
    <cellStyle name="Vírgula 2 2 3 2 7 3 2 2" xfId="52582"/>
    <cellStyle name="Vírgula 2 2 3 2 7 3 3" xfId="21601"/>
    <cellStyle name="Vírgula 2 2 3 2 7 3 3 2" xfId="46668"/>
    <cellStyle name="Vírgula 2 2 3 2 7 3 4" xfId="15687"/>
    <cellStyle name="Vírgula 2 2 3 2 7 3 4 2" xfId="40754"/>
    <cellStyle name="Vírgula 2 2 3 2 7 3 5" xfId="34846"/>
    <cellStyle name="Vírgula 2 2 3 2 7 4" xfId="24558"/>
    <cellStyle name="Vírgula 2 2 3 2 7 4 2" xfId="49625"/>
    <cellStyle name="Vírgula 2 2 3 2 7 5" xfId="18644"/>
    <cellStyle name="Vírgula 2 2 3 2 7 5 2" xfId="43711"/>
    <cellStyle name="Vírgula 2 2 3 2 7 6" xfId="12331"/>
    <cellStyle name="Vírgula 2 2 3 2 7 6 2" xfId="37800"/>
    <cellStyle name="Vírgula 2 2 3 2 7 7" xfId="31889"/>
    <cellStyle name="Vírgula 2 2 3 2 8" xfId="6345"/>
    <cellStyle name="Vírgula 2 2 3 2 8 2" xfId="9530"/>
    <cellStyle name="Vírgula 2 2 3 2 8 2 2" xfId="27744"/>
    <cellStyle name="Vírgula 2 2 3 2 8 2 2 2" xfId="52811"/>
    <cellStyle name="Vírgula 2 2 3 2 8 2 3" xfId="21830"/>
    <cellStyle name="Vírgula 2 2 3 2 8 2 3 2" xfId="46897"/>
    <cellStyle name="Vírgula 2 2 3 2 8 2 4" xfId="15916"/>
    <cellStyle name="Vírgula 2 2 3 2 8 2 4 2" xfId="40983"/>
    <cellStyle name="Vírgula 2 2 3 2 8 2 5" xfId="35075"/>
    <cellStyle name="Vírgula 2 2 3 2 8 3" xfId="24787"/>
    <cellStyle name="Vírgula 2 2 3 2 8 3 2" xfId="49854"/>
    <cellStyle name="Vírgula 2 2 3 2 8 4" xfId="18873"/>
    <cellStyle name="Vírgula 2 2 3 2 8 4 2" xfId="43940"/>
    <cellStyle name="Vírgula 2 2 3 2 8 5" xfId="12734"/>
    <cellStyle name="Vírgula 2 2 3 2 8 5 2" xfId="38029"/>
    <cellStyle name="Vírgula 2 2 3 2 8 6" xfId="32118"/>
    <cellStyle name="Vírgula 2 2 3 2 9" xfId="8037"/>
    <cellStyle name="Vírgula 2 2 3 2 9 2" xfId="10994"/>
    <cellStyle name="Vírgula 2 2 3 2 9 2 2" xfId="29208"/>
    <cellStyle name="Vírgula 2 2 3 2 9 2 2 2" xfId="54275"/>
    <cellStyle name="Vírgula 2 2 3 2 9 2 3" xfId="23294"/>
    <cellStyle name="Vírgula 2 2 3 2 9 2 3 2" xfId="48361"/>
    <cellStyle name="Vírgula 2 2 3 2 9 2 4" xfId="17380"/>
    <cellStyle name="Vírgula 2 2 3 2 9 2 4 2" xfId="42447"/>
    <cellStyle name="Vírgula 2 2 3 2 9 2 5" xfId="36539"/>
    <cellStyle name="Vírgula 2 2 3 2 9 3" xfId="26251"/>
    <cellStyle name="Vírgula 2 2 3 2 9 3 2" xfId="51318"/>
    <cellStyle name="Vírgula 2 2 3 2 9 4" xfId="20337"/>
    <cellStyle name="Vírgula 2 2 3 2 9 4 2" xfId="45404"/>
    <cellStyle name="Vírgula 2 2 3 2 9 5" xfId="14426"/>
    <cellStyle name="Vírgula 2 2 3 2 9 5 2" xfId="39493"/>
    <cellStyle name="Vírgula 2 2 3 2 9 6" xfId="33582"/>
    <cellStyle name="Vírgula 2 2 3 3" xfId="4262"/>
    <cellStyle name="Vírgula 2 2 3 3 10" xfId="11053"/>
    <cellStyle name="Vírgula 2 2 3 3 10 2" xfId="36572"/>
    <cellStyle name="Vírgula 2 2 3 3 11" xfId="30430"/>
    <cellStyle name="Vírgula 2 2 3 3 2" xfId="4339"/>
    <cellStyle name="Vírgula 2 2 3 3 2 2" xfId="7740"/>
    <cellStyle name="Vírgula 2 2 3 3 2 2 2" xfId="10823"/>
    <cellStyle name="Vírgula 2 2 3 3 2 2 2 2" xfId="29037"/>
    <cellStyle name="Vírgula 2 2 3 3 2 2 2 2 2" xfId="54104"/>
    <cellStyle name="Vírgula 2 2 3 3 2 2 2 3" xfId="23123"/>
    <cellStyle name="Vírgula 2 2 3 3 2 2 2 3 2" xfId="48190"/>
    <cellStyle name="Vírgula 2 2 3 3 2 2 2 4" xfId="17209"/>
    <cellStyle name="Vírgula 2 2 3 3 2 2 2 4 2" xfId="42276"/>
    <cellStyle name="Vírgula 2 2 3 3 2 2 2 5" xfId="36368"/>
    <cellStyle name="Vírgula 2 2 3 3 2 2 3" xfId="26080"/>
    <cellStyle name="Vírgula 2 2 3 3 2 2 3 2" xfId="51147"/>
    <cellStyle name="Vírgula 2 2 3 3 2 2 4" xfId="20166"/>
    <cellStyle name="Vírgula 2 2 3 3 2 2 4 2" xfId="45233"/>
    <cellStyle name="Vírgula 2 2 3 3 2 2 5" xfId="14129"/>
    <cellStyle name="Vírgula 2 2 3 3 2 2 5 2" xfId="39322"/>
    <cellStyle name="Vírgula 2 2 3 3 2 2 6" xfId="33411"/>
    <cellStyle name="Vírgula 2 2 3 3 2 3" xfId="9355"/>
    <cellStyle name="Vírgula 2 2 3 3 2 3 2" xfId="27569"/>
    <cellStyle name="Vírgula 2 2 3 3 2 3 2 2" xfId="52636"/>
    <cellStyle name="Vírgula 2 2 3 3 2 3 3" xfId="21655"/>
    <cellStyle name="Vírgula 2 2 3 3 2 3 3 2" xfId="46722"/>
    <cellStyle name="Vírgula 2 2 3 3 2 3 4" xfId="15741"/>
    <cellStyle name="Vírgula 2 2 3 3 2 3 4 2" xfId="40808"/>
    <cellStyle name="Vírgula 2 2 3 3 2 3 5" xfId="34900"/>
    <cellStyle name="Vírgula 2 2 3 3 2 4" xfId="6040"/>
    <cellStyle name="Vírgula 2 2 3 3 2 4 2" xfId="24612"/>
    <cellStyle name="Vírgula 2 2 3 3 2 4 2 2" xfId="49679"/>
    <cellStyle name="Vírgula 2 2 3 3 2 4 3" xfId="31943"/>
    <cellStyle name="Vírgula 2 2 3 3 2 5" xfId="18698"/>
    <cellStyle name="Vírgula 2 2 3 3 2 5 2" xfId="43765"/>
    <cellStyle name="Vírgula 2 2 3 3 2 6" xfId="12428"/>
    <cellStyle name="Vírgula 2 2 3 3 2 6 2" xfId="37854"/>
    <cellStyle name="Vírgula 2 2 3 3 2 7" xfId="30473"/>
    <cellStyle name="Vírgula 2 2 3 3 3" xfId="4447"/>
    <cellStyle name="Vírgula 2 2 3 3 3 2" xfId="7849"/>
    <cellStyle name="Vírgula 2 2 3 3 3 2 2" xfId="10885"/>
    <cellStyle name="Vírgula 2 2 3 3 3 2 2 2" xfId="29099"/>
    <cellStyle name="Vírgula 2 2 3 3 3 2 2 2 2" xfId="54166"/>
    <cellStyle name="Vírgula 2 2 3 3 3 2 2 3" xfId="23185"/>
    <cellStyle name="Vírgula 2 2 3 3 3 2 2 3 2" xfId="48252"/>
    <cellStyle name="Vírgula 2 2 3 3 3 2 2 4" xfId="17271"/>
    <cellStyle name="Vírgula 2 2 3 3 3 2 2 4 2" xfId="42338"/>
    <cellStyle name="Vírgula 2 2 3 3 3 2 2 5" xfId="36430"/>
    <cellStyle name="Vírgula 2 2 3 3 3 2 3" xfId="26142"/>
    <cellStyle name="Vírgula 2 2 3 3 3 2 3 2" xfId="51209"/>
    <cellStyle name="Vírgula 2 2 3 3 3 2 4" xfId="20228"/>
    <cellStyle name="Vírgula 2 2 3 3 3 2 4 2" xfId="45295"/>
    <cellStyle name="Vírgula 2 2 3 3 3 2 5" xfId="14238"/>
    <cellStyle name="Vírgula 2 2 3 3 3 2 5 2" xfId="39384"/>
    <cellStyle name="Vírgula 2 2 3 3 3 2 6" xfId="33473"/>
    <cellStyle name="Vírgula 2 2 3 3 3 3" xfId="9417"/>
    <cellStyle name="Vírgula 2 2 3 3 3 3 2" xfId="27631"/>
    <cellStyle name="Vírgula 2 2 3 3 3 3 2 2" xfId="52698"/>
    <cellStyle name="Vírgula 2 2 3 3 3 3 3" xfId="21717"/>
    <cellStyle name="Vírgula 2 2 3 3 3 3 3 2" xfId="46784"/>
    <cellStyle name="Vírgula 2 2 3 3 3 3 4" xfId="15803"/>
    <cellStyle name="Vírgula 2 2 3 3 3 3 4 2" xfId="40870"/>
    <cellStyle name="Vírgula 2 2 3 3 3 3 5" xfId="34962"/>
    <cellStyle name="Vírgula 2 2 3 3 3 4" xfId="6149"/>
    <cellStyle name="Vírgula 2 2 3 3 3 4 2" xfId="24674"/>
    <cellStyle name="Vírgula 2 2 3 3 3 4 2 2" xfId="49741"/>
    <cellStyle name="Vírgula 2 2 3 3 3 4 3" xfId="32005"/>
    <cellStyle name="Vírgula 2 2 3 3 3 5" xfId="18760"/>
    <cellStyle name="Vírgula 2 2 3 3 3 5 2" xfId="43827"/>
    <cellStyle name="Vírgula 2 2 3 3 3 6" xfId="12537"/>
    <cellStyle name="Vírgula 2 2 3 3 3 6 2" xfId="37916"/>
    <cellStyle name="Vírgula 2 2 3 3 3 7" xfId="30535"/>
    <cellStyle name="Vírgula 2 2 3 3 4" xfId="4555"/>
    <cellStyle name="Vírgula 2 2 3 3 4 2" xfId="7957"/>
    <cellStyle name="Vírgula 2 2 3 3 4 2 2" xfId="10947"/>
    <cellStyle name="Vírgula 2 2 3 3 4 2 2 2" xfId="29161"/>
    <cellStyle name="Vírgula 2 2 3 3 4 2 2 2 2" xfId="54228"/>
    <cellStyle name="Vírgula 2 2 3 3 4 2 2 3" xfId="23247"/>
    <cellStyle name="Vírgula 2 2 3 3 4 2 2 3 2" xfId="48314"/>
    <cellStyle name="Vírgula 2 2 3 3 4 2 2 4" xfId="17333"/>
    <cellStyle name="Vírgula 2 2 3 3 4 2 2 4 2" xfId="42400"/>
    <cellStyle name="Vírgula 2 2 3 3 4 2 2 5" xfId="36492"/>
    <cellStyle name="Vírgula 2 2 3 3 4 2 3" xfId="26204"/>
    <cellStyle name="Vírgula 2 2 3 3 4 2 3 2" xfId="51271"/>
    <cellStyle name="Vírgula 2 2 3 3 4 2 4" xfId="20290"/>
    <cellStyle name="Vírgula 2 2 3 3 4 2 4 2" xfId="45357"/>
    <cellStyle name="Vírgula 2 2 3 3 4 2 5" xfId="14346"/>
    <cellStyle name="Vírgula 2 2 3 3 4 2 5 2" xfId="39446"/>
    <cellStyle name="Vírgula 2 2 3 3 4 2 6" xfId="33535"/>
    <cellStyle name="Vírgula 2 2 3 3 4 3" xfId="9479"/>
    <cellStyle name="Vírgula 2 2 3 3 4 3 2" xfId="27693"/>
    <cellStyle name="Vírgula 2 2 3 3 4 3 2 2" xfId="52760"/>
    <cellStyle name="Vírgula 2 2 3 3 4 3 3" xfId="21779"/>
    <cellStyle name="Vírgula 2 2 3 3 4 3 3 2" xfId="46846"/>
    <cellStyle name="Vírgula 2 2 3 3 4 3 4" xfId="15865"/>
    <cellStyle name="Vírgula 2 2 3 3 4 3 4 2" xfId="40932"/>
    <cellStyle name="Vírgula 2 2 3 3 4 3 5" xfId="35024"/>
    <cellStyle name="Vírgula 2 2 3 3 4 4" xfId="6256"/>
    <cellStyle name="Vírgula 2 2 3 3 4 4 2" xfId="24736"/>
    <cellStyle name="Vírgula 2 2 3 3 4 4 2 2" xfId="49803"/>
    <cellStyle name="Vírgula 2 2 3 3 4 4 3" xfId="32067"/>
    <cellStyle name="Vírgula 2 2 3 3 4 5" xfId="18822"/>
    <cellStyle name="Vírgula 2 2 3 3 4 5 2" xfId="43889"/>
    <cellStyle name="Vírgula 2 2 3 3 4 6" xfId="12645"/>
    <cellStyle name="Vírgula 2 2 3 3 4 6 2" xfId="37978"/>
    <cellStyle name="Vírgula 2 2 3 3 4 7" xfId="30597"/>
    <cellStyle name="Vírgula 2 2 3 3 5" xfId="5963"/>
    <cellStyle name="Vírgula 2 2 3 3 5 2" xfId="7663"/>
    <cellStyle name="Vírgula 2 2 3 3 5 2 2" xfId="10780"/>
    <cellStyle name="Vírgula 2 2 3 3 5 2 2 2" xfId="28994"/>
    <cellStyle name="Vírgula 2 2 3 3 5 2 2 2 2" xfId="54061"/>
    <cellStyle name="Vírgula 2 2 3 3 5 2 2 3" xfId="23080"/>
    <cellStyle name="Vírgula 2 2 3 3 5 2 2 3 2" xfId="48147"/>
    <cellStyle name="Vírgula 2 2 3 3 5 2 2 4" xfId="17166"/>
    <cellStyle name="Vírgula 2 2 3 3 5 2 2 4 2" xfId="42233"/>
    <cellStyle name="Vírgula 2 2 3 3 5 2 2 5" xfId="36325"/>
    <cellStyle name="Vírgula 2 2 3 3 5 2 3" xfId="26037"/>
    <cellStyle name="Vírgula 2 2 3 3 5 2 3 2" xfId="51104"/>
    <cellStyle name="Vírgula 2 2 3 3 5 2 4" xfId="20123"/>
    <cellStyle name="Vírgula 2 2 3 3 5 2 4 2" xfId="45190"/>
    <cellStyle name="Vírgula 2 2 3 3 5 2 5" xfId="14052"/>
    <cellStyle name="Vírgula 2 2 3 3 5 2 5 2" xfId="39279"/>
    <cellStyle name="Vírgula 2 2 3 3 5 2 6" xfId="33368"/>
    <cellStyle name="Vírgula 2 2 3 3 5 3" xfId="9312"/>
    <cellStyle name="Vírgula 2 2 3 3 5 3 2" xfId="27526"/>
    <cellStyle name="Vírgula 2 2 3 3 5 3 2 2" xfId="52593"/>
    <cellStyle name="Vírgula 2 2 3 3 5 3 3" xfId="21612"/>
    <cellStyle name="Vírgula 2 2 3 3 5 3 3 2" xfId="46679"/>
    <cellStyle name="Vírgula 2 2 3 3 5 3 4" xfId="15698"/>
    <cellStyle name="Vírgula 2 2 3 3 5 3 4 2" xfId="40765"/>
    <cellStyle name="Vírgula 2 2 3 3 5 3 5" xfId="34857"/>
    <cellStyle name="Vírgula 2 2 3 3 5 4" xfId="24569"/>
    <cellStyle name="Vírgula 2 2 3 3 5 4 2" xfId="49636"/>
    <cellStyle name="Vírgula 2 2 3 3 5 5" xfId="18655"/>
    <cellStyle name="Vírgula 2 2 3 3 5 5 2" xfId="43722"/>
    <cellStyle name="Vírgula 2 2 3 3 5 6" xfId="12351"/>
    <cellStyle name="Vírgula 2 2 3 3 5 6 2" xfId="37811"/>
    <cellStyle name="Vírgula 2 2 3 3 5 7" xfId="31900"/>
    <cellStyle name="Vírgula 2 2 3 3 6" xfId="6365"/>
    <cellStyle name="Vírgula 2 2 3 3 6 2" xfId="9541"/>
    <cellStyle name="Vírgula 2 2 3 3 6 2 2" xfId="27755"/>
    <cellStyle name="Vírgula 2 2 3 3 6 2 2 2" xfId="52822"/>
    <cellStyle name="Vírgula 2 2 3 3 6 2 3" xfId="21841"/>
    <cellStyle name="Vírgula 2 2 3 3 6 2 3 2" xfId="46908"/>
    <cellStyle name="Vírgula 2 2 3 3 6 2 4" xfId="15927"/>
    <cellStyle name="Vírgula 2 2 3 3 6 2 4 2" xfId="40994"/>
    <cellStyle name="Vírgula 2 2 3 3 6 2 5" xfId="35086"/>
    <cellStyle name="Vírgula 2 2 3 3 6 3" xfId="24798"/>
    <cellStyle name="Vírgula 2 2 3 3 6 3 2" xfId="49865"/>
    <cellStyle name="Vírgula 2 2 3 3 6 4" xfId="18884"/>
    <cellStyle name="Vírgula 2 2 3 3 6 4 2" xfId="43951"/>
    <cellStyle name="Vírgula 2 2 3 3 6 5" xfId="12754"/>
    <cellStyle name="Vírgula 2 2 3 3 6 5 2" xfId="38040"/>
    <cellStyle name="Vírgula 2 2 3 3 6 6" xfId="32129"/>
    <cellStyle name="Vírgula 2 2 3 3 7" xfId="8070"/>
    <cellStyle name="Vírgula 2 2 3 3 7 2" xfId="26284"/>
    <cellStyle name="Vírgula 2 2 3 3 7 2 2" xfId="51351"/>
    <cellStyle name="Vírgula 2 2 3 3 7 3" xfId="20370"/>
    <cellStyle name="Vírgula 2 2 3 3 7 3 2" xfId="45437"/>
    <cellStyle name="Vírgula 2 2 3 3 7 4" xfId="14459"/>
    <cellStyle name="Vírgula 2 2 3 3 7 4 2" xfId="39526"/>
    <cellStyle name="Vírgula 2 2 3 3 7 5" xfId="33615"/>
    <cellStyle name="Vírgula 2 2 3 3 8" xfId="4662"/>
    <cellStyle name="Vírgula 2 2 3 3 8 2" xfId="23327"/>
    <cellStyle name="Vírgula 2 2 3 3 8 2 2" xfId="48394"/>
    <cellStyle name="Vírgula 2 2 3 3 8 3" xfId="30659"/>
    <cellStyle name="Vírgula 2 2 3 3 9" xfId="17413"/>
    <cellStyle name="Vírgula 2 2 3 3 9 2" xfId="42480"/>
    <cellStyle name="Vírgula 2 2 3 4" xfId="4227"/>
    <cellStyle name="Vírgula 2 2 3 4 10" xfId="11085"/>
    <cellStyle name="Vírgula 2 2 3 4 10 2" xfId="36591"/>
    <cellStyle name="Vírgula 2 2 3 4 11" xfId="30410"/>
    <cellStyle name="Vírgula 2 2 3 4 2" xfId="4371"/>
    <cellStyle name="Vírgula 2 2 3 4 2 2" xfId="7772"/>
    <cellStyle name="Vírgula 2 2 3 4 2 2 2" xfId="10842"/>
    <cellStyle name="Vírgula 2 2 3 4 2 2 2 2" xfId="29056"/>
    <cellStyle name="Vírgula 2 2 3 4 2 2 2 2 2" xfId="54123"/>
    <cellStyle name="Vírgula 2 2 3 4 2 2 2 3" xfId="23142"/>
    <cellStyle name="Vírgula 2 2 3 4 2 2 2 3 2" xfId="48209"/>
    <cellStyle name="Vírgula 2 2 3 4 2 2 2 4" xfId="17228"/>
    <cellStyle name="Vírgula 2 2 3 4 2 2 2 4 2" xfId="42295"/>
    <cellStyle name="Vírgula 2 2 3 4 2 2 2 5" xfId="36387"/>
    <cellStyle name="Vírgula 2 2 3 4 2 2 3" xfId="26099"/>
    <cellStyle name="Vírgula 2 2 3 4 2 2 3 2" xfId="51166"/>
    <cellStyle name="Vírgula 2 2 3 4 2 2 4" xfId="20185"/>
    <cellStyle name="Vírgula 2 2 3 4 2 2 4 2" xfId="45252"/>
    <cellStyle name="Vírgula 2 2 3 4 2 2 5" xfId="14161"/>
    <cellStyle name="Vírgula 2 2 3 4 2 2 5 2" xfId="39341"/>
    <cellStyle name="Vírgula 2 2 3 4 2 2 6" xfId="33430"/>
    <cellStyle name="Vírgula 2 2 3 4 2 3" xfId="9374"/>
    <cellStyle name="Vírgula 2 2 3 4 2 3 2" xfId="27588"/>
    <cellStyle name="Vírgula 2 2 3 4 2 3 2 2" xfId="52655"/>
    <cellStyle name="Vírgula 2 2 3 4 2 3 3" xfId="21674"/>
    <cellStyle name="Vírgula 2 2 3 4 2 3 3 2" xfId="46741"/>
    <cellStyle name="Vírgula 2 2 3 4 2 3 4" xfId="15760"/>
    <cellStyle name="Vírgula 2 2 3 4 2 3 4 2" xfId="40827"/>
    <cellStyle name="Vírgula 2 2 3 4 2 3 5" xfId="34919"/>
    <cellStyle name="Vírgula 2 2 3 4 2 4" xfId="6072"/>
    <cellStyle name="Vírgula 2 2 3 4 2 4 2" xfId="24631"/>
    <cellStyle name="Vírgula 2 2 3 4 2 4 2 2" xfId="49698"/>
    <cellStyle name="Vírgula 2 2 3 4 2 4 3" xfId="31962"/>
    <cellStyle name="Vírgula 2 2 3 4 2 5" xfId="18717"/>
    <cellStyle name="Vírgula 2 2 3 4 2 5 2" xfId="43784"/>
    <cellStyle name="Vírgula 2 2 3 4 2 6" xfId="12460"/>
    <cellStyle name="Vírgula 2 2 3 4 2 6 2" xfId="37873"/>
    <cellStyle name="Vírgula 2 2 3 4 2 7" xfId="30492"/>
    <cellStyle name="Vírgula 2 2 3 4 3" xfId="4479"/>
    <cellStyle name="Vírgula 2 2 3 4 3 2" xfId="7881"/>
    <cellStyle name="Vírgula 2 2 3 4 3 2 2" xfId="10904"/>
    <cellStyle name="Vírgula 2 2 3 4 3 2 2 2" xfId="29118"/>
    <cellStyle name="Vírgula 2 2 3 4 3 2 2 2 2" xfId="54185"/>
    <cellStyle name="Vírgula 2 2 3 4 3 2 2 3" xfId="23204"/>
    <cellStyle name="Vírgula 2 2 3 4 3 2 2 3 2" xfId="48271"/>
    <cellStyle name="Vírgula 2 2 3 4 3 2 2 4" xfId="17290"/>
    <cellStyle name="Vírgula 2 2 3 4 3 2 2 4 2" xfId="42357"/>
    <cellStyle name="Vírgula 2 2 3 4 3 2 2 5" xfId="36449"/>
    <cellStyle name="Vírgula 2 2 3 4 3 2 3" xfId="26161"/>
    <cellStyle name="Vírgula 2 2 3 4 3 2 3 2" xfId="51228"/>
    <cellStyle name="Vírgula 2 2 3 4 3 2 4" xfId="20247"/>
    <cellStyle name="Vírgula 2 2 3 4 3 2 4 2" xfId="45314"/>
    <cellStyle name="Vírgula 2 2 3 4 3 2 5" xfId="14270"/>
    <cellStyle name="Vírgula 2 2 3 4 3 2 5 2" xfId="39403"/>
    <cellStyle name="Vírgula 2 2 3 4 3 2 6" xfId="33492"/>
    <cellStyle name="Vírgula 2 2 3 4 3 3" xfId="9436"/>
    <cellStyle name="Vírgula 2 2 3 4 3 3 2" xfId="27650"/>
    <cellStyle name="Vírgula 2 2 3 4 3 3 2 2" xfId="52717"/>
    <cellStyle name="Vírgula 2 2 3 4 3 3 3" xfId="21736"/>
    <cellStyle name="Vírgula 2 2 3 4 3 3 3 2" xfId="46803"/>
    <cellStyle name="Vírgula 2 2 3 4 3 3 4" xfId="15822"/>
    <cellStyle name="Vírgula 2 2 3 4 3 3 4 2" xfId="40889"/>
    <cellStyle name="Vírgula 2 2 3 4 3 3 5" xfId="34981"/>
    <cellStyle name="Vírgula 2 2 3 4 3 4" xfId="6180"/>
    <cellStyle name="Vírgula 2 2 3 4 3 4 2" xfId="24693"/>
    <cellStyle name="Vírgula 2 2 3 4 3 4 2 2" xfId="49760"/>
    <cellStyle name="Vírgula 2 2 3 4 3 4 3" xfId="32024"/>
    <cellStyle name="Vírgula 2 2 3 4 3 5" xfId="18779"/>
    <cellStyle name="Vírgula 2 2 3 4 3 5 2" xfId="43846"/>
    <cellStyle name="Vírgula 2 2 3 4 3 6" xfId="12569"/>
    <cellStyle name="Vírgula 2 2 3 4 3 6 2" xfId="37935"/>
    <cellStyle name="Vírgula 2 2 3 4 3 7" xfId="30554"/>
    <cellStyle name="Vírgula 2 2 3 4 4" xfId="4587"/>
    <cellStyle name="Vírgula 2 2 3 4 4 2" xfId="7989"/>
    <cellStyle name="Vírgula 2 2 3 4 4 2 2" xfId="10966"/>
    <cellStyle name="Vírgula 2 2 3 4 4 2 2 2" xfId="29180"/>
    <cellStyle name="Vírgula 2 2 3 4 4 2 2 2 2" xfId="54247"/>
    <cellStyle name="Vírgula 2 2 3 4 4 2 2 3" xfId="23266"/>
    <cellStyle name="Vírgula 2 2 3 4 4 2 2 3 2" xfId="48333"/>
    <cellStyle name="Vírgula 2 2 3 4 4 2 2 4" xfId="17352"/>
    <cellStyle name="Vírgula 2 2 3 4 4 2 2 4 2" xfId="42419"/>
    <cellStyle name="Vírgula 2 2 3 4 4 2 2 5" xfId="36511"/>
    <cellStyle name="Vírgula 2 2 3 4 4 2 3" xfId="26223"/>
    <cellStyle name="Vírgula 2 2 3 4 4 2 3 2" xfId="51290"/>
    <cellStyle name="Vírgula 2 2 3 4 4 2 4" xfId="20309"/>
    <cellStyle name="Vírgula 2 2 3 4 4 2 4 2" xfId="45376"/>
    <cellStyle name="Vírgula 2 2 3 4 4 2 5" xfId="14378"/>
    <cellStyle name="Vírgula 2 2 3 4 4 2 5 2" xfId="39465"/>
    <cellStyle name="Vírgula 2 2 3 4 4 2 6" xfId="33554"/>
    <cellStyle name="Vírgula 2 2 3 4 4 3" xfId="9498"/>
    <cellStyle name="Vírgula 2 2 3 4 4 3 2" xfId="27712"/>
    <cellStyle name="Vírgula 2 2 3 4 4 3 2 2" xfId="52779"/>
    <cellStyle name="Vírgula 2 2 3 4 4 3 3" xfId="21798"/>
    <cellStyle name="Vírgula 2 2 3 4 4 3 3 2" xfId="46865"/>
    <cellStyle name="Vírgula 2 2 3 4 4 3 4" xfId="15884"/>
    <cellStyle name="Vírgula 2 2 3 4 4 3 4 2" xfId="40951"/>
    <cellStyle name="Vírgula 2 2 3 4 4 3 5" xfId="35043"/>
    <cellStyle name="Vírgula 2 2 3 4 4 4" xfId="6288"/>
    <cellStyle name="Vírgula 2 2 3 4 4 4 2" xfId="24755"/>
    <cellStyle name="Vírgula 2 2 3 4 4 4 2 2" xfId="49822"/>
    <cellStyle name="Vírgula 2 2 3 4 4 4 3" xfId="32086"/>
    <cellStyle name="Vírgula 2 2 3 4 4 5" xfId="18841"/>
    <cellStyle name="Vírgula 2 2 3 4 4 5 2" xfId="43908"/>
    <cellStyle name="Vírgula 2 2 3 4 4 6" xfId="12677"/>
    <cellStyle name="Vírgula 2 2 3 4 4 6 2" xfId="37997"/>
    <cellStyle name="Vírgula 2 2 3 4 4 7" xfId="30616"/>
    <cellStyle name="Vírgula 2 2 3 4 5" xfId="5927"/>
    <cellStyle name="Vírgula 2 2 3 4 5 2" xfId="7627"/>
    <cellStyle name="Vírgula 2 2 3 4 5 2 2" xfId="10760"/>
    <cellStyle name="Vírgula 2 2 3 4 5 2 2 2" xfId="28974"/>
    <cellStyle name="Vírgula 2 2 3 4 5 2 2 2 2" xfId="54041"/>
    <cellStyle name="Vírgula 2 2 3 4 5 2 2 3" xfId="23060"/>
    <cellStyle name="Vírgula 2 2 3 4 5 2 2 3 2" xfId="48127"/>
    <cellStyle name="Vírgula 2 2 3 4 5 2 2 4" xfId="17146"/>
    <cellStyle name="Vírgula 2 2 3 4 5 2 2 4 2" xfId="42213"/>
    <cellStyle name="Vírgula 2 2 3 4 5 2 2 5" xfId="36305"/>
    <cellStyle name="Vírgula 2 2 3 4 5 2 3" xfId="26017"/>
    <cellStyle name="Vírgula 2 2 3 4 5 2 3 2" xfId="51084"/>
    <cellStyle name="Vírgula 2 2 3 4 5 2 4" xfId="20103"/>
    <cellStyle name="Vírgula 2 2 3 4 5 2 4 2" xfId="45170"/>
    <cellStyle name="Vírgula 2 2 3 4 5 2 5" xfId="14016"/>
    <cellStyle name="Vírgula 2 2 3 4 5 2 5 2" xfId="39259"/>
    <cellStyle name="Vírgula 2 2 3 4 5 2 6" xfId="33348"/>
    <cellStyle name="Vírgula 2 2 3 4 5 3" xfId="9292"/>
    <cellStyle name="Vírgula 2 2 3 4 5 3 2" xfId="27506"/>
    <cellStyle name="Vírgula 2 2 3 4 5 3 2 2" xfId="52573"/>
    <cellStyle name="Vírgula 2 2 3 4 5 3 3" xfId="21592"/>
    <cellStyle name="Vírgula 2 2 3 4 5 3 3 2" xfId="46659"/>
    <cellStyle name="Vírgula 2 2 3 4 5 3 4" xfId="15678"/>
    <cellStyle name="Vírgula 2 2 3 4 5 3 4 2" xfId="40745"/>
    <cellStyle name="Vírgula 2 2 3 4 5 3 5" xfId="34837"/>
    <cellStyle name="Vírgula 2 2 3 4 5 4" xfId="24549"/>
    <cellStyle name="Vírgula 2 2 3 4 5 4 2" xfId="49616"/>
    <cellStyle name="Vírgula 2 2 3 4 5 5" xfId="18635"/>
    <cellStyle name="Vírgula 2 2 3 4 5 5 2" xfId="43702"/>
    <cellStyle name="Vírgula 2 2 3 4 5 6" xfId="12315"/>
    <cellStyle name="Vírgula 2 2 3 4 5 6 2" xfId="37791"/>
    <cellStyle name="Vírgula 2 2 3 4 5 7" xfId="31880"/>
    <cellStyle name="Vírgula 2 2 3 4 6" xfId="6397"/>
    <cellStyle name="Vírgula 2 2 3 4 6 2" xfId="9560"/>
    <cellStyle name="Vírgula 2 2 3 4 6 2 2" xfId="27774"/>
    <cellStyle name="Vírgula 2 2 3 4 6 2 2 2" xfId="52841"/>
    <cellStyle name="Vírgula 2 2 3 4 6 2 3" xfId="21860"/>
    <cellStyle name="Vírgula 2 2 3 4 6 2 3 2" xfId="46927"/>
    <cellStyle name="Vírgula 2 2 3 4 6 2 4" xfId="15946"/>
    <cellStyle name="Vírgula 2 2 3 4 6 2 4 2" xfId="41013"/>
    <cellStyle name="Vírgula 2 2 3 4 6 2 5" xfId="35105"/>
    <cellStyle name="Vírgula 2 2 3 4 6 3" xfId="24817"/>
    <cellStyle name="Vírgula 2 2 3 4 6 3 2" xfId="49884"/>
    <cellStyle name="Vírgula 2 2 3 4 6 4" xfId="18903"/>
    <cellStyle name="Vírgula 2 2 3 4 6 4 2" xfId="43970"/>
    <cellStyle name="Vírgula 2 2 3 4 6 5" xfId="12786"/>
    <cellStyle name="Vírgula 2 2 3 4 6 5 2" xfId="38059"/>
    <cellStyle name="Vírgula 2 2 3 4 6 6" xfId="32148"/>
    <cellStyle name="Vírgula 2 2 3 4 7" xfId="8089"/>
    <cellStyle name="Vírgula 2 2 3 4 7 2" xfId="26303"/>
    <cellStyle name="Vírgula 2 2 3 4 7 2 2" xfId="51370"/>
    <cellStyle name="Vírgula 2 2 3 4 7 3" xfId="20389"/>
    <cellStyle name="Vírgula 2 2 3 4 7 3 2" xfId="45456"/>
    <cellStyle name="Vírgula 2 2 3 4 7 4" xfId="14478"/>
    <cellStyle name="Vírgula 2 2 3 4 7 4 2" xfId="39545"/>
    <cellStyle name="Vírgula 2 2 3 4 7 5" xfId="33634"/>
    <cellStyle name="Vírgula 2 2 3 4 8" xfId="4694"/>
    <cellStyle name="Vírgula 2 2 3 4 8 2" xfId="23346"/>
    <cellStyle name="Vírgula 2 2 3 4 8 2 2" xfId="48413"/>
    <cellStyle name="Vírgula 2 2 3 4 8 3" xfId="30678"/>
    <cellStyle name="Vírgula 2 2 3 4 9" xfId="17432"/>
    <cellStyle name="Vírgula 2 2 3 4 9 2" xfId="42499"/>
    <cellStyle name="Vírgula 2 2 3 5" xfId="4303"/>
    <cellStyle name="Vírgula 2 2 3 5 2" xfId="7704"/>
    <cellStyle name="Vírgula 2 2 3 5 2 2" xfId="10803"/>
    <cellStyle name="Vírgula 2 2 3 5 2 2 2" xfId="29017"/>
    <cellStyle name="Vírgula 2 2 3 5 2 2 2 2" xfId="54084"/>
    <cellStyle name="Vírgula 2 2 3 5 2 2 3" xfId="23103"/>
    <cellStyle name="Vírgula 2 2 3 5 2 2 3 2" xfId="48170"/>
    <cellStyle name="Vírgula 2 2 3 5 2 2 4" xfId="17189"/>
    <cellStyle name="Vírgula 2 2 3 5 2 2 4 2" xfId="42256"/>
    <cellStyle name="Vírgula 2 2 3 5 2 2 5" xfId="36348"/>
    <cellStyle name="Vírgula 2 2 3 5 2 3" xfId="26060"/>
    <cellStyle name="Vírgula 2 2 3 5 2 3 2" xfId="51127"/>
    <cellStyle name="Vírgula 2 2 3 5 2 4" xfId="20146"/>
    <cellStyle name="Vírgula 2 2 3 5 2 4 2" xfId="45213"/>
    <cellStyle name="Vírgula 2 2 3 5 2 5" xfId="14093"/>
    <cellStyle name="Vírgula 2 2 3 5 2 5 2" xfId="39302"/>
    <cellStyle name="Vírgula 2 2 3 5 2 6" xfId="33391"/>
    <cellStyle name="Vírgula 2 2 3 5 3" xfId="9335"/>
    <cellStyle name="Vírgula 2 2 3 5 3 2" xfId="27549"/>
    <cellStyle name="Vírgula 2 2 3 5 3 2 2" xfId="52616"/>
    <cellStyle name="Vírgula 2 2 3 5 3 3" xfId="21635"/>
    <cellStyle name="Vírgula 2 2 3 5 3 3 2" xfId="46702"/>
    <cellStyle name="Vírgula 2 2 3 5 3 4" xfId="15721"/>
    <cellStyle name="Vírgula 2 2 3 5 3 4 2" xfId="40788"/>
    <cellStyle name="Vírgula 2 2 3 5 3 5" xfId="34880"/>
    <cellStyle name="Vírgula 2 2 3 5 4" xfId="6004"/>
    <cellStyle name="Vírgula 2 2 3 5 4 2" xfId="24592"/>
    <cellStyle name="Vírgula 2 2 3 5 4 2 2" xfId="49659"/>
    <cellStyle name="Vírgula 2 2 3 5 4 3" xfId="31923"/>
    <cellStyle name="Vírgula 2 2 3 5 5" xfId="18678"/>
    <cellStyle name="Vírgula 2 2 3 5 5 2" xfId="43745"/>
    <cellStyle name="Vírgula 2 2 3 5 6" xfId="12392"/>
    <cellStyle name="Vírgula 2 2 3 5 6 2" xfId="37834"/>
    <cellStyle name="Vírgula 2 2 3 5 7" xfId="30453"/>
    <cellStyle name="Vírgula 2 2 3 6" xfId="4411"/>
    <cellStyle name="Vírgula 2 2 3 6 2" xfId="7813"/>
    <cellStyle name="Vírgula 2 2 3 6 2 2" xfId="10865"/>
    <cellStyle name="Vírgula 2 2 3 6 2 2 2" xfId="29079"/>
    <cellStyle name="Vírgula 2 2 3 6 2 2 2 2" xfId="54146"/>
    <cellStyle name="Vírgula 2 2 3 6 2 2 3" xfId="23165"/>
    <cellStyle name="Vírgula 2 2 3 6 2 2 3 2" xfId="48232"/>
    <cellStyle name="Vírgula 2 2 3 6 2 2 4" xfId="17251"/>
    <cellStyle name="Vírgula 2 2 3 6 2 2 4 2" xfId="42318"/>
    <cellStyle name="Vírgula 2 2 3 6 2 2 5" xfId="36410"/>
    <cellStyle name="Vírgula 2 2 3 6 2 3" xfId="26122"/>
    <cellStyle name="Vírgula 2 2 3 6 2 3 2" xfId="51189"/>
    <cellStyle name="Vírgula 2 2 3 6 2 4" xfId="20208"/>
    <cellStyle name="Vírgula 2 2 3 6 2 4 2" xfId="45275"/>
    <cellStyle name="Vírgula 2 2 3 6 2 5" xfId="14202"/>
    <cellStyle name="Vírgula 2 2 3 6 2 5 2" xfId="39364"/>
    <cellStyle name="Vírgula 2 2 3 6 2 6" xfId="33453"/>
    <cellStyle name="Vírgula 2 2 3 6 3" xfId="9397"/>
    <cellStyle name="Vírgula 2 2 3 6 3 2" xfId="27611"/>
    <cellStyle name="Vírgula 2 2 3 6 3 2 2" xfId="52678"/>
    <cellStyle name="Vírgula 2 2 3 6 3 3" xfId="21697"/>
    <cellStyle name="Vírgula 2 2 3 6 3 3 2" xfId="46764"/>
    <cellStyle name="Vírgula 2 2 3 6 3 4" xfId="15783"/>
    <cellStyle name="Vírgula 2 2 3 6 3 4 2" xfId="40850"/>
    <cellStyle name="Vírgula 2 2 3 6 3 5" xfId="34942"/>
    <cellStyle name="Vírgula 2 2 3 6 4" xfId="6113"/>
    <cellStyle name="Vírgula 2 2 3 6 4 2" xfId="24654"/>
    <cellStyle name="Vírgula 2 2 3 6 4 2 2" xfId="49721"/>
    <cellStyle name="Vírgula 2 2 3 6 4 3" xfId="31985"/>
    <cellStyle name="Vírgula 2 2 3 6 5" xfId="18740"/>
    <cellStyle name="Vírgula 2 2 3 6 5 2" xfId="43807"/>
    <cellStyle name="Vírgula 2 2 3 6 6" xfId="12501"/>
    <cellStyle name="Vírgula 2 2 3 6 6 2" xfId="37896"/>
    <cellStyle name="Vírgula 2 2 3 6 7" xfId="30515"/>
    <cellStyle name="Vírgula 2 2 3 7" xfId="4519"/>
    <cellStyle name="Vírgula 2 2 3 7 2" xfId="7921"/>
    <cellStyle name="Vírgula 2 2 3 7 2 2" xfId="10927"/>
    <cellStyle name="Vírgula 2 2 3 7 2 2 2" xfId="29141"/>
    <cellStyle name="Vírgula 2 2 3 7 2 2 2 2" xfId="54208"/>
    <cellStyle name="Vírgula 2 2 3 7 2 2 3" xfId="23227"/>
    <cellStyle name="Vírgula 2 2 3 7 2 2 3 2" xfId="48294"/>
    <cellStyle name="Vírgula 2 2 3 7 2 2 4" xfId="17313"/>
    <cellStyle name="Vírgula 2 2 3 7 2 2 4 2" xfId="42380"/>
    <cellStyle name="Vírgula 2 2 3 7 2 2 5" xfId="36472"/>
    <cellStyle name="Vírgula 2 2 3 7 2 3" xfId="26184"/>
    <cellStyle name="Vírgula 2 2 3 7 2 3 2" xfId="51251"/>
    <cellStyle name="Vírgula 2 2 3 7 2 4" xfId="20270"/>
    <cellStyle name="Vírgula 2 2 3 7 2 4 2" xfId="45337"/>
    <cellStyle name="Vírgula 2 2 3 7 2 5" xfId="14310"/>
    <cellStyle name="Vírgula 2 2 3 7 2 5 2" xfId="39426"/>
    <cellStyle name="Vírgula 2 2 3 7 2 6" xfId="33515"/>
    <cellStyle name="Vírgula 2 2 3 7 3" xfId="9459"/>
    <cellStyle name="Vírgula 2 2 3 7 3 2" xfId="27673"/>
    <cellStyle name="Vírgula 2 2 3 7 3 2 2" xfId="52740"/>
    <cellStyle name="Vírgula 2 2 3 7 3 3" xfId="21759"/>
    <cellStyle name="Vírgula 2 2 3 7 3 3 2" xfId="46826"/>
    <cellStyle name="Vírgula 2 2 3 7 3 4" xfId="15845"/>
    <cellStyle name="Vírgula 2 2 3 7 3 4 2" xfId="40912"/>
    <cellStyle name="Vírgula 2 2 3 7 3 5" xfId="35004"/>
    <cellStyle name="Vírgula 2 2 3 7 4" xfId="6220"/>
    <cellStyle name="Vírgula 2 2 3 7 4 2" xfId="24716"/>
    <cellStyle name="Vírgula 2 2 3 7 4 2 2" xfId="49783"/>
    <cellStyle name="Vírgula 2 2 3 7 4 3" xfId="32047"/>
    <cellStyle name="Vírgula 2 2 3 7 5" xfId="18802"/>
    <cellStyle name="Vírgula 2 2 3 7 5 2" xfId="43869"/>
    <cellStyle name="Vírgula 2 2 3 7 6" xfId="12609"/>
    <cellStyle name="Vírgula 2 2 3 7 6 2" xfId="37958"/>
    <cellStyle name="Vírgula 2 2 3 7 7" xfId="30577"/>
    <cellStyle name="Vírgula 2 2 3 8" xfId="5002"/>
    <cellStyle name="Vírgula 2 2 3 8 2" xfId="6701"/>
    <cellStyle name="Vírgula 2 2 3 8 2 2" xfId="9848"/>
    <cellStyle name="Vírgula 2 2 3 8 2 2 2" xfId="28062"/>
    <cellStyle name="Vírgula 2 2 3 8 2 2 2 2" xfId="53129"/>
    <cellStyle name="Vírgula 2 2 3 8 2 2 3" xfId="22148"/>
    <cellStyle name="Vírgula 2 2 3 8 2 2 3 2" xfId="47215"/>
    <cellStyle name="Vírgula 2 2 3 8 2 2 4" xfId="16234"/>
    <cellStyle name="Vírgula 2 2 3 8 2 2 4 2" xfId="41301"/>
    <cellStyle name="Vírgula 2 2 3 8 2 2 5" xfId="35393"/>
    <cellStyle name="Vírgula 2 2 3 8 2 3" xfId="25105"/>
    <cellStyle name="Vírgula 2 2 3 8 2 3 2" xfId="50172"/>
    <cellStyle name="Vírgula 2 2 3 8 2 4" xfId="19191"/>
    <cellStyle name="Vírgula 2 2 3 8 2 4 2" xfId="44258"/>
    <cellStyle name="Vírgula 2 2 3 8 2 5" xfId="13090"/>
    <cellStyle name="Vírgula 2 2 3 8 2 5 2" xfId="38347"/>
    <cellStyle name="Vírgula 2 2 3 8 2 6" xfId="32436"/>
    <cellStyle name="Vírgula 2 2 3 8 3" xfId="8380"/>
    <cellStyle name="Vírgula 2 2 3 8 3 2" xfId="26594"/>
    <cellStyle name="Vírgula 2 2 3 8 3 2 2" xfId="51661"/>
    <cellStyle name="Vírgula 2 2 3 8 3 3" xfId="20680"/>
    <cellStyle name="Vírgula 2 2 3 8 3 3 2" xfId="45747"/>
    <cellStyle name="Vírgula 2 2 3 8 3 4" xfId="14766"/>
    <cellStyle name="Vírgula 2 2 3 8 3 4 2" xfId="39833"/>
    <cellStyle name="Vírgula 2 2 3 8 3 5" xfId="33925"/>
    <cellStyle name="Vírgula 2 2 3 8 4" xfId="23637"/>
    <cellStyle name="Vírgula 2 2 3 8 4 2" xfId="48704"/>
    <cellStyle name="Vírgula 2 2 3 8 5" xfId="17723"/>
    <cellStyle name="Vírgula 2 2 3 8 5 2" xfId="42790"/>
    <cellStyle name="Vírgula 2 2 3 8 6" xfId="11389"/>
    <cellStyle name="Vírgula 2 2 3 8 6 2" xfId="36879"/>
    <cellStyle name="Vírgula 2 2 3 8 7" xfId="30968"/>
    <cellStyle name="Vírgula 2 2 3 9" xfId="6329"/>
    <cellStyle name="Vírgula 2 2 3 9 2" xfId="9521"/>
    <cellStyle name="Vírgula 2 2 3 9 2 2" xfId="27735"/>
    <cellStyle name="Vírgula 2 2 3 9 2 2 2" xfId="52802"/>
    <cellStyle name="Vírgula 2 2 3 9 2 3" xfId="21821"/>
    <cellStyle name="Vírgula 2 2 3 9 2 3 2" xfId="46888"/>
    <cellStyle name="Vírgula 2 2 3 9 2 4" xfId="15907"/>
    <cellStyle name="Vírgula 2 2 3 9 2 4 2" xfId="40974"/>
    <cellStyle name="Vírgula 2 2 3 9 2 5" xfId="35066"/>
    <cellStyle name="Vírgula 2 2 3 9 3" xfId="24778"/>
    <cellStyle name="Vírgula 2 2 3 9 3 2" xfId="49845"/>
    <cellStyle name="Vírgula 2 2 3 9 4" xfId="18864"/>
    <cellStyle name="Vírgula 2 2 3 9 4 2" xfId="43931"/>
    <cellStyle name="Vírgula 2 2 3 9 5" xfId="12718"/>
    <cellStyle name="Vírgula 2 2 3 9 5 2" xfId="38020"/>
    <cellStyle name="Vírgula 2 2 3 9 6" xfId="32109"/>
    <cellStyle name="Vírgula 2 2 4" xfId="1307"/>
    <cellStyle name="Vírgula 2 2 4 10" xfId="8053"/>
    <cellStyle name="Vírgula 2 2 4 10 2" xfId="26267"/>
    <cellStyle name="Vírgula 2 2 4 10 2 2" xfId="51334"/>
    <cellStyle name="Vírgula 2 2 4 10 3" xfId="20353"/>
    <cellStyle name="Vírgula 2 2 4 10 3 2" xfId="45420"/>
    <cellStyle name="Vírgula 2 2 4 10 4" xfId="14442"/>
    <cellStyle name="Vírgula 2 2 4 10 4 2" xfId="39509"/>
    <cellStyle name="Vírgula 2 2 4 10 5" xfId="33598"/>
    <cellStyle name="Vírgula 2 2 4 11" xfId="4632"/>
    <cellStyle name="Vírgula 2 2 4 11 2" xfId="23310"/>
    <cellStyle name="Vírgula 2 2 4 11 2 2" xfId="48377"/>
    <cellStyle name="Vírgula 2 2 4 11 3" xfId="30642"/>
    <cellStyle name="Vírgula 2 2 4 12" xfId="17396"/>
    <cellStyle name="Vírgula 2 2 4 12 2" xfId="42463"/>
    <cellStyle name="Vírgula 2 2 4 13" xfId="11023"/>
    <cellStyle name="Vírgula 2 2 4 13 2" xfId="36555"/>
    <cellStyle name="Vírgula 2 2 4 14" xfId="29596"/>
    <cellStyle name="Vírgula 2 2 4 2" xfId="4267"/>
    <cellStyle name="Vírgula 2 2 4 2 10" xfId="11058"/>
    <cellStyle name="Vírgula 2 2 4 2 10 2" xfId="36575"/>
    <cellStyle name="Vírgula 2 2 4 2 11" xfId="30433"/>
    <cellStyle name="Vírgula 2 2 4 2 2" xfId="4344"/>
    <cellStyle name="Vírgula 2 2 4 2 2 2" xfId="7745"/>
    <cellStyle name="Vírgula 2 2 4 2 2 2 2" xfId="10826"/>
    <cellStyle name="Vírgula 2 2 4 2 2 2 2 2" xfId="29040"/>
    <cellStyle name="Vírgula 2 2 4 2 2 2 2 2 2" xfId="54107"/>
    <cellStyle name="Vírgula 2 2 4 2 2 2 2 3" xfId="23126"/>
    <cellStyle name="Vírgula 2 2 4 2 2 2 2 3 2" xfId="48193"/>
    <cellStyle name="Vírgula 2 2 4 2 2 2 2 4" xfId="17212"/>
    <cellStyle name="Vírgula 2 2 4 2 2 2 2 4 2" xfId="42279"/>
    <cellStyle name="Vírgula 2 2 4 2 2 2 2 5" xfId="36371"/>
    <cellStyle name="Vírgula 2 2 4 2 2 2 3" xfId="26083"/>
    <cellStyle name="Vírgula 2 2 4 2 2 2 3 2" xfId="51150"/>
    <cellStyle name="Vírgula 2 2 4 2 2 2 4" xfId="20169"/>
    <cellStyle name="Vírgula 2 2 4 2 2 2 4 2" xfId="45236"/>
    <cellStyle name="Vírgula 2 2 4 2 2 2 5" xfId="14134"/>
    <cellStyle name="Vírgula 2 2 4 2 2 2 5 2" xfId="39325"/>
    <cellStyle name="Vírgula 2 2 4 2 2 2 6" xfId="33414"/>
    <cellStyle name="Vírgula 2 2 4 2 2 3" xfId="9358"/>
    <cellStyle name="Vírgula 2 2 4 2 2 3 2" xfId="27572"/>
    <cellStyle name="Vírgula 2 2 4 2 2 3 2 2" xfId="52639"/>
    <cellStyle name="Vírgula 2 2 4 2 2 3 3" xfId="21658"/>
    <cellStyle name="Vírgula 2 2 4 2 2 3 3 2" xfId="46725"/>
    <cellStyle name="Vírgula 2 2 4 2 2 3 4" xfId="15744"/>
    <cellStyle name="Vírgula 2 2 4 2 2 3 4 2" xfId="40811"/>
    <cellStyle name="Vírgula 2 2 4 2 2 3 5" xfId="34903"/>
    <cellStyle name="Vírgula 2 2 4 2 2 4" xfId="6045"/>
    <cellStyle name="Vírgula 2 2 4 2 2 4 2" xfId="24615"/>
    <cellStyle name="Vírgula 2 2 4 2 2 4 2 2" xfId="49682"/>
    <cellStyle name="Vírgula 2 2 4 2 2 4 3" xfId="31946"/>
    <cellStyle name="Vírgula 2 2 4 2 2 5" xfId="18701"/>
    <cellStyle name="Vírgula 2 2 4 2 2 5 2" xfId="43768"/>
    <cellStyle name="Vírgula 2 2 4 2 2 6" xfId="12433"/>
    <cellStyle name="Vírgula 2 2 4 2 2 6 2" xfId="37857"/>
    <cellStyle name="Vírgula 2 2 4 2 2 7" xfId="30476"/>
    <cellStyle name="Vírgula 2 2 4 2 3" xfId="4452"/>
    <cellStyle name="Vírgula 2 2 4 2 3 2" xfId="7854"/>
    <cellStyle name="Vírgula 2 2 4 2 3 2 2" xfId="10888"/>
    <cellStyle name="Vírgula 2 2 4 2 3 2 2 2" xfId="29102"/>
    <cellStyle name="Vírgula 2 2 4 2 3 2 2 2 2" xfId="54169"/>
    <cellStyle name="Vírgula 2 2 4 2 3 2 2 3" xfId="23188"/>
    <cellStyle name="Vírgula 2 2 4 2 3 2 2 3 2" xfId="48255"/>
    <cellStyle name="Vírgula 2 2 4 2 3 2 2 4" xfId="17274"/>
    <cellStyle name="Vírgula 2 2 4 2 3 2 2 4 2" xfId="42341"/>
    <cellStyle name="Vírgula 2 2 4 2 3 2 2 5" xfId="36433"/>
    <cellStyle name="Vírgula 2 2 4 2 3 2 3" xfId="26145"/>
    <cellStyle name="Vírgula 2 2 4 2 3 2 3 2" xfId="51212"/>
    <cellStyle name="Vírgula 2 2 4 2 3 2 4" xfId="20231"/>
    <cellStyle name="Vírgula 2 2 4 2 3 2 4 2" xfId="45298"/>
    <cellStyle name="Vírgula 2 2 4 2 3 2 5" xfId="14243"/>
    <cellStyle name="Vírgula 2 2 4 2 3 2 5 2" xfId="39387"/>
    <cellStyle name="Vírgula 2 2 4 2 3 2 6" xfId="33476"/>
    <cellStyle name="Vírgula 2 2 4 2 3 3" xfId="9420"/>
    <cellStyle name="Vírgula 2 2 4 2 3 3 2" xfId="27634"/>
    <cellStyle name="Vírgula 2 2 4 2 3 3 2 2" xfId="52701"/>
    <cellStyle name="Vírgula 2 2 4 2 3 3 3" xfId="21720"/>
    <cellStyle name="Vírgula 2 2 4 2 3 3 3 2" xfId="46787"/>
    <cellStyle name="Vírgula 2 2 4 2 3 3 4" xfId="15806"/>
    <cellStyle name="Vírgula 2 2 4 2 3 3 4 2" xfId="40873"/>
    <cellStyle name="Vírgula 2 2 4 2 3 3 5" xfId="34965"/>
    <cellStyle name="Vírgula 2 2 4 2 3 4" xfId="6154"/>
    <cellStyle name="Vírgula 2 2 4 2 3 4 2" xfId="24677"/>
    <cellStyle name="Vírgula 2 2 4 2 3 4 2 2" xfId="49744"/>
    <cellStyle name="Vírgula 2 2 4 2 3 4 3" xfId="32008"/>
    <cellStyle name="Vírgula 2 2 4 2 3 5" xfId="18763"/>
    <cellStyle name="Vírgula 2 2 4 2 3 5 2" xfId="43830"/>
    <cellStyle name="Vírgula 2 2 4 2 3 6" xfId="12542"/>
    <cellStyle name="Vírgula 2 2 4 2 3 6 2" xfId="37919"/>
    <cellStyle name="Vírgula 2 2 4 2 3 7" xfId="30538"/>
    <cellStyle name="Vírgula 2 2 4 2 4" xfId="4560"/>
    <cellStyle name="Vírgula 2 2 4 2 4 2" xfId="7962"/>
    <cellStyle name="Vírgula 2 2 4 2 4 2 2" xfId="10950"/>
    <cellStyle name="Vírgula 2 2 4 2 4 2 2 2" xfId="29164"/>
    <cellStyle name="Vírgula 2 2 4 2 4 2 2 2 2" xfId="54231"/>
    <cellStyle name="Vírgula 2 2 4 2 4 2 2 3" xfId="23250"/>
    <cellStyle name="Vírgula 2 2 4 2 4 2 2 3 2" xfId="48317"/>
    <cellStyle name="Vírgula 2 2 4 2 4 2 2 4" xfId="17336"/>
    <cellStyle name="Vírgula 2 2 4 2 4 2 2 4 2" xfId="42403"/>
    <cellStyle name="Vírgula 2 2 4 2 4 2 2 5" xfId="36495"/>
    <cellStyle name="Vírgula 2 2 4 2 4 2 3" xfId="26207"/>
    <cellStyle name="Vírgula 2 2 4 2 4 2 3 2" xfId="51274"/>
    <cellStyle name="Vírgula 2 2 4 2 4 2 4" xfId="20293"/>
    <cellStyle name="Vírgula 2 2 4 2 4 2 4 2" xfId="45360"/>
    <cellStyle name="Vírgula 2 2 4 2 4 2 5" xfId="14351"/>
    <cellStyle name="Vírgula 2 2 4 2 4 2 5 2" xfId="39449"/>
    <cellStyle name="Vírgula 2 2 4 2 4 2 6" xfId="33538"/>
    <cellStyle name="Vírgula 2 2 4 2 4 3" xfId="9482"/>
    <cellStyle name="Vírgula 2 2 4 2 4 3 2" xfId="27696"/>
    <cellStyle name="Vírgula 2 2 4 2 4 3 2 2" xfId="52763"/>
    <cellStyle name="Vírgula 2 2 4 2 4 3 3" xfId="21782"/>
    <cellStyle name="Vírgula 2 2 4 2 4 3 3 2" xfId="46849"/>
    <cellStyle name="Vírgula 2 2 4 2 4 3 4" xfId="15868"/>
    <cellStyle name="Vírgula 2 2 4 2 4 3 4 2" xfId="40935"/>
    <cellStyle name="Vírgula 2 2 4 2 4 3 5" xfId="35027"/>
    <cellStyle name="Vírgula 2 2 4 2 4 4" xfId="6261"/>
    <cellStyle name="Vírgula 2 2 4 2 4 4 2" xfId="24739"/>
    <cellStyle name="Vírgula 2 2 4 2 4 4 2 2" xfId="49806"/>
    <cellStyle name="Vírgula 2 2 4 2 4 4 3" xfId="32070"/>
    <cellStyle name="Vírgula 2 2 4 2 4 5" xfId="18825"/>
    <cellStyle name="Vírgula 2 2 4 2 4 5 2" xfId="43892"/>
    <cellStyle name="Vírgula 2 2 4 2 4 6" xfId="12650"/>
    <cellStyle name="Vírgula 2 2 4 2 4 6 2" xfId="37981"/>
    <cellStyle name="Vírgula 2 2 4 2 4 7" xfId="30600"/>
    <cellStyle name="Vírgula 2 2 4 2 5" xfId="5968"/>
    <cellStyle name="Vírgula 2 2 4 2 5 2" xfId="7668"/>
    <cellStyle name="Vírgula 2 2 4 2 5 2 2" xfId="10783"/>
    <cellStyle name="Vírgula 2 2 4 2 5 2 2 2" xfId="28997"/>
    <cellStyle name="Vírgula 2 2 4 2 5 2 2 2 2" xfId="54064"/>
    <cellStyle name="Vírgula 2 2 4 2 5 2 2 3" xfId="23083"/>
    <cellStyle name="Vírgula 2 2 4 2 5 2 2 3 2" xfId="48150"/>
    <cellStyle name="Vírgula 2 2 4 2 5 2 2 4" xfId="17169"/>
    <cellStyle name="Vírgula 2 2 4 2 5 2 2 4 2" xfId="42236"/>
    <cellStyle name="Vírgula 2 2 4 2 5 2 2 5" xfId="36328"/>
    <cellStyle name="Vírgula 2 2 4 2 5 2 3" xfId="26040"/>
    <cellStyle name="Vírgula 2 2 4 2 5 2 3 2" xfId="51107"/>
    <cellStyle name="Vírgula 2 2 4 2 5 2 4" xfId="20126"/>
    <cellStyle name="Vírgula 2 2 4 2 5 2 4 2" xfId="45193"/>
    <cellStyle name="Vírgula 2 2 4 2 5 2 5" xfId="14057"/>
    <cellStyle name="Vírgula 2 2 4 2 5 2 5 2" xfId="39282"/>
    <cellStyle name="Vírgula 2 2 4 2 5 2 6" xfId="33371"/>
    <cellStyle name="Vírgula 2 2 4 2 5 3" xfId="9315"/>
    <cellStyle name="Vírgula 2 2 4 2 5 3 2" xfId="27529"/>
    <cellStyle name="Vírgula 2 2 4 2 5 3 2 2" xfId="52596"/>
    <cellStyle name="Vírgula 2 2 4 2 5 3 3" xfId="21615"/>
    <cellStyle name="Vírgula 2 2 4 2 5 3 3 2" xfId="46682"/>
    <cellStyle name="Vírgula 2 2 4 2 5 3 4" xfId="15701"/>
    <cellStyle name="Vírgula 2 2 4 2 5 3 4 2" xfId="40768"/>
    <cellStyle name="Vírgula 2 2 4 2 5 3 5" xfId="34860"/>
    <cellStyle name="Vírgula 2 2 4 2 5 4" xfId="24572"/>
    <cellStyle name="Vírgula 2 2 4 2 5 4 2" xfId="49639"/>
    <cellStyle name="Vírgula 2 2 4 2 5 5" xfId="18658"/>
    <cellStyle name="Vírgula 2 2 4 2 5 5 2" xfId="43725"/>
    <cellStyle name="Vírgula 2 2 4 2 5 6" xfId="12356"/>
    <cellStyle name="Vírgula 2 2 4 2 5 6 2" xfId="37814"/>
    <cellStyle name="Vírgula 2 2 4 2 5 7" xfId="31903"/>
    <cellStyle name="Vírgula 2 2 4 2 6" xfId="6370"/>
    <cellStyle name="Vírgula 2 2 4 2 6 2" xfId="9544"/>
    <cellStyle name="Vírgula 2 2 4 2 6 2 2" xfId="27758"/>
    <cellStyle name="Vírgula 2 2 4 2 6 2 2 2" xfId="52825"/>
    <cellStyle name="Vírgula 2 2 4 2 6 2 3" xfId="21844"/>
    <cellStyle name="Vírgula 2 2 4 2 6 2 3 2" xfId="46911"/>
    <cellStyle name="Vírgula 2 2 4 2 6 2 4" xfId="15930"/>
    <cellStyle name="Vírgula 2 2 4 2 6 2 4 2" xfId="40997"/>
    <cellStyle name="Vírgula 2 2 4 2 6 2 5" xfId="35089"/>
    <cellStyle name="Vírgula 2 2 4 2 6 3" xfId="24801"/>
    <cellStyle name="Vírgula 2 2 4 2 6 3 2" xfId="49868"/>
    <cellStyle name="Vírgula 2 2 4 2 6 4" xfId="18887"/>
    <cellStyle name="Vírgula 2 2 4 2 6 4 2" xfId="43954"/>
    <cellStyle name="Vírgula 2 2 4 2 6 5" xfId="12759"/>
    <cellStyle name="Vírgula 2 2 4 2 6 5 2" xfId="38043"/>
    <cellStyle name="Vírgula 2 2 4 2 6 6" xfId="32132"/>
    <cellStyle name="Vírgula 2 2 4 2 7" xfId="8073"/>
    <cellStyle name="Vírgula 2 2 4 2 7 2" xfId="26287"/>
    <cellStyle name="Vírgula 2 2 4 2 7 2 2" xfId="51354"/>
    <cellStyle name="Vírgula 2 2 4 2 7 3" xfId="20373"/>
    <cellStyle name="Vírgula 2 2 4 2 7 3 2" xfId="45440"/>
    <cellStyle name="Vírgula 2 2 4 2 7 4" xfId="14462"/>
    <cellStyle name="Vírgula 2 2 4 2 7 4 2" xfId="39529"/>
    <cellStyle name="Vírgula 2 2 4 2 7 5" xfId="33618"/>
    <cellStyle name="Vírgula 2 2 4 2 8" xfId="4667"/>
    <cellStyle name="Vírgula 2 2 4 2 8 2" xfId="23330"/>
    <cellStyle name="Vírgula 2 2 4 2 8 2 2" xfId="48397"/>
    <cellStyle name="Vírgula 2 2 4 2 8 3" xfId="30662"/>
    <cellStyle name="Vírgula 2 2 4 2 9" xfId="17416"/>
    <cellStyle name="Vírgula 2 2 4 2 9 2" xfId="42483"/>
    <cellStyle name="Vírgula 2 2 4 3" xfId="4232"/>
    <cellStyle name="Vírgula 2 2 4 3 10" xfId="11091"/>
    <cellStyle name="Vírgula 2 2 4 3 10 2" xfId="36594"/>
    <cellStyle name="Vírgula 2 2 4 3 11" xfId="30413"/>
    <cellStyle name="Vírgula 2 2 4 3 2" xfId="4376"/>
    <cellStyle name="Vírgula 2 2 4 3 2 2" xfId="7778"/>
    <cellStyle name="Vírgula 2 2 4 3 2 2 2" xfId="10845"/>
    <cellStyle name="Vírgula 2 2 4 3 2 2 2 2" xfId="29059"/>
    <cellStyle name="Vírgula 2 2 4 3 2 2 2 2 2" xfId="54126"/>
    <cellStyle name="Vírgula 2 2 4 3 2 2 2 3" xfId="23145"/>
    <cellStyle name="Vírgula 2 2 4 3 2 2 2 3 2" xfId="48212"/>
    <cellStyle name="Vírgula 2 2 4 3 2 2 2 4" xfId="17231"/>
    <cellStyle name="Vírgula 2 2 4 3 2 2 2 4 2" xfId="42298"/>
    <cellStyle name="Vírgula 2 2 4 3 2 2 2 5" xfId="36390"/>
    <cellStyle name="Vírgula 2 2 4 3 2 2 3" xfId="26102"/>
    <cellStyle name="Vírgula 2 2 4 3 2 2 3 2" xfId="51169"/>
    <cellStyle name="Vírgula 2 2 4 3 2 2 4" xfId="20188"/>
    <cellStyle name="Vírgula 2 2 4 3 2 2 4 2" xfId="45255"/>
    <cellStyle name="Vírgula 2 2 4 3 2 2 5" xfId="14167"/>
    <cellStyle name="Vírgula 2 2 4 3 2 2 5 2" xfId="39344"/>
    <cellStyle name="Vírgula 2 2 4 3 2 2 6" xfId="33433"/>
    <cellStyle name="Vírgula 2 2 4 3 2 3" xfId="9377"/>
    <cellStyle name="Vírgula 2 2 4 3 2 3 2" xfId="27591"/>
    <cellStyle name="Vírgula 2 2 4 3 2 3 2 2" xfId="52658"/>
    <cellStyle name="Vírgula 2 2 4 3 2 3 3" xfId="21677"/>
    <cellStyle name="Vírgula 2 2 4 3 2 3 3 2" xfId="46744"/>
    <cellStyle name="Vírgula 2 2 4 3 2 3 4" xfId="15763"/>
    <cellStyle name="Vírgula 2 2 4 3 2 3 4 2" xfId="40830"/>
    <cellStyle name="Vírgula 2 2 4 3 2 3 5" xfId="34922"/>
    <cellStyle name="Vírgula 2 2 4 3 2 4" xfId="6078"/>
    <cellStyle name="Vírgula 2 2 4 3 2 4 2" xfId="24634"/>
    <cellStyle name="Vírgula 2 2 4 3 2 4 2 2" xfId="49701"/>
    <cellStyle name="Vírgula 2 2 4 3 2 4 3" xfId="31965"/>
    <cellStyle name="Vírgula 2 2 4 3 2 5" xfId="18720"/>
    <cellStyle name="Vírgula 2 2 4 3 2 5 2" xfId="43787"/>
    <cellStyle name="Vírgula 2 2 4 3 2 6" xfId="12466"/>
    <cellStyle name="Vírgula 2 2 4 3 2 6 2" xfId="37876"/>
    <cellStyle name="Vírgula 2 2 4 3 2 7" xfId="30495"/>
    <cellStyle name="Vírgula 2 2 4 3 3" xfId="4484"/>
    <cellStyle name="Vírgula 2 2 4 3 3 2" xfId="7886"/>
    <cellStyle name="Vírgula 2 2 4 3 3 2 2" xfId="10907"/>
    <cellStyle name="Vírgula 2 2 4 3 3 2 2 2" xfId="29121"/>
    <cellStyle name="Vírgula 2 2 4 3 3 2 2 2 2" xfId="54188"/>
    <cellStyle name="Vírgula 2 2 4 3 3 2 2 3" xfId="23207"/>
    <cellStyle name="Vírgula 2 2 4 3 3 2 2 3 2" xfId="48274"/>
    <cellStyle name="Vírgula 2 2 4 3 3 2 2 4" xfId="17293"/>
    <cellStyle name="Vírgula 2 2 4 3 3 2 2 4 2" xfId="42360"/>
    <cellStyle name="Vírgula 2 2 4 3 3 2 2 5" xfId="36452"/>
    <cellStyle name="Vírgula 2 2 4 3 3 2 3" xfId="26164"/>
    <cellStyle name="Vírgula 2 2 4 3 3 2 3 2" xfId="51231"/>
    <cellStyle name="Vírgula 2 2 4 3 3 2 4" xfId="20250"/>
    <cellStyle name="Vírgula 2 2 4 3 3 2 4 2" xfId="45317"/>
    <cellStyle name="Vírgula 2 2 4 3 3 2 5" xfId="14275"/>
    <cellStyle name="Vírgula 2 2 4 3 3 2 5 2" xfId="39406"/>
    <cellStyle name="Vírgula 2 2 4 3 3 2 6" xfId="33495"/>
    <cellStyle name="Vírgula 2 2 4 3 3 3" xfId="9439"/>
    <cellStyle name="Vírgula 2 2 4 3 3 3 2" xfId="27653"/>
    <cellStyle name="Vírgula 2 2 4 3 3 3 2 2" xfId="52720"/>
    <cellStyle name="Vírgula 2 2 4 3 3 3 3" xfId="21739"/>
    <cellStyle name="Vírgula 2 2 4 3 3 3 3 2" xfId="46806"/>
    <cellStyle name="Vírgula 2 2 4 3 3 3 4" xfId="15825"/>
    <cellStyle name="Vírgula 2 2 4 3 3 3 4 2" xfId="40892"/>
    <cellStyle name="Vírgula 2 2 4 3 3 3 5" xfId="34984"/>
    <cellStyle name="Vírgula 2 2 4 3 3 4" xfId="6185"/>
    <cellStyle name="Vírgula 2 2 4 3 3 4 2" xfId="24696"/>
    <cellStyle name="Vírgula 2 2 4 3 3 4 2 2" xfId="49763"/>
    <cellStyle name="Vírgula 2 2 4 3 3 4 3" xfId="32027"/>
    <cellStyle name="Vírgula 2 2 4 3 3 5" xfId="18782"/>
    <cellStyle name="Vírgula 2 2 4 3 3 5 2" xfId="43849"/>
    <cellStyle name="Vírgula 2 2 4 3 3 6" xfId="12574"/>
    <cellStyle name="Vírgula 2 2 4 3 3 6 2" xfId="37938"/>
    <cellStyle name="Vírgula 2 2 4 3 3 7" xfId="30557"/>
    <cellStyle name="Vírgula 2 2 4 3 4" xfId="4592"/>
    <cellStyle name="Vírgula 2 2 4 3 4 2" xfId="7995"/>
    <cellStyle name="Vírgula 2 2 4 3 4 2 2" xfId="10969"/>
    <cellStyle name="Vírgula 2 2 4 3 4 2 2 2" xfId="29183"/>
    <cellStyle name="Vírgula 2 2 4 3 4 2 2 2 2" xfId="54250"/>
    <cellStyle name="Vírgula 2 2 4 3 4 2 2 3" xfId="23269"/>
    <cellStyle name="Vírgula 2 2 4 3 4 2 2 3 2" xfId="48336"/>
    <cellStyle name="Vírgula 2 2 4 3 4 2 2 4" xfId="17355"/>
    <cellStyle name="Vírgula 2 2 4 3 4 2 2 4 2" xfId="42422"/>
    <cellStyle name="Vírgula 2 2 4 3 4 2 2 5" xfId="36514"/>
    <cellStyle name="Vírgula 2 2 4 3 4 2 3" xfId="26226"/>
    <cellStyle name="Vírgula 2 2 4 3 4 2 3 2" xfId="51293"/>
    <cellStyle name="Vírgula 2 2 4 3 4 2 4" xfId="20312"/>
    <cellStyle name="Vírgula 2 2 4 3 4 2 4 2" xfId="45379"/>
    <cellStyle name="Vírgula 2 2 4 3 4 2 5" xfId="14384"/>
    <cellStyle name="Vírgula 2 2 4 3 4 2 5 2" xfId="39468"/>
    <cellStyle name="Vírgula 2 2 4 3 4 2 6" xfId="33557"/>
    <cellStyle name="Vírgula 2 2 4 3 4 3" xfId="9501"/>
    <cellStyle name="Vírgula 2 2 4 3 4 3 2" xfId="27715"/>
    <cellStyle name="Vírgula 2 2 4 3 4 3 2 2" xfId="52782"/>
    <cellStyle name="Vírgula 2 2 4 3 4 3 3" xfId="21801"/>
    <cellStyle name="Vírgula 2 2 4 3 4 3 3 2" xfId="46868"/>
    <cellStyle name="Vírgula 2 2 4 3 4 3 4" xfId="15887"/>
    <cellStyle name="Vírgula 2 2 4 3 4 3 4 2" xfId="40954"/>
    <cellStyle name="Vírgula 2 2 4 3 4 3 5" xfId="35046"/>
    <cellStyle name="Vírgula 2 2 4 3 4 4" xfId="6294"/>
    <cellStyle name="Vírgula 2 2 4 3 4 4 2" xfId="24758"/>
    <cellStyle name="Vírgula 2 2 4 3 4 4 2 2" xfId="49825"/>
    <cellStyle name="Vírgula 2 2 4 3 4 4 3" xfId="32089"/>
    <cellStyle name="Vírgula 2 2 4 3 4 5" xfId="18844"/>
    <cellStyle name="Vírgula 2 2 4 3 4 5 2" xfId="43911"/>
    <cellStyle name="Vírgula 2 2 4 3 4 6" xfId="12683"/>
    <cellStyle name="Vírgula 2 2 4 3 4 6 2" xfId="38000"/>
    <cellStyle name="Vírgula 2 2 4 3 4 7" xfId="30619"/>
    <cellStyle name="Vírgula 2 2 4 3 5" xfId="5933"/>
    <cellStyle name="Vírgula 2 2 4 3 5 2" xfId="7633"/>
    <cellStyle name="Vírgula 2 2 4 3 5 2 2" xfId="10763"/>
    <cellStyle name="Vírgula 2 2 4 3 5 2 2 2" xfId="28977"/>
    <cellStyle name="Vírgula 2 2 4 3 5 2 2 2 2" xfId="54044"/>
    <cellStyle name="Vírgula 2 2 4 3 5 2 2 3" xfId="23063"/>
    <cellStyle name="Vírgula 2 2 4 3 5 2 2 3 2" xfId="48130"/>
    <cellStyle name="Vírgula 2 2 4 3 5 2 2 4" xfId="17149"/>
    <cellStyle name="Vírgula 2 2 4 3 5 2 2 4 2" xfId="42216"/>
    <cellStyle name="Vírgula 2 2 4 3 5 2 2 5" xfId="36308"/>
    <cellStyle name="Vírgula 2 2 4 3 5 2 3" xfId="26020"/>
    <cellStyle name="Vírgula 2 2 4 3 5 2 3 2" xfId="51087"/>
    <cellStyle name="Vírgula 2 2 4 3 5 2 4" xfId="20106"/>
    <cellStyle name="Vírgula 2 2 4 3 5 2 4 2" xfId="45173"/>
    <cellStyle name="Vírgula 2 2 4 3 5 2 5" xfId="14022"/>
    <cellStyle name="Vírgula 2 2 4 3 5 2 5 2" xfId="39262"/>
    <cellStyle name="Vírgula 2 2 4 3 5 2 6" xfId="33351"/>
    <cellStyle name="Vírgula 2 2 4 3 5 3" xfId="9295"/>
    <cellStyle name="Vírgula 2 2 4 3 5 3 2" xfId="27509"/>
    <cellStyle name="Vírgula 2 2 4 3 5 3 2 2" xfId="52576"/>
    <cellStyle name="Vírgula 2 2 4 3 5 3 3" xfId="21595"/>
    <cellStyle name="Vírgula 2 2 4 3 5 3 3 2" xfId="46662"/>
    <cellStyle name="Vírgula 2 2 4 3 5 3 4" xfId="15681"/>
    <cellStyle name="Vírgula 2 2 4 3 5 3 4 2" xfId="40748"/>
    <cellStyle name="Vírgula 2 2 4 3 5 3 5" xfId="34840"/>
    <cellStyle name="Vírgula 2 2 4 3 5 4" xfId="24552"/>
    <cellStyle name="Vírgula 2 2 4 3 5 4 2" xfId="49619"/>
    <cellStyle name="Vírgula 2 2 4 3 5 5" xfId="18638"/>
    <cellStyle name="Vírgula 2 2 4 3 5 5 2" xfId="43705"/>
    <cellStyle name="Vírgula 2 2 4 3 5 6" xfId="12321"/>
    <cellStyle name="Vírgula 2 2 4 3 5 6 2" xfId="37794"/>
    <cellStyle name="Vírgula 2 2 4 3 5 7" xfId="31883"/>
    <cellStyle name="Vírgula 2 2 4 3 6" xfId="6403"/>
    <cellStyle name="Vírgula 2 2 4 3 6 2" xfId="9563"/>
    <cellStyle name="Vírgula 2 2 4 3 6 2 2" xfId="27777"/>
    <cellStyle name="Vírgula 2 2 4 3 6 2 2 2" xfId="52844"/>
    <cellStyle name="Vírgula 2 2 4 3 6 2 3" xfId="21863"/>
    <cellStyle name="Vírgula 2 2 4 3 6 2 3 2" xfId="46930"/>
    <cellStyle name="Vírgula 2 2 4 3 6 2 4" xfId="15949"/>
    <cellStyle name="Vírgula 2 2 4 3 6 2 4 2" xfId="41016"/>
    <cellStyle name="Vírgula 2 2 4 3 6 2 5" xfId="35108"/>
    <cellStyle name="Vírgula 2 2 4 3 6 3" xfId="24820"/>
    <cellStyle name="Vírgula 2 2 4 3 6 3 2" xfId="49887"/>
    <cellStyle name="Vírgula 2 2 4 3 6 4" xfId="18906"/>
    <cellStyle name="Vírgula 2 2 4 3 6 4 2" xfId="43973"/>
    <cellStyle name="Vírgula 2 2 4 3 6 5" xfId="12792"/>
    <cellStyle name="Vírgula 2 2 4 3 6 5 2" xfId="38062"/>
    <cellStyle name="Vírgula 2 2 4 3 6 6" xfId="32151"/>
    <cellStyle name="Vírgula 2 2 4 3 7" xfId="8092"/>
    <cellStyle name="Vírgula 2 2 4 3 7 2" xfId="26306"/>
    <cellStyle name="Vírgula 2 2 4 3 7 2 2" xfId="51373"/>
    <cellStyle name="Vírgula 2 2 4 3 7 3" xfId="20392"/>
    <cellStyle name="Vírgula 2 2 4 3 7 3 2" xfId="45459"/>
    <cellStyle name="Vírgula 2 2 4 3 7 4" xfId="14481"/>
    <cellStyle name="Vírgula 2 2 4 3 7 4 2" xfId="39548"/>
    <cellStyle name="Vírgula 2 2 4 3 7 5" xfId="33637"/>
    <cellStyle name="Vírgula 2 2 4 3 8" xfId="4700"/>
    <cellStyle name="Vírgula 2 2 4 3 8 2" xfId="23349"/>
    <cellStyle name="Vírgula 2 2 4 3 8 2 2" xfId="48416"/>
    <cellStyle name="Vírgula 2 2 4 3 8 3" xfId="30681"/>
    <cellStyle name="Vírgula 2 2 4 3 9" xfId="17435"/>
    <cellStyle name="Vírgula 2 2 4 3 9 2" xfId="42502"/>
    <cellStyle name="Vírgula 2 2 4 4" xfId="4309"/>
    <cellStyle name="Vírgula 2 2 4 4 2" xfId="7710"/>
    <cellStyle name="Vírgula 2 2 4 4 2 2" xfId="10806"/>
    <cellStyle name="Vírgula 2 2 4 4 2 2 2" xfId="29020"/>
    <cellStyle name="Vírgula 2 2 4 4 2 2 2 2" xfId="54087"/>
    <cellStyle name="Vírgula 2 2 4 4 2 2 3" xfId="23106"/>
    <cellStyle name="Vírgula 2 2 4 4 2 2 3 2" xfId="48173"/>
    <cellStyle name="Vírgula 2 2 4 4 2 2 4" xfId="17192"/>
    <cellStyle name="Vírgula 2 2 4 4 2 2 4 2" xfId="42259"/>
    <cellStyle name="Vírgula 2 2 4 4 2 2 5" xfId="36351"/>
    <cellStyle name="Vírgula 2 2 4 4 2 3" xfId="26063"/>
    <cellStyle name="Vírgula 2 2 4 4 2 3 2" xfId="51130"/>
    <cellStyle name="Vírgula 2 2 4 4 2 4" xfId="20149"/>
    <cellStyle name="Vírgula 2 2 4 4 2 4 2" xfId="45216"/>
    <cellStyle name="Vírgula 2 2 4 4 2 5" xfId="14099"/>
    <cellStyle name="Vírgula 2 2 4 4 2 5 2" xfId="39305"/>
    <cellStyle name="Vírgula 2 2 4 4 2 6" xfId="33394"/>
    <cellStyle name="Vírgula 2 2 4 4 3" xfId="9338"/>
    <cellStyle name="Vírgula 2 2 4 4 3 2" xfId="27552"/>
    <cellStyle name="Vírgula 2 2 4 4 3 2 2" xfId="52619"/>
    <cellStyle name="Vírgula 2 2 4 4 3 3" xfId="21638"/>
    <cellStyle name="Vírgula 2 2 4 4 3 3 2" xfId="46705"/>
    <cellStyle name="Vírgula 2 2 4 4 3 4" xfId="15724"/>
    <cellStyle name="Vírgula 2 2 4 4 3 4 2" xfId="40791"/>
    <cellStyle name="Vírgula 2 2 4 4 3 5" xfId="34883"/>
    <cellStyle name="Vírgula 2 2 4 4 4" xfId="6010"/>
    <cellStyle name="Vírgula 2 2 4 4 4 2" xfId="24595"/>
    <cellStyle name="Vírgula 2 2 4 4 4 2 2" xfId="49662"/>
    <cellStyle name="Vírgula 2 2 4 4 4 3" xfId="31926"/>
    <cellStyle name="Vírgula 2 2 4 4 5" xfId="18681"/>
    <cellStyle name="Vírgula 2 2 4 4 5 2" xfId="43748"/>
    <cellStyle name="Vírgula 2 2 4 4 6" xfId="12398"/>
    <cellStyle name="Vírgula 2 2 4 4 6 2" xfId="37837"/>
    <cellStyle name="Vírgula 2 2 4 4 7" xfId="30456"/>
    <cellStyle name="Vírgula 2 2 4 5" xfId="4417"/>
    <cellStyle name="Vírgula 2 2 4 5 2" xfId="7819"/>
    <cellStyle name="Vírgula 2 2 4 5 2 2" xfId="10868"/>
    <cellStyle name="Vírgula 2 2 4 5 2 2 2" xfId="29082"/>
    <cellStyle name="Vírgula 2 2 4 5 2 2 2 2" xfId="54149"/>
    <cellStyle name="Vírgula 2 2 4 5 2 2 3" xfId="23168"/>
    <cellStyle name="Vírgula 2 2 4 5 2 2 3 2" xfId="48235"/>
    <cellStyle name="Vírgula 2 2 4 5 2 2 4" xfId="17254"/>
    <cellStyle name="Vírgula 2 2 4 5 2 2 4 2" xfId="42321"/>
    <cellStyle name="Vírgula 2 2 4 5 2 2 5" xfId="36413"/>
    <cellStyle name="Vírgula 2 2 4 5 2 3" xfId="26125"/>
    <cellStyle name="Vírgula 2 2 4 5 2 3 2" xfId="51192"/>
    <cellStyle name="Vírgula 2 2 4 5 2 4" xfId="20211"/>
    <cellStyle name="Vírgula 2 2 4 5 2 4 2" xfId="45278"/>
    <cellStyle name="Vírgula 2 2 4 5 2 5" xfId="14208"/>
    <cellStyle name="Vírgula 2 2 4 5 2 5 2" xfId="39367"/>
    <cellStyle name="Vírgula 2 2 4 5 2 6" xfId="33456"/>
    <cellStyle name="Vírgula 2 2 4 5 3" xfId="9400"/>
    <cellStyle name="Vírgula 2 2 4 5 3 2" xfId="27614"/>
    <cellStyle name="Vírgula 2 2 4 5 3 2 2" xfId="52681"/>
    <cellStyle name="Vírgula 2 2 4 5 3 3" xfId="21700"/>
    <cellStyle name="Vírgula 2 2 4 5 3 3 2" xfId="46767"/>
    <cellStyle name="Vírgula 2 2 4 5 3 4" xfId="15786"/>
    <cellStyle name="Vírgula 2 2 4 5 3 4 2" xfId="40853"/>
    <cellStyle name="Vírgula 2 2 4 5 3 5" xfId="34945"/>
    <cellStyle name="Vírgula 2 2 4 5 4" xfId="6119"/>
    <cellStyle name="Vírgula 2 2 4 5 4 2" xfId="24657"/>
    <cellStyle name="Vírgula 2 2 4 5 4 2 2" xfId="49724"/>
    <cellStyle name="Vírgula 2 2 4 5 4 3" xfId="31988"/>
    <cellStyle name="Vírgula 2 2 4 5 5" xfId="18743"/>
    <cellStyle name="Vírgula 2 2 4 5 5 2" xfId="43810"/>
    <cellStyle name="Vírgula 2 2 4 5 6" xfId="12507"/>
    <cellStyle name="Vírgula 2 2 4 5 6 2" xfId="37899"/>
    <cellStyle name="Vírgula 2 2 4 5 7" xfId="30518"/>
    <cellStyle name="Vírgula 2 2 4 6" xfId="4525"/>
    <cellStyle name="Vírgula 2 2 4 6 2" xfId="7927"/>
    <cellStyle name="Vírgula 2 2 4 6 2 2" xfId="10930"/>
    <cellStyle name="Vírgula 2 2 4 6 2 2 2" xfId="29144"/>
    <cellStyle name="Vírgula 2 2 4 6 2 2 2 2" xfId="54211"/>
    <cellStyle name="Vírgula 2 2 4 6 2 2 3" xfId="23230"/>
    <cellStyle name="Vírgula 2 2 4 6 2 2 3 2" xfId="48297"/>
    <cellStyle name="Vírgula 2 2 4 6 2 2 4" xfId="17316"/>
    <cellStyle name="Vírgula 2 2 4 6 2 2 4 2" xfId="42383"/>
    <cellStyle name="Vírgula 2 2 4 6 2 2 5" xfId="36475"/>
    <cellStyle name="Vírgula 2 2 4 6 2 3" xfId="26187"/>
    <cellStyle name="Vírgula 2 2 4 6 2 3 2" xfId="51254"/>
    <cellStyle name="Vírgula 2 2 4 6 2 4" xfId="20273"/>
    <cellStyle name="Vírgula 2 2 4 6 2 4 2" xfId="45340"/>
    <cellStyle name="Vírgula 2 2 4 6 2 5" xfId="14316"/>
    <cellStyle name="Vírgula 2 2 4 6 2 5 2" xfId="39429"/>
    <cellStyle name="Vírgula 2 2 4 6 2 6" xfId="33518"/>
    <cellStyle name="Vírgula 2 2 4 6 3" xfId="9462"/>
    <cellStyle name="Vírgula 2 2 4 6 3 2" xfId="27676"/>
    <cellStyle name="Vírgula 2 2 4 6 3 2 2" xfId="52743"/>
    <cellStyle name="Vírgula 2 2 4 6 3 3" xfId="21762"/>
    <cellStyle name="Vírgula 2 2 4 6 3 3 2" xfId="46829"/>
    <cellStyle name="Vírgula 2 2 4 6 3 4" xfId="15848"/>
    <cellStyle name="Vírgula 2 2 4 6 3 4 2" xfId="40915"/>
    <cellStyle name="Vírgula 2 2 4 6 3 5" xfId="35007"/>
    <cellStyle name="Vírgula 2 2 4 6 4" xfId="6226"/>
    <cellStyle name="Vírgula 2 2 4 6 4 2" xfId="24719"/>
    <cellStyle name="Vírgula 2 2 4 6 4 2 2" xfId="49786"/>
    <cellStyle name="Vírgula 2 2 4 6 4 3" xfId="32050"/>
    <cellStyle name="Vírgula 2 2 4 6 5" xfId="18805"/>
    <cellStyle name="Vírgula 2 2 4 6 5 2" xfId="43872"/>
    <cellStyle name="Vírgula 2 2 4 6 6" xfId="12615"/>
    <cellStyle name="Vírgula 2 2 4 6 6 2" xfId="37961"/>
    <cellStyle name="Vírgula 2 2 4 6 7" xfId="30580"/>
    <cellStyle name="Vírgula 2 2 4 7" xfId="5100"/>
    <cellStyle name="Vírgula 2 2 4 7 2" xfId="6799"/>
    <cellStyle name="Vírgula 2 2 4 7 2 2" xfId="9946"/>
    <cellStyle name="Vírgula 2 2 4 7 2 2 2" xfId="28160"/>
    <cellStyle name="Vírgula 2 2 4 7 2 2 2 2" xfId="53227"/>
    <cellStyle name="Vírgula 2 2 4 7 2 2 3" xfId="22246"/>
    <cellStyle name="Vírgula 2 2 4 7 2 2 3 2" xfId="47313"/>
    <cellStyle name="Vírgula 2 2 4 7 2 2 4" xfId="16332"/>
    <cellStyle name="Vírgula 2 2 4 7 2 2 4 2" xfId="41399"/>
    <cellStyle name="Vírgula 2 2 4 7 2 2 5" xfId="35491"/>
    <cellStyle name="Vírgula 2 2 4 7 2 3" xfId="25203"/>
    <cellStyle name="Vírgula 2 2 4 7 2 3 2" xfId="50270"/>
    <cellStyle name="Vírgula 2 2 4 7 2 4" xfId="19289"/>
    <cellStyle name="Vírgula 2 2 4 7 2 4 2" xfId="44356"/>
    <cellStyle name="Vírgula 2 2 4 7 2 5" xfId="13188"/>
    <cellStyle name="Vírgula 2 2 4 7 2 5 2" xfId="38445"/>
    <cellStyle name="Vírgula 2 2 4 7 2 6" xfId="32534"/>
    <cellStyle name="Vírgula 2 2 4 7 3" xfId="8478"/>
    <cellStyle name="Vírgula 2 2 4 7 3 2" xfId="26692"/>
    <cellStyle name="Vírgula 2 2 4 7 3 2 2" xfId="51759"/>
    <cellStyle name="Vírgula 2 2 4 7 3 3" xfId="20778"/>
    <cellStyle name="Vírgula 2 2 4 7 3 3 2" xfId="45845"/>
    <cellStyle name="Vírgula 2 2 4 7 3 4" xfId="14864"/>
    <cellStyle name="Vírgula 2 2 4 7 3 4 2" xfId="39931"/>
    <cellStyle name="Vírgula 2 2 4 7 3 5" xfId="34023"/>
    <cellStyle name="Vírgula 2 2 4 7 4" xfId="23735"/>
    <cellStyle name="Vírgula 2 2 4 7 4 2" xfId="48802"/>
    <cellStyle name="Vírgula 2 2 4 7 5" xfId="17821"/>
    <cellStyle name="Vírgula 2 2 4 7 5 2" xfId="42888"/>
    <cellStyle name="Vírgula 2 2 4 7 6" xfId="11487"/>
    <cellStyle name="Vírgula 2 2 4 7 6 2" xfId="36977"/>
    <cellStyle name="Vírgula 2 2 4 7 7" xfId="31066"/>
    <cellStyle name="Vírgula 2 2 4 8" xfId="6335"/>
    <cellStyle name="Vírgula 2 2 4 8 2" xfId="9524"/>
    <cellStyle name="Vírgula 2 2 4 8 2 2" xfId="27738"/>
    <cellStyle name="Vírgula 2 2 4 8 2 2 2" xfId="52805"/>
    <cellStyle name="Vírgula 2 2 4 8 2 3" xfId="21824"/>
    <cellStyle name="Vírgula 2 2 4 8 2 3 2" xfId="46891"/>
    <cellStyle name="Vírgula 2 2 4 8 2 4" xfId="15910"/>
    <cellStyle name="Vírgula 2 2 4 8 2 4 2" xfId="40977"/>
    <cellStyle name="Vírgula 2 2 4 8 2 5" xfId="35069"/>
    <cellStyle name="Vírgula 2 2 4 8 3" xfId="24781"/>
    <cellStyle name="Vírgula 2 2 4 8 3 2" xfId="49848"/>
    <cellStyle name="Vírgula 2 2 4 8 4" xfId="18867"/>
    <cellStyle name="Vírgula 2 2 4 8 4 2" xfId="43934"/>
    <cellStyle name="Vírgula 2 2 4 8 5" xfId="12724"/>
    <cellStyle name="Vírgula 2 2 4 8 5 2" xfId="38023"/>
    <cellStyle name="Vírgula 2 2 4 8 6" xfId="32112"/>
    <cellStyle name="Vírgula 2 2 4 9" xfId="8027"/>
    <cellStyle name="Vírgula 2 2 4 9 2" xfId="10988"/>
    <cellStyle name="Vírgula 2 2 4 9 2 2" xfId="29202"/>
    <cellStyle name="Vírgula 2 2 4 9 2 2 2" xfId="54269"/>
    <cellStyle name="Vírgula 2 2 4 9 2 3" xfId="23288"/>
    <cellStyle name="Vírgula 2 2 4 9 2 3 2" xfId="48355"/>
    <cellStyle name="Vírgula 2 2 4 9 2 4" xfId="17374"/>
    <cellStyle name="Vírgula 2 2 4 9 2 4 2" xfId="42441"/>
    <cellStyle name="Vírgula 2 2 4 9 2 5" xfId="36533"/>
    <cellStyle name="Vírgula 2 2 4 9 3" xfId="26245"/>
    <cellStyle name="Vírgula 2 2 4 9 3 2" xfId="51312"/>
    <cellStyle name="Vírgula 2 2 4 9 4" xfId="20331"/>
    <cellStyle name="Vírgula 2 2 4 9 4 2" xfId="45398"/>
    <cellStyle name="Vírgula 2 2 4 9 5" xfId="14416"/>
    <cellStyle name="Vírgula 2 2 4 9 5 2" xfId="39487"/>
    <cellStyle name="Vírgula 2 2 4 9 6" xfId="33576"/>
    <cellStyle name="Vírgula 2 2 5" xfId="1742"/>
    <cellStyle name="Vírgula 2 2 5 10" xfId="17407"/>
    <cellStyle name="Vírgula 2 2 5 10 2" xfId="42474"/>
    <cellStyle name="Vírgula 2 2 5 11" xfId="11043"/>
    <cellStyle name="Vírgula 2 2 5 11 2" xfId="36566"/>
    <cellStyle name="Vírgula 2 2 5 12" xfId="29715"/>
    <cellStyle name="Vírgula 2 2 5 2" xfId="4252"/>
    <cellStyle name="Vírgula 2 2 5 2 2" xfId="7653"/>
    <cellStyle name="Vírgula 2 2 5 2 2 2" xfId="10774"/>
    <cellStyle name="Vírgula 2 2 5 2 2 2 2" xfId="28988"/>
    <cellStyle name="Vírgula 2 2 5 2 2 2 2 2" xfId="54055"/>
    <cellStyle name="Vírgula 2 2 5 2 2 2 3" xfId="23074"/>
    <cellStyle name="Vírgula 2 2 5 2 2 2 3 2" xfId="48141"/>
    <cellStyle name="Vírgula 2 2 5 2 2 2 4" xfId="17160"/>
    <cellStyle name="Vírgula 2 2 5 2 2 2 4 2" xfId="42227"/>
    <cellStyle name="Vírgula 2 2 5 2 2 2 5" xfId="36319"/>
    <cellStyle name="Vírgula 2 2 5 2 2 3" xfId="26031"/>
    <cellStyle name="Vírgula 2 2 5 2 2 3 2" xfId="51098"/>
    <cellStyle name="Vírgula 2 2 5 2 2 4" xfId="20117"/>
    <cellStyle name="Vírgula 2 2 5 2 2 4 2" xfId="45184"/>
    <cellStyle name="Vírgula 2 2 5 2 2 5" xfId="14042"/>
    <cellStyle name="Vírgula 2 2 5 2 2 5 2" xfId="39273"/>
    <cellStyle name="Vírgula 2 2 5 2 2 6" xfId="33362"/>
    <cellStyle name="Vírgula 2 2 5 2 3" xfId="9306"/>
    <cellStyle name="Vírgula 2 2 5 2 3 2" xfId="27520"/>
    <cellStyle name="Vírgula 2 2 5 2 3 2 2" xfId="52587"/>
    <cellStyle name="Vírgula 2 2 5 2 3 3" xfId="21606"/>
    <cellStyle name="Vírgula 2 2 5 2 3 3 2" xfId="46673"/>
    <cellStyle name="Vírgula 2 2 5 2 3 4" xfId="15692"/>
    <cellStyle name="Vírgula 2 2 5 2 3 4 2" xfId="40759"/>
    <cellStyle name="Vírgula 2 2 5 2 3 5" xfId="34851"/>
    <cellStyle name="Vírgula 2 2 5 2 4" xfId="5953"/>
    <cellStyle name="Vírgula 2 2 5 2 4 2" xfId="24563"/>
    <cellStyle name="Vírgula 2 2 5 2 4 2 2" xfId="49630"/>
    <cellStyle name="Vírgula 2 2 5 2 4 3" xfId="31894"/>
    <cellStyle name="Vírgula 2 2 5 2 5" xfId="18649"/>
    <cellStyle name="Vírgula 2 2 5 2 5 2" xfId="43716"/>
    <cellStyle name="Vírgula 2 2 5 2 6" xfId="12341"/>
    <cellStyle name="Vírgula 2 2 5 2 6 2" xfId="37805"/>
    <cellStyle name="Vírgula 2 2 5 2 7" xfId="30424"/>
    <cellStyle name="Vírgula 2 2 5 3" xfId="4329"/>
    <cellStyle name="Vírgula 2 2 5 3 2" xfId="7730"/>
    <cellStyle name="Vírgula 2 2 5 3 2 2" xfId="10817"/>
    <cellStyle name="Vírgula 2 2 5 3 2 2 2" xfId="29031"/>
    <cellStyle name="Vírgula 2 2 5 3 2 2 2 2" xfId="54098"/>
    <cellStyle name="Vírgula 2 2 5 3 2 2 3" xfId="23117"/>
    <cellStyle name="Vírgula 2 2 5 3 2 2 3 2" xfId="48184"/>
    <cellStyle name="Vírgula 2 2 5 3 2 2 4" xfId="17203"/>
    <cellStyle name="Vírgula 2 2 5 3 2 2 4 2" xfId="42270"/>
    <cellStyle name="Vírgula 2 2 5 3 2 2 5" xfId="36362"/>
    <cellStyle name="Vírgula 2 2 5 3 2 3" xfId="26074"/>
    <cellStyle name="Vírgula 2 2 5 3 2 3 2" xfId="51141"/>
    <cellStyle name="Vírgula 2 2 5 3 2 4" xfId="20160"/>
    <cellStyle name="Vírgula 2 2 5 3 2 4 2" xfId="45227"/>
    <cellStyle name="Vírgula 2 2 5 3 2 5" xfId="14119"/>
    <cellStyle name="Vírgula 2 2 5 3 2 5 2" xfId="39316"/>
    <cellStyle name="Vírgula 2 2 5 3 2 6" xfId="33405"/>
    <cellStyle name="Vírgula 2 2 5 3 3" xfId="9349"/>
    <cellStyle name="Vírgula 2 2 5 3 3 2" xfId="27563"/>
    <cellStyle name="Vírgula 2 2 5 3 3 2 2" xfId="52630"/>
    <cellStyle name="Vírgula 2 2 5 3 3 3" xfId="21649"/>
    <cellStyle name="Vírgula 2 2 5 3 3 3 2" xfId="46716"/>
    <cellStyle name="Vírgula 2 2 5 3 3 4" xfId="15735"/>
    <cellStyle name="Vírgula 2 2 5 3 3 4 2" xfId="40802"/>
    <cellStyle name="Vírgula 2 2 5 3 3 5" xfId="34894"/>
    <cellStyle name="Vírgula 2 2 5 3 4" xfId="6030"/>
    <cellStyle name="Vírgula 2 2 5 3 4 2" xfId="24606"/>
    <cellStyle name="Vírgula 2 2 5 3 4 2 2" xfId="49673"/>
    <cellStyle name="Vírgula 2 2 5 3 4 3" xfId="31937"/>
    <cellStyle name="Vírgula 2 2 5 3 5" xfId="18692"/>
    <cellStyle name="Vírgula 2 2 5 3 5 2" xfId="43759"/>
    <cellStyle name="Vírgula 2 2 5 3 6" xfId="12418"/>
    <cellStyle name="Vírgula 2 2 5 3 6 2" xfId="37848"/>
    <cellStyle name="Vírgula 2 2 5 3 7" xfId="30467"/>
    <cellStyle name="Vírgula 2 2 5 4" xfId="4437"/>
    <cellStyle name="Vírgula 2 2 5 4 2" xfId="7839"/>
    <cellStyle name="Vírgula 2 2 5 4 2 2" xfId="10879"/>
    <cellStyle name="Vírgula 2 2 5 4 2 2 2" xfId="29093"/>
    <cellStyle name="Vírgula 2 2 5 4 2 2 2 2" xfId="54160"/>
    <cellStyle name="Vírgula 2 2 5 4 2 2 3" xfId="23179"/>
    <cellStyle name="Vírgula 2 2 5 4 2 2 3 2" xfId="48246"/>
    <cellStyle name="Vírgula 2 2 5 4 2 2 4" xfId="17265"/>
    <cellStyle name="Vírgula 2 2 5 4 2 2 4 2" xfId="42332"/>
    <cellStyle name="Vírgula 2 2 5 4 2 2 5" xfId="36424"/>
    <cellStyle name="Vírgula 2 2 5 4 2 3" xfId="26136"/>
    <cellStyle name="Vírgula 2 2 5 4 2 3 2" xfId="51203"/>
    <cellStyle name="Vírgula 2 2 5 4 2 4" xfId="20222"/>
    <cellStyle name="Vírgula 2 2 5 4 2 4 2" xfId="45289"/>
    <cellStyle name="Vírgula 2 2 5 4 2 5" xfId="14228"/>
    <cellStyle name="Vírgula 2 2 5 4 2 5 2" xfId="39378"/>
    <cellStyle name="Vírgula 2 2 5 4 2 6" xfId="33467"/>
    <cellStyle name="Vírgula 2 2 5 4 3" xfId="9411"/>
    <cellStyle name="Vírgula 2 2 5 4 3 2" xfId="27625"/>
    <cellStyle name="Vírgula 2 2 5 4 3 2 2" xfId="52692"/>
    <cellStyle name="Vírgula 2 2 5 4 3 3" xfId="21711"/>
    <cellStyle name="Vírgula 2 2 5 4 3 3 2" xfId="46778"/>
    <cellStyle name="Vírgula 2 2 5 4 3 4" xfId="15797"/>
    <cellStyle name="Vírgula 2 2 5 4 3 4 2" xfId="40864"/>
    <cellStyle name="Vírgula 2 2 5 4 3 5" xfId="34956"/>
    <cellStyle name="Vírgula 2 2 5 4 4" xfId="6139"/>
    <cellStyle name="Vírgula 2 2 5 4 4 2" xfId="24668"/>
    <cellStyle name="Vírgula 2 2 5 4 4 2 2" xfId="49735"/>
    <cellStyle name="Vírgula 2 2 5 4 4 3" xfId="31999"/>
    <cellStyle name="Vírgula 2 2 5 4 5" xfId="18754"/>
    <cellStyle name="Vírgula 2 2 5 4 5 2" xfId="43821"/>
    <cellStyle name="Vírgula 2 2 5 4 6" xfId="12527"/>
    <cellStyle name="Vírgula 2 2 5 4 6 2" xfId="37910"/>
    <cellStyle name="Vírgula 2 2 5 4 7" xfId="30529"/>
    <cellStyle name="Vírgula 2 2 5 5" xfId="4545"/>
    <cellStyle name="Vírgula 2 2 5 5 2" xfId="7947"/>
    <cellStyle name="Vírgula 2 2 5 5 2 2" xfId="10941"/>
    <cellStyle name="Vírgula 2 2 5 5 2 2 2" xfId="29155"/>
    <cellStyle name="Vírgula 2 2 5 5 2 2 2 2" xfId="54222"/>
    <cellStyle name="Vírgula 2 2 5 5 2 2 3" xfId="23241"/>
    <cellStyle name="Vírgula 2 2 5 5 2 2 3 2" xfId="48308"/>
    <cellStyle name="Vírgula 2 2 5 5 2 2 4" xfId="17327"/>
    <cellStyle name="Vírgula 2 2 5 5 2 2 4 2" xfId="42394"/>
    <cellStyle name="Vírgula 2 2 5 5 2 2 5" xfId="36486"/>
    <cellStyle name="Vírgula 2 2 5 5 2 3" xfId="26198"/>
    <cellStyle name="Vírgula 2 2 5 5 2 3 2" xfId="51265"/>
    <cellStyle name="Vírgula 2 2 5 5 2 4" xfId="20284"/>
    <cellStyle name="Vírgula 2 2 5 5 2 4 2" xfId="45351"/>
    <cellStyle name="Vírgula 2 2 5 5 2 5" xfId="14336"/>
    <cellStyle name="Vírgula 2 2 5 5 2 5 2" xfId="39440"/>
    <cellStyle name="Vírgula 2 2 5 5 2 6" xfId="33529"/>
    <cellStyle name="Vírgula 2 2 5 5 3" xfId="9473"/>
    <cellStyle name="Vírgula 2 2 5 5 3 2" xfId="27687"/>
    <cellStyle name="Vírgula 2 2 5 5 3 2 2" xfId="52754"/>
    <cellStyle name="Vírgula 2 2 5 5 3 3" xfId="21773"/>
    <cellStyle name="Vírgula 2 2 5 5 3 3 2" xfId="46840"/>
    <cellStyle name="Vírgula 2 2 5 5 3 4" xfId="15859"/>
    <cellStyle name="Vírgula 2 2 5 5 3 4 2" xfId="40926"/>
    <cellStyle name="Vírgula 2 2 5 5 3 5" xfId="35018"/>
    <cellStyle name="Vírgula 2 2 5 5 4" xfId="6246"/>
    <cellStyle name="Vírgula 2 2 5 5 4 2" xfId="24730"/>
    <cellStyle name="Vírgula 2 2 5 5 4 2 2" xfId="49797"/>
    <cellStyle name="Vírgula 2 2 5 5 4 3" xfId="32061"/>
    <cellStyle name="Vírgula 2 2 5 5 5" xfId="18816"/>
    <cellStyle name="Vírgula 2 2 5 5 5 2" xfId="43883"/>
    <cellStyle name="Vírgula 2 2 5 5 6" xfId="12635"/>
    <cellStyle name="Vírgula 2 2 5 5 6 2" xfId="37972"/>
    <cellStyle name="Vírgula 2 2 5 5 7" xfId="30591"/>
    <cellStyle name="Vírgula 2 2 5 6" xfId="5219"/>
    <cellStyle name="Vírgula 2 2 5 6 2" xfId="6918"/>
    <cellStyle name="Vírgula 2 2 5 6 2 2" xfId="10065"/>
    <cellStyle name="Vírgula 2 2 5 6 2 2 2" xfId="28279"/>
    <cellStyle name="Vírgula 2 2 5 6 2 2 2 2" xfId="53346"/>
    <cellStyle name="Vírgula 2 2 5 6 2 2 3" xfId="22365"/>
    <cellStyle name="Vírgula 2 2 5 6 2 2 3 2" xfId="47432"/>
    <cellStyle name="Vírgula 2 2 5 6 2 2 4" xfId="16451"/>
    <cellStyle name="Vírgula 2 2 5 6 2 2 4 2" xfId="41518"/>
    <cellStyle name="Vírgula 2 2 5 6 2 2 5" xfId="35610"/>
    <cellStyle name="Vírgula 2 2 5 6 2 3" xfId="25322"/>
    <cellStyle name="Vírgula 2 2 5 6 2 3 2" xfId="50389"/>
    <cellStyle name="Vírgula 2 2 5 6 2 4" xfId="19408"/>
    <cellStyle name="Vírgula 2 2 5 6 2 4 2" xfId="44475"/>
    <cellStyle name="Vírgula 2 2 5 6 2 5" xfId="13307"/>
    <cellStyle name="Vírgula 2 2 5 6 2 5 2" xfId="38564"/>
    <cellStyle name="Vírgula 2 2 5 6 2 6" xfId="32653"/>
    <cellStyle name="Vírgula 2 2 5 6 3" xfId="8597"/>
    <cellStyle name="Vírgula 2 2 5 6 3 2" xfId="26811"/>
    <cellStyle name="Vírgula 2 2 5 6 3 2 2" xfId="51878"/>
    <cellStyle name="Vírgula 2 2 5 6 3 3" xfId="20897"/>
    <cellStyle name="Vírgula 2 2 5 6 3 3 2" xfId="45964"/>
    <cellStyle name="Vírgula 2 2 5 6 3 4" xfId="14983"/>
    <cellStyle name="Vírgula 2 2 5 6 3 4 2" xfId="40050"/>
    <cellStyle name="Vírgula 2 2 5 6 3 5" xfId="34142"/>
    <cellStyle name="Vírgula 2 2 5 6 4" xfId="23854"/>
    <cellStyle name="Vírgula 2 2 5 6 4 2" xfId="48921"/>
    <cellStyle name="Vírgula 2 2 5 6 5" xfId="17940"/>
    <cellStyle name="Vírgula 2 2 5 6 5 2" xfId="43007"/>
    <cellStyle name="Vírgula 2 2 5 6 6" xfId="11606"/>
    <cellStyle name="Vírgula 2 2 5 6 6 2" xfId="37096"/>
    <cellStyle name="Vírgula 2 2 5 6 7" xfId="31185"/>
    <cellStyle name="Vírgula 2 2 5 7" xfId="6355"/>
    <cellStyle name="Vírgula 2 2 5 7 2" xfId="9535"/>
    <cellStyle name="Vírgula 2 2 5 7 2 2" xfId="27749"/>
    <cellStyle name="Vírgula 2 2 5 7 2 2 2" xfId="52816"/>
    <cellStyle name="Vírgula 2 2 5 7 2 3" xfId="21835"/>
    <cellStyle name="Vírgula 2 2 5 7 2 3 2" xfId="46902"/>
    <cellStyle name="Vírgula 2 2 5 7 2 4" xfId="15921"/>
    <cellStyle name="Vírgula 2 2 5 7 2 4 2" xfId="40988"/>
    <cellStyle name="Vírgula 2 2 5 7 2 5" xfId="35080"/>
    <cellStyle name="Vírgula 2 2 5 7 3" xfId="24792"/>
    <cellStyle name="Vírgula 2 2 5 7 3 2" xfId="49859"/>
    <cellStyle name="Vírgula 2 2 5 7 4" xfId="18878"/>
    <cellStyle name="Vírgula 2 2 5 7 4 2" xfId="43945"/>
    <cellStyle name="Vírgula 2 2 5 7 5" xfId="12744"/>
    <cellStyle name="Vírgula 2 2 5 7 5 2" xfId="38034"/>
    <cellStyle name="Vírgula 2 2 5 7 6" xfId="32123"/>
    <cellStyle name="Vírgula 2 2 5 8" xfId="8064"/>
    <cellStyle name="Vírgula 2 2 5 8 2" xfId="26278"/>
    <cellStyle name="Vírgula 2 2 5 8 2 2" xfId="51345"/>
    <cellStyle name="Vírgula 2 2 5 8 3" xfId="20364"/>
    <cellStyle name="Vírgula 2 2 5 8 3 2" xfId="45431"/>
    <cellStyle name="Vírgula 2 2 5 8 4" xfId="14453"/>
    <cellStyle name="Vírgula 2 2 5 8 4 2" xfId="39520"/>
    <cellStyle name="Vírgula 2 2 5 8 5" xfId="33609"/>
    <cellStyle name="Vírgula 2 2 5 9" xfId="4652"/>
    <cellStyle name="Vírgula 2 2 5 9 2" xfId="23321"/>
    <cellStyle name="Vírgula 2 2 5 9 2 2" xfId="48388"/>
    <cellStyle name="Vírgula 2 2 5 9 3" xfId="30653"/>
    <cellStyle name="Vírgula 2 2 6" xfId="2272"/>
    <cellStyle name="Vírgula 2 2 6 10" xfId="11075"/>
    <cellStyle name="Vírgula 2 2 6 10 2" xfId="36585"/>
    <cellStyle name="Vírgula 2 2 6 11" xfId="29862"/>
    <cellStyle name="Vírgula 2 2 6 2" xfId="4361"/>
    <cellStyle name="Vírgula 2 2 6 2 2" xfId="7762"/>
    <cellStyle name="Vírgula 2 2 6 2 2 2" xfId="10836"/>
    <cellStyle name="Vírgula 2 2 6 2 2 2 2" xfId="29050"/>
    <cellStyle name="Vírgula 2 2 6 2 2 2 2 2" xfId="54117"/>
    <cellStyle name="Vírgula 2 2 6 2 2 2 3" xfId="23136"/>
    <cellStyle name="Vírgula 2 2 6 2 2 2 3 2" xfId="48203"/>
    <cellStyle name="Vírgula 2 2 6 2 2 2 4" xfId="17222"/>
    <cellStyle name="Vírgula 2 2 6 2 2 2 4 2" xfId="42289"/>
    <cellStyle name="Vírgula 2 2 6 2 2 2 5" xfId="36381"/>
    <cellStyle name="Vírgula 2 2 6 2 2 3" xfId="26093"/>
    <cellStyle name="Vírgula 2 2 6 2 2 3 2" xfId="51160"/>
    <cellStyle name="Vírgula 2 2 6 2 2 4" xfId="20179"/>
    <cellStyle name="Vírgula 2 2 6 2 2 4 2" xfId="45246"/>
    <cellStyle name="Vírgula 2 2 6 2 2 5" xfId="14151"/>
    <cellStyle name="Vírgula 2 2 6 2 2 5 2" xfId="39335"/>
    <cellStyle name="Vírgula 2 2 6 2 2 6" xfId="33424"/>
    <cellStyle name="Vírgula 2 2 6 2 3" xfId="9368"/>
    <cellStyle name="Vírgula 2 2 6 2 3 2" xfId="27582"/>
    <cellStyle name="Vírgula 2 2 6 2 3 2 2" xfId="52649"/>
    <cellStyle name="Vírgula 2 2 6 2 3 3" xfId="21668"/>
    <cellStyle name="Vírgula 2 2 6 2 3 3 2" xfId="46735"/>
    <cellStyle name="Vírgula 2 2 6 2 3 4" xfId="15754"/>
    <cellStyle name="Vírgula 2 2 6 2 3 4 2" xfId="40821"/>
    <cellStyle name="Vírgula 2 2 6 2 3 5" xfId="34913"/>
    <cellStyle name="Vírgula 2 2 6 2 4" xfId="6062"/>
    <cellStyle name="Vírgula 2 2 6 2 4 2" xfId="24625"/>
    <cellStyle name="Vírgula 2 2 6 2 4 2 2" xfId="49692"/>
    <cellStyle name="Vírgula 2 2 6 2 4 3" xfId="31956"/>
    <cellStyle name="Vírgula 2 2 6 2 5" xfId="18711"/>
    <cellStyle name="Vírgula 2 2 6 2 5 2" xfId="43778"/>
    <cellStyle name="Vírgula 2 2 6 2 6" xfId="12450"/>
    <cellStyle name="Vírgula 2 2 6 2 6 2" xfId="37867"/>
    <cellStyle name="Vírgula 2 2 6 2 7" xfId="30486"/>
    <cellStyle name="Vírgula 2 2 6 3" xfId="4469"/>
    <cellStyle name="Vírgula 2 2 6 3 2" xfId="7871"/>
    <cellStyle name="Vírgula 2 2 6 3 2 2" xfId="10898"/>
    <cellStyle name="Vírgula 2 2 6 3 2 2 2" xfId="29112"/>
    <cellStyle name="Vírgula 2 2 6 3 2 2 2 2" xfId="54179"/>
    <cellStyle name="Vírgula 2 2 6 3 2 2 3" xfId="23198"/>
    <cellStyle name="Vírgula 2 2 6 3 2 2 3 2" xfId="48265"/>
    <cellStyle name="Vírgula 2 2 6 3 2 2 4" xfId="17284"/>
    <cellStyle name="Vírgula 2 2 6 3 2 2 4 2" xfId="42351"/>
    <cellStyle name="Vírgula 2 2 6 3 2 2 5" xfId="36443"/>
    <cellStyle name="Vírgula 2 2 6 3 2 3" xfId="26155"/>
    <cellStyle name="Vírgula 2 2 6 3 2 3 2" xfId="51222"/>
    <cellStyle name="Vírgula 2 2 6 3 2 4" xfId="20241"/>
    <cellStyle name="Vírgula 2 2 6 3 2 4 2" xfId="45308"/>
    <cellStyle name="Vírgula 2 2 6 3 2 5" xfId="14260"/>
    <cellStyle name="Vírgula 2 2 6 3 2 5 2" xfId="39397"/>
    <cellStyle name="Vírgula 2 2 6 3 2 6" xfId="33486"/>
    <cellStyle name="Vírgula 2 2 6 3 3" xfId="9430"/>
    <cellStyle name="Vírgula 2 2 6 3 3 2" xfId="27644"/>
    <cellStyle name="Vírgula 2 2 6 3 3 2 2" xfId="52711"/>
    <cellStyle name="Vírgula 2 2 6 3 3 3" xfId="21730"/>
    <cellStyle name="Vírgula 2 2 6 3 3 3 2" xfId="46797"/>
    <cellStyle name="Vírgula 2 2 6 3 3 4" xfId="15816"/>
    <cellStyle name="Vírgula 2 2 6 3 3 4 2" xfId="40883"/>
    <cellStyle name="Vírgula 2 2 6 3 3 5" xfId="34975"/>
    <cellStyle name="Vírgula 2 2 6 3 4" xfId="6170"/>
    <cellStyle name="Vírgula 2 2 6 3 4 2" xfId="24687"/>
    <cellStyle name="Vírgula 2 2 6 3 4 2 2" xfId="49754"/>
    <cellStyle name="Vírgula 2 2 6 3 4 3" xfId="32018"/>
    <cellStyle name="Vírgula 2 2 6 3 5" xfId="18773"/>
    <cellStyle name="Vírgula 2 2 6 3 5 2" xfId="43840"/>
    <cellStyle name="Vírgula 2 2 6 3 6" xfId="12559"/>
    <cellStyle name="Vírgula 2 2 6 3 6 2" xfId="37929"/>
    <cellStyle name="Vírgula 2 2 6 3 7" xfId="30548"/>
    <cellStyle name="Vírgula 2 2 6 4" xfId="4577"/>
    <cellStyle name="Vírgula 2 2 6 4 2" xfId="7979"/>
    <cellStyle name="Vírgula 2 2 6 4 2 2" xfId="10960"/>
    <cellStyle name="Vírgula 2 2 6 4 2 2 2" xfId="29174"/>
    <cellStyle name="Vírgula 2 2 6 4 2 2 2 2" xfId="54241"/>
    <cellStyle name="Vírgula 2 2 6 4 2 2 3" xfId="23260"/>
    <cellStyle name="Vírgula 2 2 6 4 2 2 3 2" xfId="48327"/>
    <cellStyle name="Vírgula 2 2 6 4 2 2 4" xfId="17346"/>
    <cellStyle name="Vírgula 2 2 6 4 2 2 4 2" xfId="42413"/>
    <cellStyle name="Vírgula 2 2 6 4 2 2 5" xfId="36505"/>
    <cellStyle name="Vírgula 2 2 6 4 2 3" xfId="26217"/>
    <cellStyle name="Vírgula 2 2 6 4 2 3 2" xfId="51284"/>
    <cellStyle name="Vírgula 2 2 6 4 2 4" xfId="20303"/>
    <cellStyle name="Vírgula 2 2 6 4 2 4 2" xfId="45370"/>
    <cellStyle name="Vírgula 2 2 6 4 2 5" xfId="14368"/>
    <cellStyle name="Vírgula 2 2 6 4 2 5 2" xfId="39459"/>
    <cellStyle name="Vírgula 2 2 6 4 2 6" xfId="33548"/>
    <cellStyle name="Vírgula 2 2 6 4 3" xfId="9492"/>
    <cellStyle name="Vírgula 2 2 6 4 3 2" xfId="27706"/>
    <cellStyle name="Vírgula 2 2 6 4 3 2 2" xfId="52773"/>
    <cellStyle name="Vírgula 2 2 6 4 3 3" xfId="21792"/>
    <cellStyle name="Vírgula 2 2 6 4 3 3 2" xfId="46859"/>
    <cellStyle name="Vírgula 2 2 6 4 3 4" xfId="15878"/>
    <cellStyle name="Vírgula 2 2 6 4 3 4 2" xfId="40945"/>
    <cellStyle name="Vírgula 2 2 6 4 3 5" xfId="35037"/>
    <cellStyle name="Vírgula 2 2 6 4 4" xfId="6278"/>
    <cellStyle name="Vírgula 2 2 6 4 4 2" xfId="24749"/>
    <cellStyle name="Vírgula 2 2 6 4 4 2 2" xfId="49816"/>
    <cellStyle name="Vírgula 2 2 6 4 4 3" xfId="32080"/>
    <cellStyle name="Vírgula 2 2 6 4 5" xfId="18835"/>
    <cellStyle name="Vírgula 2 2 6 4 5 2" xfId="43902"/>
    <cellStyle name="Vírgula 2 2 6 4 6" xfId="12667"/>
    <cellStyle name="Vírgula 2 2 6 4 6 2" xfId="37991"/>
    <cellStyle name="Vírgula 2 2 6 4 7" xfId="30610"/>
    <cellStyle name="Vírgula 2 2 6 5" xfId="5369"/>
    <cellStyle name="Vírgula 2 2 6 5 2" xfId="7068"/>
    <cellStyle name="Vírgula 2 2 6 5 2 2" xfId="10212"/>
    <cellStyle name="Vírgula 2 2 6 5 2 2 2" xfId="28426"/>
    <cellStyle name="Vírgula 2 2 6 5 2 2 2 2" xfId="53493"/>
    <cellStyle name="Vírgula 2 2 6 5 2 2 3" xfId="22512"/>
    <cellStyle name="Vírgula 2 2 6 5 2 2 3 2" xfId="47579"/>
    <cellStyle name="Vírgula 2 2 6 5 2 2 4" xfId="16598"/>
    <cellStyle name="Vírgula 2 2 6 5 2 2 4 2" xfId="41665"/>
    <cellStyle name="Vírgula 2 2 6 5 2 2 5" xfId="35757"/>
    <cellStyle name="Vírgula 2 2 6 5 2 3" xfId="25469"/>
    <cellStyle name="Vírgula 2 2 6 5 2 3 2" xfId="50536"/>
    <cellStyle name="Vírgula 2 2 6 5 2 4" xfId="19555"/>
    <cellStyle name="Vírgula 2 2 6 5 2 4 2" xfId="44622"/>
    <cellStyle name="Vírgula 2 2 6 5 2 5" xfId="13457"/>
    <cellStyle name="Vírgula 2 2 6 5 2 5 2" xfId="38711"/>
    <cellStyle name="Vírgula 2 2 6 5 2 6" xfId="32800"/>
    <cellStyle name="Vírgula 2 2 6 5 3" xfId="8744"/>
    <cellStyle name="Vírgula 2 2 6 5 3 2" xfId="26958"/>
    <cellStyle name="Vírgula 2 2 6 5 3 2 2" xfId="52025"/>
    <cellStyle name="Vírgula 2 2 6 5 3 3" xfId="21044"/>
    <cellStyle name="Vírgula 2 2 6 5 3 3 2" xfId="46111"/>
    <cellStyle name="Vírgula 2 2 6 5 3 4" xfId="15130"/>
    <cellStyle name="Vírgula 2 2 6 5 3 4 2" xfId="40197"/>
    <cellStyle name="Vírgula 2 2 6 5 3 5" xfId="34289"/>
    <cellStyle name="Vírgula 2 2 6 5 4" xfId="24001"/>
    <cellStyle name="Vírgula 2 2 6 5 4 2" xfId="49068"/>
    <cellStyle name="Vírgula 2 2 6 5 5" xfId="18087"/>
    <cellStyle name="Vírgula 2 2 6 5 5 2" xfId="43154"/>
    <cellStyle name="Vírgula 2 2 6 5 6" xfId="11756"/>
    <cellStyle name="Vírgula 2 2 6 5 6 2" xfId="37243"/>
    <cellStyle name="Vírgula 2 2 6 5 7" xfId="31332"/>
    <cellStyle name="Vírgula 2 2 6 6" xfId="6387"/>
    <cellStyle name="Vírgula 2 2 6 6 2" xfId="9554"/>
    <cellStyle name="Vírgula 2 2 6 6 2 2" xfId="27768"/>
    <cellStyle name="Vírgula 2 2 6 6 2 2 2" xfId="52835"/>
    <cellStyle name="Vírgula 2 2 6 6 2 3" xfId="21854"/>
    <cellStyle name="Vírgula 2 2 6 6 2 3 2" xfId="46921"/>
    <cellStyle name="Vírgula 2 2 6 6 2 4" xfId="15940"/>
    <cellStyle name="Vírgula 2 2 6 6 2 4 2" xfId="41007"/>
    <cellStyle name="Vírgula 2 2 6 6 2 5" xfId="35099"/>
    <cellStyle name="Vírgula 2 2 6 6 3" xfId="24811"/>
    <cellStyle name="Vírgula 2 2 6 6 3 2" xfId="49878"/>
    <cellStyle name="Vírgula 2 2 6 6 4" xfId="18897"/>
    <cellStyle name="Vírgula 2 2 6 6 4 2" xfId="43964"/>
    <cellStyle name="Vírgula 2 2 6 6 5" xfId="12776"/>
    <cellStyle name="Vírgula 2 2 6 6 5 2" xfId="38053"/>
    <cellStyle name="Vírgula 2 2 6 6 6" xfId="32142"/>
    <cellStyle name="Vírgula 2 2 6 7" xfId="8083"/>
    <cellStyle name="Vírgula 2 2 6 7 2" xfId="26297"/>
    <cellStyle name="Vírgula 2 2 6 7 2 2" xfId="51364"/>
    <cellStyle name="Vírgula 2 2 6 7 3" xfId="20383"/>
    <cellStyle name="Vírgula 2 2 6 7 3 2" xfId="45450"/>
    <cellStyle name="Vírgula 2 2 6 7 4" xfId="14472"/>
    <cellStyle name="Vírgula 2 2 6 7 4 2" xfId="39539"/>
    <cellStyle name="Vírgula 2 2 6 7 5" xfId="33628"/>
    <cellStyle name="Vírgula 2 2 6 8" xfId="4684"/>
    <cellStyle name="Vírgula 2 2 6 8 2" xfId="23340"/>
    <cellStyle name="Vírgula 2 2 6 8 2 2" xfId="48407"/>
    <cellStyle name="Vírgula 2 2 6 8 3" xfId="30672"/>
    <cellStyle name="Vírgula 2 2 6 9" xfId="17426"/>
    <cellStyle name="Vírgula 2 2 6 9 2" xfId="42493"/>
    <cellStyle name="Vírgula 2 2 7" xfId="2799"/>
    <cellStyle name="Vírgula 2 2 7 2" xfId="7215"/>
    <cellStyle name="Vírgula 2 2 7 2 2" xfId="10359"/>
    <cellStyle name="Vírgula 2 2 7 2 2 2" xfId="28573"/>
    <cellStyle name="Vírgula 2 2 7 2 2 2 2" xfId="53640"/>
    <cellStyle name="Vírgula 2 2 7 2 2 3" xfId="22659"/>
    <cellStyle name="Vírgula 2 2 7 2 2 3 2" xfId="47726"/>
    <cellStyle name="Vírgula 2 2 7 2 2 4" xfId="16745"/>
    <cellStyle name="Vírgula 2 2 7 2 2 4 2" xfId="41812"/>
    <cellStyle name="Vírgula 2 2 7 2 2 5" xfId="35904"/>
    <cellStyle name="Vírgula 2 2 7 2 3" xfId="25616"/>
    <cellStyle name="Vírgula 2 2 7 2 3 2" xfId="50683"/>
    <cellStyle name="Vírgula 2 2 7 2 4" xfId="19702"/>
    <cellStyle name="Vírgula 2 2 7 2 4 2" xfId="44769"/>
    <cellStyle name="Vírgula 2 2 7 2 5" xfId="13604"/>
    <cellStyle name="Vírgula 2 2 7 2 5 2" xfId="38858"/>
    <cellStyle name="Vírgula 2 2 7 2 6" xfId="32947"/>
    <cellStyle name="Vírgula 2 2 7 3" xfId="8891"/>
    <cellStyle name="Vírgula 2 2 7 3 2" xfId="27105"/>
    <cellStyle name="Vírgula 2 2 7 3 2 2" xfId="52172"/>
    <cellStyle name="Vírgula 2 2 7 3 3" xfId="21191"/>
    <cellStyle name="Vírgula 2 2 7 3 3 2" xfId="46258"/>
    <cellStyle name="Vírgula 2 2 7 3 4" xfId="15277"/>
    <cellStyle name="Vírgula 2 2 7 3 4 2" xfId="40344"/>
    <cellStyle name="Vírgula 2 2 7 3 5" xfId="34436"/>
    <cellStyle name="Vírgula 2 2 7 4" xfId="5516"/>
    <cellStyle name="Vírgula 2 2 7 4 2" xfId="24148"/>
    <cellStyle name="Vírgula 2 2 7 4 2 2" xfId="49215"/>
    <cellStyle name="Vírgula 2 2 7 4 3" xfId="31479"/>
    <cellStyle name="Vírgula 2 2 7 5" xfId="18234"/>
    <cellStyle name="Vírgula 2 2 7 5 2" xfId="43301"/>
    <cellStyle name="Vírgula 2 2 7 6" xfId="11903"/>
    <cellStyle name="Vírgula 2 2 7 6 2" xfId="37390"/>
    <cellStyle name="Vírgula 2 2 7 7" xfId="30009"/>
    <cellStyle name="Vírgula 2 2 8" xfId="3326"/>
    <cellStyle name="Vírgula 2 2 8 2" xfId="7362"/>
    <cellStyle name="Vírgula 2 2 8 2 2" xfId="10506"/>
    <cellStyle name="Vírgula 2 2 8 2 2 2" xfId="28720"/>
    <cellStyle name="Vírgula 2 2 8 2 2 2 2" xfId="53787"/>
    <cellStyle name="Vírgula 2 2 8 2 2 3" xfId="22806"/>
    <cellStyle name="Vírgula 2 2 8 2 2 3 2" xfId="47873"/>
    <cellStyle name="Vírgula 2 2 8 2 2 4" xfId="16892"/>
    <cellStyle name="Vírgula 2 2 8 2 2 4 2" xfId="41959"/>
    <cellStyle name="Vírgula 2 2 8 2 2 5" xfId="36051"/>
    <cellStyle name="Vírgula 2 2 8 2 3" xfId="25763"/>
    <cellStyle name="Vírgula 2 2 8 2 3 2" xfId="50830"/>
    <cellStyle name="Vírgula 2 2 8 2 4" xfId="19849"/>
    <cellStyle name="Vírgula 2 2 8 2 4 2" xfId="44916"/>
    <cellStyle name="Vírgula 2 2 8 2 5" xfId="13751"/>
    <cellStyle name="Vírgula 2 2 8 2 5 2" xfId="39005"/>
    <cellStyle name="Vírgula 2 2 8 2 6" xfId="33094"/>
    <cellStyle name="Vírgula 2 2 8 3" xfId="9038"/>
    <cellStyle name="Vírgula 2 2 8 3 2" xfId="27252"/>
    <cellStyle name="Vírgula 2 2 8 3 2 2" xfId="52319"/>
    <cellStyle name="Vírgula 2 2 8 3 3" xfId="21338"/>
    <cellStyle name="Vírgula 2 2 8 3 3 2" xfId="46405"/>
    <cellStyle name="Vírgula 2 2 8 3 4" xfId="15424"/>
    <cellStyle name="Vírgula 2 2 8 3 4 2" xfId="40491"/>
    <cellStyle name="Vírgula 2 2 8 3 5" xfId="34583"/>
    <cellStyle name="Vírgula 2 2 8 4" xfId="5663"/>
    <cellStyle name="Vírgula 2 2 8 4 2" xfId="24295"/>
    <cellStyle name="Vírgula 2 2 8 4 2 2" xfId="49362"/>
    <cellStyle name="Vírgula 2 2 8 4 3" xfId="31626"/>
    <cellStyle name="Vírgula 2 2 8 5" xfId="18381"/>
    <cellStyle name="Vírgula 2 2 8 5 2" xfId="43448"/>
    <cellStyle name="Vírgula 2 2 8 6" xfId="12050"/>
    <cellStyle name="Vírgula 2 2 8 6 2" xfId="37537"/>
    <cellStyle name="Vírgula 2 2 8 7" xfId="30156"/>
    <cellStyle name="Vírgula 2 2 9" xfId="3853"/>
    <cellStyle name="Vírgula 2 2 9 2" xfId="7509"/>
    <cellStyle name="Vírgula 2 2 9 2 2" xfId="10653"/>
    <cellStyle name="Vírgula 2 2 9 2 2 2" xfId="28867"/>
    <cellStyle name="Vírgula 2 2 9 2 2 2 2" xfId="53934"/>
    <cellStyle name="Vírgula 2 2 9 2 2 3" xfId="22953"/>
    <cellStyle name="Vírgula 2 2 9 2 2 3 2" xfId="48020"/>
    <cellStyle name="Vírgula 2 2 9 2 2 4" xfId="17039"/>
    <cellStyle name="Vírgula 2 2 9 2 2 4 2" xfId="42106"/>
    <cellStyle name="Vírgula 2 2 9 2 2 5" xfId="36198"/>
    <cellStyle name="Vírgula 2 2 9 2 3" xfId="25910"/>
    <cellStyle name="Vírgula 2 2 9 2 3 2" xfId="50977"/>
    <cellStyle name="Vírgula 2 2 9 2 4" xfId="19996"/>
    <cellStyle name="Vírgula 2 2 9 2 4 2" xfId="45063"/>
    <cellStyle name="Vírgula 2 2 9 2 5" xfId="13898"/>
    <cellStyle name="Vírgula 2 2 9 2 5 2" xfId="39152"/>
    <cellStyle name="Vírgula 2 2 9 2 6" xfId="33241"/>
    <cellStyle name="Vírgula 2 2 9 3" xfId="9185"/>
    <cellStyle name="Vírgula 2 2 9 3 2" xfId="27399"/>
    <cellStyle name="Vírgula 2 2 9 3 2 2" xfId="52466"/>
    <cellStyle name="Vírgula 2 2 9 3 3" xfId="21485"/>
    <cellStyle name="Vírgula 2 2 9 3 3 2" xfId="46552"/>
    <cellStyle name="Vírgula 2 2 9 3 4" xfId="15571"/>
    <cellStyle name="Vírgula 2 2 9 3 4 2" xfId="40638"/>
    <cellStyle name="Vírgula 2 2 9 3 5" xfId="34730"/>
    <cellStyle name="Vírgula 2 2 9 4" xfId="5810"/>
    <cellStyle name="Vírgula 2 2 9 4 2" xfId="24442"/>
    <cellStyle name="Vírgula 2 2 9 4 2 2" xfId="49509"/>
    <cellStyle name="Vírgula 2 2 9 4 3" xfId="31773"/>
    <cellStyle name="Vírgula 2 2 9 5" xfId="18528"/>
    <cellStyle name="Vírgula 2 2 9 5 2" xfId="43595"/>
    <cellStyle name="Vírgula 2 2 9 6" xfId="12197"/>
    <cellStyle name="Vírgula 2 2 9 6 2" xfId="37684"/>
    <cellStyle name="Vírgula 2 2 9 7" xfId="30303"/>
    <cellStyle name="Vírgula 2 3" xfId="306"/>
    <cellStyle name="Vírgula 2 3 10" xfId="4213"/>
    <cellStyle name="Vírgula 2 3 10 2" xfId="7613"/>
    <cellStyle name="Vírgula 2 3 10 2 2" xfId="10752"/>
    <cellStyle name="Vírgula 2 3 10 2 2 2" xfId="28966"/>
    <cellStyle name="Vírgula 2 3 10 2 2 2 2" xfId="54033"/>
    <cellStyle name="Vírgula 2 3 10 2 2 3" xfId="23052"/>
    <cellStyle name="Vírgula 2 3 10 2 2 3 2" xfId="48119"/>
    <cellStyle name="Vírgula 2 3 10 2 2 4" xfId="17138"/>
    <cellStyle name="Vírgula 2 3 10 2 2 4 2" xfId="42205"/>
    <cellStyle name="Vírgula 2 3 10 2 2 5" xfId="36297"/>
    <cellStyle name="Vírgula 2 3 10 2 3" xfId="26009"/>
    <cellStyle name="Vírgula 2 3 10 2 3 2" xfId="51076"/>
    <cellStyle name="Vírgula 2 3 10 2 4" xfId="20095"/>
    <cellStyle name="Vírgula 2 3 10 2 4 2" xfId="45162"/>
    <cellStyle name="Vírgula 2 3 10 2 5" xfId="14002"/>
    <cellStyle name="Vírgula 2 3 10 2 5 2" xfId="39251"/>
    <cellStyle name="Vírgula 2 3 10 2 6" xfId="33340"/>
    <cellStyle name="Vírgula 2 3 10 3" xfId="9284"/>
    <cellStyle name="Vírgula 2 3 10 3 2" xfId="27498"/>
    <cellStyle name="Vírgula 2 3 10 3 2 2" xfId="52565"/>
    <cellStyle name="Vírgula 2 3 10 3 3" xfId="21584"/>
    <cellStyle name="Vírgula 2 3 10 3 3 2" xfId="46651"/>
    <cellStyle name="Vírgula 2 3 10 3 4" xfId="15670"/>
    <cellStyle name="Vírgula 2 3 10 3 4 2" xfId="40737"/>
    <cellStyle name="Vírgula 2 3 10 3 5" xfId="34829"/>
    <cellStyle name="Vírgula 2 3 10 4" xfId="5914"/>
    <cellStyle name="Vírgula 2 3 10 4 2" xfId="24541"/>
    <cellStyle name="Vírgula 2 3 10 4 2 2" xfId="49608"/>
    <cellStyle name="Vírgula 2 3 10 4 3" xfId="31872"/>
    <cellStyle name="Vírgula 2 3 10 5" xfId="18627"/>
    <cellStyle name="Vírgula 2 3 10 5 2" xfId="43694"/>
    <cellStyle name="Vírgula 2 3 10 6" xfId="12301"/>
    <cellStyle name="Vírgula 2 3 10 6 2" xfId="37783"/>
    <cellStyle name="Vírgula 2 3 10 7" xfId="30402"/>
    <cellStyle name="Vírgula 2 3 11" xfId="4289"/>
    <cellStyle name="Vírgula 2 3 11 2" xfId="7690"/>
    <cellStyle name="Vírgula 2 3 11 2 2" xfId="10795"/>
    <cellStyle name="Vírgula 2 3 11 2 2 2" xfId="29009"/>
    <cellStyle name="Vírgula 2 3 11 2 2 2 2" xfId="54076"/>
    <cellStyle name="Vírgula 2 3 11 2 2 3" xfId="23095"/>
    <cellStyle name="Vírgula 2 3 11 2 2 3 2" xfId="48162"/>
    <cellStyle name="Vírgula 2 3 11 2 2 4" xfId="17181"/>
    <cellStyle name="Vírgula 2 3 11 2 2 4 2" xfId="42248"/>
    <cellStyle name="Vírgula 2 3 11 2 2 5" xfId="36340"/>
    <cellStyle name="Vírgula 2 3 11 2 3" xfId="26052"/>
    <cellStyle name="Vírgula 2 3 11 2 3 2" xfId="51119"/>
    <cellStyle name="Vírgula 2 3 11 2 4" xfId="20138"/>
    <cellStyle name="Vírgula 2 3 11 2 4 2" xfId="45205"/>
    <cellStyle name="Vírgula 2 3 11 2 5" xfId="14079"/>
    <cellStyle name="Vírgula 2 3 11 2 5 2" xfId="39294"/>
    <cellStyle name="Vírgula 2 3 11 2 6" xfId="33383"/>
    <cellStyle name="Vírgula 2 3 11 3" xfId="9327"/>
    <cellStyle name="Vírgula 2 3 11 3 2" xfId="27541"/>
    <cellStyle name="Vírgula 2 3 11 3 2 2" xfId="52608"/>
    <cellStyle name="Vírgula 2 3 11 3 3" xfId="21627"/>
    <cellStyle name="Vírgula 2 3 11 3 3 2" xfId="46694"/>
    <cellStyle name="Vírgula 2 3 11 3 4" xfId="15713"/>
    <cellStyle name="Vírgula 2 3 11 3 4 2" xfId="40780"/>
    <cellStyle name="Vírgula 2 3 11 3 5" xfId="34872"/>
    <cellStyle name="Vírgula 2 3 11 4" xfId="5990"/>
    <cellStyle name="Vírgula 2 3 11 4 2" xfId="24584"/>
    <cellStyle name="Vírgula 2 3 11 4 2 2" xfId="49651"/>
    <cellStyle name="Vírgula 2 3 11 4 3" xfId="31915"/>
    <cellStyle name="Vírgula 2 3 11 5" xfId="18670"/>
    <cellStyle name="Vírgula 2 3 11 5 2" xfId="43737"/>
    <cellStyle name="Vírgula 2 3 11 6" xfId="12378"/>
    <cellStyle name="Vírgula 2 3 11 6 2" xfId="37826"/>
    <cellStyle name="Vírgula 2 3 11 7" xfId="30445"/>
    <cellStyle name="Vírgula 2 3 12" xfId="4397"/>
    <cellStyle name="Vírgula 2 3 12 2" xfId="7799"/>
    <cellStyle name="Vírgula 2 3 12 2 2" xfId="10857"/>
    <cellStyle name="Vírgula 2 3 12 2 2 2" xfId="29071"/>
    <cellStyle name="Vírgula 2 3 12 2 2 2 2" xfId="54138"/>
    <cellStyle name="Vírgula 2 3 12 2 2 3" xfId="23157"/>
    <cellStyle name="Vírgula 2 3 12 2 2 3 2" xfId="48224"/>
    <cellStyle name="Vírgula 2 3 12 2 2 4" xfId="17243"/>
    <cellStyle name="Vírgula 2 3 12 2 2 4 2" xfId="42310"/>
    <cellStyle name="Vírgula 2 3 12 2 2 5" xfId="36402"/>
    <cellStyle name="Vírgula 2 3 12 2 3" xfId="26114"/>
    <cellStyle name="Vírgula 2 3 12 2 3 2" xfId="51181"/>
    <cellStyle name="Vírgula 2 3 12 2 4" xfId="20200"/>
    <cellStyle name="Vírgula 2 3 12 2 4 2" xfId="45267"/>
    <cellStyle name="Vírgula 2 3 12 2 5" xfId="14188"/>
    <cellStyle name="Vírgula 2 3 12 2 5 2" xfId="39356"/>
    <cellStyle name="Vírgula 2 3 12 2 6" xfId="33445"/>
    <cellStyle name="Vírgula 2 3 12 3" xfId="9389"/>
    <cellStyle name="Vírgula 2 3 12 3 2" xfId="27603"/>
    <cellStyle name="Vírgula 2 3 12 3 2 2" xfId="52670"/>
    <cellStyle name="Vírgula 2 3 12 3 3" xfId="21689"/>
    <cellStyle name="Vírgula 2 3 12 3 3 2" xfId="46756"/>
    <cellStyle name="Vírgula 2 3 12 3 4" xfId="15775"/>
    <cellStyle name="Vírgula 2 3 12 3 4 2" xfId="40842"/>
    <cellStyle name="Vírgula 2 3 12 3 5" xfId="34934"/>
    <cellStyle name="Vírgula 2 3 12 4" xfId="6099"/>
    <cellStyle name="Vírgula 2 3 12 4 2" xfId="24646"/>
    <cellStyle name="Vírgula 2 3 12 4 2 2" xfId="49713"/>
    <cellStyle name="Vírgula 2 3 12 4 3" xfId="31977"/>
    <cellStyle name="Vírgula 2 3 12 5" xfId="18732"/>
    <cellStyle name="Vírgula 2 3 12 5 2" xfId="43799"/>
    <cellStyle name="Vírgula 2 3 12 6" xfId="12487"/>
    <cellStyle name="Vírgula 2 3 12 6 2" xfId="37888"/>
    <cellStyle name="Vírgula 2 3 12 7" xfId="30507"/>
    <cellStyle name="Vírgula 2 3 13" xfId="4505"/>
    <cellStyle name="Vírgula 2 3 13 2" xfId="7907"/>
    <cellStyle name="Vírgula 2 3 13 2 2" xfId="10919"/>
    <cellStyle name="Vírgula 2 3 13 2 2 2" xfId="29133"/>
    <cellStyle name="Vírgula 2 3 13 2 2 2 2" xfId="54200"/>
    <cellStyle name="Vírgula 2 3 13 2 2 3" xfId="23219"/>
    <cellStyle name="Vírgula 2 3 13 2 2 3 2" xfId="48286"/>
    <cellStyle name="Vírgula 2 3 13 2 2 4" xfId="17305"/>
    <cellStyle name="Vírgula 2 3 13 2 2 4 2" xfId="42372"/>
    <cellStyle name="Vírgula 2 3 13 2 2 5" xfId="36464"/>
    <cellStyle name="Vírgula 2 3 13 2 3" xfId="26176"/>
    <cellStyle name="Vírgula 2 3 13 2 3 2" xfId="51243"/>
    <cellStyle name="Vírgula 2 3 13 2 4" xfId="20262"/>
    <cellStyle name="Vírgula 2 3 13 2 4 2" xfId="45329"/>
    <cellStyle name="Vírgula 2 3 13 2 5" xfId="14296"/>
    <cellStyle name="Vírgula 2 3 13 2 5 2" xfId="39418"/>
    <cellStyle name="Vírgula 2 3 13 2 6" xfId="33507"/>
    <cellStyle name="Vírgula 2 3 13 3" xfId="9451"/>
    <cellStyle name="Vírgula 2 3 13 3 2" xfId="27665"/>
    <cellStyle name="Vírgula 2 3 13 3 2 2" xfId="52732"/>
    <cellStyle name="Vírgula 2 3 13 3 3" xfId="21751"/>
    <cellStyle name="Vírgula 2 3 13 3 3 2" xfId="46818"/>
    <cellStyle name="Vírgula 2 3 13 3 4" xfId="15837"/>
    <cellStyle name="Vírgula 2 3 13 3 4 2" xfId="40904"/>
    <cellStyle name="Vírgula 2 3 13 3 5" xfId="34996"/>
    <cellStyle name="Vírgula 2 3 13 4" xfId="6206"/>
    <cellStyle name="Vírgula 2 3 13 4 2" xfId="24708"/>
    <cellStyle name="Vírgula 2 3 13 4 2 2" xfId="49775"/>
    <cellStyle name="Vírgula 2 3 13 4 3" xfId="32039"/>
    <cellStyle name="Vírgula 2 3 13 5" xfId="18794"/>
    <cellStyle name="Vírgula 2 3 13 5 2" xfId="43861"/>
    <cellStyle name="Vírgula 2 3 13 6" xfId="12595"/>
    <cellStyle name="Vírgula 2 3 13 6 2" xfId="37950"/>
    <cellStyle name="Vírgula 2 3 13 7" xfId="30569"/>
    <cellStyle name="Vírgula 2 3 14" xfId="4800"/>
    <cellStyle name="Vírgula 2 3 14 2" xfId="6501"/>
    <cellStyle name="Vírgula 2 3 14 2 2" xfId="9651"/>
    <cellStyle name="Vírgula 2 3 14 2 2 2" xfId="27865"/>
    <cellStyle name="Vírgula 2 3 14 2 2 2 2" xfId="52932"/>
    <cellStyle name="Vírgula 2 3 14 2 2 3" xfId="21951"/>
    <cellStyle name="Vírgula 2 3 14 2 2 3 2" xfId="47018"/>
    <cellStyle name="Vírgula 2 3 14 2 2 4" xfId="16037"/>
    <cellStyle name="Vírgula 2 3 14 2 2 4 2" xfId="41104"/>
    <cellStyle name="Vírgula 2 3 14 2 2 5" xfId="35196"/>
    <cellStyle name="Vírgula 2 3 14 2 3" xfId="24908"/>
    <cellStyle name="Vírgula 2 3 14 2 3 2" xfId="49975"/>
    <cellStyle name="Vírgula 2 3 14 2 4" xfId="18994"/>
    <cellStyle name="Vírgula 2 3 14 2 4 2" xfId="44061"/>
    <cellStyle name="Vírgula 2 3 14 2 5" xfId="12890"/>
    <cellStyle name="Vírgula 2 3 14 2 5 2" xfId="38150"/>
    <cellStyle name="Vírgula 2 3 14 2 6" xfId="32239"/>
    <cellStyle name="Vírgula 2 3 14 3" xfId="8180"/>
    <cellStyle name="Vírgula 2 3 14 3 2" xfId="26394"/>
    <cellStyle name="Vírgula 2 3 14 3 2 2" xfId="51461"/>
    <cellStyle name="Vírgula 2 3 14 3 3" xfId="20480"/>
    <cellStyle name="Vírgula 2 3 14 3 3 2" xfId="45547"/>
    <cellStyle name="Vírgula 2 3 14 3 4" xfId="14569"/>
    <cellStyle name="Vírgula 2 3 14 3 4 2" xfId="39636"/>
    <cellStyle name="Vírgula 2 3 14 3 5" xfId="33725"/>
    <cellStyle name="Vírgula 2 3 14 4" xfId="23437"/>
    <cellStyle name="Vírgula 2 3 14 4 2" xfId="48504"/>
    <cellStyle name="Vírgula 2 3 14 5" xfId="17523"/>
    <cellStyle name="Vírgula 2 3 14 5 2" xfId="42590"/>
    <cellStyle name="Vírgula 2 3 14 6" xfId="11189"/>
    <cellStyle name="Vírgula 2 3 14 6 2" xfId="36682"/>
    <cellStyle name="Vírgula 2 3 14 7" xfId="30769"/>
    <cellStyle name="Vírgula 2 3 15" xfId="6315"/>
    <cellStyle name="Vírgula 2 3 15 2" xfId="9513"/>
    <cellStyle name="Vírgula 2 3 15 2 2" xfId="27727"/>
    <cellStyle name="Vírgula 2 3 15 2 2 2" xfId="52794"/>
    <cellStyle name="Vírgula 2 3 15 2 3" xfId="21813"/>
    <cellStyle name="Vírgula 2 3 15 2 3 2" xfId="46880"/>
    <cellStyle name="Vírgula 2 3 15 2 4" xfId="15899"/>
    <cellStyle name="Vírgula 2 3 15 2 4 2" xfId="40966"/>
    <cellStyle name="Vírgula 2 3 15 2 5" xfId="35058"/>
    <cellStyle name="Vírgula 2 3 15 3" xfId="24770"/>
    <cellStyle name="Vírgula 2 3 15 3 2" xfId="49837"/>
    <cellStyle name="Vírgula 2 3 15 4" xfId="18856"/>
    <cellStyle name="Vírgula 2 3 15 4 2" xfId="43923"/>
    <cellStyle name="Vírgula 2 3 15 5" xfId="12704"/>
    <cellStyle name="Vírgula 2 3 15 5 2" xfId="38012"/>
    <cellStyle name="Vírgula 2 3 15 6" xfId="32101"/>
    <cellStyle name="Vírgula 2 3 16" xfId="8042"/>
    <cellStyle name="Vírgula 2 3 16 2" xfId="26256"/>
    <cellStyle name="Vírgula 2 3 16 2 2" xfId="51323"/>
    <cellStyle name="Vírgula 2 3 16 3" xfId="20342"/>
    <cellStyle name="Vírgula 2 3 16 3 2" xfId="45409"/>
    <cellStyle name="Vírgula 2 3 16 4" xfId="14431"/>
    <cellStyle name="Vírgula 2 3 16 4 2" xfId="39498"/>
    <cellStyle name="Vírgula 2 3 16 5" xfId="33587"/>
    <cellStyle name="Vírgula 2 3 17" xfId="4613"/>
    <cellStyle name="Vírgula 2 3 17 2" xfId="23299"/>
    <cellStyle name="Vírgula 2 3 17 2 2" xfId="48366"/>
    <cellStyle name="Vírgula 2 3 17 3" xfId="30631"/>
    <cellStyle name="Vírgula 2 3 18" xfId="17385"/>
    <cellStyle name="Vírgula 2 3 18 2" xfId="42452"/>
    <cellStyle name="Vírgula 2 3 19" xfId="11004"/>
    <cellStyle name="Vírgula 2 3 19 2" xfId="36544"/>
    <cellStyle name="Vírgula 2 3 2" xfId="661"/>
    <cellStyle name="Vírgula 2 3 2 2" xfId="6596"/>
    <cellStyle name="Vírgula 2 3 2 2 2" xfId="9743"/>
    <cellStyle name="Vírgula 2 3 2 2 2 2" xfId="27957"/>
    <cellStyle name="Vírgula 2 3 2 2 2 2 2" xfId="53024"/>
    <cellStyle name="Vírgula 2 3 2 2 2 3" xfId="22043"/>
    <cellStyle name="Vírgula 2 3 2 2 2 3 2" xfId="47110"/>
    <cellStyle name="Vírgula 2 3 2 2 2 4" xfId="16129"/>
    <cellStyle name="Vírgula 2 3 2 2 2 4 2" xfId="41196"/>
    <cellStyle name="Vírgula 2 3 2 2 2 5" xfId="35288"/>
    <cellStyle name="Vírgula 2 3 2 2 3" xfId="25000"/>
    <cellStyle name="Vírgula 2 3 2 2 3 2" xfId="50067"/>
    <cellStyle name="Vírgula 2 3 2 2 4" xfId="19086"/>
    <cellStyle name="Vírgula 2 3 2 2 4 2" xfId="44153"/>
    <cellStyle name="Vírgula 2 3 2 2 5" xfId="12985"/>
    <cellStyle name="Vírgula 2 3 2 2 5 2" xfId="38242"/>
    <cellStyle name="Vírgula 2 3 2 2 6" xfId="32331"/>
    <cellStyle name="Vírgula 2 3 2 3" xfId="8275"/>
    <cellStyle name="Vírgula 2 3 2 3 2" xfId="26489"/>
    <cellStyle name="Vírgula 2 3 2 3 2 2" xfId="51556"/>
    <cellStyle name="Vírgula 2 3 2 3 3" xfId="20575"/>
    <cellStyle name="Vírgula 2 3 2 3 3 2" xfId="45642"/>
    <cellStyle name="Vírgula 2 3 2 3 4" xfId="14661"/>
    <cellStyle name="Vírgula 2 3 2 3 4 2" xfId="39728"/>
    <cellStyle name="Vírgula 2 3 2 3 5" xfId="33820"/>
    <cellStyle name="Vírgula 2 3 2 4" xfId="4897"/>
    <cellStyle name="Vírgula 2 3 2 4 2" xfId="23532"/>
    <cellStyle name="Vírgula 2 3 2 4 2 2" xfId="48599"/>
    <cellStyle name="Vírgula 2 3 2 4 3" xfId="30863"/>
    <cellStyle name="Vírgula 2 3 2 5" xfId="17618"/>
    <cellStyle name="Vírgula 2 3 2 5 2" xfId="42685"/>
    <cellStyle name="Vírgula 2 3 2 6" xfId="11284"/>
    <cellStyle name="Vírgula 2 3 2 6 2" xfId="36774"/>
    <cellStyle name="Vírgula 2 3 2 7" xfId="29393"/>
    <cellStyle name="Vírgula 2 3 20" xfId="29298"/>
    <cellStyle name="Vírgula 2 3 3" xfId="865"/>
    <cellStyle name="Vírgula 2 3 3 2" xfId="6673"/>
    <cellStyle name="Vírgula 2 3 3 2 2" xfId="9820"/>
    <cellStyle name="Vírgula 2 3 3 2 2 2" xfId="28034"/>
    <cellStyle name="Vírgula 2 3 3 2 2 2 2" xfId="53101"/>
    <cellStyle name="Vírgula 2 3 3 2 2 3" xfId="22120"/>
    <cellStyle name="Vírgula 2 3 3 2 2 3 2" xfId="47187"/>
    <cellStyle name="Vírgula 2 3 3 2 2 4" xfId="16206"/>
    <cellStyle name="Vírgula 2 3 3 2 2 4 2" xfId="41273"/>
    <cellStyle name="Vírgula 2 3 3 2 2 5" xfId="35365"/>
    <cellStyle name="Vírgula 2 3 3 2 3" xfId="25077"/>
    <cellStyle name="Vírgula 2 3 3 2 3 2" xfId="50144"/>
    <cellStyle name="Vírgula 2 3 3 2 4" xfId="19163"/>
    <cellStyle name="Vírgula 2 3 3 2 4 2" xfId="44230"/>
    <cellStyle name="Vírgula 2 3 3 2 5" xfId="13062"/>
    <cellStyle name="Vírgula 2 3 3 2 5 2" xfId="38319"/>
    <cellStyle name="Vírgula 2 3 3 2 6" xfId="32408"/>
    <cellStyle name="Vírgula 2 3 3 3" xfId="8352"/>
    <cellStyle name="Vírgula 2 3 3 3 2" xfId="26566"/>
    <cellStyle name="Vírgula 2 3 3 3 2 2" xfId="51633"/>
    <cellStyle name="Vírgula 2 3 3 3 3" xfId="20652"/>
    <cellStyle name="Vírgula 2 3 3 3 3 2" xfId="45719"/>
    <cellStyle name="Vírgula 2 3 3 3 4" xfId="14738"/>
    <cellStyle name="Vírgula 2 3 3 3 4 2" xfId="39805"/>
    <cellStyle name="Vírgula 2 3 3 3 5" xfId="33897"/>
    <cellStyle name="Vírgula 2 3 3 4" xfId="4974"/>
    <cellStyle name="Vírgula 2 3 3 4 2" xfId="23609"/>
    <cellStyle name="Vírgula 2 3 3 4 2 2" xfId="48676"/>
    <cellStyle name="Vírgula 2 3 3 4 3" xfId="30940"/>
    <cellStyle name="Vírgula 2 3 3 5" xfId="17695"/>
    <cellStyle name="Vírgula 2 3 3 5 2" xfId="42762"/>
    <cellStyle name="Vírgula 2 3 3 6" xfId="11361"/>
    <cellStyle name="Vírgula 2 3 3 6 2" xfId="36851"/>
    <cellStyle name="Vírgula 2 3 3 7" xfId="29470"/>
    <cellStyle name="Vírgula 2 3 4" xfId="1216"/>
    <cellStyle name="Vírgula 2 3 4 2" xfId="6771"/>
    <cellStyle name="Vírgula 2 3 4 2 2" xfId="9918"/>
    <cellStyle name="Vírgula 2 3 4 2 2 2" xfId="28132"/>
    <cellStyle name="Vírgula 2 3 4 2 2 2 2" xfId="53199"/>
    <cellStyle name="Vírgula 2 3 4 2 2 3" xfId="22218"/>
    <cellStyle name="Vírgula 2 3 4 2 2 3 2" xfId="47285"/>
    <cellStyle name="Vírgula 2 3 4 2 2 4" xfId="16304"/>
    <cellStyle name="Vírgula 2 3 4 2 2 4 2" xfId="41371"/>
    <cellStyle name="Vírgula 2 3 4 2 2 5" xfId="35463"/>
    <cellStyle name="Vírgula 2 3 4 2 3" xfId="25175"/>
    <cellStyle name="Vírgula 2 3 4 2 3 2" xfId="50242"/>
    <cellStyle name="Vírgula 2 3 4 2 4" xfId="19261"/>
    <cellStyle name="Vírgula 2 3 4 2 4 2" xfId="44328"/>
    <cellStyle name="Vírgula 2 3 4 2 5" xfId="13160"/>
    <cellStyle name="Vírgula 2 3 4 2 5 2" xfId="38417"/>
    <cellStyle name="Vírgula 2 3 4 2 6" xfId="32506"/>
    <cellStyle name="Vírgula 2 3 4 3" xfId="8450"/>
    <cellStyle name="Vírgula 2 3 4 3 2" xfId="26664"/>
    <cellStyle name="Vírgula 2 3 4 3 2 2" xfId="51731"/>
    <cellStyle name="Vírgula 2 3 4 3 3" xfId="20750"/>
    <cellStyle name="Vírgula 2 3 4 3 3 2" xfId="45817"/>
    <cellStyle name="Vírgula 2 3 4 3 4" xfId="14836"/>
    <cellStyle name="Vírgula 2 3 4 3 4 2" xfId="39903"/>
    <cellStyle name="Vírgula 2 3 4 3 5" xfId="33995"/>
    <cellStyle name="Vírgula 2 3 4 4" xfId="5072"/>
    <cellStyle name="Vírgula 2 3 4 4 2" xfId="23707"/>
    <cellStyle name="Vírgula 2 3 4 4 2 2" xfId="48774"/>
    <cellStyle name="Vírgula 2 3 4 4 3" xfId="31038"/>
    <cellStyle name="Vírgula 2 3 4 5" xfId="17793"/>
    <cellStyle name="Vírgula 2 3 4 5 2" xfId="42860"/>
    <cellStyle name="Vírgula 2 3 4 6" xfId="11459"/>
    <cellStyle name="Vírgula 2 3 4 6 2" xfId="36949"/>
    <cellStyle name="Vírgula 2 3 4 7" xfId="29568"/>
    <cellStyle name="Vírgula 2 3 5" xfId="1651"/>
    <cellStyle name="Vírgula 2 3 5 2" xfId="6890"/>
    <cellStyle name="Vírgula 2 3 5 2 2" xfId="10037"/>
    <cellStyle name="Vírgula 2 3 5 2 2 2" xfId="28251"/>
    <cellStyle name="Vírgula 2 3 5 2 2 2 2" xfId="53318"/>
    <cellStyle name="Vírgula 2 3 5 2 2 3" xfId="22337"/>
    <cellStyle name="Vírgula 2 3 5 2 2 3 2" xfId="47404"/>
    <cellStyle name="Vírgula 2 3 5 2 2 4" xfId="16423"/>
    <cellStyle name="Vírgula 2 3 5 2 2 4 2" xfId="41490"/>
    <cellStyle name="Vírgula 2 3 5 2 2 5" xfId="35582"/>
    <cellStyle name="Vírgula 2 3 5 2 3" xfId="25294"/>
    <cellStyle name="Vírgula 2 3 5 2 3 2" xfId="50361"/>
    <cellStyle name="Vírgula 2 3 5 2 4" xfId="19380"/>
    <cellStyle name="Vírgula 2 3 5 2 4 2" xfId="44447"/>
    <cellStyle name="Vírgula 2 3 5 2 5" xfId="13279"/>
    <cellStyle name="Vírgula 2 3 5 2 5 2" xfId="38536"/>
    <cellStyle name="Vírgula 2 3 5 2 6" xfId="32625"/>
    <cellStyle name="Vírgula 2 3 5 3" xfId="8569"/>
    <cellStyle name="Vírgula 2 3 5 3 2" xfId="26783"/>
    <cellStyle name="Vírgula 2 3 5 3 2 2" xfId="51850"/>
    <cellStyle name="Vírgula 2 3 5 3 3" xfId="20869"/>
    <cellStyle name="Vírgula 2 3 5 3 3 2" xfId="45936"/>
    <cellStyle name="Vírgula 2 3 5 3 4" xfId="14955"/>
    <cellStyle name="Vírgula 2 3 5 3 4 2" xfId="40022"/>
    <cellStyle name="Vírgula 2 3 5 3 5" xfId="34114"/>
    <cellStyle name="Vírgula 2 3 5 4" xfId="5191"/>
    <cellStyle name="Vírgula 2 3 5 4 2" xfId="23826"/>
    <cellStyle name="Vírgula 2 3 5 4 2 2" xfId="48893"/>
    <cellStyle name="Vírgula 2 3 5 4 3" xfId="31157"/>
    <cellStyle name="Vírgula 2 3 5 5" xfId="17912"/>
    <cellStyle name="Vírgula 2 3 5 5 2" xfId="42979"/>
    <cellStyle name="Vírgula 2 3 5 6" xfId="11578"/>
    <cellStyle name="Vírgula 2 3 5 6 2" xfId="37068"/>
    <cellStyle name="Vírgula 2 3 5 7" xfId="29687"/>
    <cellStyle name="Vírgula 2 3 6" xfId="2181"/>
    <cellStyle name="Vírgula 2 3 6 2" xfId="7040"/>
    <cellStyle name="Vírgula 2 3 6 2 2" xfId="10184"/>
    <cellStyle name="Vírgula 2 3 6 2 2 2" xfId="28398"/>
    <cellStyle name="Vírgula 2 3 6 2 2 2 2" xfId="53465"/>
    <cellStyle name="Vírgula 2 3 6 2 2 3" xfId="22484"/>
    <cellStyle name="Vírgula 2 3 6 2 2 3 2" xfId="47551"/>
    <cellStyle name="Vírgula 2 3 6 2 2 4" xfId="16570"/>
    <cellStyle name="Vírgula 2 3 6 2 2 4 2" xfId="41637"/>
    <cellStyle name="Vírgula 2 3 6 2 2 5" xfId="35729"/>
    <cellStyle name="Vírgula 2 3 6 2 3" xfId="25441"/>
    <cellStyle name="Vírgula 2 3 6 2 3 2" xfId="50508"/>
    <cellStyle name="Vírgula 2 3 6 2 4" xfId="19527"/>
    <cellStyle name="Vírgula 2 3 6 2 4 2" xfId="44594"/>
    <cellStyle name="Vírgula 2 3 6 2 5" xfId="13429"/>
    <cellStyle name="Vírgula 2 3 6 2 5 2" xfId="38683"/>
    <cellStyle name="Vírgula 2 3 6 2 6" xfId="32772"/>
    <cellStyle name="Vírgula 2 3 6 3" xfId="8716"/>
    <cellStyle name="Vírgula 2 3 6 3 2" xfId="26930"/>
    <cellStyle name="Vírgula 2 3 6 3 2 2" xfId="51997"/>
    <cellStyle name="Vírgula 2 3 6 3 3" xfId="21016"/>
    <cellStyle name="Vírgula 2 3 6 3 3 2" xfId="46083"/>
    <cellStyle name="Vírgula 2 3 6 3 4" xfId="15102"/>
    <cellStyle name="Vírgula 2 3 6 3 4 2" xfId="40169"/>
    <cellStyle name="Vírgula 2 3 6 3 5" xfId="34261"/>
    <cellStyle name="Vírgula 2 3 6 4" xfId="5341"/>
    <cellStyle name="Vírgula 2 3 6 4 2" xfId="23973"/>
    <cellStyle name="Vírgula 2 3 6 4 2 2" xfId="49040"/>
    <cellStyle name="Vírgula 2 3 6 4 3" xfId="31304"/>
    <cellStyle name="Vírgula 2 3 6 5" xfId="18059"/>
    <cellStyle name="Vírgula 2 3 6 5 2" xfId="43126"/>
    <cellStyle name="Vírgula 2 3 6 6" xfId="11728"/>
    <cellStyle name="Vírgula 2 3 6 6 2" xfId="37215"/>
    <cellStyle name="Vírgula 2 3 6 7" xfId="29834"/>
    <cellStyle name="Vírgula 2 3 7" xfId="2708"/>
    <cellStyle name="Vírgula 2 3 7 2" xfId="7187"/>
    <cellStyle name="Vírgula 2 3 7 2 2" xfId="10331"/>
    <cellStyle name="Vírgula 2 3 7 2 2 2" xfId="28545"/>
    <cellStyle name="Vírgula 2 3 7 2 2 2 2" xfId="53612"/>
    <cellStyle name="Vírgula 2 3 7 2 2 3" xfId="22631"/>
    <cellStyle name="Vírgula 2 3 7 2 2 3 2" xfId="47698"/>
    <cellStyle name="Vírgula 2 3 7 2 2 4" xfId="16717"/>
    <cellStyle name="Vírgula 2 3 7 2 2 4 2" xfId="41784"/>
    <cellStyle name="Vírgula 2 3 7 2 2 5" xfId="35876"/>
    <cellStyle name="Vírgula 2 3 7 2 3" xfId="25588"/>
    <cellStyle name="Vírgula 2 3 7 2 3 2" xfId="50655"/>
    <cellStyle name="Vírgula 2 3 7 2 4" xfId="19674"/>
    <cellStyle name="Vírgula 2 3 7 2 4 2" xfId="44741"/>
    <cellStyle name="Vírgula 2 3 7 2 5" xfId="13576"/>
    <cellStyle name="Vírgula 2 3 7 2 5 2" xfId="38830"/>
    <cellStyle name="Vírgula 2 3 7 2 6" xfId="32919"/>
    <cellStyle name="Vírgula 2 3 7 3" xfId="8863"/>
    <cellStyle name="Vírgula 2 3 7 3 2" xfId="27077"/>
    <cellStyle name="Vírgula 2 3 7 3 2 2" xfId="52144"/>
    <cellStyle name="Vírgula 2 3 7 3 3" xfId="21163"/>
    <cellStyle name="Vírgula 2 3 7 3 3 2" xfId="46230"/>
    <cellStyle name="Vírgula 2 3 7 3 4" xfId="15249"/>
    <cellStyle name="Vírgula 2 3 7 3 4 2" xfId="40316"/>
    <cellStyle name="Vírgula 2 3 7 3 5" xfId="34408"/>
    <cellStyle name="Vírgula 2 3 7 4" xfId="5488"/>
    <cellStyle name="Vírgula 2 3 7 4 2" xfId="24120"/>
    <cellStyle name="Vírgula 2 3 7 4 2 2" xfId="49187"/>
    <cellStyle name="Vírgula 2 3 7 4 3" xfId="31451"/>
    <cellStyle name="Vírgula 2 3 7 5" xfId="18206"/>
    <cellStyle name="Vírgula 2 3 7 5 2" xfId="43273"/>
    <cellStyle name="Vírgula 2 3 7 6" xfId="11875"/>
    <cellStyle name="Vírgula 2 3 7 6 2" xfId="37362"/>
    <cellStyle name="Vírgula 2 3 7 7" xfId="29981"/>
    <cellStyle name="Vírgula 2 3 8" xfId="3235"/>
    <cellStyle name="Vírgula 2 3 8 2" xfId="7334"/>
    <cellStyle name="Vírgula 2 3 8 2 2" xfId="10478"/>
    <cellStyle name="Vírgula 2 3 8 2 2 2" xfId="28692"/>
    <cellStyle name="Vírgula 2 3 8 2 2 2 2" xfId="53759"/>
    <cellStyle name="Vírgula 2 3 8 2 2 3" xfId="22778"/>
    <cellStyle name="Vírgula 2 3 8 2 2 3 2" xfId="47845"/>
    <cellStyle name="Vírgula 2 3 8 2 2 4" xfId="16864"/>
    <cellStyle name="Vírgula 2 3 8 2 2 4 2" xfId="41931"/>
    <cellStyle name="Vírgula 2 3 8 2 2 5" xfId="36023"/>
    <cellStyle name="Vírgula 2 3 8 2 3" xfId="25735"/>
    <cellStyle name="Vírgula 2 3 8 2 3 2" xfId="50802"/>
    <cellStyle name="Vírgula 2 3 8 2 4" xfId="19821"/>
    <cellStyle name="Vírgula 2 3 8 2 4 2" xfId="44888"/>
    <cellStyle name="Vírgula 2 3 8 2 5" xfId="13723"/>
    <cellStyle name="Vírgula 2 3 8 2 5 2" xfId="38977"/>
    <cellStyle name="Vírgula 2 3 8 2 6" xfId="33066"/>
    <cellStyle name="Vírgula 2 3 8 3" xfId="9010"/>
    <cellStyle name="Vírgula 2 3 8 3 2" xfId="27224"/>
    <cellStyle name="Vírgula 2 3 8 3 2 2" xfId="52291"/>
    <cellStyle name="Vírgula 2 3 8 3 3" xfId="21310"/>
    <cellStyle name="Vírgula 2 3 8 3 3 2" xfId="46377"/>
    <cellStyle name="Vírgula 2 3 8 3 4" xfId="15396"/>
    <cellStyle name="Vírgula 2 3 8 3 4 2" xfId="40463"/>
    <cellStyle name="Vírgula 2 3 8 3 5" xfId="34555"/>
    <cellStyle name="Vírgula 2 3 8 4" xfId="5635"/>
    <cellStyle name="Vírgula 2 3 8 4 2" xfId="24267"/>
    <cellStyle name="Vírgula 2 3 8 4 2 2" xfId="49334"/>
    <cellStyle name="Vírgula 2 3 8 4 3" xfId="31598"/>
    <cellStyle name="Vírgula 2 3 8 5" xfId="18353"/>
    <cellStyle name="Vírgula 2 3 8 5 2" xfId="43420"/>
    <cellStyle name="Vírgula 2 3 8 6" xfId="12022"/>
    <cellStyle name="Vírgula 2 3 8 6 2" xfId="37509"/>
    <cellStyle name="Vírgula 2 3 8 7" xfId="30128"/>
    <cellStyle name="Vírgula 2 3 9" xfId="3762"/>
    <cellStyle name="Vírgula 2 3 9 2" xfId="7481"/>
    <cellStyle name="Vírgula 2 3 9 2 2" xfId="10625"/>
    <cellStyle name="Vírgula 2 3 9 2 2 2" xfId="28839"/>
    <cellStyle name="Vírgula 2 3 9 2 2 2 2" xfId="53906"/>
    <cellStyle name="Vírgula 2 3 9 2 2 3" xfId="22925"/>
    <cellStyle name="Vírgula 2 3 9 2 2 3 2" xfId="47992"/>
    <cellStyle name="Vírgula 2 3 9 2 2 4" xfId="17011"/>
    <cellStyle name="Vírgula 2 3 9 2 2 4 2" xfId="42078"/>
    <cellStyle name="Vírgula 2 3 9 2 2 5" xfId="36170"/>
    <cellStyle name="Vírgula 2 3 9 2 3" xfId="25882"/>
    <cellStyle name="Vírgula 2 3 9 2 3 2" xfId="50949"/>
    <cellStyle name="Vírgula 2 3 9 2 4" xfId="19968"/>
    <cellStyle name="Vírgula 2 3 9 2 4 2" xfId="45035"/>
    <cellStyle name="Vírgula 2 3 9 2 5" xfId="13870"/>
    <cellStyle name="Vírgula 2 3 9 2 5 2" xfId="39124"/>
    <cellStyle name="Vírgula 2 3 9 2 6" xfId="33213"/>
    <cellStyle name="Vírgula 2 3 9 3" xfId="9157"/>
    <cellStyle name="Vírgula 2 3 9 3 2" xfId="27371"/>
    <cellStyle name="Vírgula 2 3 9 3 2 2" xfId="52438"/>
    <cellStyle name="Vírgula 2 3 9 3 3" xfId="21457"/>
    <cellStyle name="Vírgula 2 3 9 3 3 2" xfId="46524"/>
    <cellStyle name="Vírgula 2 3 9 3 4" xfId="15543"/>
    <cellStyle name="Vírgula 2 3 9 3 4 2" xfId="40610"/>
    <cellStyle name="Vírgula 2 3 9 3 5" xfId="34702"/>
    <cellStyle name="Vírgula 2 3 9 4" xfId="5782"/>
    <cellStyle name="Vírgula 2 3 9 4 2" xfId="24414"/>
    <cellStyle name="Vírgula 2 3 9 4 2 2" xfId="49481"/>
    <cellStyle name="Vírgula 2 3 9 4 3" xfId="31745"/>
    <cellStyle name="Vírgula 2 3 9 5" xfId="18500"/>
    <cellStyle name="Vírgula 2 3 9 5 2" xfId="43567"/>
    <cellStyle name="Vírgula 2 3 9 6" xfId="12169"/>
    <cellStyle name="Vírgula 2 3 9 6 2" xfId="37656"/>
    <cellStyle name="Vírgula 2 3 9 7" xfId="30275"/>
    <cellStyle name="Vírgula 2 4" xfId="4243"/>
    <cellStyle name="Vírgula 2 4 10" xfId="11034"/>
    <cellStyle name="Vírgula 2 4 10 2" xfId="36562"/>
    <cellStyle name="Vírgula 2 4 11" xfId="30420"/>
    <cellStyle name="Vírgula 2 4 2" xfId="4320"/>
    <cellStyle name="Vírgula 2 4 2 2" xfId="7721"/>
    <cellStyle name="Vírgula 2 4 2 2 2" xfId="10813"/>
    <cellStyle name="Vírgula 2 4 2 2 2 2" xfId="29027"/>
    <cellStyle name="Vírgula 2 4 2 2 2 2 2" xfId="54094"/>
    <cellStyle name="Vírgula 2 4 2 2 2 3" xfId="23113"/>
    <cellStyle name="Vírgula 2 4 2 2 2 3 2" xfId="48180"/>
    <cellStyle name="Vírgula 2 4 2 2 2 4" xfId="17199"/>
    <cellStyle name="Vírgula 2 4 2 2 2 4 2" xfId="42266"/>
    <cellStyle name="Vírgula 2 4 2 2 2 5" xfId="36358"/>
    <cellStyle name="Vírgula 2 4 2 2 3" xfId="26070"/>
    <cellStyle name="Vírgula 2 4 2 2 3 2" xfId="51137"/>
    <cellStyle name="Vírgula 2 4 2 2 4" xfId="20156"/>
    <cellStyle name="Vírgula 2 4 2 2 4 2" xfId="45223"/>
    <cellStyle name="Vírgula 2 4 2 2 5" xfId="14110"/>
    <cellStyle name="Vírgula 2 4 2 2 5 2" xfId="39312"/>
    <cellStyle name="Vírgula 2 4 2 2 6" xfId="33401"/>
    <cellStyle name="Vírgula 2 4 2 3" xfId="9345"/>
    <cellStyle name="Vírgula 2 4 2 3 2" xfId="27559"/>
    <cellStyle name="Vírgula 2 4 2 3 2 2" xfId="52626"/>
    <cellStyle name="Vírgula 2 4 2 3 3" xfId="21645"/>
    <cellStyle name="Vírgula 2 4 2 3 3 2" xfId="46712"/>
    <cellStyle name="Vírgula 2 4 2 3 4" xfId="15731"/>
    <cellStyle name="Vírgula 2 4 2 3 4 2" xfId="40798"/>
    <cellStyle name="Vírgula 2 4 2 3 5" xfId="34890"/>
    <cellStyle name="Vírgula 2 4 2 4" xfId="6021"/>
    <cellStyle name="Vírgula 2 4 2 4 2" xfId="24602"/>
    <cellStyle name="Vírgula 2 4 2 4 2 2" xfId="49669"/>
    <cellStyle name="Vírgula 2 4 2 4 3" xfId="31933"/>
    <cellStyle name="Vírgula 2 4 2 5" xfId="18688"/>
    <cellStyle name="Vírgula 2 4 2 5 2" xfId="43755"/>
    <cellStyle name="Vírgula 2 4 2 6" xfId="12409"/>
    <cellStyle name="Vírgula 2 4 2 6 2" xfId="37844"/>
    <cellStyle name="Vírgula 2 4 2 7" xfId="30463"/>
    <cellStyle name="Vírgula 2 4 3" xfId="4428"/>
    <cellStyle name="Vírgula 2 4 3 2" xfId="7830"/>
    <cellStyle name="Vírgula 2 4 3 2 2" xfId="10875"/>
    <cellStyle name="Vírgula 2 4 3 2 2 2" xfId="29089"/>
    <cellStyle name="Vírgula 2 4 3 2 2 2 2" xfId="54156"/>
    <cellStyle name="Vírgula 2 4 3 2 2 3" xfId="23175"/>
    <cellStyle name="Vírgula 2 4 3 2 2 3 2" xfId="48242"/>
    <cellStyle name="Vírgula 2 4 3 2 2 4" xfId="17261"/>
    <cellStyle name="Vírgula 2 4 3 2 2 4 2" xfId="42328"/>
    <cellStyle name="Vírgula 2 4 3 2 2 5" xfId="36420"/>
    <cellStyle name="Vírgula 2 4 3 2 3" xfId="26132"/>
    <cellStyle name="Vírgula 2 4 3 2 3 2" xfId="51199"/>
    <cellStyle name="Vírgula 2 4 3 2 4" xfId="20218"/>
    <cellStyle name="Vírgula 2 4 3 2 4 2" xfId="45285"/>
    <cellStyle name="Vírgula 2 4 3 2 5" xfId="14219"/>
    <cellStyle name="Vírgula 2 4 3 2 5 2" xfId="39374"/>
    <cellStyle name="Vírgula 2 4 3 2 6" xfId="33463"/>
    <cellStyle name="Vírgula 2 4 3 3" xfId="9407"/>
    <cellStyle name="Vírgula 2 4 3 3 2" xfId="27621"/>
    <cellStyle name="Vírgula 2 4 3 3 2 2" xfId="52688"/>
    <cellStyle name="Vírgula 2 4 3 3 3" xfId="21707"/>
    <cellStyle name="Vírgula 2 4 3 3 3 2" xfId="46774"/>
    <cellStyle name="Vírgula 2 4 3 3 4" xfId="15793"/>
    <cellStyle name="Vírgula 2 4 3 3 4 2" xfId="40860"/>
    <cellStyle name="Vírgula 2 4 3 3 5" xfId="34952"/>
    <cellStyle name="Vírgula 2 4 3 4" xfId="6130"/>
    <cellStyle name="Vírgula 2 4 3 4 2" xfId="24664"/>
    <cellStyle name="Vírgula 2 4 3 4 2 2" xfId="49731"/>
    <cellStyle name="Vírgula 2 4 3 4 3" xfId="31995"/>
    <cellStyle name="Vírgula 2 4 3 5" xfId="18750"/>
    <cellStyle name="Vírgula 2 4 3 5 2" xfId="43817"/>
    <cellStyle name="Vírgula 2 4 3 6" xfId="12518"/>
    <cellStyle name="Vírgula 2 4 3 6 2" xfId="37906"/>
    <cellStyle name="Vírgula 2 4 3 7" xfId="30525"/>
    <cellStyle name="Vírgula 2 4 4" xfId="4536"/>
    <cellStyle name="Vírgula 2 4 4 2" xfId="7938"/>
    <cellStyle name="Vírgula 2 4 4 2 2" xfId="10937"/>
    <cellStyle name="Vírgula 2 4 4 2 2 2" xfId="29151"/>
    <cellStyle name="Vírgula 2 4 4 2 2 2 2" xfId="54218"/>
    <cellStyle name="Vírgula 2 4 4 2 2 3" xfId="23237"/>
    <cellStyle name="Vírgula 2 4 4 2 2 3 2" xfId="48304"/>
    <cellStyle name="Vírgula 2 4 4 2 2 4" xfId="17323"/>
    <cellStyle name="Vírgula 2 4 4 2 2 4 2" xfId="42390"/>
    <cellStyle name="Vírgula 2 4 4 2 2 5" xfId="36482"/>
    <cellStyle name="Vírgula 2 4 4 2 3" xfId="26194"/>
    <cellStyle name="Vírgula 2 4 4 2 3 2" xfId="51261"/>
    <cellStyle name="Vírgula 2 4 4 2 4" xfId="20280"/>
    <cellStyle name="Vírgula 2 4 4 2 4 2" xfId="45347"/>
    <cellStyle name="Vírgula 2 4 4 2 5" xfId="14327"/>
    <cellStyle name="Vírgula 2 4 4 2 5 2" xfId="39436"/>
    <cellStyle name="Vírgula 2 4 4 2 6" xfId="33525"/>
    <cellStyle name="Vírgula 2 4 4 3" xfId="9469"/>
    <cellStyle name="Vírgula 2 4 4 3 2" xfId="27683"/>
    <cellStyle name="Vírgula 2 4 4 3 2 2" xfId="52750"/>
    <cellStyle name="Vírgula 2 4 4 3 3" xfId="21769"/>
    <cellStyle name="Vírgula 2 4 4 3 3 2" xfId="46836"/>
    <cellStyle name="Vírgula 2 4 4 3 4" xfId="15855"/>
    <cellStyle name="Vírgula 2 4 4 3 4 2" xfId="40922"/>
    <cellStyle name="Vírgula 2 4 4 3 5" xfId="35014"/>
    <cellStyle name="Vírgula 2 4 4 4" xfId="6237"/>
    <cellStyle name="Vírgula 2 4 4 4 2" xfId="24726"/>
    <cellStyle name="Vírgula 2 4 4 4 2 2" xfId="49793"/>
    <cellStyle name="Vírgula 2 4 4 4 3" xfId="32057"/>
    <cellStyle name="Vírgula 2 4 4 5" xfId="18812"/>
    <cellStyle name="Vírgula 2 4 4 5 2" xfId="43879"/>
    <cellStyle name="Vírgula 2 4 4 6" xfId="12626"/>
    <cellStyle name="Vírgula 2 4 4 6 2" xfId="37968"/>
    <cellStyle name="Vírgula 2 4 4 7" xfId="30587"/>
    <cellStyle name="Vírgula 2 4 5" xfId="5944"/>
    <cellStyle name="Vírgula 2 4 5 2" xfId="7644"/>
    <cellStyle name="Vírgula 2 4 5 2 2" xfId="10770"/>
    <cellStyle name="Vírgula 2 4 5 2 2 2" xfId="28984"/>
    <cellStyle name="Vírgula 2 4 5 2 2 2 2" xfId="54051"/>
    <cellStyle name="Vírgula 2 4 5 2 2 3" xfId="23070"/>
    <cellStyle name="Vírgula 2 4 5 2 2 3 2" xfId="48137"/>
    <cellStyle name="Vírgula 2 4 5 2 2 4" xfId="17156"/>
    <cellStyle name="Vírgula 2 4 5 2 2 4 2" xfId="42223"/>
    <cellStyle name="Vírgula 2 4 5 2 2 5" xfId="36315"/>
    <cellStyle name="Vírgula 2 4 5 2 3" xfId="26027"/>
    <cellStyle name="Vírgula 2 4 5 2 3 2" xfId="51094"/>
    <cellStyle name="Vírgula 2 4 5 2 4" xfId="20113"/>
    <cellStyle name="Vírgula 2 4 5 2 4 2" xfId="45180"/>
    <cellStyle name="Vírgula 2 4 5 2 5" xfId="14033"/>
    <cellStyle name="Vírgula 2 4 5 2 5 2" xfId="39269"/>
    <cellStyle name="Vírgula 2 4 5 2 6" xfId="33358"/>
    <cellStyle name="Vírgula 2 4 5 3" xfId="9302"/>
    <cellStyle name="Vírgula 2 4 5 3 2" xfId="27516"/>
    <cellStyle name="Vírgula 2 4 5 3 2 2" xfId="52583"/>
    <cellStyle name="Vírgula 2 4 5 3 3" xfId="21602"/>
    <cellStyle name="Vírgula 2 4 5 3 3 2" xfId="46669"/>
    <cellStyle name="Vírgula 2 4 5 3 4" xfId="15688"/>
    <cellStyle name="Vírgula 2 4 5 3 4 2" xfId="40755"/>
    <cellStyle name="Vírgula 2 4 5 3 5" xfId="34847"/>
    <cellStyle name="Vírgula 2 4 5 4" xfId="24559"/>
    <cellStyle name="Vírgula 2 4 5 4 2" xfId="49626"/>
    <cellStyle name="Vírgula 2 4 5 5" xfId="18645"/>
    <cellStyle name="Vírgula 2 4 5 5 2" xfId="43712"/>
    <cellStyle name="Vírgula 2 4 5 6" xfId="12332"/>
    <cellStyle name="Vírgula 2 4 5 6 2" xfId="37801"/>
    <cellStyle name="Vírgula 2 4 5 7" xfId="31890"/>
    <cellStyle name="Vírgula 2 4 6" xfId="6346"/>
    <cellStyle name="Vírgula 2 4 6 2" xfId="9531"/>
    <cellStyle name="Vírgula 2 4 6 2 2" xfId="27745"/>
    <cellStyle name="Vírgula 2 4 6 2 2 2" xfId="52812"/>
    <cellStyle name="Vírgula 2 4 6 2 3" xfId="21831"/>
    <cellStyle name="Vírgula 2 4 6 2 3 2" xfId="46898"/>
    <cellStyle name="Vírgula 2 4 6 2 4" xfId="15917"/>
    <cellStyle name="Vírgula 2 4 6 2 4 2" xfId="40984"/>
    <cellStyle name="Vírgula 2 4 6 2 5" xfId="35076"/>
    <cellStyle name="Vírgula 2 4 6 3" xfId="24788"/>
    <cellStyle name="Vírgula 2 4 6 3 2" xfId="49855"/>
    <cellStyle name="Vírgula 2 4 6 4" xfId="18874"/>
    <cellStyle name="Vírgula 2 4 6 4 2" xfId="43941"/>
    <cellStyle name="Vírgula 2 4 6 5" xfId="12735"/>
    <cellStyle name="Vírgula 2 4 6 5 2" xfId="38030"/>
    <cellStyle name="Vírgula 2 4 6 6" xfId="32119"/>
    <cellStyle name="Vírgula 2 4 7" xfId="8060"/>
    <cellStyle name="Vírgula 2 4 7 2" xfId="26274"/>
    <cellStyle name="Vírgula 2 4 7 2 2" xfId="51341"/>
    <cellStyle name="Vírgula 2 4 7 3" xfId="20360"/>
    <cellStyle name="Vírgula 2 4 7 3 2" xfId="45427"/>
    <cellStyle name="Vírgula 2 4 7 4" xfId="14449"/>
    <cellStyle name="Vírgula 2 4 7 4 2" xfId="39516"/>
    <cellStyle name="Vírgula 2 4 7 5" xfId="33605"/>
    <cellStyle name="Vírgula 2 4 8" xfId="4643"/>
    <cellStyle name="Vírgula 2 4 8 2" xfId="23317"/>
    <cellStyle name="Vírgula 2 4 8 2 2" xfId="48384"/>
    <cellStyle name="Vírgula 2 4 8 3" xfId="30649"/>
    <cellStyle name="Vírgula 2 4 9" xfId="17403"/>
    <cellStyle name="Vírgula 2 4 9 2" xfId="42470"/>
    <cellStyle name="Vírgula 2 5" xfId="4207"/>
    <cellStyle name="Vírgula 2 5 10" xfId="10998"/>
    <cellStyle name="Vírgula 2 5 10 2" xfId="36541"/>
    <cellStyle name="Vírgula 2 5 11" xfId="30399"/>
    <cellStyle name="Vírgula 2 5 2" xfId="4283"/>
    <cellStyle name="Vírgula 2 5 2 2" xfId="7684"/>
    <cellStyle name="Vírgula 2 5 2 2 2" xfId="10792"/>
    <cellStyle name="Vírgula 2 5 2 2 2 2" xfId="29006"/>
    <cellStyle name="Vírgula 2 5 2 2 2 2 2" xfId="54073"/>
    <cellStyle name="Vírgula 2 5 2 2 2 3" xfId="23092"/>
    <cellStyle name="Vírgula 2 5 2 2 2 3 2" xfId="48159"/>
    <cellStyle name="Vírgula 2 5 2 2 2 4" xfId="17178"/>
    <cellStyle name="Vírgula 2 5 2 2 2 4 2" xfId="42245"/>
    <cellStyle name="Vírgula 2 5 2 2 2 5" xfId="36337"/>
    <cellStyle name="Vírgula 2 5 2 2 3" xfId="26049"/>
    <cellStyle name="Vírgula 2 5 2 2 3 2" xfId="51116"/>
    <cellStyle name="Vírgula 2 5 2 2 4" xfId="20135"/>
    <cellStyle name="Vírgula 2 5 2 2 4 2" xfId="45202"/>
    <cellStyle name="Vírgula 2 5 2 2 5" xfId="14073"/>
    <cellStyle name="Vírgula 2 5 2 2 5 2" xfId="39291"/>
    <cellStyle name="Vírgula 2 5 2 2 6" xfId="33380"/>
    <cellStyle name="Vírgula 2 5 2 3" xfId="9324"/>
    <cellStyle name="Vírgula 2 5 2 3 2" xfId="27538"/>
    <cellStyle name="Vírgula 2 5 2 3 2 2" xfId="52605"/>
    <cellStyle name="Vírgula 2 5 2 3 3" xfId="21624"/>
    <cellStyle name="Vírgula 2 5 2 3 3 2" xfId="46691"/>
    <cellStyle name="Vírgula 2 5 2 3 4" xfId="15710"/>
    <cellStyle name="Vírgula 2 5 2 3 4 2" xfId="40777"/>
    <cellStyle name="Vírgula 2 5 2 3 5" xfId="34869"/>
    <cellStyle name="Vírgula 2 5 2 4" xfId="5984"/>
    <cellStyle name="Vírgula 2 5 2 4 2" xfId="24581"/>
    <cellStyle name="Vírgula 2 5 2 4 2 2" xfId="49648"/>
    <cellStyle name="Vírgula 2 5 2 4 3" xfId="31912"/>
    <cellStyle name="Vírgula 2 5 2 5" xfId="18667"/>
    <cellStyle name="Vírgula 2 5 2 5 2" xfId="43734"/>
    <cellStyle name="Vírgula 2 5 2 6" xfId="12372"/>
    <cellStyle name="Vírgula 2 5 2 6 2" xfId="37823"/>
    <cellStyle name="Vírgula 2 5 2 7" xfId="30442"/>
    <cellStyle name="Vírgula 2 5 3" xfId="4391"/>
    <cellStyle name="Vírgula 2 5 3 2" xfId="7793"/>
    <cellStyle name="Vírgula 2 5 3 2 2" xfId="10854"/>
    <cellStyle name="Vírgula 2 5 3 2 2 2" xfId="29068"/>
    <cellStyle name="Vírgula 2 5 3 2 2 2 2" xfId="54135"/>
    <cellStyle name="Vírgula 2 5 3 2 2 3" xfId="23154"/>
    <cellStyle name="Vírgula 2 5 3 2 2 3 2" xfId="48221"/>
    <cellStyle name="Vírgula 2 5 3 2 2 4" xfId="17240"/>
    <cellStyle name="Vírgula 2 5 3 2 2 4 2" xfId="42307"/>
    <cellStyle name="Vírgula 2 5 3 2 2 5" xfId="36399"/>
    <cellStyle name="Vírgula 2 5 3 2 3" xfId="26111"/>
    <cellStyle name="Vírgula 2 5 3 2 3 2" xfId="51178"/>
    <cellStyle name="Vírgula 2 5 3 2 4" xfId="20197"/>
    <cellStyle name="Vírgula 2 5 3 2 4 2" xfId="45264"/>
    <cellStyle name="Vírgula 2 5 3 2 5" xfId="14182"/>
    <cellStyle name="Vírgula 2 5 3 2 5 2" xfId="39353"/>
    <cellStyle name="Vírgula 2 5 3 2 6" xfId="33442"/>
    <cellStyle name="Vírgula 2 5 3 3" xfId="9386"/>
    <cellStyle name="Vírgula 2 5 3 3 2" xfId="27600"/>
    <cellStyle name="Vírgula 2 5 3 3 2 2" xfId="52667"/>
    <cellStyle name="Vírgula 2 5 3 3 3" xfId="21686"/>
    <cellStyle name="Vírgula 2 5 3 3 3 2" xfId="46753"/>
    <cellStyle name="Vírgula 2 5 3 3 4" xfId="15772"/>
    <cellStyle name="Vírgula 2 5 3 3 4 2" xfId="40839"/>
    <cellStyle name="Vírgula 2 5 3 3 5" xfId="34931"/>
    <cellStyle name="Vírgula 2 5 3 4" xfId="6093"/>
    <cellStyle name="Vírgula 2 5 3 4 2" xfId="24643"/>
    <cellStyle name="Vírgula 2 5 3 4 2 2" xfId="49710"/>
    <cellStyle name="Vírgula 2 5 3 4 3" xfId="31974"/>
    <cellStyle name="Vírgula 2 5 3 5" xfId="18729"/>
    <cellStyle name="Vírgula 2 5 3 5 2" xfId="43796"/>
    <cellStyle name="Vírgula 2 5 3 6" xfId="12481"/>
    <cellStyle name="Vírgula 2 5 3 6 2" xfId="37885"/>
    <cellStyle name="Vírgula 2 5 3 7" xfId="30504"/>
    <cellStyle name="Vírgula 2 5 4" xfId="4499"/>
    <cellStyle name="Vírgula 2 5 4 2" xfId="7901"/>
    <cellStyle name="Vírgula 2 5 4 2 2" xfId="10916"/>
    <cellStyle name="Vírgula 2 5 4 2 2 2" xfId="29130"/>
    <cellStyle name="Vírgula 2 5 4 2 2 2 2" xfId="54197"/>
    <cellStyle name="Vírgula 2 5 4 2 2 3" xfId="23216"/>
    <cellStyle name="Vírgula 2 5 4 2 2 3 2" xfId="48283"/>
    <cellStyle name="Vírgula 2 5 4 2 2 4" xfId="17302"/>
    <cellStyle name="Vírgula 2 5 4 2 2 4 2" xfId="42369"/>
    <cellStyle name="Vírgula 2 5 4 2 2 5" xfId="36461"/>
    <cellStyle name="Vírgula 2 5 4 2 3" xfId="26173"/>
    <cellStyle name="Vírgula 2 5 4 2 3 2" xfId="51240"/>
    <cellStyle name="Vírgula 2 5 4 2 4" xfId="20259"/>
    <cellStyle name="Vírgula 2 5 4 2 4 2" xfId="45326"/>
    <cellStyle name="Vírgula 2 5 4 2 5" xfId="14290"/>
    <cellStyle name="Vírgula 2 5 4 2 5 2" xfId="39415"/>
    <cellStyle name="Vírgula 2 5 4 2 6" xfId="33504"/>
    <cellStyle name="Vírgula 2 5 4 3" xfId="9448"/>
    <cellStyle name="Vírgula 2 5 4 3 2" xfId="27662"/>
    <cellStyle name="Vírgula 2 5 4 3 2 2" xfId="52729"/>
    <cellStyle name="Vírgula 2 5 4 3 3" xfId="21748"/>
    <cellStyle name="Vírgula 2 5 4 3 3 2" xfId="46815"/>
    <cellStyle name="Vírgula 2 5 4 3 4" xfId="15834"/>
    <cellStyle name="Vírgula 2 5 4 3 4 2" xfId="40901"/>
    <cellStyle name="Vírgula 2 5 4 3 5" xfId="34993"/>
    <cellStyle name="Vírgula 2 5 4 4" xfId="6200"/>
    <cellStyle name="Vírgula 2 5 4 4 2" xfId="24705"/>
    <cellStyle name="Vírgula 2 5 4 4 2 2" xfId="49772"/>
    <cellStyle name="Vírgula 2 5 4 4 3" xfId="32036"/>
    <cellStyle name="Vírgula 2 5 4 5" xfId="18791"/>
    <cellStyle name="Vírgula 2 5 4 5 2" xfId="43858"/>
    <cellStyle name="Vírgula 2 5 4 6" xfId="12589"/>
    <cellStyle name="Vírgula 2 5 4 6 2" xfId="37947"/>
    <cellStyle name="Vírgula 2 5 4 7" xfId="30566"/>
    <cellStyle name="Vírgula 2 5 5" xfId="5908"/>
    <cellStyle name="Vírgula 2 5 5 2" xfId="7607"/>
    <cellStyle name="Vírgula 2 5 5 2 2" xfId="10749"/>
    <cellStyle name="Vírgula 2 5 5 2 2 2" xfId="28963"/>
    <cellStyle name="Vírgula 2 5 5 2 2 2 2" xfId="54030"/>
    <cellStyle name="Vírgula 2 5 5 2 2 3" xfId="23049"/>
    <cellStyle name="Vírgula 2 5 5 2 2 3 2" xfId="48116"/>
    <cellStyle name="Vírgula 2 5 5 2 2 4" xfId="17135"/>
    <cellStyle name="Vírgula 2 5 5 2 2 4 2" xfId="42202"/>
    <cellStyle name="Vírgula 2 5 5 2 2 5" xfId="36294"/>
    <cellStyle name="Vírgula 2 5 5 2 3" xfId="26006"/>
    <cellStyle name="Vírgula 2 5 5 2 3 2" xfId="51073"/>
    <cellStyle name="Vírgula 2 5 5 2 4" xfId="20092"/>
    <cellStyle name="Vírgula 2 5 5 2 4 2" xfId="45159"/>
    <cellStyle name="Vírgula 2 5 5 2 5" xfId="13996"/>
    <cellStyle name="Vírgula 2 5 5 2 5 2" xfId="39248"/>
    <cellStyle name="Vírgula 2 5 5 2 6" xfId="33337"/>
    <cellStyle name="Vírgula 2 5 5 3" xfId="9281"/>
    <cellStyle name="Vírgula 2 5 5 3 2" xfId="27495"/>
    <cellStyle name="Vírgula 2 5 5 3 2 2" xfId="52562"/>
    <cellStyle name="Vírgula 2 5 5 3 3" xfId="21581"/>
    <cellStyle name="Vírgula 2 5 5 3 3 2" xfId="46648"/>
    <cellStyle name="Vírgula 2 5 5 3 4" xfId="15667"/>
    <cellStyle name="Vírgula 2 5 5 3 4 2" xfId="40734"/>
    <cellStyle name="Vírgula 2 5 5 3 5" xfId="34826"/>
    <cellStyle name="Vírgula 2 5 5 4" xfId="24538"/>
    <cellStyle name="Vírgula 2 5 5 4 2" xfId="49605"/>
    <cellStyle name="Vírgula 2 5 5 5" xfId="18624"/>
    <cellStyle name="Vírgula 2 5 5 5 2" xfId="43691"/>
    <cellStyle name="Vírgula 2 5 5 6" xfId="12295"/>
    <cellStyle name="Vírgula 2 5 5 6 2" xfId="37780"/>
    <cellStyle name="Vírgula 2 5 5 7" xfId="31869"/>
    <cellStyle name="Vírgula 2 5 6" xfId="6309"/>
    <cellStyle name="Vírgula 2 5 6 2" xfId="9510"/>
    <cellStyle name="Vírgula 2 5 6 2 2" xfId="27724"/>
    <cellStyle name="Vírgula 2 5 6 2 2 2" xfId="52791"/>
    <cellStyle name="Vírgula 2 5 6 2 3" xfId="21810"/>
    <cellStyle name="Vírgula 2 5 6 2 3 2" xfId="46877"/>
    <cellStyle name="Vírgula 2 5 6 2 4" xfId="15896"/>
    <cellStyle name="Vírgula 2 5 6 2 4 2" xfId="40963"/>
    <cellStyle name="Vírgula 2 5 6 2 5" xfId="35055"/>
    <cellStyle name="Vírgula 2 5 6 3" xfId="24767"/>
    <cellStyle name="Vírgula 2 5 6 3 2" xfId="49834"/>
    <cellStyle name="Vírgula 2 5 6 4" xfId="18853"/>
    <cellStyle name="Vírgula 2 5 6 4 2" xfId="43920"/>
    <cellStyle name="Vírgula 2 5 6 5" xfId="12698"/>
    <cellStyle name="Vírgula 2 5 6 5 2" xfId="38009"/>
    <cellStyle name="Vírgula 2 5 6 6" xfId="32098"/>
    <cellStyle name="Vírgula 2 5 7" xfId="8039"/>
    <cellStyle name="Vírgula 2 5 7 2" xfId="26253"/>
    <cellStyle name="Vírgula 2 5 7 2 2" xfId="51320"/>
    <cellStyle name="Vírgula 2 5 7 3" xfId="20339"/>
    <cellStyle name="Vírgula 2 5 7 3 2" xfId="45406"/>
    <cellStyle name="Vírgula 2 5 7 4" xfId="14428"/>
    <cellStyle name="Vírgula 2 5 7 4 2" xfId="39495"/>
    <cellStyle name="Vírgula 2 5 7 5" xfId="33584"/>
    <cellStyle name="Vírgula 2 5 8" xfId="4607"/>
    <cellStyle name="Vírgula 2 5 8 2" xfId="23296"/>
    <cellStyle name="Vírgula 2 5 8 2 2" xfId="48363"/>
    <cellStyle name="Vírgula 2 5 8 3" xfId="30628"/>
    <cellStyle name="Vírgula 2 5 9" xfId="17382"/>
    <cellStyle name="Vírgula 2 5 9 2" xfId="42449"/>
    <cellStyle name="Vírgula 2 6" xfId="4201"/>
    <cellStyle name="Vírgula 2 6 2" xfId="7603"/>
    <cellStyle name="Vírgula 2 6 2 2" xfId="10747"/>
    <cellStyle name="Vírgula 2 6 2 2 2" xfId="28961"/>
    <cellStyle name="Vírgula 2 6 2 2 2 2" xfId="54028"/>
    <cellStyle name="Vírgula 2 6 2 2 3" xfId="23047"/>
    <cellStyle name="Vírgula 2 6 2 2 3 2" xfId="48114"/>
    <cellStyle name="Vírgula 2 6 2 2 4" xfId="17133"/>
    <cellStyle name="Vírgula 2 6 2 2 4 2" xfId="42200"/>
    <cellStyle name="Vírgula 2 6 2 2 5" xfId="36292"/>
    <cellStyle name="Vírgula 2 6 2 3" xfId="26004"/>
    <cellStyle name="Vírgula 2 6 2 3 2" xfId="51071"/>
    <cellStyle name="Vírgula 2 6 2 4" xfId="20090"/>
    <cellStyle name="Vírgula 2 6 2 4 2" xfId="45157"/>
    <cellStyle name="Vírgula 2 6 2 5" xfId="13992"/>
    <cellStyle name="Vírgula 2 6 2 5 2" xfId="39246"/>
    <cellStyle name="Vírgula 2 6 2 6" xfId="33335"/>
    <cellStyle name="Vírgula 2 6 3" xfId="9279"/>
    <cellStyle name="Vírgula 2 6 3 2" xfId="27493"/>
    <cellStyle name="Vírgula 2 6 3 2 2" xfId="52560"/>
    <cellStyle name="Vírgula 2 6 3 3" xfId="21579"/>
    <cellStyle name="Vírgula 2 6 3 3 2" xfId="46646"/>
    <cellStyle name="Vírgula 2 6 3 4" xfId="15665"/>
    <cellStyle name="Vírgula 2 6 3 4 2" xfId="40732"/>
    <cellStyle name="Vírgula 2 6 3 5" xfId="34824"/>
    <cellStyle name="Vírgula 2 6 4" xfId="5904"/>
    <cellStyle name="Vírgula 2 6 4 2" xfId="24536"/>
    <cellStyle name="Vírgula 2 6 4 2 2" xfId="49603"/>
    <cellStyle name="Vírgula 2 6 4 3" xfId="31867"/>
    <cellStyle name="Vírgula 2 6 5" xfId="18622"/>
    <cellStyle name="Vírgula 2 6 5 2" xfId="43689"/>
    <cellStyle name="Vírgula 2 6 6" xfId="12291"/>
    <cellStyle name="Vírgula 2 6 6 2" xfId="37778"/>
    <cellStyle name="Vírgula 2 6 7" xfId="30397"/>
    <cellStyle name="Vírgula 2 7" xfId="117"/>
    <cellStyle name="Vírgula 2 7 2" xfId="29242"/>
    <cellStyle name="Vírgula 2 8" xfId="29214"/>
    <cellStyle name="Vírgula 3" xfId="10"/>
    <cellStyle name="Vírgula 3 10" xfId="4202"/>
    <cellStyle name="Vírgula 3 10 2" xfId="7604"/>
    <cellStyle name="Vírgula 3 10 2 2" xfId="10748"/>
    <cellStyle name="Vírgula 3 10 2 2 2" xfId="28962"/>
    <cellStyle name="Vírgula 3 10 2 2 2 2" xfId="54029"/>
    <cellStyle name="Vírgula 3 10 2 2 3" xfId="23048"/>
    <cellStyle name="Vírgula 3 10 2 2 3 2" xfId="48115"/>
    <cellStyle name="Vírgula 3 10 2 2 4" xfId="17134"/>
    <cellStyle name="Vírgula 3 10 2 2 4 2" xfId="42201"/>
    <cellStyle name="Vírgula 3 10 2 2 5" xfId="36293"/>
    <cellStyle name="Vírgula 3 10 2 3" xfId="26005"/>
    <cellStyle name="Vírgula 3 10 2 3 2" xfId="51072"/>
    <cellStyle name="Vírgula 3 10 2 4" xfId="20091"/>
    <cellStyle name="Vírgula 3 10 2 4 2" xfId="45158"/>
    <cellStyle name="Vírgula 3 10 2 5" xfId="13993"/>
    <cellStyle name="Vírgula 3 10 2 5 2" xfId="39247"/>
    <cellStyle name="Vírgula 3 10 2 6" xfId="33336"/>
    <cellStyle name="Vírgula 3 10 3" xfId="9280"/>
    <cellStyle name="Vírgula 3 10 3 2" xfId="27494"/>
    <cellStyle name="Vírgula 3 10 3 2 2" xfId="52561"/>
    <cellStyle name="Vírgula 3 10 3 3" xfId="21580"/>
    <cellStyle name="Vírgula 3 10 3 3 2" xfId="46647"/>
    <cellStyle name="Vírgula 3 10 3 4" xfId="15666"/>
    <cellStyle name="Vírgula 3 10 3 4 2" xfId="40733"/>
    <cellStyle name="Vírgula 3 10 3 5" xfId="34825"/>
    <cellStyle name="Vírgula 3 10 4" xfId="5905"/>
    <cellStyle name="Vírgula 3 10 4 2" xfId="24537"/>
    <cellStyle name="Vírgula 3 10 4 2 2" xfId="49604"/>
    <cellStyle name="Vírgula 3 10 4 3" xfId="31868"/>
    <cellStyle name="Vírgula 3 10 5" xfId="18623"/>
    <cellStyle name="Vírgula 3 10 5 2" xfId="43690"/>
    <cellStyle name="Vírgula 3 10 6" xfId="12292"/>
    <cellStyle name="Vírgula 3 10 6 2" xfId="37779"/>
    <cellStyle name="Vírgula 3 10 7" xfId="30398"/>
    <cellStyle name="Vírgula 3 11" xfId="4280"/>
    <cellStyle name="Vírgula 3 11 2" xfId="7681"/>
    <cellStyle name="Vírgula 3 11 2 2" xfId="10791"/>
    <cellStyle name="Vírgula 3 11 2 2 2" xfId="29005"/>
    <cellStyle name="Vírgula 3 11 2 2 2 2" xfId="54072"/>
    <cellStyle name="Vírgula 3 11 2 2 3" xfId="23091"/>
    <cellStyle name="Vírgula 3 11 2 2 3 2" xfId="48158"/>
    <cellStyle name="Vírgula 3 11 2 2 4" xfId="17177"/>
    <cellStyle name="Vírgula 3 11 2 2 4 2" xfId="42244"/>
    <cellStyle name="Vírgula 3 11 2 2 5" xfId="36336"/>
    <cellStyle name="Vírgula 3 11 2 3" xfId="26048"/>
    <cellStyle name="Vírgula 3 11 2 3 2" xfId="51115"/>
    <cellStyle name="Vírgula 3 11 2 4" xfId="20134"/>
    <cellStyle name="Vírgula 3 11 2 4 2" xfId="45201"/>
    <cellStyle name="Vírgula 3 11 2 5" xfId="14070"/>
    <cellStyle name="Vírgula 3 11 2 5 2" xfId="39290"/>
    <cellStyle name="Vírgula 3 11 2 6" xfId="33379"/>
    <cellStyle name="Vírgula 3 11 3" xfId="9323"/>
    <cellStyle name="Vírgula 3 11 3 2" xfId="27537"/>
    <cellStyle name="Vírgula 3 11 3 2 2" xfId="52604"/>
    <cellStyle name="Vírgula 3 11 3 3" xfId="21623"/>
    <cellStyle name="Vírgula 3 11 3 3 2" xfId="46690"/>
    <cellStyle name="Vírgula 3 11 3 4" xfId="15709"/>
    <cellStyle name="Vírgula 3 11 3 4 2" xfId="40776"/>
    <cellStyle name="Vírgula 3 11 3 5" xfId="34868"/>
    <cellStyle name="Vírgula 3 11 4" xfId="5981"/>
    <cellStyle name="Vírgula 3 11 4 2" xfId="24580"/>
    <cellStyle name="Vírgula 3 11 4 2 2" xfId="49647"/>
    <cellStyle name="Vírgula 3 11 4 3" xfId="31911"/>
    <cellStyle name="Vírgula 3 11 5" xfId="18666"/>
    <cellStyle name="Vírgula 3 11 5 2" xfId="43733"/>
    <cellStyle name="Vírgula 3 11 6" xfId="12369"/>
    <cellStyle name="Vírgula 3 11 6 2" xfId="37822"/>
    <cellStyle name="Vírgula 3 11 7" xfId="30441"/>
    <cellStyle name="Vírgula 3 12" xfId="4388"/>
    <cellStyle name="Vírgula 3 12 2" xfId="7790"/>
    <cellStyle name="Vírgula 3 12 2 2" xfId="10853"/>
    <cellStyle name="Vírgula 3 12 2 2 2" xfId="29067"/>
    <cellStyle name="Vírgula 3 12 2 2 2 2" xfId="54134"/>
    <cellStyle name="Vírgula 3 12 2 2 3" xfId="23153"/>
    <cellStyle name="Vírgula 3 12 2 2 3 2" xfId="48220"/>
    <cellStyle name="Vírgula 3 12 2 2 4" xfId="17239"/>
    <cellStyle name="Vírgula 3 12 2 2 4 2" xfId="42306"/>
    <cellStyle name="Vírgula 3 12 2 2 5" xfId="36398"/>
    <cellStyle name="Vírgula 3 12 2 3" xfId="26110"/>
    <cellStyle name="Vírgula 3 12 2 3 2" xfId="51177"/>
    <cellStyle name="Vírgula 3 12 2 4" xfId="20196"/>
    <cellStyle name="Vírgula 3 12 2 4 2" xfId="45263"/>
    <cellStyle name="Vírgula 3 12 2 5" xfId="14179"/>
    <cellStyle name="Vírgula 3 12 2 5 2" xfId="39352"/>
    <cellStyle name="Vírgula 3 12 2 6" xfId="33441"/>
    <cellStyle name="Vírgula 3 12 3" xfId="9385"/>
    <cellStyle name="Vírgula 3 12 3 2" xfId="27599"/>
    <cellStyle name="Vírgula 3 12 3 2 2" xfId="52666"/>
    <cellStyle name="Vírgula 3 12 3 3" xfId="21685"/>
    <cellStyle name="Vírgula 3 12 3 3 2" xfId="46752"/>
    <cellStyle name="Vírgula 3 12 3 4" xfId="15771"/>
    <cellStyle name="Vírgula 3 12 3 4 2" xfId="40838"/>
    <cellStyle name="Vírgula 3 12 3 5" xfId="34930"/>
    <cellStyle name="Vírgula 3 12 4" xfId="6090"/>
    <cellStyle name="Vírgula 3 12 4 2" xfId="24642"/>
    <cellStyle name="Vírgula 3 12 4 2 2" xfId="49709"/>
    <cellStyle name="Vírgula 3 12 4 3" xfId="31973"/>
    <cellStyle name="Vírgula 3 12 5" xfId="18728"/>
    <cellStyle name="Vírgula 3 12 5 2" xfId="43795"/>
    <cellStyle name="Vírgula 3 12 6" xfId="12478"/>
    <cellStyle name="Vírgula 3 12 6 2" xfId="37884"/>
    <cellStyle name="Vírgula 3 12 7" xfId="30503"/>
    <cellStyle name="Vírgula 3 13" xfId="4496"/>
    <cellStyle name="Vírgula 3 13 2" xfId="7898"/>
    <cellStyle name="Vírgula 3 13 2 2" xfId="10915"/>
    <cellStyle name="Vírgula 3 13 2 2 2" xfId="29129"/>
    <cellStyle name="Vírgula 3 13 2 2 2 2" xfId="54196"/>
    <cellStyle name="Vírgula 3 13 2 2 3" xfId="23215"/>
    <cellStyle name="Vírgula 3 13 2 2 3 2" xfId="48282"/>
    <cellStyle name="Vírgula 3 13 2 2 4" xfId="17301"/>
    <cellStyle name="Vírgula 3 13 2 2 4 2" xfId="42368"/>
    <cellStyle name="Vírgula 3 13 2 2 5" xfId="36460"/>
    <cellStyle name="Vírgula 3 13 2 3" xfId="26172"/>
    <cellStyle name="Vírgula 3 13 2 3 2" xfId="51239"/>
    <cellStyle name="Vírgula 3 13 2 4" xfId="20258"/>
    <cellStyle name="Vírgula 3 13 2 4 2" xfId="45325"/>
    <cellStyle name="Vírgula 3 13 2 5" xfId="14287"/>
    <cellStyle name="Vírgula 3 13 2 5 2" xfId="39414"/>
    <cellStyle name="Vírgula 3 13 2 6" xfId="33503"/>
    <cellStyle name="Vírgula 3 13 3" xfId="9447"/>
    <cellStyle name="Vírgula 3 13 3 2" xfId="27661"/>
    <cellStyle name="Vírgula 3 13 3 2 2" xfId="52728"/>
    <cellStyle name="Vírgula 3 13 3 3" xfId="21747"/>
    <cellStyle name="Vírgula 3 13 3 3 2" xfId="46814"/>
    <cellStyle name="Vírgula 3 13 3 4" xfId="15833"/>
    <cellStyle name="Vírgula 3 13 3 4 2" xfId="40900"/>
    <cellStyle name="Vírgula 3 13 3 5" xfId="34992"/>
    <cellStyle name="Vírgula 3 13 4" xfId="6197"/>
    <cellStyle name="Vírgula 3 13 4 2" xfId="24704"/>
    <cellStyle name="Vírgula 3 13 4 2 2" xfId="49771"/>
    <cellStyle name="Vírgula 3 13 4 3" xfId="32035"/>
    <cellStyle name="Vírgula 3 13 5" xfId="18790"/>
    <cellStyle name="Vírgula 3 13 5 2" xfId="43857"/>
    <cellStyle name="Vírgula 3 13 6" xfId="12586"/>
    <cellStyle name="Vírgula 3 13 6 2" xfId="37946"/>
    <cellStyle name="Vírgula 3 13 7" xfId="30565"/>
    <cellStyle name="Vírgula 3 14" xfId="4743"/>
    <cellStyle name="Vírgula 3 14 2" xfId="6444"/>
    <cellStyle name="Vírgula 3 14 2 2" xfId="9598"/>
    <cellStyle name="Vírgula 3 14 2 2 2" xfId="27812"/>
    <cellStyle name="Vírgula 3 14 2 2 2 2" xfId="52879"/>
    <cellStyle name="Vírgula 3 14 2 2 3" xfId="21898"/>
    <cellStyle name="Vírgula 3 14 2 2 3 2" xfId="46965"/>
    <cellStyle name="Vírgula 3 14 2 2 4" xfId="15984"/>
    <cellStyle name="Vírgula 3 14 2 2 4 2" xfId="41051"/>
    <cellStyle name="Vírgula 3 14 2 2 5" xfId="35143"/>
    <cellStyle name="Vírgula 3 14 2 3" xfId="24855"/>
    <cellStyle name="Vírgula 3 14 2 3 2" xfId="49922"/>
    <cellStyle name="Vírgula 3 14 2 4" xfId="18941"/>
    <cellStyle name="Vírgula 3 14 2 4 2" xfId="44008"/>
    <cellStyle name="Vírgula 3 14 2 5" xfId="12833"/>
    <cellStyle name="Vírgula 3 14 2 5 2" xfId="38097"/>
    <cellStyle name="Vírgula 3 14 2 6" xfId="32186"/>
    <cellStyle name="Vírgula 3 14 3" xfId="8127"/>
    <cellStyle name="Vírgula 3 14 3 2" xfId="26341"/>
    <cellStyle name="Vírgula 3 14 3 2 2" xfId="51408"/>
    <cellStyle name="Vírgula 3 14 3 3" xfId="20427"/>
    <cellStyle name="Vírgula 3 14 3 3 2" xfId="45494"/>
    <cellStyle name="Vírgula 3 14 3 4" xfId="14516"/>
    <cellStyle name="Vírgula 3 14 3 4 2" xfId="39583"/>
    <cellStyle name="Vírgula 3 14 3 5" xfId="33672"/>
    <cellStyle name="Vírgula 3 14 4" xfId="23384"/>
    <cellStyle name="Vírgula 3 14 4 2" xfId="48451"/>
    <cellStyle name="Vírgula 3 14 5" xfId="17470"/>
    <cellStyle name="Vírgula 3 14 5 2" xfId="42537"/>
    <cellStyle name="Vírgula 3 14 6" xfId="11132"/>
    <cellStyle name="Vírgula 3 14 6 2" xfId="36629"/>
    <cellStyle name="Vírgula 3 14 7" xfId="30716"/>
    <cellStyle name="Vírgula 3 15" xfId="6306"/>
    <cellStyle name="Vírgula 3 15 2" xfId="9509"/>
    <cellStyle name="Vírgula 3 15 2 2" xfId="27723"/>
    <cellStyle name="Vírgula 3 15 2 2 2" xfId="52790"/>
    <cellStyle name="Vírgula 3 15 2 3" xfId="21809"/>
    <cellStyle name="Vírgula 3 15 2 3 2" xfId="46876"/>
    <cellStyle name="Vírgula 3 15 2 4" xfId="15895"/>
    <cellStyle name="Vírgula 3 15 2 4 2" xfId="40962"/>
    <cellStyle name="Vírgula 3 15 2 5" xfId="35054"/>
    <cellStyle name="Vírgula 3 15 3" xfId="24766"/>
    <cellStyle name="Vírgula 3 15 3 2" xfId="49833"/>
    <cellStyle name="Vírgula 3 15 4" xfId="18852"/>
    <cellStyle name="Vírgula 3 15 4 2" xfId="43919"/>
    <cellStyle name="Vírgula 3 15 5" xfId="12695"/>
    <cellStyle name="Vírgula 3 15 5 2" xfId="38008"/>
    <cellStyle name="Vírgula 3 15 6" xfId="32097"/>
    <cellStyle name="Vírgula 3 16" xfId="8008"/>
    <cellStyle name="Vírgula 3 16 2" xfId="10978"/>
    <cellStyle name="Vírgula 3 16 2 2" xfId="29192"/>
    <cellStyle name="Vírgula 3 16 2 2 2" xfId="54259"/>
    <cellStyle name="Vírgula 3 16 2 3" xfId="23278"/>
    <cellStyle name="Vírgula 3 16 2 3 2" xfId="48345"/>
    <cellStyle name="Vírgula 3 16 2 4" xfId="17364"/>
    <cellStyle name="Vírgula 3 16 2 4 2" xfId="42431"/>
    <cellStyle name="Vírgula 3 16 2 5" xfId="36523"/>
    <cellStyle name="Vírgula 3 16 3" xfId="26235"/>
    <cellStyle name="Vírgula 3 16 3 2" xfId="51302"/>
    <cellStyle name="Vírgula 3 16 4" xfId="20321"/>
    <cellStyle name="Vírgula 3 16 4 2" xfId="45388"/>
    <cellStyle name="Vírgula 3 16 5" xfId="14397"/>
    <cellStyle name="Vírgula 3 16 5 2" xfId="39477"/>
    <cellStyle name="Vírgula 3 16 6" xfId="33566"/>
    <cellStyle name="Vírgula 3 17" xfId="8038"/>
    <cellStyle name="Vírgula 3 17 2" xfId="26252"/>
    <cellStyle name="Vírgula 3 17 2 2" xfId="51319"/>
    <cellStyle name="Vírgula 3 17 3" xfId="20338"/>
    <cellStyle name="Vírgula 3 17 3 2" xfId="45405"/>
    <cellStyle name="Vírgula 3 17 4" xfId="14427"/>
    <cellStyle name="Vírgula 3 17 4 2" xfId="39494"/>
    <cellStyle name="Vírgula 3 17 5" xfId="33583"/>
    <cellStyle name="Vírgula 3 18" xfId="4604"/>
    <cellStyle name="Vírgula 3 18 2" xfId="23295"/>
    <cellStyle name="Vírgula 3 18 2 2" xfId="48362"/>
    <cellStyle name="Vírgula 3 18 3" xfId="30627"/>
    <cellStyle name="Vírgula 3 19" xfId="17381"/>
    <cellStyle name="Vírgula 3 19 2" xfId="42448"/>
    <cellStyle name="Vírgula 3 2" xfId="664"/>
    <cellStyle name="Vírgula 3 2 10" xfId="4512"/>
    <cellStyle name="Vírgula 3 2 10 2" xfId="7914"/>
    <cellStyle name="Vírgula 3 2 10 2 2" xfId="10923"/>
    <cellStyle name="Vírgula 3 2 10 2 2 2" xfId="29137"/>
    <cellStyle name="Vírgula 3 2 10 2 2 2 2" xfId="54204"/>
    <cellStyle name="Vírgula 3 2 10 2 2 3" xfId="23223"/>
    <cellStyle name="Vírgula 3 2 10 2 2 3 2" xfId="48290"/>
    <cellStyle name="Vírgula 3 2 10 2 2 4" xfId="17309"/>
    <cellStyle name="Vírgula 3 2 10 2 2 4 2" xfId="42376"/>
    <cellStyle name="Vírgula 3 2 10 2 2 5" xfId="36468"/>
    <cellStyle name="Vírgula 3 2 10 2 3" xfId="26180"/>
    <cellStyle name="Vírgula 3 2 10 2 3 2" xfId="51247"/>
    <cellStyle name="Vírgula 3 2 10 2 4" xfId="20266"/>
    <cellStyle name="Vírgula 3 2 10 2 4 2" xfId="45333"/>
    <cellStyle name="Vírgula 3 2 10 2 5" xfId="14303"/>
    <cellStyle name="Vírgula 3 2 10 2 5 2" xfId="39422"/>
    <cellStyle name="Vírgula 3 2 10 2 6" xfId="33511"/>
    <cellStyle name="Vírgula 3 2 10 3" xfId="9455"/>
    <cellStyle name="Vírgula 3 2 10 3 2" xfId="27669"/>
    <cellStyle name="Vírgula 3 2 10 3 2 2" xfId="52736"/>
    <cellStyle name="Vírgula 3 2 10 3 3" xfId="21755"/>
    <cellStyle name="Vírgula 3 2 10 3 3 2" xfId="46822"/>
    <cellStyle name="Vírgula 3 2 10 3 4" xfId="15841"/>
    <cellStyle name="Vírgula 3 2 10 3 4 2" xfId="40908"/>
    <cellStyle name="Vírgula 3 2 10 3 5" xfId="35000"/>
    <cellStyle name="Vírgula 3 2 10 4" xfId="6213"/>
    <cellStyle name="Vírgula 3 2 10 4 2" xfId="24712"/>
    <cellStyle name="Vírgula 3 2 10 4 2 2" xfId="49779"/>
    <cellStyle name="Vírgula 3 2 10 4 3" xfId="32043"/>
    <cellStyle name="Vírgula 3 2 10 5" xfId="18798"/>
    <cellStyle name="Vírgula 3 2 10 5 2" xfId="43865"/>
    <cellStyle name="Vírgula 3 2 10 6" xfId="12602"/>
    <cellStyle name="Vírgula 3 2 10 6 2" xfId="37954"/>
    <cellStyle name="Vírgula 3 2 10 7" xfId="30573"/>
    <cellStyle name="Vírgula 3 2 11" xfId="4900"/>
    <cellStyle name="Vírgula 3 2 11 2" xfId="6599"/>
    <cellStyle name="Vírgula 3 2 11 2 2" xfId="9746"/>
    <cellStyle name="Vírgula 3 2 11 2 2 2" xfId="27960"/>
    <cellStyle name="Vírgula 3 2 11 2 2 2 2" xfId="53027"/>
    <cellStyle name="Vírgula 3 2 11 2 2 3" xfId="22046"/>
    <cellStyle name="Vírgula 3 2 11 2 2 3 2" xfId="47113"/>
    <cellStyle name="Vírgula 3 2 11 2 2 4" xfId="16132"/>
    <cellStyle name="Vírgula 3 2 11 2 2 4 2" xfId="41199"/>
    <cellStyle name="Vírgula 3 2 11 2 2 5" xfId="35291"/>
    <cellStyle name="Vírgula 3 2 11 2 3" xfId="25003"/>
    <cellStyle name="Vírgula 3 2 11 2 3 2" xfId="50070"/>
    <cellStyle name="Vírgula 3 2 11 2 4" xfId="19089"/>
    <cellStyle name="Vírgula 3 2 11 2 4 2" xfId="44156"/>
    <cellStyle name="Vírgula 3 2 11 2 5" xfId="12988"/>
    <cellStyle name="Vírgula 3 2 11 2 5 2" xfId="38245"/>
    <cellStyle name="Vírgula 3 2 11 2 6" xfId="32334"/>
    <cellStyle name="Vírgula 3 2 11 3" xfId="8278"/>
    <cellStyle name="Vírgula 3 2 11 3 2" xfId="26492"/>
    <cellStyle name="Vírgula 3 2 11 3 2 2" xfId="51559"/>
    <cellStyle name="Vírgula 3 2 11 3 3" xfId="20578"/>
    <cellStyle name="Vírgula 3 2 11 3 3 2" xfId="45645"/>
    <cellStyle name="Vírgula 3 2 11 3 4" xfId="14664"/>
    <cellStyle name="Vírgula 3 2 11 3 4 2" xfId="39731"/>
    <cellStyle name="Vírgula 3 2 11 3 5" xfId="33823"/>
    <cellStyle name="Vírgula 3 2 11 4" xfId="23535"/>
    <cellStyle name="Vírgula 3 2 11 4 2" xfId="48602"/>
    <cellStyle name="Vírgula 3 2 11 5" xfId="17621"/>
    <cellStyle name="Vírgula 3 2 11 5 2" xfId="42688"/>
    <cellStyle name="Vírgula 3 2 11 6" xfId="11287"/>
    <cellStyle name="Vírgula 3 2 11 6 2" xfId="36777"/>
    <cellStyle name="Vírgula 3 2 11 7" xfId="30866"/>
    <cellStyle name="Vírgula 3 2 12" xfId="6322"/>
    <cellStyle name="Vírgula 3 2 12 2" xfId="9517"/>
    <cellStyle name="Vírgula 3 2 12 2 2" xfId="27731"/>
    <cellStyle name="Vírgula 3 2 12 2 2 2" xfId="52798"/>
    <cellStyle name="Vírgula 3 2 12 2 3" xfId="21817"/>
    <cellStyle name="Vírgula 3 2 12 2 3 2" xfId="46884"/>
    <cellStyle name="Vírgula 3 2 12 2 4" xfId="15903"/>
    <cellStyle name="Vírgula 3 2 12 2 4 2" xfId="40970"/>
    <cellStyle name="Vírgula 3 2 12 2 5" xfId="35062"/>
    <cellStyle name="Vírgula 3 2 12 3" xfId="24774"/>
    <cellStyle name="Vírgula 3 2 12 3 2" xfId="49841"/>
    <cellStyle name="Vírgula 3 2 12 4" xfId="18860"/>
    <cellStyle name="Vírgula 3 2 12 4 2" xfId="43927"/>
    <cellStyle name="Vírgula 3 2 12 5" xfId="12711"/>
    <cellStyle name="Vírgula 3 2 12 5 2" xfId="38016"/>
    <cellStyle name="Vírgula 3 2 12 6" xfId="32105"/>
    <cellStyle name="Vírgula 3 2 13" xfId="8014"/>
    <cellStyle name="Vírgula 3 2 13 2" xfId="10981"/>
    <cellStyle name="Vírgula 3 2 13 2 2" xfId="29195"/>
    <cellStyle name="Vírgula 3 2 13 2 2 2" xfId="54262"/>
    <cellStyle name="Vírgula 3 2 13 2 3" xfId="23281"/>
    <cellStyle name="Vírgula 3 2 13 2 3 2" xfId="48348"/>
    <cellStyle name="Vírgula 3 2 13 2 4" xfId="17367"/>
    <cellStyle name="Vírgula 3 2 13 2 4 2" xfId="42434"/>
    <cellStyle name="Vírgula 3 2 13 2 5" xfId="36526"/>
    <cellStyle name="Vírgula 3 2 13 3" xfId="26238"/>
    <cellStyle name="Vírgula 3 2 13 3 2" xfId="51305"/>
    <cellStyle name="Vírgula 3 2 13 4" xfId="20324"/>
    <cellStyle name="Vírgula 3 2 13 4 2" xfId="45391"/>
    <cellStyle name="Vírgula 3 2 13 5" xfId="14403"/>
    <cellStyle name="Vírgula 3 2 13 5 2" xfId="39480"/>
    <cellStyle name="Vírgula 3 2 13 6" xfId="33569"/>
    <cellStyle name="Vírgula 3 2 14" xfId="8046"/>
    <cellStyle name="Vírgula 3 2 14 2" xfId="26260"/>
    <cellStyle name="Vírgula 3 2 14 2 2" xfId="51327"/>
    <cellStyle name="Vírgula 3 2 14 3" xfId="20346"/>
    <cellStyle name="Vírgula 3 2 14 3 2" xfId="45413"/>
    <cellStyle name="Vírgula 3 2 14 4" xfId="14435"/>
    <cellStyle name="Vírgula 3 2 14 4 2" xfId="39502"/>
    <cellStyle name="Vírgula 3 2 14 5" xfId="33591"/>
    <cellStyle name="Vírgula 3 2 15" xfId="4620"/>
    <cellStyle name="Vírgula 3 2 15 2" xfId="23303"/>
    <cellStyle name="Vírgula 3 2 15 2 2" xfId="48370"/>
    <cellStyle name="Vírgula 3 2 15 3" xfId="30635"/>
    <cellStyle name="Vírgula 3 2 16" xfId="17389"/>
    <cellStyle name="Vírgula 3 2 16 2" xfId="42456"/>
    <cellStyle name="Vírgula 3 2 17" xfId="11011"/>
    <cellStyle name="Vírgula 3 2 17 2" xfId="36548"/>
    <cellStyle name="Vírgula 3 2 18" xfId="29396"/>
    <cellStyle name="Vírgula 3 2 2" xfId="1914"/>
    <cellStyle name="Vírgula 3 2 2 10" xfId="8055"/>
    <cellStyle name="Vírgula 3 2 2 10 2" xfId="26269"/>
    <cellStyle name="Vírgula 3 2 2 10 2 2" xfId="51336"/>
    <cellStyle name="Vírgula 3 2 2 10 3" xfId="20355"/>
    <cellStyle name="Vírgula 3 2 2 10 3 2" xfId="45422"/>
    <cellStyle name="Vírgula 3 2 2 10 4" xfId="14444"/>
    <cellStyle name="Vírgula 3 2 2 10 4 2" xfId="39511"/>
    <cellStyle name="Vírgula 3 2 2 10 5" xfId="33600"/>
    <cellStyle name="Vírgula 3 2 2 11" xfId="4635"/>
    <cellStyle name="Vírgula 3 2 2 11 2" xfId="23312"/>
    <cellStyle name="Vírgula 3 2 2 11 2 2" xfId="48379"/>
    <cellStyle name="Vírgula 3 2 2 11 3" xfId="30644"/>
    <cellStyle name="Vírgula 3 2 2 12" xfId="17398"/>
    <cellStyle name="Vírgula 3 2 2 12 2" xfId="42465"/>
    <cellStyle name="Vírgula 3 2 2 13" xfId="11026"/>
    <cellStyle name="Vírgula 3 2 2 13 2" xfId="36557"/>
    <cellStyle name="Vírgula 3 2 2 14" xfId="29760"/>
    <cellStyle name="Vírgula 3 2 2 2" xfId="4270"/>
    <cellStyle name="Vírgula 3 2 2 2 10" xfId="11061"/>
    <cellStyle name="Vírgula 3 2 2 2 10 2" xfId="36577"/>
    <cellStyle name="Vírgula 3 2 2 2 11" xfId="30435"/>
    <cellStyle name="Vírgula 3 2 2 2 2" xfId="4347"/>
    <cellStyle name="Vírgula 3 2 2 2 2 2" xfId="7748"/>
    <cellStyle name="Vírgula 3 2 2 2 2 2 2" xfId="10828"/>
    <cellStyle name="Vírgula 3 2 2 2 2 2 2 2" xfId="29042"/>
    <cellStyle name="Vírgula 3 2 2 2 2 2 2 2 2" xfId="54109"/>
    <cellStyle name="Vírgula 3 2 2 2 2 2 2 3" xfId="23128"/>
    <cellStyle name="Vírgula 3 2 2 2 2 2 2 3 2" xfId="48195"/>
    <cellStyle name="Vírgula 3 2 2 2 2 2 2 4" xfId="17214"/>
    <cellStyle name="Vírgula 3 2 2 2 2 2 2 4 2" xfId="42281"/>
    <cellStyle name="Vírgula 3 2 2 2 2 2 2 5" xfId="36373"/>
    <cellStyle name="Vírgula 3 2 2 2 2 2 3" xfId="26085"/>
    <cellStyle name="Vírgula 3 2 2 2 2 2 3 2" xfId="51152"/>
    <cellStyle name="Vírgula 3 2 2 2 2 2 4" xfId="20171"/>
    <cellStyle name="Vírgula 3 2 2 2 2 2 4 2" xfId="45238"/>
    <cellStyle name="Vírgula 3 2 2 2 2 2 5" xfId="14137"/>
    <cellStyle name="Vírgula 3 2 2 2 2 2 5 2" xfId="39327"/>
    <cellStyle name="Vírgula 3 2 2 2 2 2 6" xfId="33416"/>
    <cellStyle name="Vírgula 3 2 2 2 2 3" xfId="9360"/>
    <cellStyle name="Vírgula 3 2 2 2 2 3 2" xfId="27574"/>
    <cellStyle name="Vírgula 3 2 2 2 2 3 2 2" xfId="52641"/>
    <cellStyle name="Vírgula 3 2 2 2 2 3 3" xfId="21660"/>
    <cellStyle name="Vírgula 3 2 2 2 2 3 3 2" xfId="46727"/>
    <cellStyle name="Vírgula 3 2 2 2 2 3 4" xfId="15746"/>
    <cellStyle name="Vírgula 3 2 2 2 2 3 4 2" xfId="40813"/>
    <cellStyle name="Vírgula 3 2 2 2 2 3 5" xfId="34905"/>
    <cellStyle name="Vírgula 3 2 2 2 2 4" xfId="6048"/>
    <cellStyle name="Vírgula 3 2 2 2 2 4 2" xfId="24617"/>
    <cellStyle name="Vírgula 3 2 2 2 2 4 2 2" xfId="49684"/>
    <cellStyle name="Vírgula 3 2 2 2 2 4 3" xfId="31948"/>
    <cellStyle name="Vírgula 3 2 2 2 2 5" xfId="18703"/>
    <cellStyle name="Vírgula 3 2 2 2 2 5 2" xfId="43770"/>
    <cellStyle name="Vírgula 3 2 2 2 2 6" xfId="12436"/>
    <cellStyle name="Vírgula 3 2 2 2 2 6 2" xfId="37859"/>
    <cellStyle name="Vírgula 3 2 2 2 2 7" xfId="30478"/>
    <cellStyle name="Vírgula 3 2 2 2 3" xfId="4455"/>
    <cellStyle name="Vírgula 3 2 2 2 3 2" xfId="7857"/>
    <cellStyle name="Vírgula 3 2 2 2 3 2 2" xfId="10890"/>
    <cellStyle name="Vírgula 3 2 2 2 3 2 2 2" xfId="29104"/>
    <cellStyle name="Vírgula 3 2 2 2 3 2 2 2 2" xfId="54171"/>
    <cellStyle name="Vírgula 3 2 2 2 3 2 2 3" xfId="23190"/>
    <cellStyle name="Vírgula 3 2 2 2 3 2 2 3 2" xfId="48257"/>
    <cellStyle name="Vírgula 3 2 2 2 3 2 2 4" xfId="17276"/>
    <cellStyle name="Vírgula 3 2 2 2 3 2 2 4 2" xfId="42343"/>
    <cellStyle name="Vírgula 3 2 2 2 3 2 2 5" xfId="36435"/>
    <cellStyle name="Vírgula 3 2 2 2 3 2 3" xfId="26147"/>
    <cellStyle name="Vírgula 3 2 2 2 3 2 3 2" xfId="51214"/>
    <cellStyle name="Vírgula 3 2 2 2 3 2 4" xfId="20233"/>
    <cellStyle name="Vírgula 3 2 2 2 3 2 4 2" xfId="45300"/>
    <cellStyle name="Vírgula 3 2 2 2 3 2 5" xfId="14246"/>
    <cellStyle name="Vírgula 3 2 2 2 3 2 5 2" xfId="39389"/>
    <cellStyle name="Vírgula 3 2 2 2 3 2 6" xfId="33478"/>
    <cellStyle name="Vírgula 3 2 2 2 3 3" xfId="9422"/>
    <cellStyle name="Vírgula 3 2 2 2 3 3 2" xfId="27636"/>
    <cellStyle name="Vírgula 3 2 2 2 3 3 2 2" xfId="52703"/>
    <cellStyle name="Vírgula 3 2 2 2 3 3 3" xfId="21722"/>
    <cellStyle name="Vírgula 3 2 2 2 3 3 3 2" xfId="46789"/>
    <cellStyle name="Vírgula 3 2 2 2 3 3 4" xfId="15808"/>
    <cellStyle name="Vírgula 3 2 2 2 3 3 4 2" xfId="40875"/>
    <cellStyle name="Vírgula 3 2 2 2 3 3 5" xfId="34967"/>
    <cellStyle name="Vírgula 3 2 2 2 3 4" xfId="6157"/>
    <cellStyle name="Vírgula 3 2 2 2 3 4 2" xfId="24679"/>
    <cellStyle name="Vírgula 3 2 2 2 3 4 2 2" xfId="49746"/>
    <cellStyle name="Vírgula 3 2 2 2 3 4 3" xfId="32010"/>
    <cellStyle name="Vírgula 3 2 2 2 3 5" xfId="18765"/>
    <cellStyle name="Vírgula 3 2 2 2 3 5 2" xfId="43832"/>
    <cellStyle name="Vírgula 3 2 2 2 3 6" xfId="12545"/>
    <cellStyle name="Vírgula 3 2 2 2 3 6 2" xfId="37921"/>
    <cellStyle name="Vírgula 3 2 2 2 3 7" xfId="30540"/>
    <cellStyle name="Vírgula 3 2 2 2 4" xfId="4563"/>
    <cellStyle name="Vírgula 3 2 2 2 4 2" xfId="7965"/>
    <cellStyle name="Vírgula 3 2 2 2 4 2 2" xfId="10952"/>
    <cellStyle name="Vírgula 3 2 2 2 4 2 2 2" xfId="29166"/>
    <cellStyle name="Vírgula 3 2 2 2 4 2 2 2 2" xfId="54233"/>
    <cellStyle name="Vírgula 3 2 2 2 4 2 2 3" xfId="23252"/>
    <cellStyle name="Vírgula 3 2 2 2 4 2 2 3 2" xfId="48319"/>
    <cellStyle name="Vírgula 3 2 2 2 4 2 2 4" xfId="17338"/>
    <cellStyle name="Vírgula 3 2 2 2 4 2 2 4 2" xfId="42405"/>
    <cellStyle name="Vírgula 3 2 2 2 4 2 2 5" xfId="36497"/>
    <cellStyle name="Vírgula 3 2 2 2 4 2 3" xfId="26209"/>
    <cellStyle name="Vírgula 3 2 2 2 4 2 3 2" xfId="51276"/>
    <cellStyle name="Vírgula 3 2 2 2 4 2 4" xfId="20295"/>
    <cellStyle name="Vírgula 3 2 2 2 4 2 4 2" xfId="45362"/>
    <cellStyle name="Vírgula 3 2 2 2 4 2 5" xfId="14354"/>
    <cellStyle name="Vírgula 3 2 2 2 4 2 5 2" xfId="39451"/>
    <cellStyle name="Vírgula 3 2 2 2 4 2 6" xfId="33540"/>
    <cellStyle name="Vírgula 3 2 2 2 4 3" xfId="9484"/>
    <cellStyle name="Vírgula 3 2 2 2 4 3 2" xfId="27698"/>
    <cellStyle name="Vírgula 3 2 2 2 4 3 2 2" xfId="52765"/>
    <cellStyle name="Vírgula 3 2 2 2 4 3 3" xfId="21784"/>
    <cellStyle name="Vírgula 3 2 2 2 4 3 3 2" xfId="46851"/>
    <cellStyle name="Vírgula 3 2 2 2 4 3 4" xfId="15870"/>
    <cellStyle name="Vírgula 3 2 2 2 4 3 4 2" xfId="40937"/>
    <cellStyle name="Vírgula 3 2 2 2 4 3 5" xfId="35029"/>
    <cellStyle name="Vírgula 3 2 2 2 4 4" xfId="6264"/>
    <cellStyle name="Vírgula 3 2 2 2 4 4 2" xfId="24741"/>
    <cellStyle name="Vírgula 3 2 2 2 4 4 2 2" xfId="49808"/>
    <cellStyle name="Vírgula 3 2 2 2 4 4 3" xfId="32072"/>
    <cellStyle name="Vírgula 3 2 2 2 4 5" xfId="18827"/>
    <cellStyle name="Vírgula 3 2 2 2 4 5 2" xfId="43894"/>
    <cellStyle name="Vírgula 3 2 2 2 4 6" xfId="12653"/>
    <cellStyle name="Vírgula 3 2 2 2 4 6 2" xfId="37983"/>
    <cellStyle name="Vírgula 3 2 2 2 4 7" xfId="30602"/>
    <cellStyle name="Vírgula 3 2 2 2 5" xfId="5971"/>
    <cellStyle name="Vírgula 3 2 2 2 5 2" xfId="7671"/>
    <cellStyle name="Vírgula 3 2 2 2 5 2 2" xfId="10785"/>
    <cellStyle name="Vírgula 3 2 2 2 5 2 2 2" xfId="28999"/>
    <cellStyle name="Vírgula 3 2 2 2 5 2 2 2 2" xfId="54066"/>
    <cellStyle name="Vírgula 3 2 2 2 5 2 2 3" xfId="23085"/>
    <cellStyle name="Vírgula 3 2 2 2 5 2 2 3 2" xfId="48152"/>
    <cellStyle name="Vírgula 3 2 2 2 5 2 2 4" xfId="17171"/>
    <cellStyle name="Vírgula 3 2 2 2 5 2 2 4 2" xfId="42238"/>
    <cellStyle name="Vírgula 3 2 2 2 5 2 2 5" xfId="36330"/>
    <cellStyle name="Vírgula 3 2 2 2 5 2 3" xfId="26042"/>
    <cellStyle name="Vírgula 3 2 2 2 5 2 3 2" xfId="51109"/>
    <cellStyle name="Vírgula 3 2 2 2 5 2 4" xfId="20128"/>
    <cellStyle name="Vírgula 3 2 2 2 5 2 4 2" xfId="45195"/>
    <cellStyle name="Vírgula 3 2 2 2 5 2 5" xfId="14060"/>
    <cellStyle name="Vírgula 3 2 2 2 5 2 5 2" xfId="39284"/>
    <cellStyle name="Vírgula 3 2 2 2 5 2 6" xfId="33373"/>
    <cellStyle name="Vírgula 3 2 2 2 5 3" xfId="9317"/>
    <cellStyle name="Vírgula 3 2 2 2 5 3 2" xfId="27531"/>
    <cellStyle name="Vírgula 3 2 2 2 5 3 2 2" xfId="52598"/>
    <cellStyle name="Vírgula 3 2 2 2 5 3 3" xfId="21617"/>
    <cellStyle name="Vírgula 3 2 2 2 5 3 3 2" xfId="46684"/>
    <cellStyle name="Vírgula 3 2 2 2 5 3 4" xfId="15703"/>
    <cellStyle name="Vírgula 3 2 2 2 5 3 4 2" xfId="40770"/>
    <cellStyle name="Vírgula 3 2 2 2 5 3 5" xfId="34862"/>
    <cellStyle name="Vírgula 3 2 2 2 5 4" xfId="24574"/>
    <cellStyle name="Vírgula 3 2 2 2 5 4 2" xfId="49641"/>
    <cellStyle name="Vírgula 3 2 2 2 5 5" xfId="18660"/>
    <cellStyle name="Vírgula 3 2 2 2 5 5 2" xfId="43727"/>
    <cellStyle name="Vírgula 3 2 2 2 5 6" xfId="12359"/>
    <cellStyle name="Vírgula 3 2 2 2 5 6 2" xfId="37816"/>
    <cellStyle name="Vírgula 3 2 2 2 5 7" xfId="31905"/>
    <cellStyle name="Vírgula 3 2 2 2 6" xfId="6373"/>
    <cellStyle name="Vírgula 3 2 2 2 6 2" xfId="9546"/>
    <cellStyle name="Vírgula 3 2 2 2 6 2 2" xfId="27760"/>
    <cellStyle name="Vírgula 3 2 2 2 6 2 2 2" xfId="52827"/>
    <cellStyle name="Vírgula 3 2 2 2 6 2 3" xfId="21846"/>
    <cellStyle name="Vírgula 3 2 2 2 6 2 3 2" xfId="46913"/>
    <cellStyle name="Vírgula 3 2 2 2 6 2 4" xfId="15932"/>
    <cellStyle name="Vírgula 3 2 2 2 6 2 4 2" xfId="40999"/>
    <cellStyle name="Vírgula 3 2 2 2 6 2 5" xfId="35091"/>
    <cellStyle name="Vírgula 3 2 2 2 6 3" xfId="24803"/>
    <cellStyle name="Vírgula 3 2 2 2 6 3 2" xfId="49870"/>
    <cellStyle name="Vírgula 3 2 2 2 6 4" xfId="18889"/>
    <cellStyle name="Vírgula 3 2 2 2 6 4 2" xfId="43956"/>
    <cellStyle name="Vírgula 3 2 2 2 6 5" xfId="12762"/>
    <cellStyle name="Vírgula 3 2 2 2 6 5 2" xfId="38045"/>
    <cellStyle name="Vírgula 3 2 2 2 6 6" xfId="32134"/>
    <cellStyle name="Vírgula 3 2 2 2 7" xfId="8075"/>
    <cellStyle name="Vírgula 3 2 2 2 7 2" xfId="26289"/>
    <cellStyle name="Vírgula 3 2 2 2 7 2 2" xfId="51356"/>
    <cellStyle name="Vírgula 3 2 2 2 7 3" xfId="20375"/>
    <cellStyle name="Vírgula 3 2 2 2 7 3 2" xfId="45442"/>
    <cellStyle name="Vírgula 3 2 2 2 7 4" xfId="14464"/>
    <cellStyle name="Vírgula 3 2 2 2 7 4 2" xfId="39531"/>
    <cellStyle name="Vírgula 3 2 2 2 7 5" xfId="33620"/>
    <cellStyle name="Vírgula 3 2 2 2 8" xfId="4670"/>
    <cellStyle name="Vírgula 3 2 2 2 8 2" xfId="23332"/>
    <cellStyle name="Vírgula 3 2 2 2 8 2 2" xfId="48399"/>
    <cellStyle name="Vírgula 3 2 2 2 8 3" xfId="30664"/>
    <cellStyle name="Vírgula 3 2 2 2 9" xfId="17418"/>
    <cellStyle name="Vírgula 3 2 2 2 9 2" xfId="42485"/>
    <cellStyle name="Vírgula 3 2 2 3" xfId="4235"/>
    <cellStyle name="Vírgula 3 2 2 3 10" xfId="11094"/>
    <cellStyle name="Vírgula 3 2 2 3 10 2" xfId="36596"/>
    <cellStyle name="Vírgula 3 2 2 3 11" xfId="30415"/>
    <cellStyle name="Vírgula 3 2 2 3 2" xfId="4379"/>
    <cellStyle name="Vírgula 3 2 2 3 2 2" xfId="7781"/>
    <cellStyle name="Vírgula 3 2 2 3 2 2 2" xfId="10847"/>
    <cellStyle name="Vírgula 3 2 2 3 2 2 2 2" xfId="29061"/>
    <cellStyle name="Vírgula 3 2 2 3 2 2 2 2 2" xfId="54128"/>
    <cellStyle name="Vírgula 3 2 2 3 2 2 2 3" xfId="23147"/>
    <cellStyle name="Vírgula 3 2 2 3 2 2 2 3 2" xfId="48214"/>
    <cellStyle name="Vírgula 3 2 2 3 2 2 2 4" xfId="17233"/>
    <cellStyle name="Vírgula 3 2 2 3 2 2 2 4 2" xfId="42300"/>
    <cellStyle name="Vírgula 3 2 2 3 2 2 2 5" xfId="36392"/>
    <cellStyle name="Vírgula 3 2 2 3 2 2 3" xfId="26104"/>
    <cellStyle name="Vírgula 3 2 2 3 2 2 3 2" xfId="51171"/>
    <cellStyle name="Vírgula 3 2 2 3 2 2 4" xfId="20190"/>
    <cellStyle name="Vírgula 3 2 2 3 2 2 4 2" xfId="45257"/>
    <cellStyle name="Vírgula 3 2 2 3 2 2 5" xfId="14170"/>
    <cellStyle name="Vírgula 3 2 2 3 2 2 5 2" xfId="39346"/>
    <cellStyle name="Vírgula 3 2 2 3 2 2 6" xfId="33435"/>
    <cellStyle name="Vírgula 3 2 2 3 2 3" xfId="9379"/>
    <cellStyle name="Vírgula 3 2 2 3 2 3 2" xfId="27593"/>
    <cellStyle name="Vírgula 3 2 2 3 2 3 2 2" xfId="52660"/>
    <cellStyle name="Vírgula 3 2 2 3 2 3 3" xfId="21679"/>
    <cellStyle name="Vírgula 3 2 2 3 2 3 3 2" xfId="46746"/>
    <cellStyle name="Vírgula 3 2 2 3 2 3 4" xfId="15765"/>
    <cellStyle name="Vírgula 3 2 2 3 2 3 4 2" xfId="40832"/>
    <cellStyle name="Vírgula 3 2 2 3 2 3 5" xfId="34924"/>
    <cellStyle name="Vírgula 3 2 2 3 2 4" xfId="6081"/>
    <cellStyle name="Vírgula 3 2 2 3 2 4 2" xfId="24636"/>
    <cellStyle name="Vírgula 3 2 2 3 2 4 2 2" xfId="49703"/>
    <cellStyle name="Vírgula 3 2 2 3 2 4 3" xfId="31967"/>
    <cellStyle name="Vírgula 3 2 2 3 2 5" xfId="18722"/>
    <cellStyle name="Vírgula 3 2 2 3 2 5 2" xfId="43789"/>
    <cellStyle name="Vírgula 3 2 2 3 2 6" xfId="12469"/>
    <cellStyle name="Vírgula 3 2 2 3 2 6 2" xfId="37878"/>
    <cellStyle name="Vírgula 3 2 2 3 2 7" xfId="30497"/>
    <cellStyle name="Vírgula 3 2 2 3 3" xfId="4487"/>
    <cellStyle name="Vírgula 3 2 2 3 3 2" xfId="7889"/>
    <cellStyle name="Vírgula 3 2 2 3 3 2 2" xfId="10909"/>
    <cellStyle name="Vírgula 3 2 2 3 3 2 2 2" xfId="29123"/>
    <cellStyle name="Vírgula 3 2 2 3 3 2 2 2 2" xfId="54190"/>
    <cellStyle name="Vírgula 3 2 2 3 3 2 2 3" xfId="23209"/>
    <cellStyle name="Vírgula 3 2 2 3 3 2 2 3 2" xfId="48276"/>
    <cellStyle name="Vírgula 3 2 2 3 3 2 2 4" xfId="17295"/>
    <cellStyle name="Vírgula 3 2 2 3 3 2 2 4 2" xfId="42362"/>
    <cellStyle name="Vírgula 3 2 2 3 3 2 2 5" xfId="36454"/>
    <cellStyle name="Vírgula 3 2 2 3 3 2 3" xfId="26166"/>
    <cellStyle name="Vírgula 3 2 2 3 3 2 3 2" xfId="51233"/>
    <cellStyle name="Vírgula 3 2 2 3 3 2 4" xfId="20252"/>
    <cellStyle name="Vírgula 3 2 2 3 3 2 4 2" xfId="45319"/>
    <cellStyle name="Vírgula 3 2 2 3 3 2 5" xfId="14278"/>
    <cellStyle name="Vírgula 3 2 2 3 3 2 5 2" xfId="39408"/>
    <cellStyle name="Vírgula 3 2 2 3 3 2 6" xfId="33497"/>
    <cellStyle name="Vírgula 3 2 2 3 3 3" xfId="9441"/>
    <cellStyle name="Vírgula 3 2 2 3 3 3 2" xfId="27655"/>
    <cellStyle name="Vírgula 3 2 2 3 3 3 2 2" xfId="52722"/>
    <cellStyle name="Vírgula 3 2 2 3 3 3 3" xfId="21741"/>
    <cellStyle name="Vírgula 3 2 2 3 3 3 3 2" xfId="46808"/>
    <cellStyle name="Vírgula 3 2 2 3 3 3 4" xfId="15827"/>
    <cellStyle name="Vírgula 3 2 2 3 3 3 4 2" xfId="40894"/>
    <cellStyle name="Vírgula 3 2 2 3 3 3 5" xfId="34986"/>
    <cellStyle name="Vírgula 3 2 2 3 3 4" xfId="6188"/>
    <cellStyle name="Vírgula 3 2 2 3 3 4 2" xfId="24698"/>
    <cellStyle name="Vírgula 3 2 2 3 3 4 2 2" xfId="49765"/>
    <cellStyle name="Vírgula 3 2 2 3 3 4 3" xfId="32029"/>
    <cellStyle name="Vírgula 3 2 2 3 3 5" xfId="18784"/>
    <cellStyle name="Vírgula 3 2 2 3 3 5 2" xfId="43851"/>
    <cellStyle name="Vírgula 3 2 2 3 3 6" xfId="12577"/>
    <cellStyle name="Vírgula 3 2 2 3 3 6 2" xfId="37940"/>
    <cellStyle name="Vírgula 3 2 2 3 3 7" xfId="30559"/>
    <cellStyle name="Vírgula 3 2 2 3 4" xfId="4595"/>
    <cellStyle name="Vírgula 3 2 2 3 4 2" xfId="7998"/>
    <cellStyle name="Vírgula 3 2 2 3 4 2 2" xfId="10971"/>
    <cellStyle name="Vírgula 3 2 2 3 4 2 2 2" xfId="29185"/>
    <cellStyle name="Vírgula 3 2 2 3 4 2 2 2 2" xfId="54252"/>
    <cellStyle name="Vírgula 3 2 2 3 4 2 2 3" xfId="23271"/>
    <cellStyle name="Vírgula 3 2 2 3 4 2 2 3 2" xfId="48338"/>
    <cellStyle name="Vírgula 3 2 2 3 4 2 2 4" xfId="17357"/>
    <cellStyle name="Vírgula 3 2 2 3 4 2 2 4 2" xfId="42424"/>
    <cellStyle name="Vírgula 3 2 2 3 4 2 2 5" xfId="36516"/>
    <cellStyle name="Vírgula 3 2 2 3 4 2 3" xfId="26228"/>
    <cellStyle name="Vírgula 3 2 2 3 4 2 3 2" xfId="51295"/>
    <cellStyle name="Vírgula 3 2 2 3 4 2 4" xfId="20314"/>
    <cellStyle name="Vírgula 3 2 2 3 4 2 4 2" xfId="45381"/>
    <cellStyle name="Vírgula 3 2 2 3 4 2 5" xfId="14387"/>
    <cellStyle name="Vírgula 3 2 2 3 4 2 5 2" xfId="39470"/>
    <cellStyle name="Vírgula 3 2 2 3 4 2 6" xfId="33559"/>
    <cellStyle name="Vírgula 3 2 2 3 4 3" xfId="9503"/>
    <cellStyle name="Vírgula 3 2 2 3 4 3 2" xfId="27717"/>
    <cellStyle name="Vírgula 3 2 2 3 4 3 2 2" xfId="52784"/>
    <cellStyle name="Vírgula 3 2 2 3 4 3 3" xfId="21803"/>
    <cellStyle name="Vírgula 3 2 2 3 4 3 3 2" xfId="46870"/>
    <cellStyle name="Vírgula 3 2 2 3 4 3 4" xfId="15889"/>
    <cellStyle name="Vírgula 3 2 2 3 4 3 4 2" xfId="40956"/>
    <cellStyle name="Vírgula 3 2 2 3 4 3 5" xfId="35048"/>
    <cellStyle name="Vírgula 3 2 2 3 4 4" xfId="6297"/>
    <cellStyle name="Vírgula 3 2 2 3 4 4 2" xfId="24760"/>
    <cellStyle name="Vírgula 3 2 2 3 4 4 2 2" xfId="49827"/>
    <cellStyle name="Vírgula 3 2 2 3 4 4 3" xfId="32091"/>
    <cellStyle name="Vírgula 3 2 2 3 4 5" xfId="18846"/>
    <cellStyle name="Vírgula 3 2 2 3 4 5 2" xfId="43913"/>
    <cellStyle name="Vírgula 3 2 2 3 4 6" xfId="12686"/>
    <cellStyle name="Vírgula 3 2 2 3 4 6 2" xfId="38002"/>
    <cellStyle name="Vírgula 3 2 2 3 4 7" xfId="30621"/>
    <cellStyle name="Vírgula 3 2 2 3 5" xfId="5936"/>
    <cellStyle name="Vírgula 3 2 2 3 5 2" xfId="7636"/>
    <cellStyle name="Vírgula 3 2 2 3 5 2 2" xfId="10765"/>
    <cellStyle name="Vírgula 3 2 2 3 5 2 2 2" xfId="28979"/>
    <cellStyle name="Vírgula 3 2 2 3 5 2 2 2 2" xfId="54046"/>
    <cellStyle name="Vírgula 3 2 2 3 5 2 2 3" xfId="23065"/>
    <cellStyle name="Vírgula 3 2 2 3 5 2 2 3 2" xfId="48132"/>
    <cellStyle name="Vírgula 3 2 2 3 5 2 2 4" xfId="17151"/>
    <cellStyle name="Vírgula 3 2 2 3 5 2 2 4 2" xfId="42218"/>
    <cellStyle name="Vírgula 3 2 2 3 5 2 2 5" xfId="36310"/>
    <cellStyle name="Vírgula 3 2 2 3 5 2 3" xfId="26022"/>
    <cellStyle name="Vírgula 3 2 2 3 5 2 3 2" xfId="51089"/>
    <cellStyle name="Vírgula 3 2 2 3 5 2 4" xfId="20108"/>
    <cellStyle name="Vírgula 3 2 2 3 5 2 4 2" xfId="45175"/>
    <cellStyle name="Vírgula 3 2 2 3 5 2 5" xfId="14025"/>
    <cellStyle name="Vírgula 3 2 2 3 5 2 5 2" xfId="39264"/>
    <cellStyle name="Vírgula 3 2 2 3 5 2 6" xfId="33353"/>
    <cellStyle name="Vírgula 3 2 2 3 5 3" xfId="9297"/>
    <cellStyle name="Vírgula 3 2 2 3 5 3 2" xfId="27511"/>
    <cellStyle name="Vírgula 3 2 2 3 5 3 2 2" xfId="52578"/>
    <cellStyle name="Vírgula 3 2 2 3 5 3 3" xfId="21597"/>
    <cellStyle name="Vírgula 3 2 2 3 5 3 3 2" xfId="46664"/>
    <cellStyle name="Vírgula 3 2 2 3 5 3 4" xfId="15683"/>
    <cellStyle name="Vírgula 3 2 2 3 5 3 4 2" xfId="40750"/>
    <cellStyle name="Vírgula 3 2 2 3 5 3 5" xfId="34842"/>
    <cellStyle name="Vírgula 3 2 2 3 5 4" xfId="24554"/>
    <cellStyle name="Vírgula 3 2 2 3 5 4 2" xfId="49621"/>
    <cellStyle name="Vírgula 3 2 2 3 5 5" xfId="18640"/>
    <cellStyle name="Vírgula 3 2 2 3 5 5 2" xfId="43707"/>
    <cellStyle name="Vírgula 3 2 2 3 5 6" xfId="12324"/>
    <cellStyle name="Vírgula 3 2 2 3 5 6 2" xfId="37796"/>
    <cellStyle name="Vírgula 3 2 2 3 5 7" xfId="31885"/>
    <cellStyle name="Vírgula 3 2 2 3 6" xfId="6406"/>
    <cellStyle name="Vírgula 3 2 2 3 6 2" xfId="9565"/>
    <cellStyle name="Vírgula 3 2 2 3 6 2 2" xfId="27779"/>
    <cellStyle name="Vírgula 3 2 2 3 6 2 2 2" xfId="52846"/>
    <cellStyle name="Vírgula 3 2 2 3 6 2 3" xfId="21865"/>
    <cellStyle name="Vírgula 3 2 2 3 6 2 3 2" xfId="46932"/>
    <cellStyle name="Vírgula 3 2 2 3 6 2 4" xfId="15951"/>
    <cellStyle name="Vírgula 3 2 2 3 6 2 4 2" xfId="41018"/>
    <cellStyle name="Vírgula 3 2 2 3 6 2 5" xfId="35110"/>
    <cellStyle name="Vírgula 3 2 2 3 6 3" xfId="24822"/>
    <cellStyle name="Vírgula 3 2 2 3 6 3 2" xfId="49889"/>
    <cellStyle name="Vírgula 3 2 2 3 6 4" xfId="18908"/>
    <cellStyle name="Vírgula 3 2 2 3 6 4 2" xfId="43975"/>
    <cellStyle name="Vírgula 3 2 2 3 6 5" xfId="12795"/>
    <cellStyle name="Vírgula 3 2 2 3 6 5 2" xfId="38064"/>
    <cellStyle name="Vírgula 3 2 2 3 6 6" xfId="32153"/>
    <cellStyle name="Vírgula 3 2 2 3 7" xfId="8094"/>
    <cellStyle name="Vírgula 3 2 2 3 7 2" xfId="26308"/>
    <cellStyle name="Vírgula 3 2 2 3 7 2 2" xfId="51375"/>
    <cellStyle name="Vírgula 3 2 2 3 7 3" xfId="20394"/>
    <cellStyle name="Vírgula 3 2 2 3 7 3 2" xfId="45461"/>
    <cellStyle name="Vírgula 3 2 2 3 7 4" xfId="14483"/>
    <cellStyle name="Vírgula 3 2 2 3 7 4 2" xfId="39550"/>
    <cellStyle name="Vírgula 3 2 2 3 7 5" xfId="33639"/>
    <cellStyle name="Vírgula 3 2 2 3 8" xfId="4703"/>
    <cellStyle name="Vírgula 3 2 2 3 8 2" xfId="23351"/>
    <cellStyle name="Vírgula 3 2 2 3 8 2 2" xfId="48418"/>
    <cellStyle name="Vírgula 3 2 2 3 8 3" xfId="30683"/>
    <cellStyle name="Vírgula 3 2 2 3 9" xfId="17437"/>
    <cellStyle name="Vírgula 3 2 2 3 9 2" xfId="42504"/>
    <cellStyle name="Vírgula 3 2 2 4" xfId="4312"/>
    <cellStyle name="Vírgula 3 2 2 4 2" xfId="7713"/>
    <cellStyle name="Vírgula 3 2 2 4 2 2" xfId="10808"/>
    <cellStyle name="Vírgula 3 2 2 4 2 2 2" xfId="29022"/>
    <cellStyle name="Vírgula 3 2 2 4 2 2 2 2" xfId="54089"/>
    <cellStyle name="Vírgula 3 2 2 4 2 2 3" xfId="23108"/>
    <cellStyle name="Vírgula 3 2 2 4 2 2 3 2" xfId="48175"/>
    <cellStyle name="Vírgula 3 2 2 4 2 2 4" xfId="17194"/>
    <cellStyle name="Vírgula 3 2 2 4 2 2 4 2" xfId="42261"/>
    <cellStyle name="Vírgula 3 2 2 4 2 2 5" xfId="36353"/>
    <cellStyle name="Vírgula 3 2 2 4 2 3" xfId="26065"/>
    <cellStyle name="Vírgula 3 2 2 4 2 3 2" xfId="51132"/>
    <cellStyle name="Vírgula 3 2 2 4 2 4" xfId="20151"/>
    <cellStyle name="Vírgula 3 2 2 4 2 4 2" xfId="45218"/>
    <cellStyle name="Vírgula 3 2 2 4 2 5" xfId="14102"/>
    <cellStyle name="Vírgula 3 2 2 4 2 5 2" xfId="39307"/>
    <cellStyle name="Vírgula 3 2 2 4 2 6" xfId="33396"/>
    <cellStyle name="Vírgula 3 2 2 4 3" xfId="9340"/>
    <cellStyle name="Vírgula 3 2 2 4 3 2" xfId="27554"/>
    <cellStyle name="Vírgula 3 2 2 4 3 2 2" xfId="52621"/>
    <cellStyle name="Vírgula 3 2 2 4 3 3" xfId="21640"/>
    <cellStyle name="Vírgula 3 2 2 4 3 3 2" xfId="46707"/>
    <cellStyle name="Vírgula 3 2 2 4 3 4" xfId="15726"/>
    <cellStyle name="Vírgula 3 2 2 4 3 4 2" xfId="40793"/>
    <cellStyle name="Vírgula 3 2 2 4 3 5" xfId="34885"/>
    <cellStyle name="Vírgula 3 2 2 4 4" xfId="6013"/>
    <cellStyle name="Vírgula 3 2 2 4 4 2" xfId="24597"/>
    <cellStyle name="Vírgula 3 2 2 4 4 2 2" xfId="49664"/>
    <cellStyle name="Vírgula 3 2 2 4 4 3" xfId="31928"/>
    <cellStyle name="Vírgula 3 2 2 4 5" xfId="18683"/>
    <cellStyle name="Vírgula 3 2 2 4 5 2" xfId="43750"/>
    <cellStyle name="Vírgula 3 2 2 4 6" xfId="12401"/>
    <cellStyle name="Vírgula 3 2 2 4 6 2" xfId="37839"/>
    <cellStyle name="Vírgula 3 2 2 4 7" xfId="30458"/>
    <cellStyle name="Vírgula 3 2 2 5" xfId="4420"/>
    <cellStyle name="Vírgula 3 2 2 5 2" xfId="7822"/>
    <cellStyle name="Vírgula 3 2 2 5 2 2" xfId="10870"/>
    <cellStyle name="Vírgula 3 2 2 5 2 2 2" xfId="29084"/>
    <cellStyle name="Vírgula 3 2 2 5 2 2 2 2" xfId="54151"/>
    <cellStyle name="Vírgula 3 2 2 5 2 2 3" xfId="23170"/>
    <cellStyle name="Vírgula 3 2 2 5 2 2 3 2" xfId="48237"/>
    <cellStyle name="Vírgula 3 2 2 5 2 2 4" xfId="17256"/>
    <cellStyle name="Vírgula 3 2 2 5 2 2 4 2" xfId="42323"/>
    <cellStyle name="Vírgula 3 2 2 5 2 2 5" xfId="36415"/>
    <cellStyle name="Vírgula 3 2 2 5 2 3" xfId="26127"/>
    <cellStyle name="Vírgula 3 2 2 5 2 3 2" xfId="51194"/>
    <cellStyle name="Vírgula 3 2 2 5 2 4" xfId="20213"/>
    <cellStyle name="Vírgula 3 2 2 5 2 4 2" xfId="45280"/>
    <cellStyle name="Vírgula 3 2 2 5 2 5" xfId="14211"/>
    <cellStyle name="Vírgula 3 2 2 5 2 5 2" xfId="39369"/>
    <cellStyle name="Vírgula 3 2 2 5 2 6" xfId="33458"/>
    <cellStyle name="Vírgula 3 2 2 5 3" xfId="9402"/>
    <cellStyle name="Vírgula 3 2 2 5 3 2" xfId="27616"/>
    <cellStyle name="Vírgula 3 2 2 5 3 2 2" xfId="52683"/>
    <cellStyle name="Vírgula 3 2 2 5 3 3" xfId="21702"/>
    <cellStyle name="Vírgula 3 2 2 5 3 3 2" xfId="46769"/>
    <cellStyle name="Vírgula 3 2 2 5 3 4" xfId="15788"/>
    <cellStyle name="Vírgula 3 2 2 5 3 4 2" xfId="40855"/>
    <cellStyle name="Vírgula 3 2 2 5 3 5" xfId="34947"/>
    <cellStyle name="Vírgula 3 2 2 5 4" xfId="6122"/>
    <cellStyle name="Vírgula 3 2 2 5 4 2" xfId="24659"/>
    <cellStyle name="Vírgula 3 2 2 5 4 2 2" xfId="49726"/>
    <cellStyle name="Vírgula 3 2 2 5 4 3" xfId="31990"/>
    <cellStyle name="Vírgula 3 2 2 5 5" xfId="18745"/>
    <cellStyle name="Vírgula 3 2 2 5 5 2" xfId="43812"/>
    <cellStyle name="Vírgula 3 2 2 5 6" xfId="12510"/>
    <cellStyle name="Vírgula 3 2 2 5 6 2" xfId="37901"/>
    <cellStyle name="Vírgula 3 2 2 5 7" xfId="30520"/>
    <cellStyle name="Vírgula 3 2 2 6" xfId="4528"/>
    <cellStyle name="Vírgula 3 2 2 6 2" xfId="7930"/>
    <cellStyle name="Vírgula 3 2 2 6 2 2" xfId="10932"/>
    <cellStyle name="Vírgula 3 2 2 6 2 2 2" xfId="29146"/>
    <cellStyle name="Vírgula 3 2 2 6 2 2 2 2" xfId="54213"/>
    <cellStyle name="Vírgula 3 2 2 6 2 2 3" xfId="23232"/>
    <cellStyle name="Vírgula 3 2 2 6 2 2 3 2" xfId="48299"/>
    <cellStyle name="Vírgula 3 2 2 6 2 2 4" xfId="17318"/>
    <cellStyle name="Vírgula 3 2 2 6 2 2 4 2" xfId="42385"/>
    <cellStyle name="Vírgula 3 2 2 6 2 2 5" xfId="36477"/>
    <cellStyle name="Vírgula 3 2 2 6 2 3" xfId="26189"/>
    <cellStyle name="Vírgula 3 2 2 6 2 3 2" xfId="51256"/>
    <cellStyle name="Vírgula 3 2 2 6 2 4" xfId="20275"/>
    <cellStyle name="Vírgula 3 2 2 6 2 4 2" xfId="45342"/>
    <cellStyle name="Vírgula 3 2 2 6 2 5" xfId="14319"/>
    <cellStyle name="Vírgula 3 2 2 6 2 5 2" xfId="39431"/>
    <cellStyle name="Vírgula 3 2 2 6 2 6" xfId="33520"/>
    <cellStyle name="Vírgula 3 2 2 6 3" xfId="9464"/>
    <cellStyle name="Vírgula 3 2 2 6 3 2" xfId="27678"/>
    <cellStyle name="Vírgula 3 2 2 6 3 2 2" xfId="52745"/>
    <cellStyle name="Vírgula 3 2 2 6 3 3" xfId="21764"/>
    <cellStyle name="Vírgula 3 2 2 6 3 3 2" xfId="46831"/>
    <cellStyle name="Vírgula 3 2 2 6 3 4" xfId="15850"/>
    <cellStyle name="Vírgula 3 2 2 6 3 4 2" xfId="40917"/>
    <cellStyle name="Vírgula 3 2 2 6 3 5" xfId="35009"/>
    <cellStyle name="Vírgula 3 2 2 6 4" xfId="6229"/>
    <cellStyle name="Vírgula 3 2 2 6 4 2" xfId="24721"/>
    <cellStyle name="Vírgula 3 2 2 6 4 2 2" xfId="49788"/>
    <cellStyle name="Vírgula 3 2 2 6 4 3" xfId="32052"/>
    <cellStyle name="Vírgula 3 2 2 6 5" xfId="18807"/>
    <cellStyle name="Vírgula 3 2 2 6 5 2" xfId="43874"/>
    <cellStyle name="Vírgula 3 2 2 6 6" xfId="12618"/>
    <cellStyle name="Vírgula 3 2 2 6 6 2" xfId="37963"/>
    <cellStyle name="Vírgula 3 2 2 6 7" xfId="30582"/>
    <cellStyle name="Vírgula 3 2 2 7" xfId="5264"/>
    <cellStyle name="Vírgula 3 2 2 7 2" xfId="6963"/>
    <cellStyle name="Vírgula 3 2 2 7 2 2" xfId="10110"/>
    <cellStyle name="Vírgula 3 2 2 7 2 2 2" xfId="28324"/>
    <cellStyle name="Vírgula 3 2 2 7 2 2 2 2" xfId="53391"/>
    <cellStyle name="Vírgula 3 2 2 7 2 2 3" xfId="22410"/>
    <cellStyle name="Vírgula 3 2 2 7 2 2 3 2" xfId="47477"/>
    <cellStyle name="Vírgula 3 2 2 7 2 2 4" xfId="16496"/>
    <cellStyle name="Vírgula 3 2 2 7 2 2 4 2" xfId="41563"/>
    <cellStyle name="Vírgula 3 2 2 7 2 2 5" xfId="35655"/>
    <cellStyle name="Vírgula 3 2 2 7 2 3" xfId="25367"/>
    <cellStyle name="Vírgula 3 2 2 7 2 3 2" xfId="50434"/>
    <cellStyle name="Vírgula 3 2 2 7 2 4" xfId="19453"/>
    <cellStyle name="Vírgula 3 2 2 7 2 4 2" xfId="44520"/>
    <cellStyle name="Vírgula 3 2 2 7 2 5" xfId="13352"/>
    <cellStyle name="Vírgula 3 2 2 7 2 5 2" xfId="38609"/>
    <cellStyle name="Vírgula 3 2 2 7 2 6" xfId="32698"/>
    <cellStyle name="Vírgula 3 2 2 7 3" xfId="8642"/>
    <cellStyle name="Vírgula 3 2 2 7 3 2" xfId="26856"/>
    <cellStyle name="Vírgula 3 2 2 7 3 2 2" xfId="51923"/>
    <cellStyle name="Vírgula 3 2 2 7 3 3" xfId="20942"/>
    <cellStyle name="Vírgula 3 2 2 7 3 3 2" xfId="46009"/>
    <cellStyle name="Vírgula 3 2 2 7 3 4" xfId="15028"/>
    <cellStyle name="Vírgula 3 2 2 7 3 4 2" xfId="40095"/>
    <cellStyle name="Vírgula 3 2 2 7 3 5" xfId="34187"/>
    <cellStyle name="Vírgula 3 2 2 7 4" xfId="23899"/>
    <cellStyle name="Vírgula 3 2 2 7 4 2" xfId="48966"/>
    <cellStyle name="Vírgula 3 2 2 7 5" xfId="17985"/>
    <cellStyle name="Vírgula 3 2 2 7 5 2" xfId="43052"/>
    <cellStyle name="Vírgula 3 2 2 7 6" xfId="11651"/>
    <cellStyle name="Vírgula 3 2 2 7 6 2" xfId="37141"/>
    <cellStyle name="Vírgula 3 2 2 7 7" xfId="31230"/>
    <cellStyle name="Vírgula 3 2 2 8" xfId="6338"/>
    <cellStyle name="Vírgula 3 2 2 8 2" xfId="9526"/>
    <cellStyle name="Vírgula 3 2 2 8 2 2" xfId="27740"/>
    <cellStyle name="Vírgula 3 2 2 8 2 2 2" xfId="52807"/>
    <cellStyle name="Vírgula 3 2 2 8 2 3" xfId="21826"/>
    <cellStyle name="Vírgula 3 2 2 8 2 3 2" xfId="46893"/>
    <cellStyle name="Vírgula 3 2 2 8 2 4" xfId="15912"/>
    <cellStyle name="Vírgula 3 2 2 8 2 4 2" xfId="40979"/>
    <cellStyle name="Vírgula 3 2 2 8 2 5" xfId="35071"/>
    <cellStyle name="Vírgula 3 2 2 8 3" xfId="24783"/>
    <cellStyle name="Vírgula 3 2 2 8 3 2" xfId="49850"/>
    <cellStyle name="Vírgula 3 2 2 8 4" xfId="18869"/>
    <cellStyle name="Vírgula 3 2 2 8 4 2" xfId="43936"/>
    <cellStyle name="Vírgula 3 2 2 8 5" xfId="12727"/>
    <cellStyle name="Vírgula 3 2 2 8 5 2" xfId="38025"/>
    <cellStyle name="Vírgula 3 2 2 8 6" xfId="32114"/>
    <cellStyle name="Vírgula 3 2 2 9" xfId="8030"/>
    <cellStyle name="Vírgula 3 2 2 9 2" xfId="10990"/>
    <cellStyle name="Vírgula 3 2 2 9 2 2" xfId="29204"/>
    <cellStyle name="Vírgula 3 2 2 9 2 2 2" xfId="54271"/>
    <cellStyle name="Vírgula 3 2 2 9 2 3" xfId="23290"/>
    <cellStyle name="Vírgula 3 2 2 9 2 3 2" xfId="48357"/>
    <cellStyle name="Vírgula 3 2 2 9 2 4" xfId="17376"/>
    <cellStyle name="Vírgula 3 2 2 9 2 4 2" xfId="42443"/>
    <cellStyle name="Vírgula 3 2 2 9 2 5" xfId="36535"/>
    <cellStyle name="Vírgula 3 2 2 9 3" xfId="26247"/>
    <cellStyle name="Vírgula 3 2 2 9 3 2" xfId="51314"/>
    <cellStyle name="Vírgula 3 2 2 9 4" xfId="20333"/>
    <cellStyle name="Vírgula 3 2 2 9 4 2" xfId="45400"/>
    <cellStyle name="Vírgula 3 2 2 9 5" xfId="14419"/>
    <cellStyle name="Vírgula 3 2 2 9 5 2" xfId="39489"/>
    <cellStyle name="Vírgula 3 2 2 9 6" xfId="33578"/>
    <cellStyle name="Vírgula 3 2 3" xfId="2444"/>
    <cellStyle name="Vírgula 3 2 3 10" xfId="17409"/>
    <cellStyle name="Vírgula 3 2 3 10 2" xfId="42476"/>
    <cellStyle name="Vírgula 3 2 3 11" xfId="11046"/>
    <cellStyle name="Vírgula 3 2 3 11 2" xfId="36568"/>
    <cellStyle name="Vírgula 3 2 3 12" xfId="29907"/>
    <cellStyle name="Vírgula 3 2 3 2" xfId="4255"/>
    <cellStyle name="Vírgula 3 2 3 2 2" xfId="7656"/>
    <cellStyle name="Vírgula 3 2 3 2 2 2" xfId="10776"/>
    <cellStyle name="Vírgula 3 2 3 2 2 2 2" xfId="28990"/>
    <cellStyle name="Vírgula 3 2 3 2 2 2 2 2" xfId="54057"/>
    <cellStyle name="Vírgula 3 2 3 2 2 2 3" xfId="23076"/>
    <cellStyle name="Vírgula 3 2 3 2 2 2 3 2" xfId="48143"/>
    <cellStyle name="Vírgula 3 2 3 2 2 2 4" xfId="17162"/>
    <cellStyle name="Vírgula 3 2 3 2 2 2 4 2" xfId="42229"/>
    <cellStyle name="Vírgula 3 2 3 2 2 2 5" xfId="36321"/>
    <cellStyle name="Vírgula 3 2 3 2 2 3" xfId="26033"/>
    <cellStyle name="Vírgula 3 2 3 2 2 3 2" xfId="51100"/>
    <cellStyle name="Vírgula 3 2 3 2 2 4" xfId="20119"/>
    <cellStyle name="Vírgula 3 2 3 2 2 4 2" xfId="45186"/>
    <cellStyle name="Vírgula 3 2 3 2 2 5" xfId="14045"/>
    <cellStyle name="Vírgula 3 2 3 2 2 5 2" xfId="39275"/>
    <cellStyle name="Vírgula 3 2 3 2 2 6" xfId="33364"/>
    <cellStyle name="Vírgula 3 2 3 2 3" xfId="9308"/>
    <cellStyle name="Vírgula 3 2 3 2 3 2" xfId="27522"/>
    <cellStyle name="Vírgula 3 2 3 2 3 2 2" xfId="52589"/>
    <cellStyle name="Vírgula 3 2 3 2 3 3" xfId="21608"/>
    <cellStyle name="Vírgula 3 2 3 2 3 3 2" xfId="46675"/>
    <cellStyle name="Vírgula 3 2 3 2 3 4" xfId="15694"/>
    <cellStyle name="Vírgula 3 2 3 2 3 4 2" xfId="40761"/>
    <cellStyle name="Vírgula 3 2 3 2 3 5" xfId="34853"/>
    <cellStyle name="Vírgula 3 2 3 2 4" xfId="5956"/>
    <cellStyle name="Vírgula 3 2 3 2 4 2" xfId="24565"/>
    <cellStyle name="Vírgula 3 2 3 2 4 2 2" xfId="49632"/>
    <cellStyle name="Vírgula 3 2 3 2 4 3" xfId="31896"/>
    <cellStyle name="Vírgula 3 2 3 2 5" xfId="18651"/>
    <cellStyle name="Vírgula 3 2 3 2 5 2" xfId="43718"/>
    <cellStyle name="Vírgula 3 2 3 2 6" xfId="12344"/>
    <cellStyle name="Vírgula 3 2 3 2 6 2" xfId="37807"/>
    <cellStyle name="Vírgula 3 2 3 2 7" xfId="30426"/>
    <cellStyle name="Vírgula 3 2 3 3" xfId="4332"/>
    <cellStyle name="Vírgula 3 2 3 3 2" xfId="7733"/>
    <cellStyle name="Vírgula 3 2 3 3 2 2" xfId="10819"/>
    <cellStyle name="Vírgula 3 2 3 3 2 2 2" xfId="29033"/>
    <cellStyle name="Vírgula 3 2 3 3 2 2 2 2" xfId="54100"/>
    <cellStyle name="Vírgula 3 2 3 3 2 2 3" xfId="23119"/>
    <cellStyle name="Vírgula 3 2 3 3 2 2 3 2" xfId="48186"/>
    <cellStyle name="Vírgula 3 2 3 3 2 2 4" xfId="17205"/>
    <cellStyle name="Vírgula 3 2 3 3 2 2 4 2" xfId="42272"/>
    <cellStyle name="Vírgula 3 2 3 3 2 2 5" xfId="36364"/>
    <cellStyle name="Vírgula 3 2 3 3 2 3" xfId="26076"/>
    <cellStyle name="Vírgula 3 2 3 3 2 3 2" xfId="51143"/>
    <cellStyle name="Vírgula 3 2 3 3 2 4" xfId="20162"/>
    <cellStyle name="Vírgula 3 2 3 3 2 4 2" xfId="45229"/>
    <cellStyle name="Vírgula 3 2 3 3 2 5" xfId="14122"/>
    <cellStyle name="Vírgula 3 2 3 3 2 5 2" xfId="39318"/>
    <cellStyle name="Vírgula 3 2 3 3 2 6" xfId="33407"/>
    <cellStyle name="Vírgula 3 2 3 3 3" xfId="9351"/>
    <cellStyle name="Vírgula 3 2 3 3 3 2" xfId="27565"/>
    <cellStyle name="Vírgula 3 2 3 3 3 2 2" xfId="52632"/>
    <cellStyle name="Vírgula 3 2 3 3 3 3" xfId="21651"/>
    <cellStyle name="Vírgula 3 2 3 3 3 3 2" xfId="46718"/>
    <cellStyle name="Vírgula 3 2 3 3 3 4" xfId="15737"/>
    <cellStyle name="Vírgula 3 2 3 3 3 4 2" xfId="40804"/>
    <cellStyle name="Vírgula 3 2 3 3 3 5" xfId="34896"/>
    <cellStyle name="Vírgula 3 2 3 3 4" xfId="6033"/>
    <cellStyle name="Vírgula 3 2 3 3 4 2" xfId="24608"/>
    <cellStyle name="Vírgula 3 2 3 3 4 2 2" xfId="49675"/>
    <cellStyle name="Vírgula 3 2 3 3 4 3" xfId="31939"/>
    <cellStyle name="Vírgula 3 2 3 3 5" xfId="18694"/>
    <cellStyle name="Vírgula 3 2 3 3 5 2" xfId="43761"/>
    <cellStyle name="Vírgula 3 2 3 3 6" xfId="12421"/>
    <cellStyle name="Vírgula 3 2 3 3 6 2" xfId="37850"/>
    <cellStyle name="Vírgula 3 2 3 3 7" xfId="30469"/>
    <cellStyle name="Vírgula 3 2 3 4" xfId="4440"/>
    <cellStyle name="Vírgula 3 2 3 4 2" xfId="7842"/>
    <cellStyle name="Vírgula 3 2 3 4 2 2" xfId="10881"/>
    <cellStyle name="Vírgula 3 2 3 4 2 2 2" xfId="29095"/>
    <cellStyle name="Vírgula 3 2 3 4 2 2 2 2" xfId="54162"/>
    <cellStyle name="Vírgula 3 2 3 4 2 2 3" xfId="23181"/>
    <cellStyle name="Vírgula 3 2 3 4 2 2 3 2" xfId="48248"/>
    <cellStyle name="Vírgula 3 2 3 4 2 2 4" xfId="17267"/>
    <cellStyle name="Vírgula 3 2 3 4 2 2 4 2" xfId="42334"/>
    <cellStyle name="Vírgula 3 2 3 4 2 2 5" xfId="36426"/>
    <cellStyle name="Vírgula 3 2 3 4 2 3" xfId="26138"/>
    <cellStyle name="Vírgula 3 2 3 4 2 3 2" xfId="51205"/>
    <cellStyle name="Vírgula 3 2 3 4 2 4" xfId="20224"/>
    <cellStyle name="Vírgula 3 2 3 4 2 4 2" xfId="45291"/>
    <cellStyle name="Vírgula 3 2 3 4 2 5" xfId="14231"/>
    <cellStyle name="Vírgula 3 2 3 4 2 5 2" xfId="39380"/>
    <cellStyle name="Vírgula 3 2 3 4 2 6" xfId="33469"/>
    <cellStyle name="Vírgula 3 2 3 4 3" xfId="9413"/>
    <cellStyle name="Vírgula 3 2 3 4 3 2" xfId="27627"/>
    <cellStyle name="Vírgula 3 2 3 4 3 2 2" xfId="52694"/>
    <cellStyle name="Vírgula 3 2 3 4 3 3" xfId="21713"/>
    <cellStyle name="Vírgula 3 2 3 4 3 3 2" xfId="46780"/>
    <cellStyle name="Vírgula 3 2 3 4 3 4" xfId="15799"/>
    <cellStyle name="Vírgula 3 2 3 4 3 4 2" xfId="40866"/>
    <cellStyle name="Vírgula 3 2 3 4 3 5" xfId="34958"/>
    <cellStyle name="Vírgula 3 2 3 4 4" xfId="6142"/>
    <cellStyle name="Vírgula 3 2 3 4 4 2" xfId="24670"/>
    <cellStyle name="Vírgula 3 2 3 4 4 2 2" xfId="49737"/>
    <cellStyle name="Vírgula 3 2 3 4 4 3" xfId="32001"/>
    <cellStyle name="Vírgula 3 2 3 4 5" xfId="18756"/>
    <cellStyle name="Vírgula 3 2 3 4 5 2" xfId="43823"/>
    <cellStyle name="Vírgula 3 2 3 4 6" xfId="12530"/>
    <cellStyle name="Vírgula 3 2 3 4 6 2" xfId="37912"/>
    <cellStyle name="Vírgula 3 2 3 4 7" xfId="30531"/>
    <cellStyle name="Vírgula 3 2 3 5" xfId="4548"/>
    <cellStyle name="Vírgula 3 2 3 5 2" xfId="7950"/>
    <cellStyle name="Vírgula 3 2 3 5 2 2" xfId="10943"/>
    <cellStyle name="Vírgula 3 2 3 5 2 2 2" xfId="29157"/>
    <cellStyle name="Vírgula 3 2 3 5 2 2 2 2" xfId="54224"/>
    <cellStyle name="Vírgula 3 2 3 5 2 2 3" xfId="23243"/>
    <cellStyle name="Vírgula 3 2 3 5 2 2 3 2" xfId="48310"/>
    <cellStyle name="Vírgula 3 2 3 5 2 2 4" xfId="17329"/>
    <cellStyle name="Vírgula 3 2 3 5 2 2 4 2" xfId="42396"/>
    <cellStyle name="Vírgula 3 2 3 5 2 2 5" xfId="36488"/>
    <cellStyle name="Vírgula 3 2 3 5 2 3" xfId="26200"/>
    <cellStyle name="Vírgula 3 2 3 5 2 3 2" xfId="51267"/>
    <cellStyle name="Vírgula 3 2 3 5 2 4" xfId="20286"/>
    <cellStyle name="Vírgula 3 2 3 5 2 4 2" xfId="45353"/>
    <cellStyle name="Vírgula 3 2 3 5 2 5" xfId="14339"/>
    <cellStyle name="Vírgula 3 2 3 5 2 5 2" xfId="39442"/>
    <cellStyle name="Vírgula 3 2 3 5 2 6" xfId="33531"/>
    <cellStyle name="Vírgula 3 2 3 5 3" xfId="9475"/>
    <cellStyle name="Vírgula 3 2 3 5 3 2" xfId="27689"/>
    <cellStyle name="Vírgula 3 2 3 5 3 2 2" xfId="52756"/>
    <cellStyle name="Vírgula 3 2 3 5 3 3" xfId="21775"/>
    <cellStyle name="Vírgula 3 2 3 5 3 3 2" xfId="46842"/>
    <cellStyle name="Vírgula 3 2 3 5 3 4" xfId="15861"/>
    <cellStyle name="Vírgula 3 2 3 5 3 4 2" xfId="40928"/>
    <cellStyle name="Vírgula 3 2 3 5 3 5" xfId="35020"/>
    <cellStyle name="Vírgula 3 2 3 5 4" xfId="6249"/>
    <cellStyle name="Vírgula 3 2 3 5 4 2" xfId="24732"/>
    <cellStyle name="Vírgula 3 2 3 5 4 2 2" xfId="49799"/>
    <cellStyle name="Vírgula 3 2 3 5 4 3" xfId="32063"/>
    <cellStyle name="Vírgula 3 2 3 5 5" xfId="18818"/>
    <cellStyle name="Vírgula 3 2 3 5 5 2" xfId="43885"/>
    <cellStyle name="Vírgula 3 2 3 5 6" xfId="12638"/>
    <cellStyle name="Vírgula 3 2 3 5 6 2" xfId="37974"/>
    <cellStyle name="Vírgula 3 2 3 5 7" xfId="30593"/>
    <cellStyle name="Vírgula 3 2 3 6" xfId="5414"/>
    <cellStyle name="Vírgula 3 2 3 6 2" xfId="7113"/>
    <cellStyle name="Vírgula 3 2 3 6 2 2" xfId="10257"/>
    <cellStyle name="Vírgula 3 2 3 6 2 2 2" xfId="28471"/>
    <cellStyle name="Vírgula 3 2 3 6 2 2 2 2" xfId="53538"/>
    <cellStyle name="Vírgula 3 2 3 6 2 2 3" xfId="22557"/>
    <cellStyle name="Vírgula 3 2 3 6 2 2 3 2" xfId="47624"/>
    <cellStyle name="Vírgula 3 2 3 6 2 2 4" xfId="16643"/>
    <cellStyle name="Vírgula 3 2 3 6 2 2 4 2" xfId="41710"/>
    <cellStyle name="Vírgula 3 2 3 6 2 2 5" xfId="35802"/>
    <cellStyle name="Vírgula 3 2 3 6 2 3" xfId="25514"/>
    <cellStyle name="Vírgula 3 2 3 6 2 3 2" xfId="50581"/>
    <cellStyle name="Vírgula 3 2 3 6 2 4" xfId="19600"/>
    <cellStyle name="Vírgula 3 2 3 6 2 4 2" xfId="44667"/>
    <cellStyle name="Vírgula 3 2 3 6 2 5" xfId="13502"/>
    <cellStyle name="Vírgula 3 2 3 6 2 5 2" xfId="38756"/>
    <cellStyle name="Vírgula 3 2 3 6 2 6" xfId="32845"/>
    <cellStyle name="Vírgula 3 2 3 6 3" xfId="8789"/>
    <cellStyle name="Vírgula 3 2 3 6 3 2" xfId="27003"/>
    <cellStyle name="Vírgula 3 2 3 6 3 2 2" xfId="52070"/>
    <cellStyle name="Vírgula 3 2 3 6 3 3" xfId="21089"/>
    <cellStyle name="Vírgula 3 2 3 6 3 3 2" xfId="46156"/>
    <cellStyle name="Vírgula 3 2 3 6 3 4" xfId="15175"/>
    <cellStyle name="Vírgula 3 2 3 6 3 4 2" xfId="40242"/>
    <cellStyle name="Vírgula 3 2 3 6 3 5" xfId="34334"/>
    <cellStyle name="Vírgula 3 2 3 6 4" xfId="24046"/>
    <cellStyle name="Vírgula 3 2 3 6 4 2" xfId="49113"/>
    <cellStyle name="Vírgula 3 2 3 6 5" xfId="18132"/>
    <cellStyle name="Vírgula 3 2 3 6 5 2" xfId="43199"/>
    <cellStyle name="Vírgula 3 2 3 6 6" xfId="11801"/>
    <cellStyle name="Vírgula 3 2 3 6 6 2" xfId="37288"/>
    <cellStyle name="Vírgula 3 2 3 6 7" xfId="31377"/>
    <cellStyle name="Vírgula 3 2 3 7" xfId="6358"/>
    <cellStyle name="Vírgula 3 2 3 7 2" xfId="9537"/>
    <cellStyle name="Vírgula 3 2 3 7 2 2" xfId="27751"/>
    <cellStyle name="Vírgula 3 2 3 7 2 2 2" xfId="52818"/>
    <cellStyle name="Vírgula 3 2 3 7 2 3" xfId="21837"/>
    <cellStyle name="Vírgula 3 2 3 7 2 3 2" xfId="46904"/>
    <cellStyle name="Vírgula 3 2 3 7 2 4" xfId="15923"/>
    <cellStyle name="Vírgula 3 2 3 7 2 4 2" xfId="40990"/>
    <cellStyle name="Vírgula 3 2 3 7 2 5" xfId="35082"/>
    <cellStyle name="Vírgula 3 2 3 7 3" xfId="24794"/>
    <cellStyle name="Vírgula 3 2 3 7 3 2" xfId="49861"/>
    <cellStyle name="Vírgula 3 2 3 7 4" xfId="18880"/>
    <cellStyle name="Vírgula 3 2 3 7 4 2" xfId="43947"/>
    <cellStyle name="Vírgula 3 2 3 7 5" xfId="12747"/>
    <cellStyle name="Vírgula 3 2 3 7 5 2" xfId="38036"/>
    <cellStyle name="Vírgula 3 2 3 7 6" xfId="32125"/>
    <cellStyle name="Vírgula 3 2 3 8" xfId="8066"/>
    <cellStyle name="Vírgula 3 2 3 8 2" xfId="26280"/>
    <cellStyle name="Vírgula 3 2 3 8 2 2" xfId="51347"/>
    <cellStyle name="Vírgula 3 2 3 8 3" xfId="20366"/>
    <cellStyle name="Vírgula 3 2 3 8 3 2" xfId="45433"/>
    <cellStyle name="Vírgula 3 2 3 8 4" xfId="14455"/>
    <cellStyle name="Vírgula 3 2 3 8 4 2" xfId="39522"/>
    <cellStyle name="Vírgula 3 2 3 8 5" xfId="33611"/>
    <cellStyle name="Vírgula 3 2 3 9" xfId="4655"/>
    <cellStyle name="Vírgula 3 2 3 9 2" xfId="23323"/>
    <cellStyle name="Vírgula 3 2 3 9 2 2" xfId="48390"/>
    <cellStyle name="Vírgula 3 2 3 9 3" xfId="30655"/>
    <cellStyle name="Vírgula 3 2 4" xfId="2971"/>
    <cellStyle name="Vírgula 3 2 4 10" xfId="11078"/>
    <cellStyle name="Vírgula 3 2 4 10 2" xfId="36587"/>
    <cellStyle name="Vírgula 3 2 4 11" xfId="30054"/>
    <cellStyle name="Vírgula 3 2 4 2" xfId="4364"/>
    <cellStyle name="Vírgula 3 2 4 2 2" xfId="7765"/>
    <cellStyle name="Vírgula 3 2 4 2 2 2" xfId="10838"/>
    <cellStyle name="Vírgula 3 2 4 2 2 2 2" xfId="29052"/>
    <cellStyle name="Vírgula 3 2 4 2 2 2 2 2" xfId="54119"/>
    <cellStyle name="Vírgula 3 2 4 2 2 2 3" xfId="23138"/>
    <cellStyle name="Vírgula 3 2 4 2 2 2 3 2" xfId="48205"/>
    <cellStyle name="Vírgula 3 2 4 2 2 2 4" xfId="17224"/>
    <cellStyle name="Vírgula 3 2 4 2 2 2 4 2" xfId="42291"/>
    <cellStyle name="Vírgula 3 2 4 2 2 2 5" xfId="36383"/>
    <cellStyle name="Vírgula 3 2 4 2 2 3" xfId="26095"/>
    <cellStyle name="Vírgula 3 2 4 2 2 3 2" xfId="51162"/>
    <cellStyle name="Vírgula 3 2 4 2 2 4" xfId="20181"/>
    <cellStyle name="Vírgula 3 2 4 2 2 4 2" xfId="45248"/>
    <cellStyle name="Vírgula 3 2 4 2 2 5" xfId="14154"/>
    <cellStyle name="Vírgula 3 2 4 2 2 5 2" xfId="39337"/>
    <cellStyle name="Vírgula 3 2 4 2 2 6" xfId="33426"/>
    <cellStyle name="Vírgula 3 2 4 2 3" xfId="9370"/>
    <cellStyle name="Vírgula 3 2 4 2 3 2" xfId="27584"/>
    <cellStyle name="Vírgula 3 2 4 2 3 2 2" xfId="52651"/>
    <cellStyle name="Vírgula 3 2 4 2 3 3" xfId="21670"/>
    <cellStyle name="Vírgula 3 2 4 2 3 3 2" xfId="46737"/>
    <cellStyle name="Vírgula 3 2 4 2 3 4" xfId="15756"/>
    <cellStyle name="Vírgula 3 2 4 2 3 4 2" xfId="40823"/>
    <cellStyle name="Vírgula 3 2 4 2 3 5" xfId="34915"/>
    <cellStyle name="Vírgula 3 2 4 2 4" xfId="6065"/>
    <cellStyle name="Vírgula 3 2 4 2 4 2" xfId="24627"/>
    <cellStyle name="Vírgula 3 2 4 2 4 2 2" xfId="49694"/>
    <cellStyle name="Vírgula 3 2 4 2 4 3" xfId="31958"/>
    <cellStyle name="Vírgula 3 2 4 2 5" xfId="18713"/>
    <cellStyle name="Vírgula 3 2 4 2 5 2" xfId="43780"/>
    <cellStyle name="Vírgula 3 2 4 2 6" xfId="12453"/>
    <cellStyle name="Vírgula 3 2 4 2 6 2" xfId="37869"/>
    <cellStyle name="Vírgula 3 2 4 2 7" xfId="30488"/>
    <cellStyle name="Vírgula 3 2 4 3" xfId="4472"/>
    <cellStyle name="Vírgula 3 2 4 3 2" xfId="7874"/>
    <cellStyle name="Vírgula 3 2 4 3 2 2" xfId="10900"/>
    <cellStyle name="Vírgula 3 2 4 3 2 2 2" xfId="29114"/>
    <cellStyle name="Vírgula 3 2 4 3 2 2 2 2" xfId="54181"/>
    <cellStyle name="Vírgula 3 2 4 3 2 2 3" xfId="23200"/>
    <cellStyle name="Vírgula 3 2 4 3 2 2 3 2" xfId="48267"/>
    <cellStyle name="Vírgula 3 2 4 3 2 2 4" xfId="17286"/>
    <cellStyle name="Vírgula 3 2 4 3 2 2 4 2" xfId="42353"/>
    <cellStyle name="Vírgula 3 2 4 3 2 2 5" xfId="36445"/>
    <cellStyle name="Vírgula 3 2 4 3 2 3" xfId="26157"/>
    <cellStyle name="Vírgula 3 2 4 3 2 3 2" xfId="51224"/>
    <cellStyle name="Vírgula 3 2 4 3 2 4" xfId="20243"/>
    <cellStyle name="Vírgula 3 2 4 3 2 4 2" xfId="45310"/>
    <cellStyle name="Vírgula 3 2 4 3 2 5" xfId="14263"/>
    <cellStyle name="Vírgula 3 2 4 3 2 5 2" xfId="39399"/>
    <cellStyle name="Vírgula 3 2 4 3 2 6" xfId="33488"/>
    <cellStyle name="Vírgula 3 2 4 3 3" xfId="9432"/>
    <cellStyle name="Vírgula 3 2 4 3 3 2" xfId="27646"/>
    <cellStyle name="Vírgula 3 2 4 3 3 2 2" xfId="52713"/>
    <cellStyle name="Vírgula 3 2 4 3 3 3" xfId="21732"/>
    <cellStyle name="Vírgula 3 2 4 3 3 3 2" xfId="46799"/>
    <cellStyle name="Vírgula 3 2 4 3 3 4" xfId="15818"/>
    <cellStyle name="Vírgula 3 2 4 3 3 4 2" xfId="40885"/>
    <cellStyle name="Vírgula 3 2 4 3 3 5" xfId="34977"/>
    <cellStyle name="Vírgula 3 2 4 3 4" xfId="6173"/>
    <cellStyle name="Vírgula 3 2 4 3 4 2" xfId="24689"/>
    <cellStyle name="Vírgula 3 2 4 3 4 2 2" xfId="49756"/>
    <cellStyle name="Vírgula 3 2 4 3 4 3" xfId="32020"/>
    <cellStyle name="Vírgula 3 2 4 3 5" xfId="18775"/>
    <cellStyle name="Vírgula 3 2 4 3 5 2" xfId="43842"/>
    <cellStyle name="Vírgula 3 2 4 3 6" xfId="12562"/>
    <cellStyle name="Vírgula 3 2 4 3 6 2" xfId="37931"/>
    <cellStyle name="Vírgula 3 2 4 3 7" xfId="30550"/>
    <cellStyle name="Vírgula 3 2 4 4" xfId="4580"/>
    <cellStyle name="Vírgula 3 2 4 4 2" xfId="7982"/>
    <cellStyle name="Vírgula 3 2 4 4 2 2" xfId="10962"/>
    <cellStyle name="Vírgula 3 2 4 4 2 2 2" xfId="29176"/>
    <cellStyle name="Vírgula 3 2 4 4 2 2 2 2" xfId="54243"/>
    <cellStyle name="Vírgula 3 2 4 4 2 2 3" xfId="23262"/>
    <cellStyle name="Vírgula 3 2 4 4 2 2 3 2" xfId="48329"/>
    <cellStyle name="Vírgula 3 2 4 4 2 2 4" xfId="17348"/>
    <cellStyle name="Vírgula 3 2 4 4 2 2 4 2" xfId="42415"/>
    <cellStyle name="Vírgula 3 2 4 4 2 2 5" xfId="36507"/>
    <cellStyle name="Vírgula 3 2 4 4 2 3" xfId="26219"/>
    <cellStyle name="Vírgula 3 2 4 4 2 3 2" xfId="51286"/>
    <cellStyle name="Vírgula 3 2 4 4 2 4" xfId="20305"/>
    <cellStyle name="Vírgula 3 2 4 4 2 4 2" xfId="45372"/>
    <cellStyle name="Vírgula 3 2 4 4 2 5" xfId="14371"/>
    <cellStyle name="Vírgula 3 2 4 4 2 5 2" xfId="39461"/>
    <cellStyle name="Vírgula 3 2 4 4 2 6" xfId="33550"/>
    <cellStyle name="Vírgula 3 2 4 4 3" xfId="9494"/>
    <cellStyle name="Vírgula 3 2 4 4 3 2" xfId="27708"/>
    <cellStyle name="Vírgula 3 2 4 4 3 2 2" xfId="52775"/>
    <cellStyle name="Vírgula 3 2 4 4 3 3" xfId="21794"/>
    <cellStyle name="Vírgula 3 2 4 4 3 3 2" xfId="46861"/>
    <cellStyle name="Vírgula 3 2 4 4 3 4" xfId="15880"/>
    <cellStyle name="Vírgula 3 2 4 4 3 4 2" xfId="40947"/>
    <cellStyle name="Vírgula 3 2 4 4 3 5" xfId="35039"/>
    <cellStyle name="Vírgula 3 2 4 4 4" xfId="6281"/>
    <cellStyle name="Vírgula 3 2 4 4 4 2" xfId="24751"/>
    <cellStyle name="Vírgula 3 2 4 4 4 2 2" xfId="49818"/>
    <cellStyle name="Vírgula 3 2 4 4 4 3" xfId="32082"/>
    <cellStyle name="Vírgula 3 2 4 4 5" xfId="18837"/>
    <cellStyle name="Vírgula 3 2 4 4 5 2" xfId="43904"/>
    <cellStyle name="Vírgula 3 2 4 4 6" xfId="12670"/>
    <cellStyle name="Vírgula 3 2 4 4 6 2" xfId="37993"/>
    <cellStyle name="Vírgula 3 2 4 4 7" xfId="30612"/>
    <cellStyle name="Vírgula 3 2 4 5" xfId="5561"/>
    <cellStyle name="Vírgula 3 2 4 5 2" xfId="7260"/>
    <cellStyle name="Vírgula 3 2 4 5 2 2" xfId="10404"/>
    <cellStyle name="Vírgula 3 2 4 5 2 2 2" xfId="28618"/>
    <cellStyle name="Vírgula 3 2 4 5 2 2 2 2" xfId="53685"/>
    <cellStyle name="Vírgula 3 2 4 5 2 2 3" xfId="22704"/>
    <cellStyle name="Vírgula 3 2 4 5 2 2 3 2" xfId="47771"/>
    <cellStyle name="Vírgula 3 2 4 5 2 2 4" xfId="16790"/>
    <cellStyle name="Vírgula 3 2 4 5 2 2 4 2" xfId="41857"/>
    <cellStyle name="Vírgula 3 2 4 5 2 2 5" xfId="35949"/>
    <cellStyle name="Vírgula 3 2 4 5 2 3" xfId="25661"/>
    <cellStyle name="Vírgula 3 2 4 5 2 3 2" xfId="50728"/>
    <cellStyle name="Vírgula 3 2 4 5 2 4" xfId="19747"/>
    <cellStyle name="Vírgula 3 2 4 5 2 4 2" xfId="44814"/>
    <cellStyle name="Vírgula 3 2 4 5 2 5" xfId="13649"/>
    <cellStyle name="Vírgula 3 2 4 5 2 5 2" xfId="38903"/>
    <cellStyle name="Vírgula 3 2 4 5 2 6" xfId="32992"/>
    <cellStyle name="Vírgula 3 2 4 5 3" xfId="8936"/>
    <cellStyle name="Vírgula 3 2 4 5 3 2" xfId="27150"/>
    <cellStyle name="Vírgula 3 2 4 5 3 2 2" xfId="52217"/>
    <cellStyle name="Vírgula 3 2 4 5 3 3" xfId="21236"/>
    <cellStyle name="Vírgula 3 2 4 5 3 3 2" xfId="46303"/>
    <cellStyle name="Vírgula 3 2 4 5 3 4" xfId="15322"/>
    <cellStyle name="Vírgula 3 2 4 5 3 4 2" xfId="40389"/>
    <cellStyle name="Vírgula 3 2 4 5 3 5" xfId="34481"/>
    <cellStyle name="Vírgula 3 2 4 5 4" xfId="24193"/>
    <cellStyle name="Vírgula 3 2 4 5 4 2" xfId="49260"/>
    <cellStyle name="Vírgula 3 2 4 5 5" xfId="18279"/>
    <cellStyle name="Vírgula 3 2 4 5 5 2" xfId="43346"/>
    <cellStyle name="Vírgula 3 2 4 5 6" xfId="11948"/>
    <cellStyle name="Vírgula 3 2 4 5 6 2" xfId="37435"/>
    <cellStyle name="Vírgula 3 2 4 5 7" xfId="31524"/>
    <cellStyle name="Vírgula 3 2 4 6" xfId="6390"/>
    <cellStyle name="Vírgula 3 2 4 6 2" xfId="9556"/>
    <cellStyle name="Vírgula 3 2 4 6 2 2" xfId="27770"/>
    <cellStyle name="Vírgula 3 2 4 6 2 2 2" xfId="52837"/>
    <cellStyle name="Vírgula 3 2 4 6 2 3" xfId="21856"/>
    <cellStyle name="Vírgula 3 2 4 6 2 3 2" xfId="46923"/>
    <cellStyle name="Vírgula 3 2 4 6 2 4" xfId="15942"/>
    <cellStyle name="Vírgula 3 2 4 6 2 4 2" xfId="41009"/>
    <cellStyle name="Vírgula 3 2 4 6 2 5" xfId="35101"/>
    <cellStyle name="Vírgula 3 2 4 6 3" xfId="24813"/>
    <cellStyle name="Vírgula 3 2 4 6 3 2" xfId="49880"/>
    <cellStyle name="Vírgula 3 2 4 6 4" xfId="18899"/>
    <cellStyle name="Vírgula 3 2 4 6 4 2" xfId="43966"/>
    <cellStyle name="Vírgula 3 2 4 6 5" xfId="12779"/>
    <cellStyle name="Vírgula 3 2 4 6 5 2" xfId="38055"/>
    <cellStyle name="Vírgula 3 2 4 6 6" xfId="32144"/>
    <cellStyle name="Vírgula 3 2 4 7" xfId="8085"/>
    <cellStyle name="Vírgula 3 2 4 7 2" xfId="26299"/>
    <cellStyle name="Vírgula 3 2 4 7 2 2" xfId="51366"/>
    <cellStyle name="Vírgula 3 2 4 7 3" xfId="20385"/>
    <cellStyle name="Vírgula 3 2 4 7 3 2" xfId="45452"/>
    <cellStyle name="Vírgula 3 2 4 7 4" xfId="14474"/>
    <cellStyle name="Vírgula 3 2 4 7 4 2" xfId="39541"/>
    <cellStyle name="Vírgula 3 2 4 7 5" xfId="33630"/>
    <cellStyle name="Vírgula 3 2 4 8" xfId="4687"/>
    <cellStyle name="Vírgula 3 2 4 8 2" xfId="23342"/>
    <cellStyle name="Vírgula 3 2 4 8 2 2" xfId="48409"/>
    <cellStyle name="Vírgula 3 2 4 8 3" xfId="30674"/>
    <cellStyle name="Vírgula 3 2 4 9" xfId="17428"/>
    <cellStyle name="Vírgula 3 2 4 9 2" xfId="42495"/>
    <cellStyle name="Vírgula 3 2 5" xfId="3498"/>
    <cellStyle name="Vírgula 3 2 5 2" xfId="7407"/>
    <cellStyle name="Vírgula 3 2 5 2 2" xfId="10551"/>
    <cellStyle name="Vírgula 3 2 5 2 2 2" xfId="28765"/>
    <cellStyle name="Vírgula 3 2 5 2 2 2 2" xfId="53832"/>
    <cellStyle name="Vírgula 3 2 5 2 2 3" xfId="22851"/>
    <cellStyle name="Vírgula 3 2 5 2 2 3 2" xfId="47918"/>
    <cellStyle name="Vírgula 3 2 5 2 2 4" xfId="16937"/>
    <cellStyle name="Vírgula 3 2 5 2 2 4 2" xfId="42004"/>
    <cellStyle name="Vírgula 3 2 5 2 2 5" xfId="36096"/>
    <cellStyle name="Vírgula 3 2 5 2 3" xfId="25808"/>
    <cellStyle name="Vírgula 3 2 5 2 3 2" xfId="50875"/>
    <cellStyle name="Vírgula 3 2 5 2 4" xfId="19894"/>
    <cellStyle name="Vírgula 3 2 5 2 4 2" xfId="44961"/>
    <cellStyle name="Vírgula 3 2 5 2 5" xfId="13796"/>
    <cellStyle name="Vírgula 3 2 5 2 5 2" xfId="39050"/>
    <cellStyle name="Vírgula 3 2 5 2 6" xfId="33139"/>
    <cellStyle name="Vírgula 3 2 5 3" xfId="9083"/>
    <cellStyle name="Vírgula 3 2 5 3 2" xfId="27297"/>
    <cellStyle name="Vírgula 3 2 5 3 2 2" xfId="52364"/>
    <cellStyle name="Vírgula 3 2 5 3 3" xfId="21383"/>
    <cellStyle name="Vírgula 3 2 5 3 3 2" xfId="46450"/>
    <cellStyle name="Vírgula 3 2 5 3 4" xfId="15469"/>
    <cellStyle name="Vírgula 3 2 5 3 4 2" xfId="40536"/>
    <cellStyle name="Vírgula 3 2 5 3 5" xfId="34628"/>
    <cellStyle name="Vírgula 3 2 5 4" xfId="5708"/>
    <cellStyle name="Vírgula 3 2 5 4 2" xfId="24340"/>
    <cellStyle name="Vírgula 3 2 5 4 2 2" xfId="49407"/>
    <cellStyle name="Vírgula 3 2 5 4 3" xfId="31671"/>
    <cellStyle name="Vírgula 3 2 5 5" xfId="18426"/>
    <cellStyle name="Vírgula 3 2 5 5 2" xfId="43493"/>
    <cellStyle name="Vírgula 3 2 5 6" xfId="12095"/>
    <cellStyle name="Vírgula 3 2 5 6 2" xfId="37582"/>
    <cellStyle name="Vírgula 3 2 5 7" xfId="30201"/>
    <cellStyle name="Vírgula 3 2 6" xfId="4025"/>
    <cellStyle name="Vírgula 3 2 6 2" xfId="7554"/>
    <cellStyle name="Vírgula 3 2 6 2 2" xfId="10698"/>
    <cellStyle name="Vírgula 3 2 6 2 2 2" xfId="28912"/>
    <cellStyle name="Vírgula 3 2 6 2 2 2 2" xfId="53979"/>
    <cellStyle name="Vírgula 3 2 6 2 2 3" xfId="22998"/>
    <cellStyle name="Vírgula 3 2 6 2 2 3 2" xfId="48065"/>
    <cellStyle name="Vírgula 3 2 6 2 2 4" xfId="17084"/>
    <cellStyle name="Vírgula 3 2 6 2 2 4 2" xfId="42151"/>
    <cellStyle name="Vírgula 3 2 6 2 2 5" xfId="36243"/>
    <cellStyle name="Vírgula 3 2 6 2 3" xfId="25955"/>
    <cellStyle name="Vírgula 3 2 6 2 3 2" xfId="51022"/>
    <cellStyle name="Vírgula 3 2 6 2 4" xfId="20041"/>
    <cellStyle name="Vírgula 3 2 6 2 4 2" xfId="45108"/>
    <cellStyle name="Vírgula 3 2 6 2 5" xfId="13943"/>
    <cellStyle name="Vírgula 3 2 6 2 5 2" xfId="39197"/>
    <cellStyle name="Vírgula 3 2 6 2 6" xfId="33286"/>
    <cellStyle name="Vírgula 3 2 6 3" xfId="9230"/>
    <cellStyle name="Vírgula 3 2 6 3 2" xfId="27444"/>
    <cellStyle name="Vírgula 3 2 6 3 2 2" xfId="52511"/>
    <cellStyle name="Vírgula 3 2 6 3 3" xfId="21530"/>
    <cellStyle name="Vírgula 3 2 6 3 3 2" xfId="46597"/>
    <cellStyle name="Vírgula 3 2 6 3 4" xfId="15616"/>
    <cellStyle name="Vírgula 3 2 6 3 4 2" xfId="40683"/>
    <cellStyle name="Vírgula 3 2 6 3 5" xfId="34775"/>
    <cellStyle name="Vírgula 3 2 6 4" xfId="5855"/>
    <cellStyle name="Vírgula 3 2 6 4 2" xfId="24487"/>
    <cellStyle name="Vírgula 3 2 6 4 2 2" xfId="49554"/>
    <cellStyle name="Vírgula 3 2 6 4 3" xfId="31818"/>
    <cellStyle name="Vírgula 3 2 6 5" xfId="18573"/>
    <cellStyle name="Vírgula 3 2 6 5 2" xfId="43640"/>
    <cellStyle name="Vírgula 3 2 6 6" xfId="12242"/>
    <cellStyle name="Vírgula 3 2 6 6 2" xfId="37729"/>
    <cellStyle name="Vírgula 3 2 6 7" xfId="30348"/>
    <cellStyle name="Vírgula 3 2 7" xfId="4220"/>
    <cellStyle name="Vírgula 3 2 7 2" xfId="7620"/>
    <cellStyle name="Vírgula 3 2 7 2 2" xfId="10756"/>
    <cellStyle name="Vírgula 3 2 7 2 2 2" xfId="28970"/>
    <cellStyle name="Vírgula 3 2 7 2 2 2 2" xfId="54037"/>
    <cellStyle name="Vírgula 3 2 7 2 2 3" xfId="23056"/>
    <cellStyle name="Vírgula 3 2 7 2 2 3 2" xfId="48123"/>
    <cellStyle name="Vírgula 3 2 7 2 2 4" xfId="17142"/>
    <cellStyle name="Vírgula 3 2 7 2 2 4 2" xfId="42209"/>
    <cellStyle name="Vírgula 3 2 7 2 2 5" xfId="36301"/>
    <cellStyle name="Vírgula 3 2 7 2 3" xfId="26013"/>
    <cellStyle name="Vírgula 3 2 7 2 3 2" xfId="51080"/>
    <cellStyle name="Vírgula 3 2 7 2 4" xfId="20099"/>
    <cellStyle name="Vírgula 3 2 7 2 4 2" xfId="45166"/>
    <cellStyle name="Vírgula 3 2 7 2 5" xfId="14009"/>
    <cellStyle name="Vírgula 3 2 7 2 5 2" xfId="39255"/>
    <cellStyle name="Vírgula 3 2 7 2 6" xfId="33344"/>
    <cellStyle name="Vírgula 3 2 7 3" xfId="9288"/>
    <cellStyle name="Vírgula 3 2 7 3 2" xfId="27502"/>
    <cellStyle name="Vírgula 3 2 7 3 2 2" xfId="52569"/>
    <cellStyle name="Vírgula 3 2 7 3 3" xfId="21588"/>
    <cellStyle name="Vírgula 3 2 7 3 3 2" xfId="46655"/>
    <cellStyle name="Vírgula 3 2 7 3 4" xfId="15674"/>
    <cellStyle name="Vírgula 3 2 7 3 4 2" xfId="40741"/>
    <cellStyle name="Vírgula 3 2 7 3 5" xfId="34833"/>
    <cellStyle name="Vírgula 3 2 7 4" xfId="5920"/>
    <cellStyle name="Vírgula 3 2 7 4 2" xfId="24545"/>
    <cellStyle name="Vírgula 3 2 7 4 2 2" xfId="49612"/>
    <cellStyle name="Vírgula 3 2 7 4 3" xfId="31876"/>
    <cellStyle name="Vírgula 3 2 7 5" xfId="18631"/>
    <cellStyle name="Vírgula 3 2 7 5 2" xfId="43698"/>
    <cellStyle name="Vírgula 3 2 7 6" xfId="12308"/>
    <cellStyle name="Vírgula 3 2 7 6 2" xfId="37787"/>
    <cellStyle name="Vírgula 3 2 7 7" xfId="30406"/>
    <cellStyle name="Vírgula 3 2 8" xfId="4296"/>
    <cellStyle name="Vírgula 3 2 8 2" xfId="7697"/>
    <cellStyle name="Vírgula 3 2 8 2 2" xfId="10799"/>
    <cellStyle name="Vírgula 3 2 8 2 2 2" xfId="29013"/>
    <cellStyle name="Vírgula 3 2 8 2 2 2 2" xfId="54080"/>
    <cellStyle name="Vírgula 3 2 8 2 2 3" xfId="23099"/>
    <cellStyle name="Vírgula 3 2 8 2 2 3 2" xfId="48166"/>
    <cellStyle name="Vírgula 3 2 8 2 2 4" xfId="17185"/>
    <cellStyle name="Vírgula 3 2 8 2 2 4 2" xfId="42252"/>
    <cellStyle name="Vírgula 3 2 8 2 2 5" xfId="36344"/>
    <cellStyle name="Vírgula 3 2 8 2 3" xfId="26056"/>
    <cellStyle name="Vírgula 3 2 8 2 3 2" xfId="51123"/>
    <cellStyle name="Vírgula 3 2 8 2 4" xfId="20142"/>
    <cellStyle name="Vírgula 3 2 8 2 4 2" xfId="45209"/>
    <cellStyle name="Vírgula 3 2 8 2 5" xfId="14086"/>
    <cellStyle name="Vírgula 3 2 8 2 5 2" xfId="39298"/>
    <cellStyle name="Vírgula 3 2 8 2 6" xfId="33387"/>
    <cellStyle name="Vírgula 3 2 8 3" xfId="9331"/>
    <cellStyle name="Vírgula 3 2 8 3 2" xfId="27545"/>
    <cellStyle name="Vírgula 3 2 8 3 2 2" xfId="52612"/>
    <cellStyle name="Vírgula 3 2 8 3 3" xfId="21631"/>
    <cellStyle name="Vírgula 3 2 8 3 3 2" xfId="46698"/>
    <cellStyle name="Vírgula 3 2 8 3 4" xfId="15717"/>
    <cellStyle name="Vírgula 3 2 8 3 4 2" xfId="40784"/>
    <cellStyle name="Vírgula 3 2 8 3 5" xfId="34876"/>
    <cellStyle name="Vírgula 3 2 8 4" xfId="5997"/>
    <cellStyle name="Vírgula 3 2 8 4 2" xfId="24588"/>
    <cellStyle name="Vírgula 3 2 8 4 2 2" xfId="49655"/>
    <cellStyle name="Vírgula 3 2 8 4 3" xfId="31919"/>
    <cellStyle name="Vírgula 3 2 8 5" xfId="18674"/>
    <cellStyle name="Vírgula 3 2 8 5 2" xfId="43741"/>
    <cellStyle name="Vírgula 3 2 8 6" xfId="12385"/>
    <cellStyle name="Vírgula 3 2 8 6 2" xfId="37830"/>
    <cellStyle name="Vírgula 3 2 8 7" xfId="30449"/>
    <cellStyle name="Vírgula 3 2 9" xfId="4404"/>
    <cellStyle name="Vírgula 3 2 9 2" xfId="7806"/>
    <cellStyle name="Vírgula 3 2 9 2 2" xfId="10861"/>
    <cellStyle name="Vírgula 3 2 9 2 2 2" xfId="29075"/>
    <cellStyle name="Vírgula 3 2 9 2 2 2 2" xfId="54142"/>
    <cellStyle name="Vírgula 3 2 9 2 2 3" xfId="23161"/>
    <cellStyle name="Vírgula 3 2 9 2 2 3 2" xfId="48228"/>
    <cellStyle name="Vírgula 3 2 9 2 2 4" xfId="17247"/>
    <cellStyle name="Vírgula 3 2 9 2 2 4 2" xfId="42314"/>
    <cellStyle name="Vírgula 3 2 9 2 2 5" xfId="36406"/>
    <cellStyle name="Vírgula 3 2 9 2 3" xfId="26118"/>
    <cellStyle name="Vírgula 3 2 9 2 3 2" xfId="51185"/>
    <cellStyle name="Vírgula 3 2 9 2 4" xfId="20204"/>
    <cellStyle name="Vírgula 3 2 9 2 4 2" xfId="45271"/>
    <cellStyle name="Vírgula 3 2 9 2 5" xfId="14195"/>
    <cellStyle name="Vírgula 3 2 9 2 5 2" xfId="39360"/>
    <cellStyle name="Vírgula 3 2 9 2 6" xfId="33449"/>
    <cellStyle name="Vírgula 3 2 9 3" xfId="9393"/>
    <cellStyle name="Vírgula 3 2 9 3 2" xfId="27607"/>
    <cellStyle name="Vírgula 3 2 9 3 2 2" xfId="52674"/>
    <cellStyle name="Vírgula 3 2 9 3 3" xfId="21693"/>
    <cellStyle name="Vírgula 3 2 9 3 3 2" xfId="46760"/>
    <cellStyle name="Vírgula 3 2 9 3 4" xfId="15779"/>
    <cellStyle name="Vírgula 3 2 9 3 4 2" xfId="40846"/>
    <cellStyle name="Vírgula 3 2 9 3 5" xfId="34938"/>
    <cellStyle name="Vírgula 3 2 9 4" xfId="6106"/>
    <cellStyle name="Vírgula 3 2 9 4 2" xfId="24650"/>
    <cellStyle name="Vírgula 3 2 9 4 2 2" xfId="49717"/>
    <cellStyle name="Vírgula 3 2 9 4 3" xfId="31981"/>
    <cellStyle name="Vírgula 3 2 9 5" xfId="18736"/>
    <cellStyle name="Vírgula 3 2 9 5 2" xfId="43803"/>
    <cellStyle name="Vírgula 3 2 9 6" xfId="12494"/>
    <cellStyle name="Vírgula 3 2 9 6 2" xfId="37892"/>
    <cellStyle name="Vírgula 3 2 9 7" xfId="30511"/>
    <cellStyle name="Vírgula 3 20" xfId="10995"/>
    <cellStyle name="Vírgula 3 20 2" xfId="36540"/>
    <cellStyle name="Vírgula 3 21" xfId="122"/>
    <cellStyle name="Vírgula 3 21 2" xfId="29245"/>
    <cellStyle name="Vírgula 3 22" xfId="29215"/>
    <cellStyle name="Vírgula 3 3" xfId="868"/>
    <cellStyle name="Vírgula 3 3 10" xfId="8019"/>
    <cellStyle name="Vírgula 3 3 10 2" xfId="10984"/>
    <cellStyle name="Vírgula 3 3 10 2 2" xfId="29198"/>
    <cellStyle name="Vírgula 3 3 10 2 2 2" xfId="54265"/>
    <cellStyle name="Vírgula 3 3 10 2 3" xfId="23284"/>
    <cellStyle name="Vírgula 3 3 10 2 3 2" xfId="48351"/>
    <cellStyle name="Vírgula 3 3 10 2 4" xfId="17370"/>
    <cellStyle name="Vírgula 3 3 10 2 4 2" xfId="42437"/>
    <cellStyle name="Vírgula 3 3 10 2 5" xfId="36529"/>
    <cellStyle name="Vírgula 3 3 10 3" xfId="26241"/>
    <cellStyle name="Vírgula 3 3 10 3 2" xfId="51308"/>
    <cellStyle name="Vírgula 3 3 10 4" xfId="20327"/>
    <cellStyle name="Vírgula 3 3 10 4 2" xfId="45394"/>
    <cellStyle name="Vírgula 3 3 10 5" xfId="14408"/>
    <cellStyle name="Vírgula 3 3 10 5 2" xfId="39483"/>
    <cellStyle name="Vírgula 3 3 10 6" xfId="33572"/>
    <cellStyle name="Vírgula 3 3 11" xfId="8049"/>
    <cellStyle name="Vírgula 3 3 11 2" xfId="26263"/>
    <cellStyle name="Vírgula 3 3 11 2 2" xfId="51330"/>
    <cellStyle name="Vírgula 3 3 11 3" xfId="20349"/>
    <cellStyle name="Vírgula 3 3 11 3 2" xfId="45416"/>
    <cellStyle name="Vírgula 3 3 11 4" xfId="14438"/>
    <cellStyle name="Vírgula 3 3 11 4 2" xfId="39505"/>
    <cellStyle name="Vírgula 3 3 11 5" xfId="33594"/>
    <cellStyle name="Vírgula 3 3 12" xfId="4625"/>
    <cellStyle name="Vírgula 3 3 12 2" xfId="23306"/>
    <cellStyle name="Vírgula 3 3 12 2 2" xfId="48373"/>
    <cellStyle name="Vírgula 3 3 12 3" xfId="30638"/>
    <cellStyle name="Vírgula 3 3 13" xfId="17392"/>
    <cellStyle name="Vírgula 3 3 13 2" xfId="42459"/>
    <cellStyle name="Vírgula 3 3 14" xfId="11016"/>
    <cellStyle name="Vírgula 3 3 14 2" xfId="36551"/>
    <cellStyle name="Vírgula 3 3 15" xfId="29473"/>
    <cellStyle name="Vírgula 3 3 2" xfId="4240"/>
    <cellStyle name="Vírgula 3 3 2 10" xfId="8058"/>
    <cellStyle name="Vírgula 3 3 2 10 2" xfId="26272"/>
    <cellStyle name="Vírgula 3 3 2 10 2 2" xfId="51339"/>
    <cellStyle name="Vírgula 3 3 2 10 3" xfId="20358"/>
    <cellStyle name="Vírgula 3 3 2 10 3 2" xfId="45425"/>
    <cellStyle name="Vírgula 3 3 2 10 4" xfId="14447"/>
    <cellStyle name="Vírgula 3 3 2 10 4 2" xfId="39514"/>
    <cellStyle name="Vírgula 3 3 2 10 5" xfId="33603"/>
    <cellStyle name="Vírgula 3 3 2 11" xfId="4640"/>
    <cellStyle name="Vírgula 3 3 2 11 2" xfId="23315"/>
    <cellStyle name="Vírgula 3 3 2 11 2 2" xfId="48382"/>
    <cellStyle name="Vírgula 3 3 2 11 3" xfId="30647"/>
    <cellStyle name="Vírgula 3 3 2 12" xfId="17401"/>
    <cellStyle name="Vírgula 3 3 2 12 2" xfId="42468"/>
    <cellStyle name="Vírgula 3 3 2 13" xfId="11031"/>
    <cellStyle name="Vírgula 3 3 2 13 2" xfId="36560"/>
    <cellStyle name="Vírgula 3 3 2 14" xfId="30418"/>
    <cellStyle name="Vírgula 3 3 2 2" xfId="4275"/>
    <cellStyle name="Vírgula 3 3 2 2 10" xfId="11066"/>
    <cellStyle name="Vírgula 3 3 2 2 10 2" xfId="36580"/>
    <cellStyle name="Vírgula 3 3 2 2 11" xfId="30438"/>
    <cellStyle name="Vírgula 3 3 2 2 2" xfId="4352"/>
    <cellStyle name="Vírgula 3 3 2 2 2 2" xfId="7753"/>
    <cellStyle name="Vírgula 3 3 2 2 2 2 2" xfId="10831"/>
    <cellStyle name="Vírgula 3 3 2 2 2 2 2 2" xfId="29045"/>
    <cellStyle name="Vírgula 3 3 2 2 2 2 2 2 2" xfId="54112"/>
    <cellStyle name="Vírgula 3 3 2 2 2 2 2 3" xfId="23131"/>
    <cellStyle name="Vírgula 3 3 2 2 2 2 2 3 2" xfId="48198"/>
    <cellStyle name="Vírgula 3 3 2 2 2 2 2 4" xfId="17217"/>
    <cellStyle name="Vírgula 3 3 2 2 2 2 2 4 2" xfId="42284"/>
    <cellStyle name="Vírgula 3 3 2 2 2 2 2 5" xfId="36376"/>
    <cellStyle name="Vírgula 3 3 2 2 2 2 3" xfId="26088"/>
    <cellStyle name="Vírgula 3 3 2 2 2 2 3 2" xfId="51155"/>
    <cellStyle name="Vírgula 3 3 2 2 2 2 4" xfId="20174"/>
    <cellStyle name="Vírgula 3 3 2 2 2 2 4 2" xfId="45241"/>
    <cellStyle name="Vírgula 3 3 2 2 2 2 5" xfId="14142"/>
    <cellStyle name="Vírgula 3 3 2 2 2 2 5 2" xfId="39330"/>
    <cellStyle name="Vírgula 3 3 2 2 2 2 6" xfId="33419"/>
    <cellStyle name="Vírgula 3 3 2 2 2 3" xfId="9363"/>
    <cellStyle name="Vírgula 3 3 2 2 2 3 2" xfId="27577"/>
    <cellStyle name="Vírgula 3 3 2 2 2 3 2 2" xfId="52644"/>
    <cellStyle name="Vírgula 3 3 2 2 2 3 3" xfId="21663"/>
    <cellStyle name="Vírgula 3 3 2 2 2 3 3 2" xfId="46730"/>
    <cellStyle name="Vírgula 3 3 2 2 2 3 4" xfId="15749"/>
    <cellStyle name="Vírgula 3 3 2 2 2 3 4 2" xfId="40816"/>
    <cellStyle name="Vírgula 3 3 2 2 2 3 5" xfId="34908"/>
    <cellStyle name="Vírgula 3 3 2 2 2 4" xfId="6053"/>
    <cellStyle name="Vírgula 3 3 2 2 2 4 2" xfId="24620"/>
    <cellStyle name="Vírgula 3 3 2 2 2 4 2 2" xfId="49687"/>
    <cellStyle name="Vírgula 3 3 2 2 2 4 3" xfId="31951"/>
    <cellStyle name="Vírgula 3 3 2 2 2 5" xfId="18706"/>
    <cellStyle name="Vírgula 3 3 2 2 2 5 2" xfId="43773"/>
    <cellStyle name="Vírgula 3 3 2 2 2 6" xfId="12441"/>
    <cellStyle name="Vírgula 3 3 2 2 2 6 2" xfId="37862"/>
    <cellStyle name="Vírgula 3 3 2 2 2 7" xfId="30481"/>
    <cellStyle name="Vírgula 3 3 2 2 3" xfId="4460"/>
    <cellStyle name="Vírgula 3 3 2 2 3 2" xfId="7862"/>
    <cellStyle name="Vírgula 3 3 2 2 3 2 2" xfId="10893"/>
    <cellStyle name="Vírgula 3 3 2 2 3 2 2 2" xfId="29107"/>
    <cellStyle name="Vírgula 3 3 2 2 3 2 2 2 2" xfId="54174"/>
    <cellStyle name="Vírgula 3 3 2 2 3 2 2 3" xfId="23193"/>
    <cellStyle name="Vírgula 3 3 2 2 3 2 2 3 2" xfId="48260"/>
    <cellStyle name="Vírgula 3 3 2 2 3 2 2 4" xfId="17279"/>
    <cellStyle name="Vírgula 3 3 2 2 3 2 2 4 2" xfId="42346"/>
    <cellStyle name="Vírgula 3 3 2 2 3 2 2 5" xfId="36438"/>
    <cellStyle name="Vírgula 3 3 2 2 3 2 3" xfId="26150"/>
    <cellStyle name="Vírgula 3 3 2 2 3 2 3 2" xfId="51217"/>
    <cellStyle name="Vírgula 3 3 2 2 3 2 4" xfId="20236"/>
    <cellStyle name="Vírgula 3 3 2 2 3 2 4 2" xfId="45303"/>
    <cellStyle name="Vírgula 3 3 2 2 3 2 5" xfId="14251"/>
    <cellStyle name="Vírgula 3 3 2 2 3 2 5 2" xfId="39392"/>
    <cellStyle name="Vírgula 3 3 2 2 3 2 6" xfId="33481"/>
    <cellStyle name="Vírgula 3 3 2 2 3 3" xfId="9425"/>
    <cellStyle name="Vírgula 3 3 2 2 3 3 2" xfId="27639"/>
    <cellStyle name="Vírgula 3 3 2 2 3 3 2 2" xfId="52706"/>
    <cellStyle name="Vírgula 3 3 2 2 3 3 3" xfId="21725"/>
    <cellStyle name="Vírgula 3 3 2 2 3 3 3 2" xfId="46792"/>
    <cellStyle name="Vírgula 3 3 2 2 3 3 4" xfId="15811"/>
    <cellStyle name="Vírgula 3 3 2 2 3 3 4 2" xfId="40878"/>
    <cellStyle name="Vírgula 3 3 2 2 3 3 5" xfId="34970"/>
    <cellStyle name="Vírgula 3 3 2 2 3 4" xfId="6162"/>
    <cellStyle name="Vírgula 3 3 2 2 3 4 2" xfId="24682"/>
    <cellStyle name="Vírgula 3 3 2 2 3 4 2 2" xfId="49749"/>
    <cellStyle name="Vírgula 3 3 2 2 3 4 3" xfId="32013"/>
    <cellStyle name="Vírgula 3 3 2 2 3 5" xfId="18768"/>
    <cellStyle name="Vírgula 3 3 2 2 3 5 2" xfId="43835"/>
    <cellStyle name="Vírgula 3 3 2 2 3 6" xfId="12550"/>
    <cellStyle name="Vírgula 3 3 2 2 3 6 2" xfId="37924"/>
    <cellStyle name="Vírgula 3 3 2 2 3 7" xfId="30543"/>
    <cellStyle name="Vírgula 3 3 2 2 4" xfId="4568"/>
    <cellStyle name="Vírgula 3 3 2 2 4 2" xfId="7970"/>
    <cellStyle name="Vírgula 3 3 2 2 4 2 2" xfId="10955"/>
    <cellStyle name="Vírgula 3 3 2 2 4 2 2 2" xfId="29169"/>
    <cellStyle name="Vírgula 3 3 2 2 4 2 2 2 2" xfId="54236"/>
    <cellStyle name="Vírgula 3 3 2 2 4 2 2 3" xfId="23255"/>
    <cellStyle name="Vírgula 3 3 2 2 4 2 2 3 2" xfId="48322"/>
    <cellStyle name="Vírgula 3 3 2 2 4 2 2 4" xfId="17341"/>
    <cellStyle name="Vírgula 3 3 2 2 4 2 2 4 2" xfId="42408"/>
    <cellStyle name="Vírgula 3 3 2 2 4 2 2 5" xfId="36500"/>
    <cellStyle name="Vírgula 3 3 2 2 4 2 3" xfId="26212"/>
    <cellStyle name="Vírgula 3 3 2 2 4 2 3 2" xfId="51279"/>
    <cellStyle name="Vírgula 3 3 2 2 4 2 4" xfId="20298"/>
    <cellStyle name="Vírgula 3 3 2 2 4 2 4 2" xfId="45365"/>
    <cellStyle name="Vírgula 3 3 2 2 4 2 5" xfId="14359"/>
    <cellStyle name="Vírgula 3 3 2 2 4 2 5 2" xfId="39454"/>
    <cellStyle name="Vírgula 3 3 2 2 4 2 6" xfId="33543"/>
    <cellStyle name="Vírgula 3 3 2 2 4 3" xfId="9487"/>
    <cellStyle name="Vírgula 3 3 2 2 4 3 2" xfId="27701"/>
    <cellStyle name="Vírgula 3 3 2 2 4 3 2 2" xfId="52768"/>
    <cellStyle name="Vírgula 3 3 2 2 4 3 3" xfId="21787"/>
    <cellStyle name="Vírgula 3 3 2 2 4 3 3 2" xfId="46854"/>
    <cellStyle name="Vírgula 3 3 2 2 4 3 4" xfId="15873"/>
    <cellStyle name="Vírgula 3 3 2 2 4 3 4 2" xfId="40940"/>
    <cellStyle name="Vírgula 3 3 2 2 4 3 5" xfId="35032"/>
    <cellStyle name="Vírgula 3 3 2 2 4 4" xfId="6269"/>
    <cellStyle name="Vírgula 3 3 2 2 4 4 2" xfId="24744"/>
    <cellStyle name="Vírgula 3 3 2 2 4 4 2 2" xfId="49811"/>
    <cellStyle name="Vírgula 3 3 2 2 4 4 3" xfId="32075"/>
    <cellStyle name="Vírgula 3 3 2 2 4 5" xfId="18830"/>
    <cellStyle name="Vírgula 3 3 2 2 4 5 2" xfId="43897"/>
    <cellStyle name="Vírgula 3 3 2 2 4 6" xfId="12658"/>
    <cellStyle name="Vírgula 3 3 2 2 4 6 2" xfId="37986"/>
    <cellStyle name="Vírgula 3 3 2 2 4 7" xfId="30605"/>
    <cellStyle name="Vírgula 3 3 2 2 5" xfId="5976"/>
    <cellStyle name="Vírgula 3 3 2 2 5 2" xfId="7676"/>
    <cellStyle name="Vírgula 3 3 2 2 5 2 2" xfId="10788"/>
    <cellStyle name="Vírgula 3 3 2 2 5 2 2 2" xfId="29002"/>
    <cellStyle name="Vírgula 3 3 2 2 5 2 2 2 2" xfId="54069"/>
    <cellStyle name="Vírgula 3 3 2 2 5 2 2 3" xfId="23088"/>
    <cellStyle name="Vírgula 3 3 2 2 5 2 2 3 2" xfId="48155"/>
    <cellStyle name="Vírgula 3 3 2 2 5 2 2 4" xfId="17174"/>
    <cellStyle name="Vírgula 3 3 2 2 5 2 2 4 2" xfId="42241"/>
    <cellStyle name="Vírgula 3 3 2 2 5 2 2 5" xfId="36333"/>
    <cellStyle name="Vírgula 3 3 2 2 5 2 3" xfId="26045"/>
    <cellStyle name="Vírgula 3 3 2 2 5 2 3 2" xfId="51112"/>
    <cellStyle name="Vírgula 3 3 2 2 5 2 4" xfId="20131"/>
    <cellStyle name="Vírgula 3 3 2 2 5 2 4 2" xfId="45198"/>
    <cellStyle name="Vírgula 3 3 2 2 5 2 5" xfId="14065"/>
    <cellStyle name="Vírgula 3 3 2 2 5 2 5 2" xfId="39287"/>
    <cellStyle name="Vírgula 3 3 2 2 5 2 6" xfId="33376"/>
    <cellStyle name="Vírgula 3 3 2 2 5 3" xfId="9320"/>
    <cellStyle name="Vírgula 3 3 2 2 5 3 2" xfId="27534"/>
    <cellStyle name="Vírgula 3 3 2 2 5 3 2 2" xfId="52601"/>
    <cellStyle name="Vírgula 3 3 2 2 5 3 3" xfId="21620"/>
    <cellStyle name="Vírgula 3 3 2 2 5 3 3 2" xfId="46687"/>
    <cellStyle name="Vírgula 3 3 2 2 5 3 4" xfId="15706"/>
    <cellStyle name="Vírgula 3 3 2 2 5 3 4 2" xfId="40773"/>
    <cellStyle name="Vírgula 3 3 2 2 5 3 5" xfId="34865"/>
    <cellStyle name="Vírgula 3 3 2 2 5 4" xfId="24577"/>
    <cellStyle name="Vírgula 3 3 2 2 5 4 2" xfId="49644"/>
    <cellStyle name="Vírgula 3 3 2 2 5 5" xfId="18663"/>
    <cellStyle name="Vírgula 3 3 2 2 5 5 2" xfId="43730"/>
    <cellStyle name="Vírgula 3 3 2 2 5 6" xfId="12364"/>
    <cellStyle name="Vírgula 3 3 2 2 5 6 2" xfId="37819"/>
    <cellStyle name="Vírgula 3 3 2 2 5 7" xfId="31908"/>
    <cellStyle name="Vírgula 3 3 2 2 6" xfId="6378"/>
    <cellStyle name="Vírgula 3 3 2 2 6 2" xfId="9549"/>
    <cellStyle name="Vírgula 3 3 2 2 6 2 2" xfId="27763"/>
    <cellStyle name="Vírgula 3 3 2 2 6 2 2 2" xfId="52830"/>
    <cellStyle name="Vírgula 3 3 2 2 6 2 3" xfId="21849"/>
    <cellStyle name="Vírgula 3 3 2 2 6 2 3 2" xfId="46916"/>
    <cellStyle name="Vírgula 3 3 2 2 6 2 4" xfId="15935"/>
    <cellStyle name="Vírgula 3 3 2 2 6 2 4 2" xfId="41002"/>
    <cellStyle name="Vírgula 3 3 2 2 6 2 5" xfId="35094"/>
    <cellStyle name="Vírgula 3 3 2 2 6 3" xfId="24806"/>
    <cellStyle name="Vírgula 3 3 2 2 6 3 2" xfId="49873"/>
    <cellStyle name="Vírgula 3 3 2 2 6 4" xfId="18892"/>
    <cellStyle name="Vírgula 3 3 2 2 6 4 2" xfId="43959"/>
    <cellStyle name="Vírgula 3 3 2 2 6 5" xfId="12767"/>
    <cellStyle name="Vírgula 3 3 2 2 6 5 2" xfId="38048"/>
    <cellStyle name="Vírgula 3 3 2 2 6 6" xfId="32137"/>
    <cellStyle name="Vírgula 3 3 2 2 7" xfId="8078"/>
    <cellStyle name="Vírgula 3 3 2 2 7 2" xfId="26292"/>
    <cellStyle name="Vírgula 3 3 2 2 7 2 2" xfId="51359"/>
    <cellStyle name="Vírgula 3 3 2 2 7 3" xfId="20378"/>
    <cellStyle name="Vírgula 3 3 2 2 7 3 2" xfId="45445"/>
    <cellStyle name="Vírgula 3 3 2 2 7 4" xfId="14467"/>
    <cellStyle name="Vírgula 3 3 2 2 7 4 2" xfId="39534"/>
    <cellStyle name="Vírgula 3 3 2 2 7 5" xfId="33623"/>
    <cellStyle name="Vírgula 3 3 2 2 8" xfId="4675"/>
    <cellStyle name="Vírgula 3 3 2 2 8 2" xfId="23335"/>
    <cellStyle name="Vírgula 3 3 2 2 8 2 2" xfId="48402"/>
    <cellStyle name="Vírgula 3 3 2 2 8 3" xfId="30667"/>
    <cellStyle name="Vírgula 3 3 2 2 9" xfId="17421"/>
    <cellStyle name="Vírgula 3 3 2 2 9 2" xfId="42488"/>
    <cellStyle name="Vírgula 3 3 2 3" xfId="4384"/>
    <cellStyle name="Vírgula 3 3 2 3 10" xfId="30500"/>
    <cellStyle name="Vírgula 3 3 2 3 2" xfId="4492"/>
    <cellStyle name="Vírgula 3 3 2 3 2 2" xfId="7894"/>
    <cellStyle name="Vírgula 3 3 2 3 2 2 2" xfId="10912"/>
    <cellStyle name="Vírgula 3 3 2 3 2 2 2 2" xfId="29126"/>
    <cellStyle name="Vírgula 3 3 2 3 2 2 2 2 2" xfId="54193"/>
    <cellStyle name="Vírgula 3 3 2 3 2 2 2 3" xfId="23212"/>
    <cellStyle name="Vírgula 3 3 2 3 2 2 2 3 2" xfId="48279"/>
    <cellStyle name="Vírgula 3 3 2 3 2 2 2 4" xfId="17298"/>
    <cellStyle name="Vírgula 3 3 2 3 2 2 2 4 2" xfId="42365"/>
    <cellStyle name="Vírgula 3 3 2 3 2 2 2 5" xfId="36457"/>
    <cellStyle name="Vírgula 3 3 2 3 2 2 3" xfId="26169"/>
    <cellStyle name="Vírgula 3 3 2 3 2 2 3 2" xfId="51236"/>
    <cellStyle name="Vírgula 3 3 2 3 2 2 4" xfId="20255"/>
    <cellStyle name="Vírgula 3 3 2 3 2 2 4 2" xfId="45322"/>
    <cellStyle name="Vírgula 3 3 2 3 2 2 5" xfId="14283"/>
    <cellStyle name="Vírgula 3 3 2 3 2 2 5 2" xfId="39411"/>
    <cellStyle name="Vírgula 3 3 2 3 2 2 6" xfId="33500"/>
    <cellStyle name="Vírgula 3 3 2 3 2 3" xfId="9444"/>
    <cellStyle name="Vírgula 3 3 2 3 2 3 2" xfId="27658"/>
    <cellStyle name="Vírgula 3 3 2 3 2 3 2 2" xfId="52725"/>
    <cellStyle name="Vírgula 3 3 2 3 2 3 3" xfId="21744"/>
    <cellStyle name="Vírgula 3 3 2 3 2 3 3 2" xfId="46811"/>
    <cellStyle name="Vírgula 3 3 2 3 2 3 4" xfId="15830"/>
    <cellStyle name="Vírgula 3 3 2 3 2 3 4 2" xfId="40897"/>
    <cellStyle name="Vírgula 3 3 2 3 2 3 5" xfId="34989"/>
    <cellStyle name="Vírgula 3 3 2 3 2 4" xfId="6193"/>
    <cellStyle name="Vírgula 3 3 2 3 2 4 2" xfId="24701"/>
    <cellStyle name="Vírgula 3 3 2 3 2 4 2 2" xfId="49768"/>
    <cellStyle name="Vírgula 3 3 2 3 2 4 3" xfId="32032"/>
    <cellStyle name="Vírgula 3 3 2 3 2 5" xfId="18787"/>
    <cellStyle name="Vírgula 3 3 2 3 2 5 2" xfId="43854"/>
    <cellStyle name="Vírgula 3 3 2 3 2 6" xfId="12582"/>
    <cellStyle name="Vírgula 3 3 2 3 2 6 2" xfId="37943"/>
    <cellStyle name="Vírgula 3 3 2 3 2 7" xfId="30562"/>
    <cellStyle name="Vírgula 3 3 2 3 3" xfId="4600"/>
    <cellStyle name="Vírgula 3 3 2 3 3 2" xfId="8003"/>
    <cellStyle name="Vírgula 3 3 2 3 3 2 2" xfId="10974"/>
    <cellStyle name="Vírgula 3 3 2 3 3 2 2 2" xfId="29188"/>
    <cellStyle name="Vírgula 3 3 2 3 3 2 2 2 2" xfId="54255"/>
    <cellStyle name="Vírgula 3 3 2 3 3 2 2 3" xfId="23274"/>
    <cellStyle name="Vírgula 3 3 2 3 3 2 2 3 2" xfId="48341"/>
    <cellStyle name="Vírgula 3 3 2 3 3 2 2 4" xfId="17360"/>
    <cellStyle name="Vírgula 3 3 2 3 3 2 2 4 2" xfId="42427"/>
    <cellStyle name="Vírgula 3 3 2 3 3 2 2 5" xfId="36519"/>
    <cellStyle name="Vírgula 3 3 2 3 3 2 3" xfId="26231"/>
    <cellStyle name="Vírgula 3 3 2 3 3 2 3 2" xfId="51298"/>
    <cellStyle name="Vírgula 3 3 2 3 3 2 4" xfId="20317"/>
    <cellStyle name="Vírgula 3 3 2 3 3 2 4 2" xfId="45384"/>
    <cellStyle name="Vírgula 3 3 2 3 3 2 5" xfId="14392"/>
    <cellStyle name="Vírgula 3 3 2 3 3 2 5 2" xfId="39473"/>
    <cellStyle name="Vírgula 3 3 2 3 3 2 6" xfId="33562"/>
    <cellStyle name="Vírgula 3 3 2 3 3 3" xfId="9506"/>
    <cellStyle name="Vírgula 3 3 2 3 3 3 2" xfId="27720"/>
    <cellStyle name="Vírgula 3 3 2 3 3 3 2 2" xfId="52787"/>
    <cellStyle name="Vírgula 3 3 2 3 3 3 3" xfId="21806"/>
    <cellStyle name="Vírgula 3 3 2 3 3 3 3 2" xfId="46873"/>
    <cellStyle name="Vírgula 3 3 2 3 3 3 4" xfId="15892"/>
    <cellStyle name="Vírgula 3 3 2 3 3 3 4 2" xfId="40959"/>
    <cellStyle name="Vírgula 3 3 2 3 3 3 5" xfId="35051"/>
    <cellStyle name="Vírgula 3 3 2 3 3 4" xfId="6302"/>
    <cellStyle name="Vírgula 3 3 2 3 3 4 2" xfId="24763"/>
    <cellStyle name="Vírgula 3 3 2 3 3 4 2 2" xfId="49830"/>
    <cellStyle name="Vírgula 3 3 2 3 3 4 3" xfId="32094"/>
    <cellStyle name="Vírgula 3 3 2 3 3 5" xfId="18849"/>
    <cellStyle name="Vírgula 3 3 2 3 3 5 2" xfId="43916"/>
    <cellStyle name="Vírgula 3 3 2 3 3 6" xfId="12691"/>
    <cellStyle name="Vírgula 3 3 2 3 3 6 2" xfId="38005"/>
    <cellStyle name="Vírgula 3 3 2 3 3 7" xfId="30624"/>
    <cellStyle name="Vírgula 3 3 2 3 4" xfId="6086"/>
    <cellStyle name="Vírgula 3 3 2 3 4 2" xfId="7786"/>
    <cellStyle name="Vírgula 3 3 2 3 4 2 2" xfId="10850"/>
    <cellStyle name="Vírgula 3 3 2 3 4 2 2 2" xfId="29064"/>
    <cellStyle name="Vírgula 3 3 2 3 4 2 2 2 2" xfId="54131"/>
    <cellStyle name="Vírgula 3 3 2 3 4 2 2 3" xfId="23150"/>
    <cellStyle name="Vírgula 3 3 2 3 4 2 2 3 2" xfId="48217"/>
    <cellStyle name="Vírgula 3 3 2 3 4 2 2 4" xfId="17236"/>
    <cellStyle name="Vírgula 3 3 2 3 4 2 2 4 2" xfId="42303"/>
    <cellStyle name="Vírgula 3 3 2 3 4 2 2 5" xfId="36395"/>
    <cellStyle name="Vírgula 3 3 2 3 4 2 3" xfId="26107"/>
    <cellStyle name="Vírgula 3 3 2 3 4 2 3 2" xfId="51174"/>
    <cellStyle name="Vírgula 3 3 2 3 4 2 4" xfId="20193"/>
    <cellStyle name="Vírgula 3 3 2 3 4 2 4 2" xfId="45260"/>
    <cellStyle name="Vírgula 3 3 2 3 4 2 5" xfId="14175"/>
    <cellStyle name="Vírgula 3 3 2 3 4 2 5 2" xfId="39349"/>
    <cellStyle name="Vírgula 3 3 2 3 4 2 6" xfId="33438"/>
    <cellStyle name="Vírgula 3 3 2 3 4 3" xfId="9382"/>
    <cellStyle name="Vírgula 3 3 2 3 4 3 2" xfId="27596"/>
    <cellStyle name="Vírgula 3 3 2 3 4 3 2 2" xfId="52663"/>
    <cellStyle name="Vírgula 3 3 2 3 4 3 3" xfId="21682"/>
    <cellStyle name="Vírgula 3 3 2 3 4 3 3 2" xfId="46749"/>
    <cellStyle name="Vírgula 3 3 2 3 4 3 4" xfId="15768"/>
    <cellStyle name="Vírgula 3 3 2 3 4 3 4 2" xfId="40835"/>
    <cellStyle name="Vírgula 3 3 2 3 4 3 5" xfId="34927"/>
    <cellStyle name="Vírgula 3 3 2 3 4 4" xfId="24639"/>
    <cellStyle name="Vírgula 3 3 2 3 4 4 2" xfId="49706"/>
    <cellStyle name="Vírgula 3 3 2 3 4 5" xfId="18725"/>
    <cellStyle name="Vírgula 3 3 2 3 4 5 2" xfId="43792"/>
    <cellStyle name="Vírgula 3 3 2 3 4 6" xfId="12474"/>
    <cellStyle name="Vírgula 3 3 2 3 4 6 2" xfId="37881"/>
    <cellStyle name="Vírgula 3 3 2 3 4 7" xfId="31970"/>
    <cellStyle name="Vírgula 3 3 2 3 5" xfId="6411"/>
    <cellStyle name="Vírgula 3 3 2 3 5 2" xfId="9568"/>
    <cellStyle name="Vírgula 3 3 2 3 5 2 2" xfId="27782"/>
    <cellStyle name="Vírgula 3 3 2 3 5 2 2 2" xfId="52849"/>
    <cellStyle name="Vírgula 3 3 2 3 5 2 3" xfId="21868"/>
    <cellStyle name="Vírgula 3 3 2 3 5 2 3 2" xfId="46935"/>
    <cellStyle name="Vírgula 3 3 2 3 5 2 4" xfId="15954"/>
    <cellStyle name="Vírgula 3 3 2 3 5 2 4 2" xfId="41021"/>
    <cellStyle name="Vírgula 3 3 2 3 5 2 5" xfId="35113"/>
    <cellStyle name="Vírgula 3 3 2 3 5 3" xfId="24825"/>
    <cellStyle name="Vírgula 3 3 2 3 5 3 2" xfId="49892"/>
    <cellStyle name="Vírgula 3 3 2 3 5 4" xfId="18911"/>
    <cellStyle name="Vírgula 3 3 2 3 5 4 2" xfId="43978"/>
    <cellStyle name="Vírgula 3 3 2 3 5 5" xfId="12800"/>
    <cellStyle name="Vírgula 3 3 2 3 5 5 2" xfId="38067"/>
    <cellStyle name="Vírgula 3 3 2 3 5 6" xfId="32156"/>
    <cellStyle name="Vírgula 3 3 2 3 6" xfId="8097"/>
    <cellStyle name="Vírgula 3 3 2 3 6 2" xfId="26311"/>
    <cellStyle name="Vírgula 3 3 2 3 6 2 2" xfId="51378"/>
    <cellStyle name="Vírgula 3 3 2 3 6 3" xfId="20397"/>
    <cellStyle name="Vírgula 3 3 2 3 6 3 2" xfId="45464"/>
    <cellStyle name="Vírgula 3 3 2 3 6 4" xfId="14486"/>
    <cellStyle name="Vírgula 3 3 2 3 6 4 2" xfId="39553"/>
    <cellStyle name="Vírgula 3 3 2 3 6 5" xfId="33642"/>
    <cellStyle name="Vírgula 3 3 2 3 7" xfId="4708"/>
    <cellStyle name="Vírgula 3 3 2 3 7 2" xfId="23354"/>
    <cellStyle name="Vírgula 3 3 2 3 7 2 2" xfId="48421"/>
    <cellStyle name="Vírgula 3 3 2 3 7 3" xfId="30686"/>
    <cellStyle name="Vírgula 3 3 2 3 8" xfId="17440"/>
    <cellStyle name="Vírgula 3 3 2 3 8 2" xfId="42507"/>
    <cellStyle name="Vírgula 3 3 2 3 9" xfId="11099"/>
    <cellStyle name="Vírgula 3 3 2 3 9 2" xfId="36599"/>
    <cellStyle name="Vírgula 3 3 2 4" xfId="4317"/>
    <cellStyle name="Vírgula 3 3 2 4 2" xfId="7718"/>
    <cellStyle name="Vírgula 3 3 2 4 2 2" xfId="10811"/>
    <cellStyle name="Vírgula 3 3 2 4 2 2 2" xfId="29025"/>
    <cellStyle name="Vírgula 3 3 2 4 2 2 2 2" xfId="54092"/>
    <cellStyle name="Vírgula 3 3 2 4 2 2 3" xfId="23111"/>
    <cellStyle name="Vírgula 3 3 2 4 2 2 3 2" xfId="48178"/>
    <cellStyle name="Vírgula 3 3 2 4 2 2 4" xfId="17197"/>
    <cellStyle name="Vírgula 3 3 2 4 2 2 4 2" xfId="42264"/>
    <cellStyle name="Vírgula 3 3 2 4 2 2 5" xfId="36356"/>
    <cellStyle name="Vírgula 3 3 2 4 2 3" xfId="26068"/>
    <cellStyle name="Vírgula 3 3 2 4 2 3 2" xfId="51135"/>
    <cellStyle name="Vírgula 3 3 2 4 2 4" xfId="20154"/>
    <cellStyle name="Vírgula 3 3 2 4 2 4 2" xfId="45221"/>
    <cellStyle name="Vírgula 3 3 2 4 2 5" xfId="14107"/>
    <cellStyle name="Vírgula 3 3 2 4 2 5 2" xfId="39310"/>
    <cellStyle name="Vírgula 3 3 2 4 2 6" xfId="33399"/>
    <cellStyle name="Vírgula 3 3 2 4 3" xfId="9343"/>
    <cellStyle name="Vírgula 3 3 2 4 3 2" xfId="27557"/>
    <cellStyle name="Vírgula 3 3 2 4 3 2 2" xfId="52624"/>
    <cellStyle name="Vírgula 3 3 2 4 3 3" xfId="21643"/>
    <cellStyle name="Vírgula 3 3 2 4 3 3 2" xfId="46710"/>
    <cellStyle name="Vírgula 3 3 2 4 3 4" xfId="15729"/>
    <cellStyle name="Vírgula 3 3 2 4 3 4 2" xfId="40796"/>
    <cellStyle name="Vírgula 3 3 2 4 3 5" xfId="34888"/>
    <cellStyle name="Vírgula 3 3 2 4 4" xfId="6018"/>
    <cellStyle name="Vírgula 3 3 2 4 4 2" xfId="24600"/>
    <cellStyle name="Vírgula 3 3 2 4 4 2 2" xfId="49667"/>
    <cellStyle name="Vírgula 3 3 2 4 4 3" xfId="31931"/>
    <cellStyle name="Vírgula 3 3 2 4 5" xfId="18686"/>
    <cellStyle name="Vírgula 3 3 2 4 5 2" xfId="43753"/>
    <cellStyle name="Vírgula 3 3 2 4 6" xfId="12406"/>
    <cellStyle name="Vírgula 3 3 2 4 6 2" xfId="37842"/>
    <cellStyle name="Vírgula 3 3 2 4 7" xfId="30461"/>
    <cellStyle name="Vírgula 3 3 2 5" xfId="4425"/>
    <cellStyle name="Vírgula 3 3 2 5 2" xfId="7827"/>
    <cellStyle name="Vírgula 3 3 2 5 2 2" xfId="10873"/>
    <cellStyle name="Vírgula 3 3 2 5 2 2 2" xfId="29087"/>
    <cellStyle name="Vírgula 3 3 2 5 2 2 2 2" xfId="54154"/>
    <cellStyle name="Vírgula 3 3 2 5 2 2 3" xfId="23173"/>
    <cellStyle name="Vírgula 3 3 2 5 2 2 3 2" xfId="48240"/>
    <cellStyle name="Vírgula 3 3 2 5 2 2 4" xfId="17259"/>
    <cellStyle name="Vírgula 3 3 2 5 2 2 4 2" xfId="42326"/>
    <cellStyle name="Vírgula 3 3 2 5 2 2 5" xfId="36418"/>
    <cellStyle name="Vírgula 3 3 2 5 2 3" xfId="26130"/>
    <cellStyle name="Vírgula 3 3 2 5 2 3 2" xfId="51197"/>
    <cellStyle name="Vírgula 3 3 2 5 2 4" xfId="20216"/>
    <cellStyle name="Vírgula 3 3 2 5 2 4 2" xfId="45283"/>
    <cellStyle name="Vírgula 3 3 2 5 2 5" xfId="14216"/>
    <cellStyle name="Vírgula 3 3 2 5 2 5 2" xfId="39372"/>
    <cellStyle name="Vírgula 3 3 2 5 2 6" xfId="33461"/>
    <cellStyle name="Vírgula 3 3 2 5 3" xfId="9405"/>
    <cellStyle name="Vírgula 3 3 2 5 3 2" xfId="27619"/>
    <cellStyle name="Vírgula 3 3 2 5 3 2 2" xfId="52686"/>
    <cellStyle name="Vírgula 3 3 2 5 3 3" xfId="21705"/>
    <cellStyle name="Vírgula 3 3 2 5 3 3 2" xfId="46772"/>
    <cellStyle name="Vírgula 3 3 2 5 3 4" xfId="15791"/>
    <cellStyle name="Vírgula 3 3 2 5 3 4 2" xfId="40858"/>
    <cellStyle name="Vírgula 3 3 2 5 3 5" xfId="34950"/>
    <cellStyle name="Vírgula 3 3 2 5 4" xfId="6127"/>
    <cellStyle name="Vírgula 3 3 2 5 4 2" xfId="24662"/>
    <cellStyle name="Vírgula 3 3 2 5 4 2 2" xfId="49729"/>
    <cellStyle name="Vírgula 3 3 2 5 4 3" xfId="31993"/>
    <cellStyle name="Vírgula 3 3 2 5 5" xfId="18748"/>
    <cellStyle name="Vírgula 3 3 2 5 5 2" xfId="43815"/>
    <cellStyle name="Vírgula 3 3 2 5 6" xfId="12515"/>
    <cellStyle name="Vírgula 3 3 2 5 6 2" xfId="37904"/>
    <cellStyle name="Vírgula 3 3 2 5 7" xfId="30523"/>
    <cellStyle name="Vírgula 3 3 2 6" xfId="4533"/>
    <cellStyle name="Vírgula 3 3 2 6 2" xfId="7935"/>
    <cellStyle name="Vírgula 3 3 2 6 2 2" xfId="10935"/>
    <cellStyle name="Vírgula 3 3 2 6 2 2 2" xfId="29149"/>
    <cellStyle name="Vírgula 3 3 2 6 2 2 2 2" xfId="54216"/>
    <cellStyle name="Vírgula 3 3 2 6 2 2 3" xfId="23235"/>
    <cellStyle name="Vírgula 3 3 2 6 2 2 3 2" xfId="48302"/>
    <cellStyle name="Vírgula 3 3 2 6 2 2 4" xfId="17321"/>
    <cellStyle name="Vírgula 3 3 2 6 2 2 4 2" xfId="42388"/>
    <cellStyle name="Vírgula 3 3 2 6 2 2 5" xfId="36480"/>
    <cellStyle name="Vírgula 3 3 2 6 2 3" xfId="26192"/>
    <cellStyle name="Vírgula 3 3 2 6 2 3 2" xfId="51259"/>
    <cellStyle name="Vírgula 3 3 2 6 2 4" xfId="20278"/>
    <cellStyle name="Vírgula 3 3 2 6 2 4 2" xfId="45345"/>
    <cellStyle name="Vírgula 3 3 2 6 2 5" xfId="14324"/>
    <cellStyle name="Vírgula 3 3 2 6 2 5 2" xfId="39434"/>
    <cellStyle name="Vírgula 3 3 2 6 2 6" xfId="33523"/>
    <cellStyle name="Vírgula 3 3 2 6 3" xfId="9467"/>
    <cellStyle name="Vírgula 3 3 2 6 3 2" xfId="27681"/>
    <cellStyle name="Vírgula 3 3 2 6 3 2 2" xfId="52748"/>
    <cellStyle name="Vírgula 3 3 2 6 3 3" xfId="21767"/>
    <cellStyle name="Vírgula 3 3 2 6 3 3 2" xfId="46834"/>
    <cellStyle name="Vírgula 3 3 2 6 3 4" xfId="15853"/>
    <cellStyle name="Vírgula 3 3 2 6 3 4 2" xfId="40920"/>
    <cellStyle name="Vírgula 3 3 2 6 3 5" xfId="35012"/>
    <cellStyle name="Vírgula 3 3 2 6 4" xfId="6234"/>
    <cellStyle name="Vírgula 3 3 2 6 4 2" xfId="24724"/>
    <cellStyle name="Vírgula 3 3 2 6 4 2 2" xfId="49791"/>
    <cellStyle name="Vírgula 3 3 2 6 4 3" xfId="32055"/>
    <cellStyle name="Vírgula 3 3 2 6 5" xfId="18810"/>
    <cellStyle name="Vírgula 3 3 2 6 5 2" xfId="43877"/>
    <cellStyle name="Vírgula 3 3 2 6 6" xfId="12623"/>
    <cellStyle name="Vírgula 3 3 2 6 6 2" xfId="37966"/>
    <cellStyle name="Vírgula 3 3 2 6 7" xfId="30585"/>
    <cellStyle name="Vírgula 3 3 2 7" xfId="5941"/>
    <cellStyle name="Vírgula 3 3 2 7 2" xfId="7641"/>
    <cellStyle name="Vírgula 3 3 2 7 2 2" xfId="10768"/>
    <cellStyle name="Vírgula 3 3 2 7 2 2 2" xfId="28982"/>
    <cellStyle name="Vírgula 3 3 2 7 2 2 2 2" xfId="54049"/>
    <cellStyle name="Vírgula 3 3 2 7 2 2 3" xfId="23068"/>
    <cellStyle name="Vírgula 3 3 2 7 2 2 3 2" xfId="48135"/>
    <cellStyle name="Vírgula 3 3 2 7 2 2 4" xfId="17154"/>
    <cellStyle name="Vírgula 3 3 2 7 2 2 4 2" xfId="42221"/>
    <cellStyle name="Vírgula 3 3 2 7 2 2 5" xfId="36313"/>
    <cellStyle name="Vírgula 3 3 2 7 2 3" xfId="26025"/>
    <cellStyle name="Vírgula 3 3 2 7 2 3 2" xfId="51092"/>
    <cellStyle name="Vírgula 3 3 2 7 2 4" xfId="20111"/>
    <cellStyle name="Vírgula 3 3 2 7 2 4 2" xfId="45178"/>
    <cellStyle name="Vírgula 3 3 2 7 2 5" xfId="14030"/>
    <cellStyle name="Vírgula 3 3 2 7 2 5 2" xfId="39267"/>
    <cellStyle name="Vírgula 3 3 2 7 2 6" xfId="33356"/>
    <cellStyle name="Vírgula 3 3 2 7 3" xfId="9300"/>
    <cellStyle name="Vírgula 3 3 2 7 3 2" xfId="27514"/>
    <cellStyle name="Vírgula 3 3 2 7 3 2 2" xfId="52581"/>
    <cellStyle name="Vírgula 3 3 2 7 3 3" xfId="21600"/>
    <cellStyle name="Vírgula 3 3 2 7 3 3 2" xfId="46667"/>
    <cellStyle name="Vírgula 3 3 2 7 3 4" xfId="15686"/>
    <cellStyle name="Vírgula 3 3 2 7 3 4 2" xfId="40753"/>
    <cellStyle name="Vírgula 3 3 2 7 3 5" xfId="34845"/>
    <cellStyle name="Vírgula 3 3 2 7 4" xfId="24557"/>
    <cellStyle name="Vírgula 3 3 2 7 4 2" xfId="49624"/>
    <cellStyle name="Vírgula 3 3 2 7 5" xfId="18643"/>
    <cellStyle name="Vírgula 3 3 2 7 5 2" xfId="43710"/>
    <cellStyle name="Vírgula 3 3 2 7 6" xfId="12329"/>
    <cellStyle name="Vírgula 3 3 2 7 6 2" xfId="37799"/>
    <cellStyle name="Vírgula 3 3 2 7 7" xfId="31888"/>
    <cellStyle name="Vírgula 3 3 2 8" xfId="6343"/>
    <cellStyle name="Vírgula 3 3 2 8 2" xfId="9529"/>
    <cellStyle name="Vírgula 3 3 2 8 2 2" xfId="27743"/>
    <cellStyle name="Vírgula 3 3 2 8 2 2 2" xfId="52810"/>
    <cellStyle name="Vírgula 3 3 2 8 2 3" xfId="21829"/>
    <cellStyle name="Vírgula 3 3 2 8 2 3 2" xfId="46896"/>
    <cellStyle name="Vírgula 3 3 2 8 2 4" xfId="15915"/>
    <cellStyle name="Vírgula 3 3 2 8 2 4 2" xfId="40982"/>
    <cellStyle name="Vírgula 3 3 2 8 2 5" xfId="35074"/>
    <cellStyle name="Vírgula 3 3 2 8 3" xfId="24786"/>
    <cellStyle name="Vírgula 3 3 2 8 3 2" xfId="49853"/>
    <cellStyle name="Vírgula 3 3 2 8 4" xfId="18872"/>
    <cellStyle name="Vírgula 3 3 2 8 4 2" xfId="43939"/>
    <cellStyle name="Vírgula 3 3 2 8 5" xfId="12732"/>
    <cellStyle name="Vírgula 3 3 2 8 5 2" xfId="38028"/>
    <cellStyle name="Vírgula 3 3 2 8 6" xfId="32117"/>
    <cellStyle name="Vírgula 3 3 2 9" xfId="8035"/>
    <cellStyle name="Vírgula 3 3 2 9 2" xfId="10993"/>
    <cellStyle name="Vírgula 3 3 2 9 2 2" xfId="29207"/>
    <cellStyle name="Vírgula 3 3 2 9 2 2 2" xfId="54274"/>
    <cellStyle name="Vírgula 3 3 2 9 2 3" xfId="23293"/>
    <cellStyle name="Vírgula 3 3 2 9 2 3 2" xfId="48360"/>
    <cellStyle name="Vírgula 3 3 2 9 2 4" xfId="17379"/>
    <cellStyle name="Vírgula 3 3 2 9 2 4 2" xfId="42446"/>
    <cellStyle name="Vírgula 3 3 2 9 2 5" xfId="36538"/>
    <cellStyle name="Vírgula 3 3 2 9 3" xfId="26250"/>
    <cellStyle name="Vírgula 3 3 2 9 3 2" xfId="51317"/>
    <cellStyle name="Vírgula 3 3 2 9 4" xfId="20336"/>
    <cellStyle name="Vírgula 3 3 2 9 4 2" xfId="45403"/>
    <cellStyle name="Vírgula 3 3 2 9 5" xfId="14424"/>
    <cellStyle name="Vírgula 3 3 2 9 5 2" xfId="39492"/>
    <cellStyle name="Vírgula 3 3 2 9 6" xfId="33581"/>
    <cellStyle name="Vírgula 3 3 3" xfId="4260"/>
    <cellStyle name="Vírgula 3 3 3 10" xfId="11051"/>
    <cellStyle name="Vírgula 3 3 3 10 2" xfId="36571"/>
    <cellStyle name="Vírgula 3 3 3 11" xfId="30429"/>
    <cellStyle name="Vírgula 3 3 3 2" xfId="4337"/>
    <cellStyle name="Vírgula 3 3 3 2 2" xfId="7738"/>
    <cellStyle name="Vírgula 3 3 3 2 2 2" xfId="10822"/>
    <cellStyle name="Vírgula 3 3 3 2 2 2 2" xfId="29036"/>
    <cellStyle name="Vírgula 3 3 3 2 2 2 2 2" xfId="54103"/>
    <cellStyle name="Vírgula 3 3 3 2 2 2 3" xfId="23122"/>
    <cellStyle name="Vírgula 3 3 3 2 2 2 3 2" xfId="48189"/>
    <cellStyle name="Vírgula 3 3 3 2 2 2 4" xfId="17208"/>
    <cellStyle name="Vírgula 3 3 3 2 2 2 4 2" xfId="42275"/>
    <cellStyle name="Vírgula 3 3 3 2 2 2 5" xfId="36367"/>
    <cellStyle name="Vírgula 3 3 3 2 2 3" xfId="26079"/>
    <cellStyle name="Vírgula 3 3 3 2 2 3 2" xfId="51146"/>
    <cellStyle name="Vírgula 3 3 3 2 2 4" xfId="20165"/>
    <cellStyle name="Vírgula 3 3 3 2 2 4 2" xfId="45232"/>
    <cellStyle name="Vírgula 3 3 3 2 2 5" xfId="14127"/>
    <cellStyle name="Vírgula 3 3 3 2 2 5 2" xfId="39321"/>
    <cellStyle name="Vírgula 3 3 3 2 2 6" xfId="33410"/>
    <cellStyle name="Vírgula 3 3 3 2 3" xfId="9354"/>
    <cellStyle name="Vírgula 3 3 3 2 3 2" xfId="27568"/>
    <cellStyle name="Vírgula 3 3 3 2 3 2 2" xfId="52635"/>
    <cellStyle name="Vírgula 3 3 3 2 3 3" xfId="21654"/>
    <cellStyle name="Vírgula 3 3 3 2 3 3 2" xfId="46721"/>
    <cellStyle name="Vírgula 3 3 3 2 3 4" xfId="15740"/>
    <cellStyle name="Vírgula 3 3 3 2 3 4 2" xfId="40807"/>
    <cellStyle name="Vírgula 3 3 3 2 3 5" xfId="34899"/>
    <cellStyle name="Vírgula 3 3 3 2 4" xfId="6038"/>
    <cellStyle name="Vírgula 3 3 3 2 4 2" xfId="24611"/>
    <cellStyle name="Vírgula 3 3 3 2 4 2 2" xfId="49678"/>
    <cellStyle name="Vírgula 3 3 3 2 4 3" xfId="31942"/>
    <cellStyle name="Vírgula 3 3 3 2 5" xfId="18697"/>
    <cellStyle name="Vírgula 3 3 3 2 5 2" xfId="43764"/>
    <cellStyle name="Vírgula 3 3 3 2 6" xfId="12426"/>
    <cellStyle name="Vírgula 3 3 3 2 6 2" xfId="37853"/>
    <cellStyle name="Vírgula 3 3 3 2 7" xfId="30472"/>
    <cellStyle name="Vírgula 3 3 3 3" xfId="4445"/>
    <cellStyle name="Vírgula 3 3 3 3 2" xfId="7847"/>
    <cellStyle name="Vírgula 3 3 3 3 2 2" xfId="10884"/>
    <cellStyle name="Vírgula 3 3 3 3 2 2 2" xfId="29098"/>
    <cellStyle name="Vírgula 3 3 3 3 2 2 2 2" xfId="54165"/>
    <cellStyle name="Vírgula 3 3 3 3 2 2 3" xfId="23184"/>
    <cellStyle name="Vírgula 3 3 3 3 2 2 3 2" xfId="48251"/>
    <cellStyle name="Vírgula 3 3 3 3 2 2 4" xfId="17270"/>
    <cellStyle name="Vírgula 3 3 3 3 2 2 4 2" xfId="42337"/>
    <cellStyle name="Vírgula 3 3 3 3 2 2 5" xfId="36429"/>
    <cellStyle name="Vírgula 3 3 3 3 2 3" xfId="26141"/>
    <cellStyle name="Vírgula 3 3 3 3 2 3 2" xfId="51208"/>
    <cellStyle name="Vírgula 3 3 3 3 2 4" xfId="20227"/>
    <cellStyle name="Vírgula 3 3 3 3 2 4 2" xfId="45294"/>
    <cellStyle name="Vírgula 3 3 3 3 2 5" xfId="14236"/>
    <cellStyle name="Vírgula 3 3 3 3 2 5 2" xfId="39383"/>
    <cellStyle name="Vírgula 3 3 3 3 2 6" xfId="33472"/>
    <cellStyle name="Vírgula 3 3 3 3 3" xfId="9416"/>
    <cellStyle name="Vírgula 3 3 3 3 3 2" xfId="27630"/>
    <cellStyle name="Vírgula 3 3 3 3 3 2 2" xfId="52697"/>
    <cellStyle name="Vírgula 3 3 3 3 3 3" xfId="21716"/>
    <cellStyle name="Vírgula 3 3 3 3 3 3 2" xfId="46783"/>
    <cellStyle name="Vírgula 3 3 3 3 3 4" xfId="15802"/>
    <cellStyle name="Vírgula 3 3 3 3 3 4 2" xfId="40869"/>
    <cellStyle name="Vírgula 3 3 3 3 3 5" xfId="34961"/>
    <cellStyle name="Vírgula 3 3 3 3 4" xfId="6147"/>
    <cellStyle name="Vírgula 3 3 3 3 4 2" xfId="24673"/>
    <cellStyle name="Vírgula 3 3 3 3 4 2 2" xfId="49740"/>
    <cellStyle name="Vírgula 3 3 3 3 4 3" xfId="32004"/>
    <cellStyle name="Vírgula 3 3 3 3 5" xfId="18759"/>
    <cellStyle name="Vírgula 3 3 3 3 5 2" xfId="43826"/>
    <cellStyle name="Vírgula 3 3 3 3 6" xfId="12535"/>
    <cellStyle name="Vírgula 3 3 3 3 6 2" xfId="37915"/>
    <cellStyle name="Vírgula 3 3 3 3 7" xfId="30534"/>
    <cellStyle name="Vírgula 3 3 3 4" xfId="4553"/>
    <cellStyle name="Vírgula 3 3 3 4 2" xfId="7955"/>
    <cellStyle name="Vírgula 3 3 3 4 2 2" xfId="10946"/>
    <cellStyle name="Vírgula 3 3 3 4 2 2 2" xfId="29160"/>
    <cellStyle name="Vírgula 3 3 3 4 2 2 2 2" xfId="54227"/>
    <cellStyle name="Vírgula 3 3 3 4 2 2 3" xfId="23246"/>
    <cellStyle name="Vírgula 3 3 3 4 2 2 3 2" xfId="48313"/>
    <cellStyle name="Vírgula 3 3 3 4 2 2 4" xfId="17332"/>
    <cellStyle name="Vírgula 3 3 3 4 2 2 4 2" xfId="42399"/>
    <cellStyle name="Vírgula 3 3 3 4 2 2 5" xfId="36491"/>
    <cellStyle name="Vírgula 3 3 3 4 2 3" xfId="26203"/>
    <cellStyle name="Vírgula 3 3 3 4 2 3 2" xfId="51270"/>
    <cellStyle name="Vírgula 3 3 3 4 2 4" xfId="20289"/>
    <cellStyle name="Vírgula 3 3 3 4 2 4 2" xfId="45356"/>
    <cellStyle name="Vírgula 3 3 3 4 2 5" xfId="14344"/>
    <cellStyle name="Vírgula 3 3 3 4 2 5 2" xfId="39445"/>
    <cellStyle name="Vírgula 3 3 3 4 2 6" xfId="33534"/>
    <cellStyle name="Vírgula 3 3 3 4 3" xfId="9478"/>
    <cellStyle name="Vírgula 3 3 3 4 3 2" xfId="27692"/>
    <cellStyle name="Vírgula 3 3 3 4 3 2 2" xfId="52759"/>
    <cellStyle name="Vírgula 3 3 3 4 3 3" xfId="21778"/>
    <cellStyle name="Vírgula 3 3 3 4 3 3 2" xfId="46845"/>
    <cellStyle name="Vírgula 3 3 3 4 3 4" xfId="15864"/>
    <cellStyle name="Vírgula 3 3 3 4 3 4 2" xfId="40931"/>
    <cellStyle name="Vírgula 3 3 3 4 3 5" xfId="35023"/>
    <cellStyle name="Vírgula 3 3 3 4 4" xfId="6254"/>
    <cellStyle name="Vírgula 3 3 3 4 4 2" xfId="24735"/>
    <cellStyle name="Vírgula 3 3 3 4 4 2 2" xfId="49802"/>
    <cellStyle name="Vírgula 3 3 3 4 4 3" xfId="32066"/>
    <cellStyle name="Vírgula 3 3 3 4 5" xfId="18821"/>
    <cellStyle name="Vírgula 3 3 3 4 5 2" xfId="43888"/>
    <cellStyle name="Vírgula 3 3 3 4 6" xfId="12643"/>
    <cellStyle name="Vírgula 3 3 3 4 6 2" xfId="37977"/>
    <cellStyle name="Vírgula 3 3 3 4 7" xfId="30596"/>
    <cellStyle name="Vírgula 3 3 3 5" xfId="5961"/>
    <cellStyle name="Vírgula 3 3 3 5 2" xfId="7661"/>
    <cellStyle name="Vírgula 3 3 3 5 2 2" xfId="10779"/>
    <cellStyle name="Vírgula 3 3 3 5 2 2 2" xfId="28993"/>
    <cellStyle name="Vírgula 3 3 3 5 2 2 2 2" xfId="54060"/>
    <cellStyle name="Vírgula 3 3 3 5 2 2 3" xfId="23079"/>
    <cellStyle name="Vírgula 3 3 3 5 2 2 3 2" xfId="48146"/>
    <cellStyle name="Vírgula 3 3 3 5 2 2 4" xfId="17165"/>
    <cellStyle name="Vírgula 3 3 3 5 2 2 4 2" xfId="42232"/>
    <cellStyle name="Vírgula 3 3 3 5 2 2 5" xfId="36324"/>
    <cellStyle name="Vírgula 3 3 3 5 2 3" xfId="26036"/>
    <cellStyle name="Vírgula 3 3 3 5 2 3 2" xfId="51103"/>
    <cellStyle name="Vírgula 3 3 3 5 2 4" xfId="20122"/>
    <cellStyle name="Vírgula 3 3 3 5 2 4 2" xfId="45189"/>
    <cellStyle name="Vírgula 3 3 3 5 2 5" xfId="14050"/>
    <cellStyle name="Vírgula 3 3 3 5 2 5 2" xfId="39278"/>
    <cellStyle name="Vírgula 3 3 3 5 2 6" xfId="33367"/>
    <cellStyle name="Vírgula 3 3 3 5 3" xfId="9311"/>
    <cellStyle name="Vírgula 3 3 3 5 3 2" xfId="27525"/>
    <cellStyle name="Vírgula 3 3 3 5 3 2 2" xfId="52592"/>
    <cellStyle name="Vírgula 3 3 3 5 3 3" xfId="21611"/>
    <cellStyle name="Vírgula 3 3 3 5 3 3 2" xfId="46678"/>
    <cellStyle name="Vírgula 3 3 3 5 3 4" xfId="15697"/>
    <cellStyle name="Vírgula 3 3 3 5 3 4 2" xfId="40764"/>
    <cellStyle name="Vírgula 3 3 3 5 3 5" xfId="34856"/>
    <cellStyle name="Vírgula 3 3 3 5 4" xfId="24568"/>
    <cellStyle name="Vírgula 3 3 3 5 4 2" xfId="49635"/>
    <cellStyle name="Vírgula 3 3 3 5 5" xfId="18654"/>
    <cellStyle name="Vírgula 3 3 3 5 5 2" xfId="43721"/>
    <cellStyle name="Vírgula 3 3 3 5 6" xfId="12349"/>
    <cellStyle name="Vírgula 3 3 3 5 6 2" xfId="37810"/>
    <cellStyle name="Vírgula 3 3 3 5 7" xfId="31899"/>
    <cellStyle name="Vírgula 3 3 3 6" xfId="6363"/>
    <cellStyle name="Vírgula 3 3 3 6 2" xfId="9540"/>
    <cellStyle name="Vírgula 3 3 3 6 2 2" xfId="27754"/>
    <cellStyle name="Vírgula 3 3 3 6 2 2 2" xfId="52821"/>
    <cellStyle name="Vírgula 3 3 3 6 2 3" xfId="21840"/>
    <cellStyle name="Vírgula 3 3 3 6 2 3 2" xfId="46907"/>
    <cellStyle name="Vírgula 3 3 3 6 2 4" xfId="15926"/>
    <cellStyle name="Vírgula 3 3 3 6 2 4 2" xfId="40993"/>
    <cellStyle name="Vírgula 3 3 3 6 2 5" xfId="35085"/>
    <cellStyle name="Vírgula 3 3 3 6 3" xfId="24797"/>
    <cellStyle name="Vírgula 3 3 3 6 3 2" xfId="49864"/>
    <cellStyle name="Vírgula 3 3 3 6 4" xfId="18883"/>
    <cellStyle name="Vírgula 3 3 3 6 4 2" xfId="43950"/>
    <cellStyle name="Vírgula 3 3 3 6 5" xfId="12752"/>
    <cellStyle name="Vírgula 3 3 3 6 5 2" xfId="38039"/>
    <cellStyle name="Vírgula 3 3 3 6 6" xfId="32128"/>
    <cellStyle name="Vírgula 3 3 3 7" xfId="8069"/>
    <cellStyle name="Vírgula 3 3 3 7 2" xfId="26283"/>
    <cellStyle name="Vírgula 3 3 3 7 2 2" xfId="51350"/>
    <cellStyle name="Vírgula 3 3 3 7 3" xfId="20369"/>
    <cellStyle name="Vírgula 3 3 3 7 3 2" xfId="45436"/>
    <cellStyle name="Vírgula 3 3 3 7 4" xfId="14458"/>
    <cellStyle name="Vírgula 3 3 3 7 4 2" xfId="39525"/>
    <cellStyle name="Vírgula 3 3 3 7 5" xfId="33614"/>
    <cellStyle name="Vírgula 3 3 3 8" xfId="4660"/>
    <cellStyle name="Vírgula 3 3 3 8 2" xfId="23326"/>
    <cellStyle name="Vírgula 3 3 3 8 2 2" xfId="48393"/>
    <cellStyle name="Vírgula 3 3 3 8 3" xfId="30658"/>
    <cellStyle name="Vírgula 3 3 3 9" xfId="17412"/>
    <cellStyle name="Vírgula 3 3 3 9 2" xfId="42479"/>
    <cellStyle name="Vírgula 3 3 4" xfId="4225"/>
    <cellStyle name="Vírgula 3 3 4 10" xfId="11083"/>
    <cellStyle name="Vírgula 3 3 4 10 2" xfId="36590"/>
    <cellStyle name="Vírgula 3 3 4 11" xfId="30409"/>
    <cellStyle name="Vírgula 3 3 4 2" xfId="4369"/>
    <cellStyle name="Vírgula 3 3 4 2 2" xfId="7770"/>
    <cellStyle name="Vírgula 3 3 4 2 2 2" xfId="10841"/>
    <cellStyle name="Vírgula 3 3 4 2 2 2 2" xfId="29055"/>
    <cellStyle name="Vírgula 3 3 4 2 2 2 2 2" xfId="54122"/>
    <cellStyle name="Vírgula 3 3 4 2 2 2 3" xfId="23141"/>
    <cellStyle name="Vírgula 3 3 4 2 2 2 3 2" xfId="48208"/>
    <cellStyle name="Vírgula 3 3 4 2 2 2 4" xfId="17227"/>
    <cellStyle name="Vírgula 3 3 4 2 2 2 4 2" xfId="42294"/>
    <cellStyle name="Vírgula 3 3 4 2 2 2 5" xfId="36386"/>
    <cellStyle name="Vírgula 3 3 4 2 2 3" xfId="26098"/>
    <cellStyle name="Vírgula 3 3 4 2 2 3 2" xfId="51165"/>
    <cellStyle name="Vírgula 3 3 4 2 2 4" xfId="20184"/>
    <cellStyle name="Vírgula 3 3 4 2 2 4 2" xfId="45251"/>
    <cellStyle name="Vírgula 3 3 4 2 2 5" xfId="14159"/>
    <cellStyle name="Vírgula 3 3 4 2 2 5 2" xfId="39340"/>
    <cellStyle name="Vírgula 3 3 4 2 2 6" xfId="33429"/>
    <cellStyle name="Vírgula 3 3 4 2 3" xfId="9373"/>
    <cellStyle name="Vírgula 3 3 4 2 3 2" xfId="27587"/>
    <cellStyle name="Vírgula 3 3 4 2 3 2 2" xfId="52654"/>
    <cellStyle name="Vírgula 3 3 4 2 3 3" xfId="21673"/>
    <cellStyle name="Vírgula 3 3 4 2 3 3 2" xfId="46740"/>
    <cellStyle name="Vírgula 3 3 4 2 3 4" xfId="15759"/>
    <cellStyle name="Vírgula 3 3 4 2 3 4 2" xfId="40826"/>
    <cellStyle name="Vírgula 3 3 4 2 3 5" xfId="34918"/>
    <cellStyle name="Vírgula 3 3 4 2 4" xfId="6070"/>
    <cellStyle name="Vírgula 3 3 4 2 4 2" xfId="24630"/>
    <cellStyle name="Vírgula 3 3 4 2 4 2 2" xfId="49697"/>
    <cellStyle name="Vírgula 3 3 4 2 4 3" xfId="31961"/>
    <cellStyle name="Vírgula 3 3 4 2 5" xfId="18716"/>
    <cellStyle name="Vírgula 3 3 4 2 5 2" xfId="43783"/>
    <cellStyle name="Vírgula 3 3 4 2 6" xfId="12458"/>
    <cellStyle name="Vírgula 3 3 4 2 6 2" xfId="37872"/>
    <cellStyle name="Vírgula 3 3 4 2 7" xfId="30491"/>
    <cellStyle name="Vírgula 3 3 4 3" xfId="4477"/>
    <cellStyle name="Vírgula 3 3 4 3 2" xfId="7879"/>
    <cellStyle name="Vírgula 3 3 4 3 2 2" xfId="10903"/>
    <cellStyle name="Vírgula 3 3 4 3 2 2 2" xfId="29117"/>
    <cellStyle name="Vírgula 3 3 4 3 2 2 2 2" xfId="54184"/>
    <cellStyle name="Vírgula 3 3 4 3 2 2 3" xfId="23203"/>
    <cellStyle name="Vírgula 3 3 4 3 2 2 3 2" xfId="48270"/>
    <cellStyle name="Vírgula 3 3 4 3 2 2 4" xfId="17289"/>
    <cellStyle name="Vírgula 3 3 4 3 2 2 4 2" xfId="42356"/>
    <cellStyle name="Vírgula 3 3 4 3 2 2 5" xfId="36448"/>
    <cellStyle name="Vírgula 3 3 4 3 2 3" xfId="26160"/>
    <cellStyle name="Vírgula 3 3 4 3 2 3 2" xfId="51227"/>
    <cellStyle name="Vírgula 3 3 4 3 2 4" xfId="20246"/>
    <cellStyle name="Vírgula 3 3 4 3 2 4 2" xfId="45313"/>
    <cellStyle name="Vírgula 3 3 4 3 2 5" xfId="14268"/>
    <cellStyle name="Vírgula 3 3 4 3 2 5 2" xfId="39402"/>
    <cellStyle name="Vírgula 3 3 4 3 2 6" xfId="33491"/>
    <cellStyle name="Vírgula 3 3 4 3 3" xfId="9435"/>
    <cellStyle name="Vírgula 3 3 4 3 3 2" xfId="27649"/>
    <cellStyle name="Vírgula 3 3 4 3 3 2 2" xfId="52716"/>
    <cellStyle name="Vírgula 3 3 4 3 3 3" xfId="21735"/>
    <cellStyle name="Vírgula 3 3 4 3 3 3 2" xfId="46802"/>
    <cellStyle name="Vírgula 3 3 4 3 3 4" xfId="15821"/>
    <cellStyle name="Vírgula 3 3 4 3 3 4 2" xfId="40888"/>
    <cellStyle name="Vírgula 3 3 4 3 3 5" xfId="34980"/>
    <cellStyle name="Vírgula 3 3 4 3 4" xfId="6178"/>
    <cellStyle name="Vírgula 3 3 4 3 4 2" xfId="24692"/>
    <cellStyle name="Vírgula 3 3 4 3 4 2 2" xfId="49759"/>
    <cellStyle name="Vírgula 3 3 4 3 4 3" xfId="32023"/>
    <cellStyle name="Vírgula 3 3 4 3 5" xfId="18778"/>
    <cellStyle name="Vírgula 3 3 4 3 5 2" xfId="43845"/>
    <cellStyle name="Vírgula 3 3 4 3 6" xfId="12567"/>
    <cellStyle name="Vírgula 3 3 4 3 6 2" xfId="37934"/>
    <cellStyle name="Vírgula 3 3 4 3 7" xfId="30553"/>
    <cellStyle name="Vírgula 3 3 4 4" xfId="4585"/>
    <cellStyle name="Vírgula 3 3 4 4 2" xfId="7987"/>
    <cellStyle name="Vírgula 3 3 4 4 2 2" xfId="10965"/>
    <cellStyle name="Vírgula 3 3 4 4 2 2 2" xfId="29179"/>
    <cellStyle name="Vírgula 3 3 4 4 2 2 2 2" xfId="54246"/>
    <cellStyle name="Vírgula 3 3 4 4 2 2 3" xfId="23265"/>
    <cellStyle name="Vírgula 3 3 4 4 2 2 3 2" xfId="48332"/>
    <cellStyle name="Vírgula 3 3 4 4 2 2 4" xfId="17351"/>
    <cellStyle name="Vírgula 3 3 4 4 2 2 4 2" xfId="42418"/>
    <cellStyle name="Vírgula 3 3 4 4 2 2 5" xfId="36510"/>
    <cellStyle name="Vírgula 3 3 4 4 2 3" xfId="26222"/>
    <cellStyle name="Vírgula 3 3 4 4 2 3 2" xfId="51289"/>
    <cellStyle name="Vírgula 3 3 4 4 2 4" xfId="20308"/>
    <cellStyle name="Vírgula 3 3 4 4 2 4 2" xfId="45375"/>
    <cellStyle name="Vírgula 3 3 4 4 2 5" xfId="14376"/>
    <cellStyle name="Vírgula 3 3 4 4 2 5 2" xfId="39464"/>
    <cellStyle name="Vírgula 3 3 4 4 2 6" xfId="33553"/>
    <cellStyle name="Vírgula 3 3 4 4 3" xfId="9497"/>
    <cellStyle name="Vírgula 3 3 4 4 3 2" xfId="27711"/>
    <cellStyle name="Vírgula 3 3 4 4 3 2 2" xfId="52778"/>
    <cellStyle name="Vírgula 3 3 4 4 3 3" xfId="21797"/>
    <cellStyle name="Vírgula 3 3 4 4 3 3 2" xfId="46864"/>
    <cellStyle name="Vírgula 3 3 4 4 3 4" xfId="15883"/>
    <cellStyle name="Vírgula 3 3 4 4 3 4 2" xfId="40950"/>
    <cellStyle name="Vírgula 3 3 4 4 3 5" xfId="35042"/>
    <cellStyle name="Vírgula 3 3 4 4 4" xfId="6286"/>
    <cellStyle name="Vírgula 3 3 4 4 4 2" xfId="24754"/>
    <cellStyle name="Vírgula 3 3 4 4 4 2 2" xfId="49821"/>
    <cellStyle name="Vírgula 3 3 4 4 4 3" xfId="32085"/>
    <cellStyle name="Vírgula 3 3 4 4 5" xfId="18840"/>
    <cellStyle name="Vírgula 3 3 4 4 5 2" xfId="43907"/>
    <cellStyle name="Vírgula 3 3 4 4 6" xfId="12675"/>
    <cellStyle name="Vírgula 3 3 4 4 6 2" xfId="37996"/>
    <cellStyle name="Vírgula 3 3 4 4 7" xfId="30615"/>
    <cellStyle name="Vírgula 3 3 4 5" xfId="5925"/>
    <cellStyle name="Vírgula 3 3 4 5 2" xfId="7625"/>
    <cellStyle name="Vírgula 3 3 4 5 2 2" xfId="10759"/>
    <cellStyle name="Vírgula 3 3 4 5 2 2 2" xfId="28973"/>
    <cellStyle name="Vírgula 3 3 4 5 2 2 2 2" xfId="54040"/>
    <cellStyle name="Vírgula 3 3 4 5 2 2 3" xfId="23059"/>
    <cellStyle name="Vírgula 3 3 4 5 2 2 3 2" xfId="48126"/>
    <cellStyle name="Vírgula 3 3 4 5 2 2 4" xfId="17145"/>
    <cellStyle name="Vírgula 3 3 4 5 2 2 4 2" xfId="42212"/>
    <cellStyle name="Vírgula 3 3 4 5 2 2 5" xfId="36304"/>
    <cellStyle name="Vírgula 3 3 4 5 2 3" xfId="26016"/>
    <cellStyle name="Vírgula 3 3 4 5 2 3 2" xfId="51083"/>
    <cellStyle name="Vírgula 3 3 4 5 2 4" xfId="20102"/>
    <cellStyle name="Vírgula 3 3 4 5 2 4 2" xfId="45169"/>
    <cellStyle name="Vírgula 3 3 4 5 2 5" xfId="14014"/>
    <cellStyle name="Vírgula 3 3 4 5 2 5 2" xfId="39258"/>
    <cellStyle name="Vírgula 3 3 4 5 2 6" xfId="33347"/>
    <cellStyle name="Vírgula 3 3 4 5 3" xfId="9291"/>
    <cellStyle name="Vírgula 3 3 4 5 3 2" xfId="27505"/>
    <cellStyle name="Vírgula 3 3 4 5 3 2 2" xfId="52572"/>
    <cellStyle name="Vírgula 3 3 4 5 3 3" xfId="21591"/>
    <cellStyle name="Vírgula 3 3 4 5 3 3 2" xfId="46658"/>
    <cellStyle name="Vírgula 3 3 4 5 3 4" xfId="15677"/>
    <cellStyle name="Vírgula 3 3 4 5 3 4 2" xfId="40744"/>
    <cellStyle name="Vírgula 3 3 4 5 3 5" xfId="34836"/>
    <cellStyle name="Vírgula 3 3 4 5 4" xfId="24548"/>
    <cellStyle name="Vírgula 3 3 4 5 4 2" xfId="49615"/>
    <cellStyle name="Vírgula 3 3 4 5 5" xfId="18634"/>
    <cellStyle name="Vírgula 3 3 4 5 5 2" xfId="43701"/>
    <cellStyle name="Vírgula 3 3 4 5 6" xfId="12313"/>
    <cellStyle name="Vírgula 3 3 4 5 6 2" xfId="37790"/>
    <cellStyle name="Vírgula 3 3 4 5 7" xfId="31879"/>
    <cellStyle name="Vírgula 3 3 4 6" xfId="6395"/>
    <cellStyle name="Vírgula 3 3 4 6 2" xfId="9559"/>
    <cellStyle name="Vírgula 3 3 4 6 2 2" xfId="27773"/>
    <cellStyle name="Vírgula 3 3 4 6 2 2 2" xfId="52840"/>
    <cellStyle name="Vírgula 3 3 4 6 2 3" xfId="21859"/>
    <cellStyle name="Vírgula 3 3 4 6 2 3 2" xfId="46926"/>
    <cellStyle name="Vírgula 3 3 4 6 2 4" xfId="15945"/>
    <cellStyle name="Vírgula 3 3 4 6 2 4 2" xfId="41012"/>
    <cellStyle name="Vírgula 3 3 4 6 2 5" xfId="35104"/>
    <cellStyle name="Vírgula 3 3 4 6 3" xfId="24816"/>
    <cellStyle name="Vírgula 3 3 4 6 3 2" xfId="49883"/>
    <cellStyle name="Vírgula 3 3 4 6 4" xfId="18902"/>
    <cellStyle name="Vírgula 3 3 4 6 4 2" xfId="43969"/>
    <cellStyle name="Vírgula 3 3 4 6 5" xfId="12784"/>
    <cellStyle name="Vírgula 3 3 4 6 5 2" xfId="38058"/>
    <cellStyle name="Vírgula 3 3 4 6 6" xfId="32147"/>
    <cellStyle name="Vírgula 3 3 4 7" xfId="8088"/>
    <cellStyle name="Vírgula 3 3 4 7 2" xfId="26302"/>
    <cellStyle name="Vírgula 3 3 4 7 2 2" xfId="51369"/>
    <cellStyle name="Vírgula 3 3 4 7 3" xfId="20388"/>
    <cellStyle name="Vírgula 3 3 4 7 3 2" xfId="45455"/>
    <cellStyle name="Vírgula 3 3 4 7 4" xfId="14477"/>
    <cellStyle name="Vírgula 3 3 4 7 4 2" xfId="39544"/>
    <cellStyle name="Vírgula 3 3 4 7 5" xfId="33633"/>
    <cellStyle name="Vírgula 3 3 4 8" xfId="4692"/>
    <cellStyle name="Vírgula 3 3 4 8 2" xfId="23345"/>
    <cellStyle name="Vírgula 3 3 4 8 2 2" xfId="48412"/>
    <cellStyle name="Vírgula 3 3 4 8 3" xfId="30677"/>
    <cellStyle name="Vírgula 3 3 4 9" xfId="17431"/>
    <cellStyle name="Vírgula 3 3 4 9 2" xfId="42498"/>
    <cellStyle name="Vírgula 3 3 5" xfId="4301"/>
    <cellStyle name="Vírgula 3 3 5 2" xfId="7702"/>
    <cellStyle name="Vírgula 3 3 5 2 2" xfId="10802"/>
    <cellStyle name="Vírgula 3 3 5 2 2 2" xfId="29016"/>
    <cellStyle name="Vírgula 3 3 5 2 2 2 2" xfId="54083"/>
    <cellStyle name="Vírgula 3 3 5 2 2 3" xfId="23102"/>
    <cellStyle name="Vírgula 3 3 5 2 2 3 2" xfId="48169"/>
    <cellStyle name="Vírgula 3 3 5 2 2 4" xfId="17188"/>
    <cellStyle name="Vírgula 3 3 5 2 2 4 2" xfId="42255"/>
    <cellStyle name="Vírgula 3 3 5 2 2 5" xfId="36347"/>
    <cellStyle name="Vírgula 3 3 5 2 3" xfId="26059"/>
    <cellStyle name="Vírgula 3 3 5 2 3 2" xfId="51126"/>
    <cellStyle name="Vírgula 3 3 5 2 4" xfId="20145"/>
    <cellStyle name="Vírgula 3 3 5 2 4 2" xfId="45212"/>
    <cellStyle name="Vírgula 3 3 5 2 5" xfId="14091"/>
    <cellStyle name="Vírgula 3 3 5 2 5 2" xfId="39301"/>
    <cellStyle name="Vírgula 3 3 5 2 6" xfId="33390"/>
    <cellStyle name="Vírgula 3 3 5 3" xfId="9334"/>
    <cellStyle name="Vírgula 3 3 5 3 2" xfId="27548"/>
    <cellStyle name="Vírgula 3 3 5 3 2 2" xfId="52615"/>
    <cellStyle name="Vírgula 3 3 5 3 3" xfId="21634"/>
    <cellStyle name="Vírgula 3 3 5 3 3 2" xfId="46701"/>
    <cellStyle name="Vírgula 3 3 5 3 4" xfId="15720"/>
    <cellStyle name="Vírgula 3 3 5 3 4 2" xfId="40787"/>
    <cellStyle name="Vírgula 3 3 5 3 5" xfId="34879"/>
    <cellStyle name="Vírgula 3 3 5 4" xfId="6002"/>
    <cellStyle name="Vírgula 3 3 5 4 2" xfId="24591"/>
    <cellStyle name="Vírgula 3 3 5 4 2 2" xfId="49658"/>
    <cellStyle name="Vírgula 3 3 5 4 3" xfId="31922"/>
    <cellStyle name="Vírgula 3 3 5 5" xfId="18677"/>
    <cellStyle name="Vírgula 3 3 5 5 2" xfId="43744"/>
    <cellStyle name="Vírgula 3 3 5 6" xfId="12390"/>
    <cellStyle name="Vírgula 3 3 5 6 2" xfId="37833"/>
    <cellStyle name="Vírgula 3 3 5 7" xfId="30452"/>
    <cellStyle name="Vírgula 3 3 6" xfId="4409"/>
    <cellStyle name="Vírgula 3 3 6 2" xfId="7811"/>
    <cellStyle name="Vírgula 3 3 6 2 2" xfId="10864"/>
    <cellStyle name="Vírgula 3 3 6 2 2 2" xfId="29078"/>
    <cellStyle name="Vírgula 3 3 6 2 2 2 2" xfId="54145"/>
    <cellStyle name="Vírgula 3 3 6 2 2 3" xfId="23164"/>
    <cellStyle name="Vírgula 3 3 6 2 2 3 2" xfId="48231"/>
    <cellStyle name="Vírgula 3 3 6 2 2 4" xfId="17250"/>
    <cellStyle name="Vírgula 3 3 6 2 2 4 2" xfId="42317"/>
    <cellStyle name="Vírgula 3 3 6 2 2 5" xfId="36409"/>
    <cellStyle name="Vírgula 3 3 6 2 3" xfId="26121"/>
    <cellStyle name="Vírgula 3 3 6 2 3 2" xfId="51188"/>
    <cellStyle name="Vírgula 3 3 6 2 4" xfId="20207"/>
    <cellStyle name="Vírgula 3 3 6 2 4 2" xfId="45274"/>
    <cellStyle name="Vírgula 3 3 6 2 5" xfId="14200"/>
    <cellStyle name="Vírgula 3 3 6 2 5 2" xfId="39363"/>
    <cellStyle name="Vírgula 3 3 6 2 6" xfId="33452"/>
    <cellStyle name="Vírgula 3 3 6 3" xfId="9396"/>
    <cellStyle name="Vírgula 3 3 6 3 2" xfId="27610"/>
    <cellStyle name="Vírgula 3 3 6 3 2 2" xfId="52677"/>
    <cellStyle name="Vírgula 3 3 6 3 3" xfId="21696"/>
    <cellStyle name="Vírgula 3 3 6 3 3 2" xfId="46763"/>
    <cellStyle name="Vírgula 3 3 6 3 4" xfId="15782"/>
    <cellStyle name="Vírgula 3 3 6 3 4 2" xfId="40849"/>
    <cellStyle name="Vírgula 3 3 6 3 5" xfId="34941"/>
    <cellStyle name="Vírgula 3 3 6 4" xfId="6111"/>
    <cellStyle name="Vírgula 3 3 6 4 2" xfId="24653"/>
    <cellStyle name="Vírgula 3 3 6 4 2 2" xfId="49720"/>
    <cellStyle name="Vírgula 3 3 6 4 3" xfId="31984"/>
    <cellStyle name="Vírgula 3 3 6 5" xfId="18739"/>
    <cellStyle name="Vírgula 3 3 6 5 2" xfId="43806"/>
    <cellStyle name="Vírgula 3 3 6 6" xfId="12499"/>
    <cellStyle name="Vírgula 3 3 6 6 2" xfId="37895"/>
    <cellStyle name="Vírgula 3 3 6 7" xfId="30514"/>
    <cellStyle name="Vírgula 3 3 7" xfId="4517"/>
    <cellStyle name="Vírgula 3 3 7 2" xfId="7919"/>
    <cellStyle name="Vírgula 3 3 7 2 2" xfId="10926"/>
    <cellStyle name="Vírgula 3 3 7 2 2 2" xfId="29140"/>
    <cellStyle name="Vírgula 3 3 7 2 2 2 2" xfId="54207"/>
    <cellStyle name="Vírgula 3 3 7 2 2 3" xfId="23226"/>
    <cellStyle name="Vírgula 3 3 7 2 2 3 2" xfId="48293"/>
    <cellStyle name="Vírgula 3 3 7 2 2 4" xfId="17312"/>
    <cellStyle name="Vírgula 3 3 7 2 2 4 2" xfId="42379"/>
    <cellStyle name="Vírgula 3 3 7 2 2 5" xfId="36471"/>
    <cellStyle name="Vírgula 3 3 7 2 3" xfId="26183"/>
    <cellStyle name="Vírgula 3 3 7 2 3 2" xfId="51250"/>
    <cellStyle name="Vírgula 3 3 7 2 4" xfId="20269"/>
    <cellStyle name="Vírgula 3 3 7 2 4 2" xfId="45336"/>
    <cellStyle name="Vírgula 3 3 7 2 5" xfId="14308"/>
    <cellStyle name="Vírgula 3 3 7 2 5 2" xfId="39425"/>
    <cellStyle name="Vírgula 3 3 7 2 6" xfId="33514"/>
    <cellStyle name="Vírgula 3 3 7 3" xfId="9458"/>
    <cellStyle name="Vírgula 3 3 7 3 2" xfId="27672"/>
    <cellStyle name="Vírgula 3 3 7 3 2 2" xfId="52739"/>
    <cellStyle name="Vírgula 3 3 7 3 3" xfId="21758"/>
    <cellStyle name="Vírgula 3 3 7 3 3 2" xfId="46825"/>
    <cellStyle name="Vírgula 3 3 7 3 4" xfId="15844"/>
    <cellStyle name="Vírgula 3 3 7 3 4 2" xfId="40911"/>
    <cellStyle name="Vírgula 3 3 7 3 5" xfId="35003"/>
    <cellStyle name="Vírgula 3 3 7 4" xfId="6218"/>
    <cellStyle name="Vírgula 3 3 7 4 2" xfId="24715"/>
    <cellStyle name="Vírgula 3 3 7 4 2 2" xfId="49782"/>
    <cellStyle name="Vírgula 3 3 7 4 3" xfId="32046"/>
    <cellStyle name="Vírgula 3 3 7 5" xfId="18801"/>
    <cellStyle name="Vírgula 3 3 7 5 2" xfId="43868"/>
    <cellStyle name="Vírgula 3 3 7 6" xfId="12607"/>
    <cellStyle name="Vírgula 3 3 7 6 2" xfId="37957"/>
    <cellStyle name="Vírgula 3 3 7 7" xfId="30576"/>
    <cellStyle name="Vírgula 3 3 8" xfId="4977"/>
    <cellStyle name="Vírgula 3 3 8 2" xfId="6676"/>
    <cellStyle name="Vírgula 3 3 8 2 2" xfId="9823"/>
    <cellStyle name="Vírgula 3 3 8 2 2 2" xfId="28037"/>
    <cellStyle name="Vírgula 3 3 8 2 2 2 2" xfId="53104"/>
    <cellStyle name="Vírgula 3 3 8 2 2 3" xfId="22123"/>
    <cellStyle name="Vírgula 3 3 8 2 2 3 2" xfId="47190"/>
    <cellStyle name="Vírgula 3 3 8 2 2 4" xfId="16209"/>
    <cellStyle name="Vírgula 3 3 8 2 2 4 2" xfId="41276"/>
    <cellStyle name="Vírgula 3 3 8 2 2 5" xfId="35368"/>
    <cellStyle name="Vírgula 3 3 8 2 3" xfId="25080"/>
    <cellStyle name="Vírgula 3 3 8 2 3 2" xfId="50147"/>
    <cellStyle name="Vírgula 3 3 8 2 4" xfId="19166"/>
    <cellStyle name="Vírgula 3 3 8 2 4 2" xfId="44233"/>
    <cellStyle name="Vírgula 3 3 8 2 5" xfId="13065"/>
    <cellStyle name="Vírgula 3 3 8 2 5 2" xfId="38322"/>
    <cellStyle name="Vírgula 3 3 8 2 6" xfId="32411"/>
    <cellStyle name="Vírgula 3 3 8 3" xfId="8355"/>
    <cellStyle name="Vírgula 3 3 8 3 2" xfId="26569"/>
    <cellStyle name="Vírgula 3 3 8 3 2 2" xfId="51636"/>
    <cellStyle name="Vírgula 3 3 8 3 3" xfId="20655"/>
    <cellStyle name="Vírgula 3 3 8 3 3 2" xfId="45722"/>
    <cellStyle name="Vírgula 3 3 8 3 4" xfId="14741"/>
    <cellStyle name="Vírgula 3 3 8 3 4 2" xfId="39808"/>
    <cellStyle name="Vírgula 3 3 8 3 5" xfId="33900"/>
    <cellStyle name="Vírgula 3 3 8 4" xfId="23612"/>
    <cellStyle name="Vírgula 3 3 8 4 2" xfId="48679"/>
    <cellStyle name="Vírgula 3 3 8 5" xfId="17698"/>
    <cellStyle name="Vírgula 3 3 8 5 2" xfId="42765"/>
    <cellStyle name="Vírgula 3 3 8 6" xfId="11364"/>
    <cellStyle name="Vírgula 3 3 8 6 2" xfId="36854"/>
    <cellStyle name="Vírgula 3 3 8 7" xfId="30943"/>
    <cellStyle name="Vírgula 3 3 9" xfId="6327"/>
    <cellStyle name="Vírgula 3 3 9 2" xfId="9520"/>
    <cellStyle name="Vírgula 3 3 9 2 2" xfId="27734"/>
    <cellStyle name="Vírgula 3 3 9 2 2 2" xfId="52801"/>
    <cellStyle name="Vírgula 3 3 9 2 3" xfId="21820"/>
    <cellStyle name="Vírgula 3 3 9 2 3 2" xfId="46887"/>
    <cellStyle name="Vírgula 3 3 9 2 4" xfId="15906"/>
    <cellStyle name="Vírgula 3 3 9 2 4 2" xfId="40973"/>
    <cellStyle name="Vírgula 3 3 9 2 5" xfId="35065"/>
    <cellStyle name="Vírgula 3 3 9 3" xfId="24777"/>
    <cellStyle name="Vírgula 3 3 9 3 2" xfId="49844"/>
    <cellStyle name="Vírgula 3 3 9 4" xfId="18863"/>
    <cellStyle name="Vírgula 3 3 9 4 2" xfId="43930"/>
    <cellStyle name="Vírgula 3 3 9 5" xfId="12716"/>
    <cellStyle name="Vírgula 3 3 9 5 2" xfId="38019"/>
    <cellStyle name="Vírgula 3 3 9 6" xfId="32108"/>
    <cellStyle name="Vírgula 3 4" xfId="1219"/>
    <cellStyle name="Vírgula 3 4 10" xfId="8052"/>
    <cellStyle name="Vírgula 3 4 10 2" xfId="26266"/>
    <cellStyle name="Vírgula 3 4 10 2 2" xfId="51333"/>
    <cellStyle name="Vírgula 3 4 10 3" xfId="20352"/>
    <cellStyle name="Vírgula 3 4 10 3 2" xfId="45419"/>
    <cellStyle name="Vírgula 3 4 10 4" xfId="14441"/>
    <cellStyle name="Vírgula 3 4 10 4 2" xfId="39508"/>
    <cellStyle name="Vírgula 3 4 10 5" xfId="33597"/>
    <cellStyle name="Vírgula 3 4 11" xfId="4630"/>
    <cellStyle name="Vírgula 3 4 11 2" xfId="23309"/>
    <cellStyle name="Vírgula 3 4 11 2 2" xfId="48376"/>
    <cellStyle name="Vírgula 3 4 11 3" xfId="30641"/>
    <cellStyle name="Vírgula 3 4 12" xfId="17395"/>
    <cellStyle name="Vírgula 3 4 12 2" xfId="42462"/>
    <cellStyle name="Vírgula 3 4 13" xfId="11021"/>
    <cellStyle name="Vírgula 3 4 13 2" xfId="36554"/>
    <cellStyle name="Vírgula 3 4 14" xfId="29571"/>
    <cellStyle name="Vírgula 3 4 2" xfId="4265"/>
    <cellStyle name="Vírgula 3 4 2 10" xfId="11056"/>
    <cellStyle name="Vírgula 3 4 2 10 2" xfId="36574"/>
    <cellStyle name="Vírgula 3 4 2 11" xfId="30432"/>
    <cellStyle name="Vírgula 3 4 2 2" xfId="4342"/>
    <cellStyle name="Vírgula 3 4 2 2 2" xfId="7743"/>
    <cellStyle name="Vírgula 3 4 2 2 2 2" xfId="10825"/>
    <cellStyle name="Vírgula 3 4 2 2 2 2 2" xfId="29039"/>
    <cellStyle name="Vírgula 3 4 2 2 2 2 2 2" xfId="54106"/>
    <cellStyle name="Vírgula 3 4 2 2 2 2 3" xfId="23125"/>
    <cellStyle name="Vírgula 3 4 2 2 2 2 3 2" xfId="48192"/>
    <cellStyle name="Vírgula 3 4 2 2 2 2 4" xfId="17211"/>
    <cellStyle name="Vírgula 3 4 2 2 2 2 4 2" xfId="42278"/>
    <cellStyle name="Vírgula 3 4 2 2 2 2 5" xfId="36370"/>
    <cellStyle name="Vírgula 3 4 2 2 2 3" xfId="26082"/>
    <cellStyle name="Vírgula 3 4 2 2 2 3 2" xfId="51149"/>
    <cellStyle name="Vírgula 3 4 2 2 2 4" xfId="20168"/>
    <cellStyle name="Vírgula 3 4 2 2 2 4 2" xfId="45235"/>
    <cellStyle name="Vírgula 3 4 2 2 2 5" xfId="14132"/>
    <cellStyle name="Vírgula 3 4 2 2 2 5 2" xfId="39324"/>
    <cellStyle name="Vírgula 3 4 2 2 2 6" xfId="33413"/>
    <cellStyle name="Vírgula 3 4 2 2 3" xfId="9357"/>
    <cellStyle name="Vírgula 3 4 2 2 3 2" xfId="27571"/>
    <cellStyle name="Vírgula 3 4 2 2 3 2 2" xfId="52638"/>
    <cellStyle name="Vírgula 3 4 2 2 3 3" xfId="21657"/>
    <cellStyle name="Vírgula 3 4 2 2 3 3 2" xfId="46724"/>
    <cellStyle name="Vírgula 3 4 2 2 3 4" xfId="15743"/>
    <cellStyle name="Vírgula 3 4 2 2 3 4 2" xfId="40810"/>
    <cellStyle name="Vírgula 3 4 2 2 3 5" xfId="34902"/>
    <cellStyle name="Vírgula 3 4 2 2 4" xfId="6043"/>
    <cellStyle name="Vírgula 3 4 2 2 4 2" xfId="24614"/>
    <cellStyle name="Vírgula 3 4 2 2 4 2 2" xfId="49681"/>
    <cellStyle name="Vírgula 3 4 2 2 4 3" xfId="31945"/>
    <cellStyle name="Vírgula 3 4 2 2 5" xfId="18700"/>
    <cellStyle name="Vírgula 3 4 2 2 5 2" xfId="43767"/>
    <cellStyle name="Vírgula 3 4 2 2 6" xfId="12431"/>
    <cellStyle name="Vírgula 3 4 2 2 6 2" xfId="37856"/>
    <cellStyle name="Vírgula 3 4 2 2 7" xfId="30475"/>
    <cellStyle name="Vírgula 3 4 2 3" xfId="4450"/>
    <cellStyle name="Vírgula 3 4 2 3 2" xfId="7852"/>
    <cellStyle name="Vírgula 3 4 2 3 2 2" xfId="10887"/>
    <cellStyle name="Vírgula 3 4 2 3 2 2 2" xfId="29101"/>
    <cellStyle name="Vírgula 3 4 2 3 2 2 2 2" xfId="54168"/>
    <cellStyle name="Vírgula 3 4 2 3 2 2 3" xfId="23187"/>
    <cellStyle name="Vírgula 3 4 2 3 2 2 3 2" xfId="48254"/>
    <cellStyle name="Vírgula 3 4 2 3 2 2 4" xfId="17273"/>
    <cellStyle name="Vírgula 3 4 2 3 2 2 4 2" xfId="42340"/>
    <cellStyle name="Vírgula 3 4 2 3 2 2 5" xfId="36432"/>
    <cellStyle name="Vírgula 3 4 2 3 2 3" xfId="26144"/>
    <cellStyle name="Vírgula 3 4 2 3 2 3 2" xfId="51211"/>
    <cellStyle name="Vírgula 3 4 2 3 2 4" xfId="20230"/>
    <cellStyle name="Vírgula 3 4 2 3 2 4 2" xfId="45297"/>
    <cellStyle name="Vírgula 3 4 2 3 2 5" xfId="14241"/>
    <cellStyle name="Vírgula 3 4 2 3 2 5 2" xfId="39386"/>
    <cellStyle name="Vírgula 3 4 2 3 2 6" xfId="33475"/>
    <cellStyle name="Vírgula 3 4 2 3 3" xfId="9419"/>
    <cellStyle name="Vírgula 3 4 2 3 3 2" xfId="27633"/>
    <cellStyle name="Vírgula 3 4 2 3 3 2 2" xfId="52700"/>
    <cellStyle name="Vírgula 3 4 2 3 3 3" xfId="21719"/>
    <cellStyle name="Vírgula 3 4 2 3 3 3 2" xfId="46786"/>
    <cellStyle name="Vírgula 3 4 2 3 3 4" xfId="15805"/>
    <cellStyle name="Vírgula 3 4 2 3 3 4 2" xfId="40872"/>
    <cellStyle name="Vírgula 3 4 2 3 3 5" xfId="34964"/>
    <cellStyle name="Vírgula 3 4 2 3 4" xfId="6152"/>
    <cellStyle name="Vírgula 3 4 2 3 4 2" xfId="24676"/>
    <cellStyle name="Vírgula 3 4 2 3 4 2 2" xfId="49743"/>
    <cellStyle name="Vírgula 3 4 2 3 4 3" xfId="32007"/>
    <cellStyle name="Vírgula 3 4 2 3 5" xfId="18762"/>
    <cellStyle name="Vírgula 3 4 2 3 5 2" xfId="43829"/>
    <cellStyle name="Vírgula 3 4 2 3 6" xfId="12540"/>
    <cellStyle name="Vírgula 3 4 2 3 6 2" xfId="37918"/>
    <cellStyle name="Vírgula 3 4 2 3 7" xfId="30537"/>
    <cellStyle name="Vírgula 3 4 2 4" xfId="4558"/>
    <cellStyle name="Vírgula 3 4 2 4 2" xfId="7960"/>
    <cellStyle name="Vírgula 3 4 2 4 2 2" xfId="10949"/>
    <cellStyle name="Vírgula 3 4 2 4 2 2 2" xfId="29163"/>
    <cellStyle name="Vírgula 3 4 2 4 2 2 2 2" xfId="54230"/>
    <cellStyle name="Vírgula 3 4 2 4 2 2 3" xfId="23249"/>
    <cellStyle name="Vírgula 3 4 2 4 2 2 3 2" xfId="48316"/>
    <cellStyle name="Vírgula 3 4 2 4 2 2 4" xfId="17335"/>
    <cellStyle name="Vírgula 3 4 2 4 2 2 4 2" xfId="42402"/>
    <cellStyle name="Vírgula 3 4 2 4 2 2 5" xfId="36494"/>
    <cellStyle name="Vírgula 3 4 2 4 2 3" xfId="26206"/>
    <cellStyle name="Vírgula 3 4 2 4 2 3 2" xfId="51273"/>
    <cellStyle name="Vírgula 3 4 2 4 2 4" xfId="20292"/>
    <cellStyle name="Vírgula 3 4 2 4 2 4 2" xfId="45359"/>
    <cellStyle name="Vírgula 3 4 2 4 2 5" xfId="14349"/>
    <cellStyle name="Vírgula 3 4 2 4 2 5 2" xfId="39448"/>
    <cellStyle name="Vírgula 3 4 2 4 2 6" xfId="33537"/>
    <cellStyle name="Vírgula 3 4 2 4 3" xfId="9481"/>
    <cellStyle name="Vírgula 3 4 2 4 3 2" xfId="27695"/>
    <cellStyle name="Vírgula 3 4 2 4 3 2 2" xfId="52762"/>
    <cellStyle name="Vírgula 3 4 2 4 3 3" xfId="21781"/>
    <cellStyle name="Vírgula 3 4 2 4 3 3 2" xfId="46848"/>
    <cellStyle name="Vírgula 3 4 2 4 3 4" xfId="15867"/>
    <cellStyle name="Vírgula 3 4 2 4 3 4 2" xfId="40934"/>
    <cellStyle name="Vírgula 3 4 2 4 3 5" xfId="35026"/>
    <cellStyle name="Vírgula 3 4 2 4 4" xfId="6259"/>
    <cellStyle name="Vírgula 3 4 2 4 4 2" xfId="24738"/>
    <cellStyle name="Vírgula 3 4 2 4 4 2 2" xfId="49805"/>
    <cellStyle name="Vírgula 3 4 2 4 4 3" xfId="32069"/>
    <cellStyle name="Vírgula 3 4 2 4 5" xfId="18824"/>
    <cellStyle name="Vírgula 3 4 2 4 5 2" xfId="43891"/>
    <cellStyle name="Vírgula 3 4 2 4 6" xfId="12648"/>
    <cellStyle name="Vírgula 3 4 2 4 6 2" xfId="37980"/>
    <cellStyle name="Vírgula 3 4 2 4 7" xfId="30599"/>
    <cellStyle name="Vírgula 3 4 2 5" xfId="5966"/>
    <cellStyle name="Vírgula 3 4 2 5 2" xfId="7666"/>
    <cellStyle name="Vírgula 3 4 2 5 2 2" xfId="10782"/>
    <cellStyle name="Vírgula 3 4 2 5 2 2 2" xfId="28996"/>
    <cellStyle name="Vírgula 3 4 2 5 2 2 2 2" xfId="54063"/>
    <cellStyle name="Vírgula 3 4 2 5 2 2 3" xfId="23082"/>
    <cellStyle name="Vírgula 3 4 2 5 2 2 3 2" xfId="48149"/>
    <cellStyle name="Vírgula 3 4 2 5 2 2 4" xfId="17168"/>
    <cellStyle name="Vírgula 3 4 2 5 2 2 4 2" xfId="42235"/>
    <cellStyle name="Vírgula 3 4 2 5 2 2 5" xfId="36327"/>
    <cellStyle name="Vírgula 3 4 2 5 2 3" xfId="26039"/>
    <cellStyle name="Vírgula 3 4 2 5 2 3 2" xfId="51106"/>
    <cellStyle name="Vírgula 3 4 2 5 2 4" xfId="20125"/>
    <cellStyle name="Vírgula 3 4 2 5 2 4 2" xfId="45192"/>
    <cellStyle name="Vírgula 3 4 2 5 2 5" xfId="14055"/>
    <cellStyle name="Vírgula 3 4 2 5 2 5 2" xfId="39281"/>
    <cellStyle name="Vírgula 3 4 2 5 2 6" xfId="33370"/>
    <cellStyle name="Vírgula 3 4 2 5 3" xfId="9314"/>
    <cellStyle name="Vírgula 3 4 2 5 3 2" xfId="27528"/>
    <cellStyle name="Vírgula 3 4 2 5 3 2 2" xfId="52595"/>
    <cellStyle name="Vírgula 3 4 2 5 3 3" xfId="21614"/>
    <cellStyle name="Vírgula 3 4 2 5 3 3 2" xfId="46681"/>
    <cellStyle name="Vírgula 3 4 2 5 3 4" xfId="15700"/>
    <cellStyle name="Vírgula 3 4 2 5 3 4 2" xfId="40767"/>
    <cellStyle name="Vírgula 3 4 2 5 3 5" xfId="34859"/>
    <cellStyle name="Vírgula 3 4 2 5 4" xfId="24571"/>
    <cellStyle name="Vírgula 3 4 2 5 4 2" xfId="49638"/>
    <cellStyle name="Vírgula 3 4 2 5 5" xfId="18657"/>
    <cellStyle name="Vírgula 3 4 2 5 5 2" xfId="43724"/>
    <cellStyle name="Vírgula 3 4 2 5 6" xfId="12354"/>
    <cellStyle name="Vírgula 3 4 2 5 6 2" xfId="37813"/>
    <cellStyle name="Vírgula 3 4 2 5 7" xfId="31902"/>
    <cellStyle name="Vírgula 3 4 2 6" xfId="6368"/>
    <cellStyle name="Vírgula 3 4 2 6 2" xfId="9543"/>
    <cellStyle name="Vírgula 3 4 2 6 2 2" xfId="27757"/>
    <cellStyle name="Vírgula 3 4 2 6 2 2 2" xfId="52824"/>
    <cellStyle name="Vírgula 3 4 2 6 2 3" xfId="21843"/>
    <cellStyle name="Vírgula 3 4 2 6 2 3 2" xfId="46910"/>
    <cellStyle name="Vírgula 3 4 2 6 2 4" xfId="15929"/>
    <cellStyle name="Vírgula 3 4 2 6 2 4 2" xfId="40996"/>
    <cellStyle name="Vírgula 3 4 2 6 2 5" xfId="35088"/>
    <cellStyle name="Vírgula 3 4 2 6 3" xfId="24800"/>
    <cellStyle name="Vírgula 3 4 2 6 3 2" xfId="49867"/>
    <cellStyle name="Vírgula 3 4 2 6 4" xfId="18886"/>
    <cellStyle name="Vírgula 3 4 2 6 4 2" xfId="43953"/>
    <cellStyle name="Vírgula 3 4 2 6 5" xfId="12757"/>
    <cellStyle name="Vírgula 3 4 2 6 5 2" xfId="38042"/>
    <cellStyle name="Vírgula 3 4 2 6 6" xfId="32131"/>
    <cellStyle name="Vírgula 3 4 2 7" xfId="8072"/>
    <cellStyle name="Vírgula 3 4 2 7 2" xfId="26286"/>
    <cellStyle name="Vírgula 3 4 2 7 2 2" xfId="51353"/>
    <cellStyle name="Vírgula 3 4 2 7 3" xfId="20372"/>
    <cellStyle name="Vírgula 3 4 2 7 3 2" xfId="45439"/>
    <cellStyle name="Vírgula 3 4 2 7 4" xfId="14461"/>
    <cellStyle name="Vírgula 3 4 2 7 4 2" xfId="39528"/>
    <cellStyle name="Vírgula 3 4 2 7 5" xfId="33617"/>
    <cellStyle name="Vírgula 3 4 2 8" xfId="4665"/>
    <cellStyle name="Vírgula 3 4 2 8 2" xfId="23329"/>
    <cellStyle name="Vírgula 3 4 2 8 2 2" xfId="48396"/>
    <cellStyle name="Vírgula 3 4 2 8 3" xfId="30661"/>
    <cellStyle name="Vírgula 3 4 2 9" xfId="17415"/>
    <cellStyle name="Vírgula 3 4 2 9 2" xfId="42482"/>
    <cellStyle name="Vírgula 3 4 3" xfId="4230"/>
    <cellStyle name="Vírgula 3 4 3 10" xfId="11088"/>
    <cellStyle name="Vírgula 3 4 3 10 2" xfId="36593"/>
    <cellStyle name="Vírgula 3 4 3 11" xfId="30412"/>
    <cellStyle name="Vírgula 3 4 3 2" xfId="4374"/>
    <cellStyle name="Vírgula 3 4 3 2 2" xfId="7775"/>
    <cellStyle name="Vírgula 3 4 3 2 2 2" xfId="10844"/>
    <cellStyle name="Vírgula 3 4 3 2 2 2 2" xfId="29058"/>
    <cellStyle name="Vírgula 3 4 3 2 2 2 2 2" xfId="54125"/>
    <cellStyle name="Vírgula 3 4 3 2 2 2 3" xfId="23144"/>
    <cellStyle name="Vírgula 3 4 3 2 2 2 3 2" xfId="48211"/>
    <cellStyle name="Vírgula 3 4 3 2 2 2 4" xfId="17230"/>
    <cellStyle name="Vírgula 3 4 3 2 2 2 4 2" xfId="42297"/>
    <cellStyle name="Vírgula 3 4 3 2 2 2 5" xfId="36389"/>
    <cellStyle name="Vírgula 3 4 3 2 2 3" xfId="26101"/>
    <cellStyle name="Vírgula 3 4 3 2 2 3 2" xfId="51168"/>
    <cellStyle name="Vírgula 3 4 3 2 2 4" xfId="20187"/>
    <cellStyle name="Vírgula 3 4 3 2 2 4 2" xfId="45254"/>
    <cellStyle name="Vírgula 3 4 3 2 2 5" xfId="14164"/>
    <cellStyle name="Vírgula 3 4 3 2 2 5 2" xfId="39343"/>
    <cellStyle name="Vírgula 3 4 3 2 2 6" xfId="33432"/>
    <cellStyle name="Vírgula 3 4 3 2 3" xfId="9376"/>
    <cellStyle name="Vírgula 3 4 3 2 3 2" xfId="27590"/>
    <cellStyle name="Vírgula 3 4 3 2 3 2 2" xfId="52657"/>
    <cellStyle name="Vírgula 3 4 3 2 3 3" xfId="21676"/>
    <cellStyle name="Vírgula 3 4 3 2 3 3 2" xfId="46743"/>
    <cellStyle name="Vírgula 3 4 3 2 3 4" xfId="15762"/>
    <cellStyle name="Vírgula 3 4 3 2 3 4 2" xfId="40829"/>
    <cellStyle name="Vírgula 3 4 3 2 3 5" xfId="34921"/>
    <cellStyle name="Vírgula 3 4 3 2 4" xfId="6075"/>
    <cellStyle name="Vírgula 3 4 3 2 4 2" xfId="24633"/>
    <cellStyle name="Vírgula 3 4 3 2 4 2 2" xfId="49700"/>
    <cellStyle name="Vírgula 3 4 3 2 4 3" xfId="31964"/>
    <cellStyle name="Vírgula 3 4 3 2 5" xfId="18719"/>
    <cellStyle name="Vírgula 3 4 3 2 5 2" xfId="43786"/>
    <cellStyle name="Vírgula 3 4 3 2 6" xfId="12463"/>
    <cellStyle name="Vírgula 3 4 3 2 6 2" xfId="37875"/>
    <cellStyle name="Vírgula 3 4 3 2 7" xfId="30494"/>
    <cellStyle name="Vírgula 3 4 3 3" xfId="4482"/>
    <cellStyle name="Vírgula 3 4 3 3 2" xfId="7884"/>
    <cellStyle name="Vírgula 3 4 3 3 2 2" xfId="10906"/>
    <cellStyle name="Vírgula 3 4 3 3 2 2 2" xfId="29120"/>
    <cellStyle name="Vírgula 3 4 3 3 2 2 2 2" xfId="54187"/>
    <cellStyle name="Vírgula 3 4 3 3 2 2 3" xfId="23206"/>
    <cellStyle name="Vírgula 3 4 3 3 2 2 3 2" xfId="48273"/>
    <cellStyle name="Vírgula 3 4 3 3 2 2 4" xfId="17292"/>
    <cellStyle name="Vírgula 3 4 3 3 2 2 4 2" xfId="42359"/>
    <cellStyle name="Vírgula 3 4 3 3 2 2 5" xfId="36451"/>
    <cellStyle name="Vírgula 3 4 3 3 2 3" xfId="26163"/>
    <cellStyle name="Vírgula 3 4 3 3 2 3 2" xfId="51230"/>
    <cellStyle name="Vírgula 3 4 3 3 2 4" xfId="20249"/>
    <cellStyle name="Vírgula 3 4 3 3 2 4 2" xfId="45316"/>
    <cellStyle name="Vírgula 3 4 3 3 2 5" xfId="14273"/>
    <cellStyle name="Vírgula 3 4 3 3 2 5 2" xfId="39405"/>
    <cellStyle name="Vírgula 3 4 3 3 2 6" xfId="33494"/>
    <cellStyle name="Vírgula 3 4 3 3 3" xfId="9438"/>
    <cellStyle name="Vírgula 3 4 3 3 3 2" xfId="27652"/>
    <cellStyle name="Vírgula 3 4 3 3 3 2 2" xfId="52719"/>
    <cellStyle name="Vírgula 3 4 3 3 3 3" xfId="21738"/>
    <cellStyle name="Vírgula 3 4 3 3 3 3 2" xfId="46805"/>
    <cellStyle name="Vírgula 3 4 3 3 3 4" xfId="15824"/>
    <cellStyle name="Vírgula 3 4 3 3 3 4 2" xfId="40891"/>
    <cellStyle name="Vírgula 3 4 3 3 3 5" xfId="34983"/>
    <cellStyle name="Vírgula 3 4 3 3 4" xfId="6183"/>
    <cellStyle name="Vírgula 3 4 3 3 4 2" xfId="24695"/>
    <cellStyle name="Vírgula 3 4 3 3 4 2 2" xfId="49762"/>
    <cellStyle name="Vírgula 3 4 3 3 4 3" xfId="32026"/>
    <cellStyle name="Vírgula 3 4 3 3 5" xfId="18781"/>
    <cellStyle name="Vírgula 3 4 3 3 5 2" xfId="43848"/>
    <cellStyle name="Vírgula 3 4 3 3 6" xfId="12572"/>
    <cellStyle name="Vírgula 3 4 3 3 6 2" xfId="37937"/>
    <cellStyle name="Vírgula 3 4 3 3 7" xfId="30556"/>
    <cellStyle name="Vírgula 3 4 3 4" xfId="4590"/>
    <cellStyle name="Vírgula 3 4 3 4 2" xfId="7992"/>
    <cellStyle name="Vírgula 3 4 3 4 2 2" xfId="10968"/>
    <cellStyle name="Vírgula 3 4 3 4 2 2 2" xfId="29182"/>
    <cellStyle name="Vírgula 3 4 3 4 2 2 2 2" xfId="54249"/>
    <cellStyle name="Vírgula 3 4 3 4 2 2 3" xfId="23268"/>
    <cellStyle name="Vírgula 3 4 3 4 2 2 3 2" xfId="48335"/>
    <cellStyle name="Vírgula 3 4 3 4 2 2 4" xfId="17354"/>
    <cellStyle name="Vírgula 3 4 3 4 2 2 4 2" xfId="42421"/>
    <cellStyle name="Vírgula 3 4 3 4 2 2 5" xfId="36513"/>
    <cellStyle name="Vírgula 3 4 3 4 2 3" xfId="26225"/>
    <cellStyle name="Vírgula 3 4 3 4 2 3 2" xfId="51292"/>
    <cellStyle name="Vírgula 3 4 3 4 2 4" xfId="20311"/>
    <cellStyle name="Vírgula 3 4 3 4 2 4 2" xfId="45378"/>
    <cellStyle name="Vírgula 3 4 3 4 2 5" xfId="14381"/>
    <cellStyle name="Vírgula 3 4 3 4 2 5 2" xfId="39467"/>
    <cellStyle name="Vírgula 3 4 3 4 2 6" xfId="33556"/>
    <cellStyle name="Vírgula 3 4 3 4 3" xfId="9500"/>
    <cellStyle name="Vírgula 3 4 3 4 3 2" xfId="27714"/>
    <cellStyle name="Vírgula 3 4 3 4 3 2 2" xfId="52781"/>
    <cellStyle name="Vírgula 3 4 3 4 3 3" xfId="21800"/>
    <cellStyle name="Vírgula 3 4 3 4 3 3 2" xfId="46867"/>
    <cellStyle name="Vírgula 3 4 3 4 3 4" xfId="15886"/>
    <cellStyle name="Vírgula 3 4 3 4 3 4 2" xfId="40953"/>
    <cellStyle name="Vírgula 3 4 3 4 3 5" xfId="35045"/>
    <cellStyle name="Vírgula 3 4 3 4 4" xfId="6291"/>
    <cellStyle name="Vírgula 3 4 3 4 4 2" xfId="24757"/>
    <cellStyle name="Vírgula 3 4 3 4 4 2 2" xfId="49824"/>
    <cellStyle name="Vírgula 3 4 3 4 4 3" xfId="32088"/>
    <cellStyle name="Vírgula 3 4 3 4 5" xfId="18843"/>
    <cellStyle name="Vírgula 3 4 3 4 5 2" xfId="43910"/>
    <cellStyle name="Vírgula 3 4 3 4 6" xfId="12680"/>
    <cellStyle name="Vírgula 3 4 3 4 6 2" xfId="37999"/>
    <cellStyle name="Vírgula 3 4 3 4 7" xfId="30618"/>
    <cellStyle name="Vírgula 3 4 3 5" xfId="5930"/>
    <cellStyle name="Vírgula 3 4 3 5 2" xfId="7630"/>
    <cellStyle name="Vírgula 3 4 3 5 2 2" xfId="10762"/>
    <cellStyle name="Vírgula 3 4 3 5 2 2 2" xfId="28976"/>
    <cellStyle name="Vírgula 3 4 3 5 2 2 2 2" xfId="54043"/>
    <cellStyle name="Vírgula 3 4 3 5 2 2 3" xfId="23062"/>
    <cellStyle name="Vírgula 3 4 3 5 2 2 3 2" xfId="48129"/>
    <cellStyle name="Vírgula 3 4 3 5 2 2 4" xfId="17148"/>
    <cellStyle name="Vírgula 3 4 3 5 2 2 4 2" xfId="42215"/>
    <cellStyle name="Vírgula 3 4 3 5 2 2 5" xfId="36307"/>
    <cellStyle name="Vírgula 3 4 3 5 2 3" xfId="26019"/>
    <cellStyle name="Vírgula 3 4 3 5 2 3 2" xfId="51086"/>
    <cellStyle name="Vírgula 3 4 3 5 2 4" xfId="20105"/>
    <cellStyle name="Vírgula 3 4 3 5 2 4 2" xfId="45172"/>
    <cellStyle name="Vírgula 3 4 3 5 2 5" xfId="14019"/>
    <cellStyle name="Vírgula 3 4 3 5 2 5 2" xfId="39261"/>
    <cellStyle name="Vírgula 3 4 3 5 2 6" xfId="33350"/>
    <cellStyle name="Vírgula 3 4 3 5 3" xfId="9294"/>
    <cellStyle name="Vírgula 3 4 3 5 3 2" xfId="27508"/>
    <cellStyle name="Vírgula 3 4 3 5 3 2 2" xfId="52575"/>
    <cellStyle name="Vírgula 3 4 3 5 3 3" xfId="21594"/>
    <cellStyle name="Vírgula 3 4 3 5 3 3 2" xfId="46661"/>
    <cellStyle name="Vírgula 3 4 3 5 3 4" xfId="15680"/>
    <cellStyle name="Vírgula 3 4 3 5 3 4 2" xfId="40747"/>
    <cellStyle name="Vírgula 3 4 3 5 3 5" xfId="34839"/>
    <cellStyle name="Vírgula 3 4 3 5 4" xfId="24551"/>
    <cellStyle name="Vírgula 3 4 3 5 4 2" xfId="49618"/>
    <cellStyle name="Vírgula 3 4 3 5 5" xfId="18637"/>
    <cellStyle name="Vírgula 3 4 3 5 5 2" xfId="43704"/>
    <cellStyle name="Vírgula 3 4 3 5 6" xfId="12318"/>
    <cellStyle name="Vírgula 3 4 3 5 6 2" xfId="37793"/>
    <cellStyle name="Vírgula 3 4 3 5 7" xfId="31882"/>
    <cellStyle name="Vírgula 3 4 3 6" xfId="6400"/>
    <cellStyle name="Vírgula 3 4 3 6 2" xfId="9562"/>
    <cellStyle name="Vírgula 3 4 3 6 2 2" xfId="27776"/>
    <cellStyle name="Vírgula 3 4 3 6 2 2 2" xfId="52843"/>
    <cellStyle name="Vírgula 3 4 3 6 2 3" xfId="21862"/>
    <cellStyle name="Vírgula 3 4 3 6 2 3 2" xfId="46929"/>
    <cellStyle name="Vírgula 3 4 3 6 2 4" xfId="15948"/>
    <cellStyle name="Vírgula 3 4 3 6 2 4 2" xfId="41015"/>
    <cellStyle name="Vírgula 3 4 3 6 2 5" xfId="35107"/>
    <cellStyle name="Vírgula 3 4 3 6 3" xfId="24819"/>
    <cellStyle name="Vírgula 3 4 3 6 3 2" xfId="49886"/>
    <cellStyle name="Vírgula 3 4 3 6 4" xfId="18905"/>
    <cellStyle name="Vírgula 3 4 3 6 4 2" xfId="43972"/>
    <cellStyle name="Vírgula 3 4 3 6 5" xfId="12789"/>
    <cellStyle name="Vírgula 3 4 3 6 5 2" xfId="38061"/>
    <cellStyle name="Vírgula 3 4 3 6 6" xfId="32150"/>
    <cellStyle name="Vírgula 3 4 3 7" xfId="8091"/>
    <cellStyle name="Vírgula 3 4 3 7 2" xfId="26305"/>
    <cellStyle name="Vírgula 3 4 3 7 2 2" xfId="51372"/>
    <cellStyle name="Vírgula 3 4 3 7 3" xfId="20391"/>
    <cellStyle name="Vírgula 3 4 3 7 3 2" xfId="45458"/>
    <cellStyle name="Vírgula 3 4 3 7 4" xfId="14480"/>
    <cellStyle name="Vírgula 3 4 3 7 4 2" xfId="39547"/>
    <cellStyle name="Vírgula 3 4 3 7 5" xfId="33636"/>
    <cellStyle name="Vírgula 3 4 3 8" xfId="4697"/>
    <cellStyle name="Vírgula 3 4 3 8 2" xfId="23348"/>
    <cellStyle name="Vírgula 3 4 3 8 2 2" xfId="48415"/>
    <cellStyle name="Vírgula 3 4 3 8 3" xfId="30680"/>
    <cellStyle name="Vírgula 3 4 3 9" xfId="17434"/>
    <cellStyle name="Vírgula 3 4 3 9 2" xfId="42501"/>
    <cellStyle name="Vírgula 3 4 4" xfId="4306"/>
    <cellStyle name="Vírgula 3 4 4 2" xfId="7707"/>
    <cellStyle name="Vírgula 3 4 4 2 2" xfId="10805"/>
    <cellStyle name="Vírgula 3 4 4 2 2 2" xfId="29019"/>
    <cellStyle name="Vírgula 3 4 4 2 2 2 2" xfId="54086"/>
    <cellStyle name="Vírgula 3 4 4 2 2 3" xfId="23105"/>
    <cellStyle name="Vírgula 3 4 4 2 2 3 2" xfId="48172"/>
    <cellStyle name="Vírgula 3 4 4 2 2 4" xfId="17191"/>
    <cellStyle name="Vírgula 3 4 4 2 2 4 2" xfId="42258"/>
    <cellStyle name="Vírgula 3 4 4 2 2 5" xfId="36350"/>
    <cellStyle name="Vírgula 3 4 4 2 3" xfId="26062"/>
    <cellStyle name="Vírgula 3 4 4 2 3 2" xfId="51129"/>
    <cellStyle name="Vírgula 3 4 4 2 4" xfId="20148"/>
    <cellStyle name="Vírgula 3 4 4 2 4 2" xfId="45215"/>
    <cellStyle name="Vírgula 3 4 4 2 5" xfId="14096"/>
    <cellStyle name="Vírgula 3 4 4 2 5 2" xfId="39304"/>
    <cellStyle name="Vírgula 3 4 4 2 6" xfId="33393"/>
    <cellStyle name="Vírgula 3 4 4 3" xfId="9337"/>
    <cellStyle name="Vírgula 3 4 4 3 2" xfId="27551"/>
    <cellStyle name="Vírgula 3 4 4 3 2 2" xfId="52618"/>
    <cellStyle name="Vírgula 3 4 4 3 3" xfId="21637"/>
    <cellStyle name="Vírgula 3 4 4 3 3 2" xfId="46704"/>
    <cellStyle name="Vírgula 3 4 4 3 4" xfId="15723"/>
    <cellStyle name="Vírgula 3 4 4 3 4 2" xfId="40790"/>
    <cellStyle name="Vírgula 3 4 4 3 5" xfId="34882"/>
    <cellStyle name="Vírgula 3 4 4 4" xfId="6007"/>
    <cellStyle name="Vírgula 3 4 4 4 2" xfId="24594"/>
    <cellStyle name="Vírgula 3 4 4 4 2 2" xfId="49661"/>
    <cellStyle name="Vírgula 3 4 4 4 3" xfId="31925"/>
    <cellStyle name="Vírgula 3 4 4 5" xfId="18680"/>
    <cellStyle name="Vírgula 3 4 4 5 2" xfId="43747"/>
    <cellStyle name="Vírgula 3 4 4 6" xfId="12395"/>
    <cellStyle name="Vírgula 3 4 4 6 2" xfId="37836"/>
    <cellStyle name="Vírgula 3 4 4 7" xfId="30455"/>
    <cellStyle name="Vírgula 3 4 5" xfId="4414"/>
    <cellStyle name="Vírgula 3 4 5 2" xfId="7816"/>
    <cellStyle name="Vírgula 3 4 5 2 2" xfId="10867"/>
    <cellStyle name="Vírgula 3 4 5 2 2 2" xfId="29081"/>
    <cellStyle name="Vírgula 3 4 5 2 2 2 2" xfId="54148"/>
    <cellStyle name="Vírgula 3 4 5 2 2 3" xfId="23167"/>
    <cellStyle name="Vírgula 3 4 5 2 2 3 2" xfId="48234"/>
    <cellStyle name="Vírgula 3 4 5 2 2 4" xfId="17253"/>
    <cellStyle name="Vírgula 3 4 5 2 2 4 2" xfId="42320"/>
    <cellStyle name="Vírgula 3 4 5 2 2 5" xfId="36412"/>
    <cellStyle name="Vírgula 3 4 5 2 3" xfId="26124"/>
    <cellStyle name="Vírgula 3 4 5 2 3 2" xfId="51191"/>
    <cellStyle name="Vírgula 3 4 5 2 4" xfId="20210"/>
    <cellStyle name="Vírgula 3 4 5 2 4 2" xfId="45277"/>
    <cellStyle name="Vírgula 3 4 5 2 5" xfId="14205"/>
    <cellStyle name="Vírgula 3 4 5 2 5 2" xfId="39366"/>
    <cellStyle name="Vírgula 3 4 5 2 6" xfId="33455"/>
    <cellStyle name="Vírgula 3 4 5 3" xfId="9399"/>
    <cellStyle name="Vírgula 3 4 5 3 2" xfId="27613"/>
    <cellStyle name="Vírgula 3 4 5 3 2 2" xfId="52680"/>
    <cellStyle name="Vírgula 3 4 5 3 3" xfId="21699"/>
    <cellStyle name="Vírgula 3 4 5 3 3 2" xfId="46766"/>
    <cellStyle name="Vírgula 3 4 5 3 4" xfId="15785"/>
    <cellStyle name="Vírgula 3 4 5 3 4 2" xfId="40852"/>
    <cellStyle name="Vírgula 3 4 5 3 5" xfId="34944"/>
    <cellStyle name="Vírgula 3 4 5 4" xfId="6116"/>
    <cellStyle name="Vírgula 3 4 5 4 2" xfId="24656"/>
    <cellStyle name="Vírgula 3 4 5 4 2 2" xfId="49723"/>
    <cellStyle name="Vírgula 3 4 5 4 3" xfId="31987"/>
    <cellStyle name="Vírgula 3 4 5 5" xfId="18742"/>
    <cellStyle name="Vírgula 3 4 5 5 2" xfId="43809"/>
    <cellStyle name="Vírgula 3 4 5 6" xfId="12504"/>
    <cellStyle name="Vírgula 3 4 5 6 2" xfId="37898"/>
    <cellStyle name="Vírgula 3 4 5 7" xfId="30517"/>
    <cellStyle name="Vírgula 3 4 6" xfId="4522"/>
    <cellStyle name="Vírgula 3 4 6 2" xfId="7924"/>
    <cellStyle name="Vírgula 3 4 6 2 2" xfId="10929"/>
    <cellStyle name="Vírgula 3 4 6 2 2 2" xfId="29143"/>
    <cellStyle name="Vírgula 3 4 6 2 2 2 2" xfId="54210"/>
    <cellStyle name="Vírgula 3 4 6 2 2 3" xfId="23229"/>
    <cellStyle name="Vírgula 3 4 6 2 2 3 2" xfId="48296"/>
    <cellStyle name="Vírgula 3 4 6 2 2 4" xfId="17315"/>
    <cellStyle name="Vírgula 3 4 6 2 2 4 2" xfId="42382"/>
    <cellStyle name="Vírgula 3 4 6 2 2 5" xfId="36474"/>
    <cellStyle name="Vírgula 3 4 6 2 3" xfId="26186"/>
    <cellStyle name="Vírgula 3 4 6 2 3 2" xfId="51253"/>
    <cellStyle name="Vírgula 3 4 6 2 4" xfId="20272"/>
    <cellStyle name="Vírgula 3 4 6 2 4 2" xfId="45339"/>
    <cellStyle name="Vírgula 3 4 6 2 5" xfId="14313"/>
    <cellStyle name="Vírgula 3 4 6 2 5 2" xfId="39428"/>
    <cellStyle name="Vírgula 3 4 6 2 6" xfId="33517"/>
    <cellStyle name="Vírgula 3 4 6 3" xfId="9461"/>
    <cellStyle name="Vírgula 3 4 6 3 2" xfId="27675"/>
    <cellStyle name="Vírgula 3 4 6 3 2 2" xfId="52742"/>
    <cellStyle name="Vírgula 3 4 6 3 3" xfId="21761"/>
    <cellStyle name="Vírgula 3 4 6 3 3 2" xfId="46828"/>
    <cellStyle name="Vírgula 3 4 6 3 4" xfId="15847"/>
    <cellStyle name="Vírgula 3 4 6 3 4 2" xfId="40914"/>
    <cellStyle name="Vírgula 3 4 6 3 5" xfId="35006"/>
    <cellStyle name="Vírgula 3 4 6 4" xfId="6223"/>
    <cellStyle name="Vírgula 3 4 6 4 2" xfId="24718"/>
    <cellStyle name="Vírgula 3 4 6 4 2 2" xfId="49785"/>
    <cellStyle name="Vírgula 3 4 6 4 3" xfId="32049"/>
    <cellStyle name="Vírgula 3 4 6 5" xfId="18804"/>
    <cellStyle name="Vírgula 3 4 6 5 2" xfId="43871"/>
    <cellStyle name="Vírgula 3 4 6 6" xfId="12612"/>
    <cellStyle name="Vírgula 3 4 6 6 2" xfId="37960"/>
    <cellStyle name="Vírgula 3 4 6 7" xfId="30579"/>
    <cellStyle name="Vírgula 3 4 7" xfId="5075"/>
    <cellStyle name="Vírgula 3 4 7 2" xfId="6774"/>
    <cellStyle name="Vírgula 3 4 7 2 2" xfId="9921"/>
    <cellStyle name="Vírgula 3 4 7 2 2 2" xfId="28135"/>
    <cellStyle name="Vírgula 3 4 7 2 2 2 2" xfId="53202"/>
    <cellStyle name="Vírgula 3 4 7 2 2 3" xfId="22221"/>
    <cellStyle name="Vírgula 3 4 7 2 2 3 2" xfId="47288"/>
    <cellStyle name="Vírgula 3 4 7 2 2 4" xfId="16307"/>
    <cellStyle name="Vírgula 3 4 7 2 2 4 2" xfId="41374"/>
    <cellStyle name="Vírgula 3 4 7 2 2 5" xfId="35466"/>
    <cellStyle name="Vírgula 3 4 7 2 3" xfId="25178"/>
    <cellStyle name="Vírgula 3 4 7 2 3 2" xfId="50245"/>
    <cellStyle name="Vírgula 3 4 7 2 4" xfId="19264"/>
    <cellStyle name="Vírgula 3 4 7 2 4 2" xfId="44331"/>
    <cellStyle name="Vírgula 3 4 7 2 5" xfId="13163"/>
    <cellStyle name="Vírgula 3 4 7 2 5 2" xfId="38420"/>
    <cellStyle name="Vírgula 3 4 7 2 6" xfId="32509"/>
    <cellStyle name="Vírgula 3 4 7 3" xfId="8453"/>
    <cellStyle name="Vírgula 3 4 7 3 2" xfId="26667"/>
    <cellStyle name="Vírgula 3 4 7 3 2 2" xfId="51734"/>
    <cellStyle name="Vírgula 3 4 7 3 3" xfId="20753"/>
    <cellStyle name="Vírgula 3 4 7 3 3 2" xfId="45820"/>
    <cellStyle name="Vírgula 3 4 7 3 4" xfId="14839"/>
    <cellStyle name="Vírgula 3 4 7 3 4 2" xfId="39906"/>
    <cellStyle name="Vírgula 3 4 7 3 5" xfId="33998"/>
    <cellStyle name="Vírgula 3 4 7 4" xfId="23710"/>
    <cellStyle name="Vírgula 3 4 7 4 2" xfId="48777"/>
    <cellStyle name="Vírgula 3 4 7 5" xfId="17796"/>
    <cellStyle name="Vírgula 3 4 7 5 2" xfId="42863"/>
    <cellStyle name="Vírgula 3 4 7 6" xfId="11462"/>
    <cellStyle name="Vírgula 3 4 7 6 2" xfId="36952"/>
    <cellStyle name="Vírgula 3 4 7 7" xfId="31041"/>
    <cellStyle name="Vírgula 3 4 8" xfId="6332"/>
    <cellStyle name="Vírgula 3 4 8 2" xfId="9523"/>
    <cellStyle name="Vírgula 3 4 8 2 2" xfId="27737"/>
    <cellStyle name="Vírgula 3 4 8 2 2 2" xfId="52804"/>
    <cellStyle name="Vírgula 3 4 8 2 3" xfId="21823"/>
    <cellStyle name="Vírgula 3 4 8 2 3 2" xfId="46890"/>
    <cellStyle name="Vírgula 3 4 8 2 4" xfId="15909"/>
    <cellStyle name="Vírgula 3 4 8 2 4 2" xfId="40976"/>
    <cellStyle name="Vírgula 3 4 8 2 5" xfId="35068"/>
    <cellStyle name="Vírgula 3 4 8 3" xfId="24780"/>
    <cellStyle name="Vírgula 3 4 8 3 2" xfId="49847"/>
    <cellStyle name="Vírgula 3 4 8 4" xfId="18866"/>
    <cellStyle name="Vírgula 3 4 8 4 2" xfId="43933"/>
    <cellStyle name="Vírgula 3 4 8 5" xfId="12721"/>
    <cellStyle name="Vírgula 3 4 8 5 2" xfId="38022"/>
    <cellStyle name="Vírgula 3 4 8 6" xfId="32111"/>
    <cellStyle name="Vírgula 3 4 9" xfId="8024"/>
    <cellStyle name="Vírgula 3 4 9 2" xfId="10987"/>
    <cellStyle name="Vírgula 3 4 9 2 2" xfId="29201"/>
    <cellStyle name="Vírgula 3 4 9 2 2 2" xfId="54268"/>
    <cellStyle name="Vírgula 3 4 9 2 3" xfId="23287"/>
    <cellStyle name="Vírgula 3 4 9 2 3 2" xfId="48354"/>
    <cellStyle name="Vírgula 3 4 9 2 4" xfId="17373"/>
    <cellStyle name="Vírgula 3 4 9 2 4 2" xfId="42440"/>
    <cellStyle name="Vírgula 3 4 9 2 5" xfId="36532"/>
    <cellStyle name="Vírgula 3 4 9 3" xfId="26244"/>
    <cellStyle name="Vírgula 3 4 9 3 2" xfId="51311"/>
    <cellStyle name="Vírgula 3 4 9 4" xfId="20330"/>
    <cellStyle name="Vírgula 3 4 9 4 2" xfId="45397"/>
    <cellStyle name="Vírgula 3 4 9 5" xfId="14413"/>
    <cellStyle name="Vírgula 3 4 9 5 2" xfId="39486"/>
    <cellStyle name="Vírgula 3 4 9 6" xfId="33575"/>
    <cellStyle name="Vírgula 3 5" xfId="1654"/>
    <cellStyle name="Vírgula 3 5 10" xfId="17386"/>
    <cellStyle name="Vírgula 3 5 10 2" xfId="42453"/>
    <cellStyle name="Vírgula 3 5 11" xfId="11005"/>
    <cellStyle name="Vírgula 3 5 11 2" xfId="36545"/>
    <cellStyle name="Vírgula 3 5 12" xfId="29690"/>
    <cellStyle name="Vírgula 3 5 2" xfId="4214"/>
    <cellStyle name="Vírgula 3 5 2 2" xfId="7614"/>
    <cellStyle name="Vírgula 3 5 2 2 2" xfId="10753"/>
    <cellStyle name="Vírgula 3 5 2 2 2 2" xfId="28967"/>
    <cellStyle name="Vírgula 3 5 2 2 2 2 2" xfId="54034"/>
    <cellStyle name="Vírgula 3 5 2 2 2 3" xfId="23053"/>
    <cellStyle name="Vírgula 3 5 2 2 2 3 2" xfId="48120"/>
    <cellStyle name="Vírgula 3 5 2 2 2 4" xfId="17139"/>
    <cellStyle name="Vírgula 3 5 2 2 2 4 2" xfId="42206"/>
    <cellStyle name="Vírgula 3 5 2 2 2 5" xfId="36298"/>
    <cellStyle name="Vírgula 3 5 2 2 3" xfId="26010"/>
    <cellStyle name="Vírgula 3 5 2 2 3 2" xfId="51077"/>
    <cellStyle name="Vírgula 3 5 2 2 4" xfId="20096"/>
    <cellStyle name="Vírgula 3 5 2 2 4 2" xfId="45163"/>
    <cellStyle name="Vírgula 3 5 2 2 5" xfId="14003"/>
    <cellStyle name="Vírgula 3 5 2 2 5 2" xfId="39252"/>
    <cellStyle name="Vírgula 3 5 2 2 6" xfId="33341"/>
    <cellStyle name="Vírgula 3 5 2 3" xfId="9285"/>
    <cellStyle name="Vírgula 3 5 2 3 2" xfId="27499"/>
    <cellStyle name="Vírgula 3 5 2 3 2 2" xfId="52566"/>
    <cellStyle name="Vírgula 3 5 2 3 3" xfId="21585"/>
    <cellStyle name="Vírgula 3 5 2 3 3 2" xfId="46652"/>
    <cellStyle name="Vírgula 3 5 2 3 4" xfId="15671"/>
    <cellStyle name="Vírgula 3 5 2 3 4 2" xfId="40738"/>
    <cellStyle name="Vírgula 3 5 2 3 5" xfId="34830"/>
    <cellStyle name="Vírgula 3 5 2 4" xfId="5915"/>
    <cellStyle name="Vírgula 3 5 2 4 2" xfId="24542"/>
    <cellStyle name="Vírgula 3 5 2 4 2 2" xfId="49609"/>
    <cellStyle name="Vírgula 3 5 2 4 3" xfId="31873"/>
    <cellStyle name="Vírgula 3 5 2 5" xfId="18628"/>
    <cellStyle name="Vírgula 3 5 2 5 2" xfId="43695"/>
    <cellStyle name="Vírgula 3 5 2 6" xfId="12302"/>
    <cellStyle name="Vírgula 3 5 2 6 2" xfId="37784"/>
    <cellStyle name="Vírgula 3 5 2 7" xfId="30403"/>
    <cellStyle name="Vírgula 3 5 3" xfId="4290"/>
    <cellStyle name="Vírgula 3 5 3 2" xfId="7691"/>
    <cellStyle name="Vírgula 3 5 3 2 2" xfId="10796"/>
    <cellStyle name="Vírgula 3 5 3 2 2 2" xfId="29010"/>
    <cellStyle name="Vírgula 3 5 3 2 2 2 2" xfId="54077"/>
    <cellStyle name="Vírgula 3 5 3 2 2 3" xfId="23096"/>
    <cellStyle name="Vírgula 3 5 3 2 2 3 2" xfId="48163"/>
    <cellStyle name="Vírgula 3 5 3 2 2 4" xfId="17182"/>
    <cellStyle name="Vírgula 3 5 3 2 2 4 2" xfId="42249"/>
    <cellStyle name="Vírgula 3 5 3 2 2 5" xfId="36341"/>
    <cellStyle name="Vírgula 3 5 3 2 3" xfId="26053"/>
    <cellStyle name="Vírgula 3 5 3 2 3 2" xfId="51120"/>
    <cellStyle name="Vírgula 3 5 3 2 4" xfId="20139"/>
    <cellStyle name="Vírgula 3 5 3 2 4 2" xfId="45206"/>
    <cellStyle name="Vírgula 3 5 3 2 5" xfId="14080"/>
    <cellStyle name="Vírgula 3 5 3 2 5 2" xfId="39295"/>
    <cellStyle name="Vírgula 3 5 3 2 6" xfId="33384"/>
    <cellStyle name="Vírgula 3 5 3 3" xfId="9328"/>
    <cellStyle name="Vírgula 3 5 3 3 2" xfId="27542"/>
    <cellStyle name="Vírgula 3 5 3 3 2 2" xfId="52609"/>
    <cellStyle name="Vírgula 3 5 3 3 3" xfId="21628"/>
    <cellStyle name="Vírgula 3 5 3 3 3 2" xfId="46695"/>
    <cellStyle name="Vírgula 3 5 3 3 4" xfId="15714"/>
    <cellStyle name="Vírgula 3 5 3 3 4 2" xfId="40781"/>
    <cellStyle name="Vírgula 3 5 3 3 5" xfId="34873"/>
    <cellStyle name="Vírgula 3 5 3 4" xfId="5991"/>
    <cellStyle name="Vírgula 3 5 3 4 2" xfId="24585"/>
    <cellStyle name="Vírgula 3 5 3 4 2 2" xfId="49652"/>
    <cellStyle name="Vírgula 3 5 3 4 3" xfId="31916"/>
    <cellStyle name="Vírgula 3 5 3 5" xfId="18671"/>
    <cellStyle name="Vírgula 3 5 3 5 2" xfId="43738"/>
    <cellStyle name="Vírgula 3 5 3 6" xfId="12379"/>
    <cellStyle name="Vírgula 3 5 3 6 2" xfId="37827"/>
    <cellStyle name="Vírgula 3 5 3 7" xfId="30446"/>
    <cellStyle name="Vírgula 3 5 4" xfId="4398"/>
    <cellStyle name="Vírgula 3 5 4 2" xfId="7800"/>
    <cellStyle name="Vírgula 3 5 4 2 2" xfId="10858"/>
    <cellStyle name="Vírgula 3 5 4 2 2 2" xfId="29072"/>
    <cellStyle name="Vírgula 3 5 4 2 2 2 2" xfId="54139"/>
    <cellStyle name="Vírgula 3 5 4 2 2 3" xfId="23158"/>
    <cellStyle name="Vírgula 3 5 4 2 2 3 2" xfId="48225"/>
    <cellStyle name="Vírgula 3 5 4 2 2 4" xfId="17244"/>
    <cellStyle name="Vírgula 3 5 4 2 2 4 2" xfId="42311"/>
    <cellStyle name="Vírgula 3 5 4 2 2 5" xfId="36403"/>
    <cellStyle name="Vírgula 3 5 4 2 3" xfId="26115"/>
    <cellStyle name="Vírgula 3 5 4 2 3 2" xfId="51182"/>
    <cellStyle name="Vírgula 3 5 4 2 4" xfId="20201"/>
    <cellStyle name="Vírgula 3 5 4 2 4 2" xfId="45268"/>
    <cellStyle name="Vírgula 3 5 4 2 5" xfId="14189"/>
    <cellStyle name="Vírgula 3 5 4 2 5 2" xfId="39357"/>
    <cellStyle name="Vírgula 3 5 4 2 6" xfId="33446"/>
    <cellStyle name="Vírgula 3 5 4 3" xfId="9390"/>
    <cellStyle name="Vírgula 3 5 4 3 2" xfId="27604"/>
    <cellStyle name="Vírgula 3 5 4 3 2 2" xfId="52671"/>
    <cellStyle name="Vírgula 3 5 4 3 3" xfId="21690"/>
    <cellStyle name="Vírgula 3 5 4 3 3 2" xfId="46757"/>
    <cellStyle name="Vírgula 3 5 4 3 4" xfId="15776"/>
    <cellStyle name="Vírgula 3 5 4 3 4 2" xfId="40843"/>
    <cellStyle name="Vírgula 3 5 4 3 5" xfId="34935"/>
    <cellStyle name="Vírgula 3 5 4 4" xfId="6100"/>
    <cellStyle name="Vírgula 3 5 4 4 2" xfId="24647"/>
    <cellStyle name="Vírgula 3 5 4 4 2 2" xfId="49714"/>
    <cellStyle name="Vírgula 3 5 4 4 3" xfId="31978"/>
    <cellStyle name="Vírgula 3 5 4 5" xfId="18733"/>
    <cellStyle name="Vírgula 3 5 4 5 2" xfId="43800"/>
    <cellStyle name="Vírgula 3 5 4 6" xfId="12488"/>
    <cellStyle name="Vírgula 3 5 4 6 2" xfId="37889"/>
    <cellStyle name="Vírgula 3 5 4 7" xfId="30508"/>
    <cellStyle name="Vírgula 3 5 5" xfId="4506"/>
    <cellStyle name="Vírgula 3 5 5 2" xfId="7908"/>
    <cellStyle name="Vírgula 3 5 5 2 2" xfId="10920"/>
    <cellStyle name="Vírgula 3 5 5 2 2 2" xfId="29134"/>
    <cellStyle name="Vírgula 3 5 5 2 2 2 2" xfId="54201"/>
    <cellStyle name="Vírgula 3 5 5 2 2 3" xfId="23220"/>
    <cellStyle name="Vírgula 3 5 5 2 2 3 2" xfId="48287"/>
    <cellStyle name="Vírgula 3 5 5 2 2 4" xfId="17306"/>
    <cellStyle name="Vírgula 3 5 5 2 2 4 2" xfId="42373"/>
    <cellStyle name="Vírgula 3 5 5 2 2 5" xfId="36465"/>
    <cellStyle name="Vírgula 3 5 5 2 3" xfId="26177"/>
    <cellStyle name="Vírgula 3 5 5 2 3 2" xfId="51244"/>
    <cellStyle name="Vírgula 3 5 5 2 4" xfId="20263"/>
    <cellStyle name="Vírgula 3 5 5 2 4 2" xfId="45330"/>
    <cellStyle name="Vírgula 3 5 5 2 5" xfId="14297"/>
    <cellStyle name="Vírgula 3 5 5 2 5 2" xfId="39419"/>
    <cellStyle name="Vírgula 3 5 5 2 6" xfId="33508"/>
    <cellStyle name="Vírgula 3 5 5 3" xfId="9452"/>
    <cellStyle name="Vírgula 3 5 5 3 2" xfId="27666"/>
    <cellStyle name="Vírgula 3 5 5 3 2 2" xfId="52733"/>
    <cellStyle name="Vírgula 3 5 5 3 3" xfId="21752"/>
    <cellStyle name="Vírgula 3 5 5 3 3 2" xfId="46819"/>
    <cellStyle name="Vírgula 3 5 5 3 4" xfId="15838"/>
    <cellStyle name="Vírgula 3 5 5 3 4 2" xfId="40905"/>
    <cellStyle name="Vírgula 3 5 5 3 5" xfId="34997"/>
    <cellStyle name="Vírgula 3 5 5 4" xfId="6207"/>
    <cellStyle name="Vírgula 3 5 5 4 2" xfId="24709"/>
    <cellStyle name="Vírgula 3 5 5 4 2 2" xfId="49776"/>
    <cellStyle name="Vírgula 3 5 5 4 3" xfId="32040"/>
    <cellStyle name="Vírgula 3 5 5 5" xfId="18795"/>
    <cellStyle name="Vírgula 3 5 5 5 2" xfId="43862"/>
    <cellStyle name="Vírgula 3 5 5 6" xfId="12596"/>
    <cellStyle name="Vírgula 3 5 5 6 2" xfId="37951"/>
    <cellStyle name="Vírgula 3 5 5 7" xfId="30570"/>
    <cellStyle name="Vírgula 3 5 6" xfId="5194"/>
    <cellStyle name="Vírgula 3 5 6 2" xfId="6893"/>
    <cellStyle name="Vírgula 3 5 6 2 2" xfId="10040"/>
    <cellStyle name="Vírgula 3 5 6 2 2 2" xfId="28254"/>
    <cellStyle name="Vírgula 3 5 6 2 2 2 2" xfId="53321"/>
    <cellStyle name="Vírgula 3 5 6 2 2 3" xfId="22340"/>
    <cellStyle name="Vírgula 3 5 6 2 2 3 2" xfId="47407"/>
    <cellStyle name="Vírgula 3 5 6 2 2 4" xfId="16426"/>
    <cellStyle name="Vírgula 3 5 6 2 2 4 2" xfId="41493"/>
    <cellStyle name="Vírgula 3 5 6 2 2 5" xfId="35585"/>
    <cellStyle name="Vírgula 3 5 6 2 3" xfId="25297"/>
    <cellStyle name="Vírgula 3 5 6 2 3 2" xfId="50364"/>
    <cellStyle name="Vírgula 3 5 6 2 4" xfId="19383"/>
    <cellStyle name="Vírgula 3 5 6 2 4 2" xfId="44450"/>
    <cellStyle name="Vírgula 3 5 6 2 5" xfId="13282"/>
    <cellStyle name="Vírgula 3 5 6 2 5 2" xfId="38539"/>
    <cellStyle name="Vírgula 3 5 6 2 6" xfId="32628"/>
    <cellStyle name="Vírgula 3 5 6 3" xfId="8572"/>
    <cellStyle name="Vírgula 3 5 6 3 2" xfId="26786"/>
    <cellStyle name="Vírgula 3 5 6 3 2 2" xfId="51853"/>
    <cellStyle name="Vírgula 3 5 6 3 3" xfId="20872"/>
    <cellStyle name="Vírgula 3 5 6 3 3 2" xfId="45939"/>
    <cellStyle name="Vírgula 3 5 6 3 4" xfId="14958"/>
    <cellStyle name="Vírgula 3 5 6 3 4 2" xfId="40025"/>
    <cellStyle name="Vírgula 3 5 6 3 5" xfId="34117"/>
    <cellStyle name="Vírgula 3 5 6 4" xfId="23829"/>
    <cellStyle name="Vírgula 3 5 6 4 2" xfId="48896"/>
    <cellStyle name="Vírgula 3 5 6 5" xfId="17915"/>
    <cellStyle name="Vírgula 3 5 6 5 2" xfId="42982"/>
    <cellStyle name="Vírgula 3 5 6 6" xfId="11581"/>
    <cellStyle name="Vírgula 3 5 6 6 2" xfId="37071"/>
    <cellStyle name="Vírgula 3 5 6 7" xfId="31160"/>
    <cellStyle name="Vírgula 3 5 7" xfId="6316"/>
    <cellStyle name="Vírgula 3 5 7 2" xfId="9514"/>
    <cellStyle name="Vírgula 3 5 7 2 2" xfId="27728"/>
    <cellStyle name="Vírgula 3 5 7 2 2 2" xfId="52795"/>
    <cellStyle name="Vírgula 3 5 7 2 3" xfId="21814"/>
    <cellStyle name="Vírgula 3 5 7 2 3 2" xfId="46881"/>
    <cellStyle name="Vírgula 3 5 7 2 4" xfId="15900"/>
    <cellStyle name="Vírgula 3 5 7 2 4 2" xfId="40967"/>
    <cellStyle name="Vírgula 3 5 7 2 5" xfId="35059"/>
    <cellStyle name="Vírgula 3 5 7 3" xfId="24771"/>
    <cellStyle name="Vírgula 3 5 7 3 2" xfId="49838"/>
    <cellStyle name="Vírgula 3 5 7 4" xfId="18857"/>
    <cellStyle name="Vírgula 3 5 7 4 2" xfId="43924"/>
    <cellStyle name="Vírgula 3 5 7 5" xfId="12705"/>
    <cellStyle name="Vírgula 3 5 7 5 2" xfId="38013"/>
    <cellStyle name="Vírgula 3 5 7 6" xfId="32102"/>
    <cellStyle name="Vírgula 3 5 8" xfId="8043"/>
    <cellStyle name="Vírgula 3 5 8 2" xfId="26257"/>
    <cellStyle name="Vírgula 3 5 8 2 2" xfId="51324"/>
    <cellStyle name="Vírgula 3 5 8 3" xfId="20343"/>
    <cellStyle name="Vírgula 3 5 8 3 2" xfId="45410"/>
    <cellStyle name="Vírgula 3 5 8 4" xfId="14432"/>
    <cellStyle name="Vírgula 3 5 8 4 2" xfId="39499"/>
    <cellStyle name="Vírgula 3 5 8 5" xfId="33588"/>
    <cellStyle name="Vírgula 3 5 9" xfId="4614"/>
    <cellStyle name="Vírgula 3 5 9 2" xfId="23300"/>
    <cellStyle name="Vírgula 3 5 9 2 2" xfId="48367"/>
    <cellStyle name="Vírgula 3 5 9 3" xfId="30632"/>
    <cellStyle name="Vírgula 3 6" xfId="2184"/>
    <cellStyle name="Vírgula 3 6 10" xfId="17404"/>
    <cellStyle name="Vírgula 3 6 10 2" xfId="42471"/>
    <cellStyle name="Vírgula 3 6 11" xfId="11035"/>
    <cellStyle name="Vírgula 3 6 11 2" xfId="36563"/>
    <cellStyle name="Vírgula 3 6 12" xfId="29837"/>
    <cellStyle name="Vírgula 3 6 2" xfId="4244"/>
    <cellStyle name="Vírgula 3 6 2 2" xfId="7645"/>
    <cellStyle name="Vírgula 3 6 2 2 2" xfId="10771"/>
    <cellStyle name="Vírgula 3 6 2 2 2 2" xfId="28985"/>
    <cellStyle name="Vírgula 3 6 2 2 2 2 2" xfId="54052"/>
    <cellStyle name="Vírgula 3 6 2 2 2 3" xfId="23071"/>
    <cellStyle name="Vírgula 3 6 2 2 2 3 2" xfId="48138"/>
    <cellStyle name="Vírgula 3 6 2 2 2 4" xfId="17157"/>
    <cellStyle name="Vírgula 3 6 2 2 2 4 2" xfId="42224"/>
    <cellStyle name="Vírgula 3 6 2 2 2 5" xfId="36316"/>
    <cellStyle name="Vírgula 3 6 2 2 3" xfId="26028"/>
    <cellStyle name="Vírgula 3 6 2 2 3 2" xfId="51095"/>
    <cellStyle name="Vírgula 3 6 2 2 4" xfId="20114"/>
    <cellStyle name="Vírgula 3 6 2 2 4 2" xfId="45181"/>
    <cellStyle name="Vírgula 3 6 2 2 5" xfId="14034"/>
    <cellStyle name="Vírgula 3 6 2 2 5 2" xfId="39270"/>
    <cellStyle name="Vírgula 3 6 2 2 6" xfId="33359"/>
    <cellStyle name="Vírgula 3 6 2 3" xfId="9303"/>
    <cellStyle name="Vírgula 3 6 2 3 2" xfId="27517"/>
    <cellStyle name="Vírgula 3 6 2 3 2 2" xfId="52584"/>
    <cellStyle name="Vírgula 3 6 2 3 3" xfId="21603"/>
    <cellStyle name="Vírgula 3 6 2 3 3 2" xfId="46670"/>
    <cellStyle name="Vírgula 3 6 2 3 4" xfId="15689"/>
    <cellStyle name="Vírgula 3 6 2 3 4 2" xfId="40756"/>
    <cellStyle name="Vírgula 3 6 2 3 5" xfId="34848"/>
    <cellStyle name="Vírgula 3 6 2 4" xfId="5945"/>
    <cellStyle name="Vírgula 3 6 2 4 2" xfId="24560"/>
    <cellStyle name="Vírgula 3 6 2 4 2 2" xfId="49627"/>
    <cellStyle name="Vírgula 3 6 2 4 3" xfId="31891"/>
    <cellStyle name="Vírgula 3 6 2 5" xfId="18646"/>
    <cellStyle name="Vírgula 3 6 2 5 2" xfId="43713"/>
    <cellStyle name="Vírgula 3 6 2 6" xfId="12333"/>
    <cellStyle name="Vírgula 3 6 2 6 2" xfId="37802"/>
    <cellStyle name="Vírgula 3 6 2 7" xfId="30421"/>
    <cellStyle name="Vírgula 3 6 3" xfId="4321"/>
    <cellStyle name="Vírgula 3 6 3 2" xfId="7722"/>
    <cellStyle name="Vírgula 3 6 3 2 2" xfId="10814"/>
    <cellStyle name="Vírgula 3 6 3 2 2 2" xfId="29028"/>
    <cellStyle name="Vírgula 3 6 3 2 2 2 2" xfId="54095"/>
    <cellStyle name="Vírgula 3 6 3 2 2 3" xfId="23114"/>
    <cellStyle name="Vírgula 3 6 3 2 2 3 2" xfId="48181"/>
    <cellStyle name="Vírgula 3 6 3 2 2 4" xfId="17200"/>
    <cellStyle name="Vírgula 3 6 3 2 2 4 2" xfId="42267"/>
    <cellStyle name="Vírgula 3 6 3 2 2 5" xfId="36359"/>
    <cellStyle name="Vírgula 3 6 3 2 3" xfId="26071"/>
    <cellStyle name="Vírgula 3 6 3 2 3 2" xfId="51138"/>
    <cellStyle name="Vírgula 3 6 3 2 4" xfId="20157"/>
    <cellStyle name="Vírgula 3 6 3 2 4 2" xfId="45224"/>
    <cellStyle name="Vírgula 3 6 3 2 5" xfId="14111"/>
    <cellStyle name="Vírgula 3 6 3 2 5 2" xfId="39313"/>
    <cellStyle name="Vírgula 3 6 3 2 6" xfId="33402"/>
    <cellStyle name="Vírgula 3 6 3 3" xfId="9346"/>
    <cellStyle name="Vírgula 3 6 3 3 2" xfId="27560"/>
    <cellStyle name="Vírgula 3 6 3 3 2 2" xfId="52627"/>
    <cellStyle name="Vírgula 3 6 3 3 3" xfId="21646"/>
    <cellStyle name="Vírgula 3 6 3 3 3 2" xfId="46713"/>
    <cellStyle name="Vírgula 3 6 3 3 4" xfId="15732"/>
    <cellStyle name="Vírgula 3 6 3 3 4 2" xfId="40799"/>
    <cellStyle name="Vírgula 3 6 3 3 5" xfId="34891"/>
    <cellStyle name="Vírgula 3 6 3 4" xfId="6022"/>
    <cellStyle name="Vírgula 3 6 3 4 2" xfId="24603"/>
    <cellStyle name="Vírgula 3 6 3 4 2 2" xfId="49670"/>
    <cellStyle name="Vírgula 3 6 3 4 3" xfId="31934"/>
    <cellStyle name="Vírgula 3 6 3 5" xfId="18689"/>
    <cellStyle name="Vírgula 3 6 3 5 2" xfId="43756"/>
    <cellStyle name="Vírgula 3 6 3 6" xfId="12410"/>
    <cellStyle name="Vírgula 3 6 3 6 2" xfId="37845"/>
    <cellStyle name="Vírgula 3 6 3 7" xfId="30464"/>
    <cellStyle name="Vírgula 3 6 4" xfId="4429"/>
    <cellStyle name="Vírgula 3 6 4 2" xfId="7831"/>
    <cellStyle name="Vírgula 3 6 4 2 2" xfId="10876"/>
    <cellStyle name="Vírgula 3 6 4 2 2 2" xfId="29090"/>
    <cellStyle name="Vírgula 3 6 4 2 2 2 2" xfId="54157"/>
    <cellStyle name="Vírgula 3 6 4 2 2 3" xfId="23176"/>
    <cellStyle name="Vírgula 3 6 4 2 2 3 2" xfId="48243"/>
    <cellStyle name="Vírgula 3 6 4 2 2 4" xfId="17262"/>
    <cellStyle name="Vírgula 3 6 4 2 2 4 2" xfId="42329"/>
    <cellStyle name="Vírgula 3 6 4 2 2 5" xfId="36421"/>
    <cellStyle name="Vírgula 3 6 4 2 3" xfId="26133"/>
    <cellStyle name="Vírgula 3 6 4 2 3 2" xfId="51200"/>
    <cellStyle name="Vírgula 3 6 4 2 4" xfId="20219"/>
    <cellStyle name="Vírgula 3 6 4 2 4 2" xfId="45286"/>
    <cellStyle name="Vírgula 3 6 4 2 5" xfId="14220"/>
    <cellStyle name="Vírgula 3 6 4 2 5 2" xfId="39375"/>
    <cellStyle name="Vírgula 3 6 4 2 6" xfId="33464"/>
    <cellStyle name="Vírgula 3 6 4 3" xfId="9408"/>
    <cellStyle name="Vírgula 3 6 4 3 2" xfId="27622"/>
    <cellStyle name="Vírgula 3 6 4 3 2 2" xfId="52689"/>
    <cellStyle name="Vírgula 3 6 4 3 3" xfId="21708"/>
    <cellStyle name="Vírgula 3 6 4 3 3 2" xfId="46775"/>
    <cellStyle name="Vírgula 3 6 4 3 4" xfId="15794"/>
    <cellStyle name="Vírgula 3 6 4 3 4 2" xfId="40861"/>
    <cellStyle name="Vírgula 3 6 4 3 5" xfId="34953"/>
    <cellStyle name="Vírgula 3 6 4 4" xfId="6131"/>
    <cellStyle name="Vírgula 3 6 4 4 2" xfId="24665"/>
    <cellStyle name="Vírgula 3 6 4 4 2 2" xfId="49732"/>
    <cellStyle name="Vírgula 3 6 4 4 3" xfId="31996"/>
    <cellStyle name="Vírgula 3 6 4 5" xfId="18751"/>
    <cellStyle name="Vírgula 3 6 4 5 2" xfId="43818"/>
    <cellStyle name="Vírgula 3 6 4 6" xfId="12519"/>
    <cellStyle name="Vírgula 3 6 4 6 2" xfId="37907"/>
    <cellStyle name="Vírgula 3 6 4 7" xfId="30526"/>
    <cellStyle name="Vírgula 3 6 5" xfId="4537"/>
    <cellStyle name="Vírgula 3 6 5 2" xfId="7939"/>
    <cellStyle name="Vírgula 3 6 5 2 2" xfId="10938"/>
    <cellStyle name="Vírgula 3 6 5 2 2 2" xfId="29152"/>
    <cellStyle name="Vírgula 3 6 5 2 2 2 2" xfId="54219"/>
    <cellStyle name="Vírgula 3 6 5 2 2 3" xfId="23238"/>
    <cellStyle name="Vírgula 3 6 5 2 2 3 2" xfId="48305"/>
    <cellStyle name="Vírgula 3 6 5 2 2 4" xfId="17324"/>
    <cellStyle name="Vírgula 3 6 5 2 2 4 2" xfId="42391"/>
    <cellStyle name="Vírgula 3 6 5 2 2 5" xfId="36483"/>
    <cellStyle name="Vírgula 3 6 5 2 3" xfId="26195"/>
    <cellStyle name="Vírgula 3 6 5 2 3 2" xfId="51262"/>
    <cellStyle name="Vírgula 3 6 5 2 4" xfId="20281"/>
    <cellStyle name="Vírgula 3 6 5 2 4 2" xfId="45348"/>
    <cellStyle name="Vírgula 3 6 5 2 5" xfId="14328"/>
    <cellStyle name="Vírgula 3 6 5 2 5 2" xfId="39437"/>
    <cellStyle name="Vírgula 3 6 5 2 6" xfId="33526"/>
    <cellStyle name="Vírgula 3 6 5 3" xfId="9470"/>
    <cellStyle name="Vírgula 3 6 5 3 2" xfId="27684"/>
    <cellStyle name="Vírgula 3 6 5 3 2 2" xfId="52751"/>
    <cellStyle name="Vírgula 3 6 5 3 3" xfId="21770"/>
    <cellStyle name="Vírgula 3 6 5 3 3 2" xfId="46837"/>
    <cellStyle name="Vírgula 3 6 5 3 4" xfId="15856"/>
    <cellStyle name="Vírgula 3 6 5 3 4 2" xfId="40923"/>
    <cellStyle name="Vírgula 3 6 5 3 5" xfId="35015"/>
    <cellStyle name="Vírgula 3 6 5 4" xfId="6238"/>
    <cellStyle name="Vírgula 3 6 5 4 2" xfId="24727"/>
    <cellStyle name="Vírgula 3 6 5 4 2 2" xfId="49794"/>
    <cellStyle name="Vírgula 3 6 5 4 3" xfId="32058"/>
    <cellStyle name="Vírgula 3 6 5 5" xfId="18813"/>
    <cellStyle name="Vírgula 3 6 5 5 2" xfId="43880"/>
    <cellStyle name="Vírgula 3 6 5 6" xfId="12627"/>
    <cellStyle name="Vírgula 3 6 5 6 2" xfId="37969"/>
    <cellStyle name="Vírgula 3 6 5 7" xfId="30588"/>
    <cellStyle name="Vírgula 3 6 6" xfId="5344"/>
    <cellStyle name="Vírgula 3 6 6 2" xfId="7043"/>
    <cellStyle name="Vírgula 3 6 6 2 2" xfId="10187"/>
    <cellStyle name="Vírgula 3 6 6 2 2 2" xfId="28401"/>
    <cellStyle name="Vírgula 3 6 6 2 2 2 2" xfId="53468"/>
    <cellStyle name="Vírgula 3 6 6 2 2 3" xfId="22487"/>
    <cellStyle name="Vírgula 3 6 6 2 2 3 2" xfId="47554"/>
    <cellStyle name="Vírgula 3 6 6 2 2 4" xfId="16573"/>
    <cellStyle name="Vírgula 3 6 6 2 2 4 2" xfId="41640"/>
    <cellStyle name="Vírgula 3 6 6 2 2 5" xfId="35732"/>
    <cellStyle name="Vírgula 3 6 6 2 3" xfId="25444"/>
    <cellStyle name="Vírgula 3 6 6 2 3 2" xfId="50511"/>
    <cellStyle name="Vírgula 3 6 6 2 4" xfId="19530"/>
    <cellStyle name="Vírgula 3 6 6 2 4 2" xfId="44597"/>
    <cellStyle name="Vírgula 3 6 6 2 5" xfId="13432"/>
    <cellStyle name="Vírgula 3 6 6 2 5 2" xfId="38686"/>
    <cellStyle name="Vírgula 3 6 6 2 6" xfId="32775"/>
    <cellStyle name="Vírgula 3 6 6 3" xfId="8719"/>
    <cellStyle name="Vírgula 3 6 6 3 2" xfId="26933"/>
    <cellStyle name="Vírgula 3 6 6 3 2 2" xfId="52000"/>
    <cellStyle name="Vírgula 3 6 6 3 3" xfId="21019"/>
    <cellStyle name="Vírgula 3 6 6 3 3 2" xfId="46086"/>
    <cellStyle name="Vírgula 3 6 6 3 4" xfId="15105"/>
    <cellStyle name="Vírgula 3 6 6 3 4 2" xfId="40172"/>
    <cellStyle name="Vírgula 3 6 6 3 5" xfId="34264"/>
    <cellStyle name="Vírgula 3 6 6 4" xfId="23976"/>
    <cellStyle name="Vírgula 3 6 6 4 2" xfId="49043"/>
    <cellStyle name="Vírgula 3 6 6 5" xfId="18062"/>
    <cellStyle name="Vírgula 3 6 6 5 2" xfId="43129"/>
    <cellStyle name="Vírgula 3 6 6 6" xfId="11731"/>
    <cellStyle name="Vírgula 3 6 6 6 2" xfId="37218"/>
    <cellStyle name="Vírgula 3 6 6 7" xfId="31307"/>
    <cellStyle name="Vírgula 3 6 7" xfId="6347"/>
    <cellStyle name="Vírgula 3 6 7 2" xfId="9532"/>
    <cellStyle name="Vírgula 3 6 7 2 2" xfId="27746"/>
    <cellStyle name="Vírgula 3 6 7 2 2 2" xfId="52813"/>
    <cellStyle name="Vírgula 3 6 7 2 3" xfId="21832"/>
    <cellStyle name="Vírgula 3 6 7 2 3 2" xfId="46899"/>
    <cellStyle name="Vírgula 3 6 7 2 4" xfId="15918"/>
    <cellStyle name="Vírgula 3 6 7 2 4 2" xfId="40985"/>
    <cellStyle name="Vírgula 3 6 7 2 5" xfId="35077"/>
    <cellStyle name="Vírgula 3 6 7 3" xfId="24789"/>
    <cellStyle name="Vírgula 3 6 7 3 2" xfId="49856"/>
    <cellStyle name="Vírgula 3 6 7 4" xfId="18875"/>
    <cellStyle name="Vírgula 3 6 7 4 2" xfId="43942"/>
    <cellStyle name="Vírgula 3 6 7 5" xfId="12736"/>
    <cellStyle name="Vírgula 3 6 7 5 2" xfId="38031"/>
    <cellStyle name="Vírgula 3 6 7 6" xfId="32120"/>
    <cellStyle name="Vírgula 3 6 8" xfId="8061"/>
    <cellStyle name="Vírgula 3 6 8 2" xfId="26275"/>
    <cellStyle name="Vírgula 3 6 8 2 2" xfId="51342"/>
    <cellStyle name="Vírgula 3 6 8 3" xfId="20361"/>
    <cellStyle name="Vírgula 3 6 8 3 2" xfId="45428"/>
    <cellStyle name="Vírgula 3 6 8 4" xfId="14450"/>
    <cellStyle name="Vírgula 3 6 8 4 2" xfId="39517"/>
    <cellStyle name="Vírgula 3 6 8 5" xfId="33606"/>
    <cellStyle name="Vírgula 3 6 9" xfId="4644"/>
    <cellStyle name="Vírgula 3 6 9 2" xfId="23318"/>
    <cellStyle name="Vírgula 3 6 9 2 2" xfId="48385"/>
    <cellStyle name="Vírgula 3 6 9 3" xfId="30650"/>
    <cellStyle name="Vírgula 3 7" xfId="2711"/>
    <cellStyle name="Vírgula 3 7 10" xfId="17383"/>
    <cellStyle name="Vírgula 3 7 10 2" xfId="42450"/>
    <cellStyle name="Vírgula 3 7 11" xfId="10999"/>
    <cellStyle name="Vírgula 3 7 11 2" xfId="36542"/>
    <cellStyle name="Vírgula 3 7 12" xfId="29984"/>
    <cellStyle name="Vírgula 3 7 2" xfId="4208"/>
    <cellStyle name="Vírgula 3 7 2 2" xfId="7608"/>
    <cellStyle name="Vírgula 3 7 2 2 2" xfId="10750"/>
    <cellStyle name="Vírgula 3 7 2 2 2 2" xfId="28964"/>
    <cellStyle name="Vírgula 3 7 2 2 2 2 2" xfId="54031"/>
    <cellStyle name="Vírgula 3 7 2 2 2 3" xfId="23050"/>
    <cellStyle name="Vírgula 3 7 2 2 2 3 2" xfId="48117"/>
    <cellStyle name="Vírgula 3 7 2 2 2 4" xfId="17136"/>
    <cellStyle name="Vírgula 3 7 2 2 2 4 2" xfId="42203"/>
    <cellStyle name="Vírgula 3 7 2 2 2 5" xfId="36295"/>
    <cellStyle name="Vírgula 3 7 2 2 3" xfId="26007"/>
    <cellStyle name="Vírgula 3 7 2 2 3 2" xfId="51074"/>
    <cellStyle name="Vírgula 3 7 2 2 4" xfId="20093"/>
    <cellStyle name="Vírgula 3 7 2 2 4 2" xfId="45160"/>
    <cellStyle name="Vírgula 3 7 2 2 5" xfId="13997"/>
    <cellStyle name="Vírgula 3 7 2 2 5 2" xfId="39249"/>
    <cellStyle name="Vírgula 3 7 2 2 6" xfId="33338"/>
    <cellStyle name="Vírgula 3 7 2 3" xfId="9282"/>
    <cellStyle name="Vírgula 3 7 2 3 2" xfId="27496"/>
    <cellStyle name="Vírgula 3 7 2 3 2 2" xfId="52563"/>
    <cellStyle name="Vírgula 3 7 2 3 3" xfId="21582"/>
    <cellStyle name="Vírgula 3 7 2 3 3 2" xfId="46649"/>
    <cellStyle name="Vírgula 3 7 2 3 4" xfId="15668"/>
    <cellStyle name="Vírgula 3 7 2 3 4 2" xfId="40735"/>
    <cellStyle name="Vírgula 3 7 2 3 5" xfId="34827"/>
    <cellStyle name="Vírgula 3 7 2 4" xfId="5909"/>
    <cellStyle name="Vírgula 3 7 2 4 2" xfId="24539"/>
    <cellStyle name="Vírgula 3 7 2 4 2 2" xfId="49606"/>
    <cellStyle name="Vírgula 3 7 2 4 3" xfId="31870"/>
    <cellStyle name="Vírgula 3 7 2 5" xfId="18625"/>
    <cellStyle name="Vírgula 3 7 2 5 2" xfId="43692"/>
    <cellStyle name="Vírgula 3 7 2 6" xfId="12296"/>
    <cellStyle name="Vírgula 3 7 2 6 2" xfId="37781"/>
    <cellStyle name="Vírgula 3 7 2 7" xfId="30400"/>
    <cellStyle name="Vírgula 3 7 3" xfId="4284"/>
    <cellStyle name="Vírgula 3 7 3 2" xfId="7685"/>
    <cellStyle name="Vírgula 3 7 3 2 2" xfId="10793"/>
    <cellStyle name="Vírgula 3 7 3 2 2 2" xfId="29007"/>
    <cellStyle name="Vírgula 3 7 3 2 2 2 2" xfId="54074"/>
    <cellStyle name="Vírgula 3 7 3 2 2 3" xfId="23093"/>
    <cellStyle name="Vírgula 3 7 3 2 2 3 2" xfId="48160"/>
    <cellStyle name="Vírgula 3 7 3 2 2 4" xfId="17179"/>
    <cellStyle name="Vírgula 3 7 3 2 2 4 2" xfId="42246"/>
    <cellStyle name="Vírgula 3 7 3 2 2 5" xfId="36338"/>
    <cellStyle name="Vírgula 3 7 3 2 3" xfId="26050"/>
    <cellStyle name="Vírgula 3 7 3 2 3 2" xfId="51117"/>
    <cellStyle name="Vírgula 3 7 3 2 4" xfId="20136"/>
    <cellStyle name="Vírgula 3 7 3 2 4 2" xfId="45203"/>
    <cellStyle name="Vírgula 3 7 3 2 5" xfId="14074"/>
    <cellStyle name="Vírgula 3 7 3 2 5 2" xfId="39292"/>
    <cellStyle name="Vírgula 3 7 3 2 6" xfId="33381"/>
    <cellStyle name="Vírgula 3 7 3 3" xfId="9325"/>
    <cellStyle name="Vírgula 3 7 3 3 2" xfId="27539"/>
    <cellStyle name="Vírgula 3 7 3 3 2 2" xfId="52606"/>
    <cellStyle name="Vírgula 3 7 3 3 3" xfId="21625"/>
    <cellStyle name="Vírgula 3 7 3 3 3 2" xfId="46692"/>
    <cellStyle name="Vírgula 3 7 3 3 4" xfId="15711"/>
    <cellStyle name="Vírgula 3 7 3 3 4 2" xfId="40778"/>
    <cellStyle name="Vírgula 3 7 3 3 5" xfId="34870"/>
    <cellStyle name="Vírgula 3 7 3 4" xfId="5985"/>
    <cellStyle name="Vírgula 3 7 3 4 2" xfId="24582"/>
    <cellStyle name="Vírgula 3 7 3 4 2 2" xfId="49649"/>
    <cellStyle name="Vírgula 3 7 3 4 3" xfId="31913"/>
    <cellStyle name="Vírgula 3 7 3 5" xfId="18668"/>
    <cellStyle name="Vírgula 3 7 3 5 2" xfId="43735"/>
    <cellStyle name="Vírgula 3 7 3 6" xfId="12373"/>
    <cellStyle name="Vírgula 3 7 3 6 2" xfId="37824"/>
    <cellStyle name="Vírgula 3 7 3 7" xfId="30443"/>
    <cellStyle name="Vírgula 3 7 4" xfId="4392"/>
    <cellStyle name="Vírgula 3 7 4 2" xfId="7794"/>
    <cellStyle name="Vírgula 3 7 4 2 2" xfId="10855"/>
    <cellStyle name="Vírgula 3 7 4 2 2 2" xfId="29069"/>
    <cellStyle name="Vírgula 3 7 4 2 2 2 2" xfId="54136"/>
    <cellStyle name="Vírgula 3 7 4 2 2 3" xfId="23155"/>
    <cellStyle name="Vírgula 3 7 4 2 2 3 2" xfId="48222"/>
    <cellStyle name="Vírgula 3 7 4 2 2 4" xfId="17241"/>
    <cellStyle name="Vírgula 3 7 4 2 2 4 2" xfId="42308"/>
    <cellStyle name="Vírgula 3 7 4 2 2 5" xfId="36400"/>
    <cellStyle name="Vírgula 3 7 4 2 3" xfId="26112"/>
    <cellStyle name="Vírgula 3 7 4 2 3 2" xfId="51179"/>
    <cellStyle name="Vírgula 3 7 4 2 4" xfId="20198"/>
    <cellStyle name="Vírgula 3 7 4 2 4 2" xfId="45265"/>
    <cellStyle name="Vírgula 3 7 4 2 5" xfId="14183"/>
    <cellStyle name="Vírgula 3 7 4 2 5 2" xfId="39354"/>
    <cellStyle name="Vírgula 3 7 4 2 6" xfId="33443"/>
    <cellStyle name="Vírgula 3 7 4 3" xfId="9387"/>
    <cellStyle name="Vírgula 3 7 4 3 2" xfId="27601"/>
    <cellStyle name="Vírgula 3 7 4 3 2 2" xfId="52668"/>
    <cellStyle name="Vírgula 3 7 4 3 3" xfId="21687"/>
    <cellStyle name="Vírgula 3 7 4 3 3 2" xfId="46754"/>
    <cellStyle name="Vírgula 3 7 4 3 4" xfId="15773"/>
    <cellStyle name="Vírgula 3 7 4 3 4 2" xfId="40840"/>
    <cellStyle name="Vírgula 3 7 4 3 5" xfId="34932"/>
    <cellStyle name="Vírgula 3 7 4 4" xfId="6094"/>
    <cellStyle name="Vírgula 3 7 4 4 2" xfId="24644"/>
    <cellStyle name="Vírgula 3 7 4 4 2 2" xfId="49711"/>
    <cellStyle name="Vírgula 3 7 4 4 3" xfId="31975"/>
    <cellStyle name="Vírgula 3 7 4 5" xfId="18730"/>
    <cellStyle name="Vírgula 3 7 4 5 2" xfId="43797"/>
    <cellStyle name="Vírgula 3 7 4 6" xfId="12482"/>
    <cellStyle name="Vírgula 3 7 4 6 2" xfId="37886"/>
    <cellStyle name="Vírgula 3 7 4 7" xfId="30505"/>
    <cellStyle name="Vírgula 3 7 5" xfId="4500"/>
    <cellStyle name="Vírgula 3 7 5 2" xfId="7902"/>
    <cellStyle name="Vírgula 3 7 5 2 2" xfId="10917"/>
    <cellStyle name="Vírgula 3 7 5 2 2 2" xfId="29131"/>
    <cellStyle name="Vírgula 3 7 5 2 2 2 2" xfId="54198"/>
    <cellStyle name="Vírgula 3 7 5 2 2 3" xfId="23217"/>
    <cellStyle name="Vírgula 3 7 5 2 2 3 2" xfId="48284"/>
    <cellStyle name="Vírgula 3 7 5 2 2 4" xfId="17303"/>
    <cellStyle name="Vírgula 3 7 5 2 2 4 2" xfId="42370"/>
    <cellStyle name="Vírgula 3 7 5 2 2 5" xfId="36462"/>
    <cellStyle name="Vírgula 3 7 5 2 3" xfId="26174"/>
    <cellStyle name="Vírgula 3 7 5 2 3 2" xfId="51241"/>
    <cellStyle name="Vírgula 3 7 5 2 4" xfId="20260"/>
    <cellStyle name="Vírgula 3 7 5 2 4 2" xfId="45327"/>
    <cellStyle name="Vírgula 3 7 5 2 5" xfId="14291"/>
    <cellStyle name="Vírgula 3 7 5 2 5 2" xfId="39416"/>
    <cellStyle name="Vírgula 3 7 5 2 6" xfId="33505"/>
    <cellStyle name="Vírgula 3 7 5 3" xfId="9449"/>
    <cellStyle name="Vírgula 3 7 5 3 2" xfId="27663"/>
    <cellStyle name="Vírgula 3 7 5 3 2 2" xfId="52730"/>
    <cellStyle name="Vírgula 3 7 5 3 3" xfId="21749"/>
    <cellStyle name="Vírgula 3 7 5 3 3 2" xfId="46816"/>
    <cellStyle name="Vírgula 3 7 5 3 4" xfId="15835"/>
    <cellStyle name="Vírgula 3 7 5 3 4 2" xfId="40902"/>
    <cellStyle name="Vírgula 3 7 5 3 5" xfId="34994"/>
    <cellStyle name="Vírgula 3 7 5 4" xfId="6201"/>
    <cellStyle name="Vírgula 3 7 5 4 2" xfId="24706"/>
    <cellStyle name="Vírgula 3 7 5 4 2 2" xfId="49773"/>
    <cellStyle name="Vírgula 3 7 5 4 3" xfId="32037"/>
    <cellStyle name="Vírgula 3 7 5 5" xfId="18792"/>
    <cellStyle name="Vírgula 3 7 5 5 2" xfId="43859"/>
    <cellStyle name="Vírgula 3 7 5 6" xfId="12590"/>
    <cellStyle name="Vírgula 3 7 5 6 2" xfId="37948"/>
    <cellStyle name="Vírgula 3 7 5 7" xfId="30567"/>
    <cellStyle name="Vírgula 3 7 6" xfId="5491"/>
    <cellStyle name="Vírgula 3 7 6 2" xfId="7190"/>
    <cellStyle name="Vírgula 3 7 6 2 2" xfId="10334"/>
    <cellStyle name="Vírgula 3 7 6 2 2 2" xfId="28548"/>
    <cellStyle name="Vírgula 3 7 6 2 2 2 2" xfId="53615"/>
    <cellStyle name="Vírgula 3 7 6 2 2 3" xfId="22634"/>
    <cellStyle name="Vírgula 3 7 6 2 2 3 2" xfId="47701"/>
    <cellStyle name="Vírgula 3 7 6 2 2 4" xfId="16720"/>
    <cellStyle name="Vírgula 3 7 6 2 2 4 2" xfId="41787"/>
    <cellStyle name="Vírgula 3 7 6 2 2 5" xfId="35879"/>
    <cellStyle name="Vírgula 3 7 6 2 3" xfId="25591"/>
    <cellStyle name="Vírgula 3 7 6 2 3 2" xfId="50658"/>
    <cellStyle name="Vírgula 3 7 6 2 4" xfId="19677"/>
    <cellStyle name="Vírgula 3 7 6 2 4 2" xfId="44744"/>
    <cellStyle name="Vírgula 3 7 6 2 5" xfId="13579"/>
    <cellStyle name="Vírgula 3 7 6 2 5 2" xfId="38833"/>
    <cellStyle name="Vírgula 3 7 6 2 6" xfId="32922"/>
    <cellStyle name="Vírgula 3 7 6 3" xfId="8866"/>
    <cellStyle name="Vírgula 3 7 6 3 2" xfId="27080"/>
    <cellStyle name="Vírgula 3 7 6 3 2 2" xfId="52147"/>
    <cellStyle name="Vírgula 3 7 6 3 3" xfId="21166"/>
    <cellStyle name="Vírgula 3 7 6 3 3 2" xfId="46233"/>
    <cellStyle name="Vírgula 3 7 6 3 4" xfId="15252"/>
    <cellStyle name="Vírgula 3 7 6 3 4 2" xfId="40319"/>
    <cellStyle name="Vírgula 3 7 6 3 5" xfId="34411"/>
    <cellStyle name="Vírgula 3 7 6 4" xfId="24123"/>
    <cellStyle name="Vírgula 3 7 6 4 2" xfId="49190"/>
    <cellStyle name="Vírgula 3 7 6 5" xfId="18209"/>
    <cellStyle name="Vírgula 3 7 6 5 2" xfId="43276"/>
    <cellStyle name="Vírgula 3 7 6 6" xfId="11878"/>
    <cellStyle name="Vírgula 3 7 6 6 2" xfId="37365"/>
    <cellStyle name="Vírgula 3 7 6 7" xfId="31454"/>
    <cellStyle name="Vírgula 3 7 7" xfId="6310"/>
    <cellStyle name="Vírgula 3 7 7 2" xfId="9511"/>
    <cellStyle name="Vírgula 3 7 7 2 2" xfId="27725"/>
    <cellStyle name="Vírgula 3 7 7 2 2 2" xfId="52792"/>
    <cellStyle name="Vírgula 3 7 7 2 3" xfId="21811"/>
    <cellStyle name="Vírgula 3 7 7 2 3 2" xfId="46878"/>
    <cellStyle name="Vírgula 3 7 7 2 4" xfId="15897"/>
    <cellStyle name="Vírgula 3 7 7 2 4 2" xfId="40964"/>
    <cellStyle name="Vírgula 3 7 7 2 5" xfId="35056"/>
    <cellStyle name="Vírgula 3 7 7 3" xfId="24768"/>
    <cellStyle name="Vírgula 3 7 7 3 2" xfId="49835"/>
    <cellStyle name="Vírgula 3 7 7 4" xfId="18854"/>
    <cellStyle name="Vírgula 3 7 7 4 2" xfId="43921"/>
    <cellStyle name="Vírgula 3 7 7 5" xfId="12699"/>
    <cellStyle name="Vírgula 3 7 7 5 2" xfId="38010"/>
    <cellStyle name="Vírgula 3 7 7 6" xfId="32099"/>
    <cellStyle name="Vírgula 3 7 8" xfId="8040"/>
    <cellStyle name="Vírgula 3 7 8 2" xfId="26254"/>
    <cellStyle name="Vírgula 3 7 8 2 2" xfId="51321"/>
    <cellStyle name="Vírgula 3 7 8 3" xfId="20340"/>
    <cellStyle name="Vírgula 3 7 8 3 2" xfId="45407"/>
    <cellStyle name="Vírgula 3 7 8 4" xfId="14429"/>
    <cellStyle name="Vírgula 3 7 8 4 2" xfId="39496"/>
    <cellStyle name="Vírgula 3 7 8 5" xfId="33585"/>
    <cellStyle name="Vírgula 3 7 9" xfId="4608"/>
    <cellStyle name="Vírgula 3 7 9 2" xfId="23297"/>
    <cellStyle name="Vírgula 3 7 9 2 2" xfId="48364"/>
    <cellStyle name="Vírgula 3 7 9 3" xfId="30629"/>
    <cellStyle name="Vírgula 3 8" xfId="3238"/>
    <cellStyle name="Vírgula 3 8 10" xfId="17406"/>
    <cellStyle name="Vírgula 3 8 10 2" xfId="42473"/>
    <cellStyle name="Vírgula 3 8 11" xfId="11040"/>
    <cellStyle name="Vírgula 3 8 11 2" xfId="36565"/>
    <cellStyle name="Vírgula 3 8 12" xfId="30131"/>
    <cellStyle name="Vírgula 3 8 2" xfId="4249"/>
    <cellStyle name="Vírgula 3 8 2 2" xfId="7650"/>
    <cellStyle name="Vírgula 3 8 2 2 2" xfId="10773"/>
    <cellStyle name="Vírgula 3 8 2 2 2 2" xfId="28987"/>
    <cellStyle name="Vírgula 3 8 2 2 2 2 2" xfId="54054"/>
    <cellStyle name="Vírgula 3 8 2 2 2 3" xfId="23073"/>
    <cellStyle name="Vírgula 3 8 2 2 2 3 2" xfId="48140"/>
    <cellStyle name="Vírgula 3 8 2 2 2 4" xfId="17159"/>
    <cellStyle name="Vírgula 3 8 2 2 2 4 2" xfId="42226"/>
    <cellStyle name="Vírgula 3 8 2 2 2 5" xfId="36318"/>
    <cellStyle name="Vírgula 3 8 2 2 3" xfId="26030"/>
    <cellStyle name="Vírgula 3 8 2 2 3 2" xfId="51097"/>
    <cellStyle name="Vírgula 3 8 2 2 4" xfId="20116"/>
    <cellStyle name="Vírgula 3 8 2 2 4 2" xfId="45183"/>
    <cellStyle name="Vírgula 3 8 2 2 5" xfId="14039"/>
    <cellStyle name="Vírgula 3 8 2 2 5 2" xfId="39272"/>
    <cellStyle name="Vírgula 3 8 2 2 6" xfId="33361"/>
    <cellStyle name="Vírgula 3 8 2 3" xfId="9305"/>
    <cellStyle name="Vírgula 3 8 2 3 2" xfId="27519"/>
    <cellStyle name="Vírgula 3 8 2 3 2 2" xfId="52586"/>
    <cellStyle name="Vírgula 3 8 2 3 3" xfId="21605"/>
    <cellStyle name="Vírgula 3 8 2 3 3 2" xfId="46672"/>
    <cellStyle name="Vírgula 3 8 2 3 4" xfId="15691"/>
    <cellStyle name="Vírgula 3 8 2 3 4 2" xfId="40758"/>
    <cellStyle name="Vírgula 3 8 2 3 5" xfId="34850"/>
    <cellStyle name="Vírgula 3 8 2 4" xfId="5950"/>
    <cellStyle name="Vírgula 3 8 2 4 2" xfId="24562"/>
    <cellStyle name="Vírgula 3 8 2 4 2 2" xfId="49629"/>
    <cellStyle name="Vírgula 3 8 2 4 3" xfId="31893"/>
    <cellStyle name="Vírgula 3 8 2 5" xfId="18648"/>
    <cellStyle name="Vírgula 3 8 2 5 2" xfId="43715"/>
    <cellStyle name="Vírgula 3 8 2 6" xfId="12338"/>
    <cellStyle name="Vírgula 3 8 2 6 2" xfId="37804"/>
    <cellStyle name="Vírgula 3 8 2 7" xfId="30423"/>
    <cellStyle name="Vírgula 3 8 3" xfId="4326"/>
    <cellStyle name="Vírgula 3 8 3 2" xfId="7727"/>
    <cellStyle name="Vírgula 3 8 3 2 2" xfId="10816"/>
    <cellStyle name="Vírgula 3 8 3 2 2 2" xfId="29030"/>
    <cellStyle name="Vírgula 3 8 3 2 2 2 2" xfId="54097"/>
    <cellStyle name="Vírgula 3 8 3 2 2 3" xfId="23116"/>
    <cellStyle name="Vírgula 3 8 3 2 2 3 2" xfId="48183"/>
    <cellStyle name="Vírgula 3 8 3 2 2 4" xfId="17202"/>
    <cellStyle name="Vírgula 3 8 3 2 2 4 2" xfId="42269"/>
    <cellStyle name="Vírgula 3 8 3 2 2 5" xfId="36361"/>
    <cellStyle name="Vírgula 3 8 3 2 3" xfId="26073"/>
    <cellStyle name="Vírgula 3 8 3 2 3 2" xfId="51140"/>
    <cellStyle name="Vírgula 3 8 3 2 4" xfId="20159"/>
    <cellStyle name="Vírgula 3 8 3 2 4 2" xfId="45226"/>
    <cellStyle name="Vírgula 3 8 3 2 5" xfId="14116"/>
    <cellStyle name="Vírgula 3 8 3 2 5 2" xfId="39315"/>
    <cellStyle name="Vírgula 3 8 3 2 6" xfId="33404"/>
    <cellStyle name="Vírgula 3 8 3 3" xfId="9348"/>
    <cellStyle name="Vírgula 3 8 3 3 2" xfId="27562"/>
    <cellStyle name="Vírgula 3 8 3 3 2 2" xfId="52629"/>
    <cellStyle name="Vírgula 3 8 3 3 3" xfId="21648"/>
    <cellStyle name="Vírgula 3 8 3 3 3 2" xfId="46715"/>
    <cellStyle name="Vírgula 3 8 3 3 4" xfId="15734"/>
    <cellStyle name="Vírgula 3 8 3 3 4 2" xfId="40801"/>
    <cellStyle name="Vírgula 3 8 3 3 5" xfId="34893"/>
    <cellStyle name="Vírgula 3 8 3 4" xfId="6027"/>
    <cellStyle name="Vírgula 3 8 3 4 2" xfId="24605"/>
    <cellStyle name="Vírgula 3 8 3 4 2 2" xfId="49672"/>
    <cellStyle name="Vírgula 3 8 3 4 3" xfId="31936"/>
    <cellStyle name="Vírgula 3 8 3 5" xfId="18691"/>
    <cellStyle name="Vírgula 3 8 3 5 2" xfId="43758"/>
    <cellStyle name="Vírgula 3 8 3 6" xfId="12415"/>
    <cellStyle name="Vírgula 3 8 3 6 2" xfId="37847"/>
    <cellStyle name="Vírgula 3 8 3 7" xfId="30466"/>
    <cellStyle name="Vírgula 3 8 4" xfId="4434"/>
    <cellStyle name="Vírgula 3 8 4 2" xfId="7836"/>
    <cellStyle name="Vírgula 3 8 4 2 2" xfId="10878"/>
    <cellStyle name="Vírgula 3 8 4 2 2 2" xfId="29092"/>
    <cellStyle name="Vírgula 3 8 4 2 2 2 2" xfId="54159"/>
    <cellStyle name="Vírgula 3 8 4 2 2 3" xfId="23178"/>
    <cellStyle name="Vírgula 3 8 4 2 2 3 2" xfId="48245"/>
    <cellStyle name="Vírgula 3 8 4 2 2 4" xfId="17264"/>
    <cellStyle name="Vírgula 3 8 4 2 2 4 2" xfId="42331"/>
    <cellStyle name="Vírgula 3 8 4 2 2 5" xfId="36423"/>
    <cellStyle name="Vírgula 3 8 4 2 3" xfId="26135"/>
    <cellStyle name="Vírgula 3 8 4 2 3 2" xfId="51202"/>
    <cellStyle name="Vírgula 3 8 4 2 4" xfId="20221"/>
    <cellStyle name="Vírgula 3 8 4 2 4 2" xfId="45288"/>
    <cellStyle name="Vírgula 3 8 4 2 5" xfId="14225"/>
    <cellStyle name="Vírgula 3 8 4 2 5 2" xfId="39377"/>
    <cellStyle name="Vírgula 3 8 4 2 6" xfId="33466"/>
    <cellStyle name="Vírgula 3 8 4 3" xfId="9410"/>
    <cellStyle name="Vírgula 3 8 4 3 2" xfId="27624"/>
    <cellStyle name="Vírgula 3 8 4 3 2 2" xfId="52691"/>
    <cellStyle name="Vírgula 3 8 4 3 3" xfId="21710"/>
    <cellStyle name="Vírgula 3 8 4 3 3 2" xfId="46777"/>
    <cellStyle name="Vírgula 3 8 4 3 4" xfId="15796"/>
    <cellStyle name="Vírgula 3 8 4 3 4 2" xfId="40863"/>
    <cellStyle name="Vírgula 3 8 4 3 5" xfId="34955"/>
    <cellStyle name="Vírgula 3 8 4 4" xfId="6136"/>
    <cellStyle name="Vírgula 3 8 4 4 2" xfId="24667"/>
    <cellStyle name="Vírgula 3 8 4 4 2 2" xfId="49734"/>
    <cellStyle name="Vírgula 3 8 4 4 3" xfId="31998"/>
    <cellStyle name="Vírgula 3 8 4 5" xfId="18753"/>
    <cellStyle name="Vírgula 3 8 4 5 2" xfId="43820"/>
    <cellStyle name="Vírgula 3 8 4 6" xfId="12524"/>
    <cellStyle name="Vírgula 3 8 4 6 2" xfId="37909"/>
    <cellStyle name="Vírgula 3 8 4 7" xfId="30528"/>
    <cellStyle name="Vírgula 3 8 5" xfId="4542"/>
    <cellStyle name="Vírgula 3 8 5 2" xfId="7944"/>
    <cellStyle name="Vírgula 3 8 5 2 2" xfId="10940"/>
    <cellStyle name="Vírgula 3 8 5 2 2 2" xfId="29154"/>
    <cellStyle name="Vírgula 3 8 5 2 2 2 2" xfId="54221"/>
    <cellStyle name="Vírgula 3 8 5 2 2 3" xfId="23240"/>
    <cellStyle name="Vírgula 3 8 5 2 2 3 2" xfId="48307"/>
    <cellStyle name="Vírgula 3 8 5 2 2 4" xfId="17326"/>
    <cellStyle name="Vírgula 3 8 5 2 2 4 2" xfId="42393"/>
    <cellStyle name="Vírgula 3 8 5 2 2 5" xfId="36485"/>
    <cellStyle name="Vírgula 3 8 5 2 3" xfId="26197"/>
    <cellStyle name="Vírgula 3 8 5 2 3 2" xfId="51264"/>
    <cellStyle name="Vírgula 3 8 5 2 4" xfId="20283"/>
    <cellStyle name="Vírgula 3 8 5 2 4 2" xfId="45350"/>
    <cellStyle name="Vírgula 3 8 5 2 5" xfId="14333"/>
    <cellStyle name="Vírgula 3 8 5 2 5 2" xfId="39439"/>
    <cellStyle name="Vírgula 3 8 5 2 6" xfId="33528"/>
    <cellStyle name="Vírgula 3 8 5 3" xfId="9472"/>
    <cellStyle name="Vírgula 3 8 5 3 2" xfId="27686"/>
    <cellStyle name="Vírgula 3 8 5 3 2 2" xfId="52753"/>
    <cellStyle name="Vírgula 3 8 5 3 3" xfId="21772"/>
    <cellStyle name="Vírgula 3 8 5 3 3 2" xfId="46839"/>
    <cellStyle name="Vírgula 3 8 5 3 4" xfId="15858"/>
    <cellStyle name="Vírgula 3 8 5 3 4 2" xfId="40925"/>
    <cellStyle name="Vírgula 3 8 5 3 5" xfId="35017"/>
    <cellStyle name="Vírgula 3 8 5 4" xfId="6243"/>
    <cellStyle name="Vírgula 3 8 5 4 2" xfId="24729"/>
    <cellStyle name="Vírgula 3 8 5 4 2 2" xfId="49796"/>
    <cellStyle name="Vírgula 3 8 5 4 3" xfId="32060"/>
    <cellStyle name="Vírgula 3 8 5 5" xfId="18815"/>
    <cellStyle name="Vírgula 3 8 5 5 2" xfId="43882"/>
    <cellStyle name="Vírgula 3 8 5 6" xfId="12632"/>
    <cellStyle name="Vírgula 3 8 5 6 2" xfId="37971"/>
    <cellStyle name="Vírgula 3 8 5 7" xfId="30590"/>
    <cellStyle name="Vírgula 3 8 6" xfId="5638"/>
    <cellStyle name="Vírgula 3 8 6 2" xfId="7337"/>
    <cellStyle name="Vírgula 3 8 6 2 2" xfId="10481"/>
    <cellStyle name="Vírgula 3 8 6 2 2 2" xfId="28695"/>
    <cellStyle name="Vírgula 3 8 6 2 2 2 2" xfId="53762"/>
    <cellStyle name="Vírgula 3 8 6 2 2 3" xfId="22781"/>
    <cellStyle name="Vírgula 3 8 6 2 2 3 2" xfId="47848"/>
    <cellStyle name="Vírgula 3 8 6 2 2 4" xfId="16867"/>
    <cellStyle name="Vírgula 3 8 6 2 2 4 2" xfId="41934"/>
    <cellStyle name="Vírgula 3 8 6 2 2 5" xfId="36026"/>
    <cellStyle name="Vírgula 3 8 6 2 3" xfId="25738"/>
    <cellStyle name="Vírgula 3 8 6 2 3 2" xfId="50805"/>
    <cellStyle name="Vírgula 3 8 6 2 4" xfId="19824"/>
    <cellStyle name="Vírgula 3 8 6 2 4 2" xfId="44891"/>
    <cellStyle name="Vírgula 3 8 6 2 5" xfId="13726"/>
    <cellStyle name="Vírgula 3 8 6 2 5 2" xfId="38980"/>
    <cellStyle name="Vírgula 3 8 6 2 6" xfId="33069"/>
    <cellStyle name="Vírgula 3 8 6 3" xfId="9013"/>
    <cellStyle name="Vírgula 3 8 6 3 2" xfId="27227"/>
    <cellStyle name="Vírgula 3 8 6 3 2 2" xfId="52294"/>
    <cellStyle name="Vírgula 3 8 6 3 3" xfId="21313"/>
    <cellStyle name="Vírgula 3 8 6 3 3 2" xfId="46380"/>
    <cellStyle name="Vírgula 3 8 6 3 4" xfId="15399"/>
    <cellStyle name="Vírgula 3 8 6 3 4 2" xfId="40466"/>
    <cellStyle name="Vírgula 3 8 6 3 5" xfId="34558"/>
    <cellStyle name="Vírgula 3 8 6 4" xfId="24270"/>
    <cellStyle name="Vírgula 3 8 6 4 2" xfId="49337"/>
    <cellStyle name="Vírgula 3 8 6 5" xfId="18356"/>
    <cellStyle name="Vírgula 3 8 6 5 2" xfId="43423"/>
    <cellStyle name="Vírgula 3 8 6 6" xfId="12025"/>
    <cellStyle name="Vírgula 3 8 6 6 2" xfId="37512"/>
    <cellStyle name="Vírgula 3 8 6 7" xfId="31601"/>
    <cellStyle name="Vírgula 3 8 7" xfId="6352"/>
    <cellStyle name="Vírgula 3 8 7 2" xfId="9534"/>
    <cellStyle name="Vírgula 3 8 7 2 2" xfId="27748"/>
    <cellStyle name="Vírgula 3 8 7 2 2 2" xfId="52815"/>
    <cellStyle name="Vírgula 3 8 7 2 3" xfId="21834"/>
    <cellStyle name="Vírgula 3 8 7 2 3 2" xfId="46901"/>
    <cellStyle name="Vírgula 3 8 7 2 4" xfId="15920"/>
    <cellStyle name="Vírgula 3 8 7 2 4 2" xfId="40987"/>
    <cellStyle name="Vírgula 3 8 7 2 5" xfId="35079"/>
    <cellStyle name="Vírgula 3 8 7 3" xfId="24791"/>
    <cellStyle name="Vírgula 3 8 7 3 2" xfId="49858"/>
    <cellStyle name="Vírgula 3 8 7 4" xfId="18877"/>
    <cellStyle name="Vírgula 3 8 7 4 2" xfId="43944"/>
    <cellStyle name="Vírgula 3 8 7 5" xfId="12741"/>
    <cellStyle name="Vírgula 3 8 7 5 2" xfId="38033"/>
    <cellStyle name="Vírgula 3 8 7 6" xfId="32122"/>
    <cellStyle name="Vírgula 3 8 8" xfId="8063"/>
    <cellStyle name="Vírgula 3 8 8 2" xfId="26277"/>
    <cellStyle name="Vírgula 3 8 8 2 2" xfId="51344"/>
    <cellStyle name="Vírgula 3 8 8 3" xfId="20363"/>
    <cellStyle name="Vírgula 3 8 8 3 2" xfId="45430"/>
    <cellStyle name="Vírgula 3 8 8 4" xfId="14452"/>
    <cellStyle name="Vírgula 3 8 8 4 2" xfId="39519"/>
    <cellStyle name="Vírgula 3 8 8 5" xfId="33608"/>
    <cellStyle name="Vírgula 3 8 9" xfId="4649"/>
    <cellStyle name="Vírgula 3 8 9 2" xfId="23320"/>
    <cellStyle name="Vírgula 3 8 9 2 2" xfId="48387"/>
    <cellStyle name="Vírgula 3 8 9 3" xfId="30652"/>
    <cellStyle name="Vírgula 3 9" xfId="3765"/>
    <cellStyle name="Vírgula 3 9 10" xfId="11072"/>
    <cellStyle name="Vírgula 3 9 10 2" xfId="36584"/>
    <cellStyle name="Vírgula 3 9 11" xfId="30278"/>
    <cellStyle name="Vírgula 3 9 2" xfId="4358"/>
    <cellStyle name="Vírgula 3 9 2 2" xfId="7759"/>
    <cellStyle name="Vírgula 3 9 2 2 2" xfId="10835"/>
    <cellStyle name="Vírgula 3 9 2 2 2 2" xfId="29049"/>
    <cellStyle name="Vírgula 3 9 2 2 2 2 2" xfId="54116"/>
    <cellStyle name="Vírgula 3 9 2 2 2 3" xfId="23135"/>
    <cellStyle name="Vírgula 3 9 2 2 2 3 2" xfId="48202"/>
    <cellStyle name="Vírgula 3 9 2 2 2 4" xfId="17221"/>
    <cellStyle name="Vírgula 3 9 2 2 2 4 2" xfId="42288"/>
    <cellStyle name="Vírgula 3 9 2 2 2 5" xfId="36380"/>
    <cellStyle name="Vírgula 3 9 2 2 3" xfId="26092"/>
    <cellStyle name="Vírgula 3 9 2 2 3 2" xfId="51159"/>
    <cellStyle name="Vírgula 3 9 2 2 4" xfId="20178"/>
    <cellStyle name="Vírgula 3 9 2 2 4 2" xfId="45245"/>
    <cellStyle name="Vírgula 3 9 2 2 5" xfId="14148"/>
    <cellStyle name="Vírgula 3 9 2 2 5 2" xfId="39334"/>
    <cellStyle name="Vírgula 3 9 2 2 6" xfId="33423"/>
    <cellStyle name="Vírgula 3 9 2 3" xfId="9367"/>
    <cellStyle name="Vírgula 3 9 2 3 2" xfId="27581"/>
    <cellStyle name="Vírgula 3 9 2 3 2 2" xfId="52648"/>
    <cellStyle name="Vírgula 3 9 2 3 3" xfId="21667"/>
    <cellStyle name="Vírgula 3 9 2 3 3 2" xfId="46734"/>
    <cellStyle name="Vírgula 3 9 2 3 4" xfId="15753"/>
    <cellStyle name="Vírgula 3 9 2 3 4 2" xfId="40820"/>
    <cellStyle name="Vírgula 3 9 2 3 5" xfId="34912"/>
    <cellStyle name="Vírgula 3 9 2 4" xfId="6059"/>
    <cellStyle name="Vírgula 3 9 2 4 2" xfId="24624"/>
    <cellStyle name="Vírgula 3 9 2 4 2 2" xfId="49691"/>
    <cellStyle name="Vírgula 3 9 2 4 3" xfId="31955"/>
    <cellStyle name="Vírgula 3 9 2 5" xfId="18710"/>
    <cellStyle name="Vírgula 3 9 2 5 2" xfId="43777"/>
    <cellStyle name="Vírgula 3 9 2 6" xfId="12447"/>
    <cellStyle name="Vírgula 3 9 2 6 2" xfId="37866"/>
    <cellStyle name="Vírgula 3 9 2 7" xfId="30485"/>
    <cellStyle name="Vírgula 3 9 3" xfId="4466"/>
    <cellStyle name="Vírgula 3 9 3 2" xfId="7868"/>
    <cellStyle name="Vírgula 3 9 3 2 2" xfId="10897"/>
    <cellStyle name="Vírgula 3 9 3 2 2 2" xfId="29111"/>
    <cellStyle name="Vírgula 3 9 3 2 2 2 2" xfId="54178"/>
    <cellStyle name="Vírgula 3 9 3 2 2 3" xfId="23197"/>
    <cellStyle name="Vírgula 3 9 3 2 2 3 2" xfId="48264"/>
    <cellStyle name="Vírgula 3 9 3 2 2 4" xfId="17283"/>
    <cellStyle name="Vírgula 3 9 3 2 2 4 2" xfId="42350"/>
    <cellStyle name="Vírgula 3 9 3 2 2 5" xfId="36442"/>
    <cellStyle name="Vírgula 3 9 3 2 3" xfId="26154"/>
    <cellStyle name="Vírgula 3 9 3 2 3 2" xfId="51221"/>
    <cellStyle name="Vírgula 3 9 3 2 4" xfId="20240"/>
    <cellStyle name="Vírgula 3 9 3 2 4 2" xfId="45307"/>
    <cellStyle name="Vírgula 3 9 3 2 5" xfId="14257"/>
    <cellStyle name="Vírgula 3 9 3 2 5 2" xfId="39396"/>
    <cellStyle name="Vírgula 3 9 3 2 6" xfId="33485"/>
    <cellStyle name="Vírgula 3 9 3 3" xfId="9429"/>
    <cellStyle name="Vírgula 3 9 3 3 2" xfId="27643"/>
    <cellStyle name="Vírgula 3 9 3 3 2 2" xfId="52710"/>
    <cellStyle name="Vírgula 3 9 3 3 3" xfId="21729"/>
    <cellStyle name="Vírgula 3 9 3 3 3 2" xfId="46796"/>
    <cellStyle name="Vírgula 3 9 3 3 4" xfId="15815"/>
    <cellStyle name="Vírgula 3 9 3 3 4 2" xfId="40882"/>
    <cellStyle name="Vírgula 3 9 3 3 5" xfId="34974"/>
    <cellStyle name="Vírgula 3 9 3 4" xfId="6167"/>
    <cellStyle name="Vírgula 3 9 3 4 2" xfId="24686"/>
    <cellStyle name="Vírgula 3 9 3 4 2 2" xfId="49753"/>
    <cellStyle name="Vírgula 3 9 3 4 3" xfId="32017"/>
    <cellStyle name="Vírgula 3 9 3 5" xfId="18772"/>
    <cellStyle name="Vírgula 3 9 3 5 2" xfId="43839"/>
    <cellStyle name="Vírgula 3 9 3 6" xfId="12556"/>
    <cellStyle name="Vírgula 3 9 3 6 2" xfId="37928"/>
    <cellStyle name="Vírgula 3 9 3 7" xfId="30547"/>
    <cellStyle name="Vírgula 3 9 4" xfId="4574"/>
    <cellStyle name="Vírgula 3 9 4 2" xfId="7976"/>
    <cellStyle name="Vírgula 3 9 4 2 2" xfId="10959"/>
    <cellStyle name="Vírgula 3 9 4 2 2 2" xfId="29173"/>
    <cellStyle name="Vírgula 3 9 4 2 2 2 2" xfId="54240"/>
    <cellStyle name="Vírgula 3 9 4 2 2 3" xfId="23259"/>
    <cellStyle name="Vírgula 3 9 4 2 2 3 2" xfId="48326"/>
    <cellStyle name="Vírgula 3 9 4 2 2 4" xfId="17345"/>
    <cellStyle name="Vírgula 3 9 4 2 2 4 2" xfId="42412"/>
    <cellStyle name="Vírgula 3 9 4 2 2 5" xfId="36504"/>
    <cellStyle name="Vírgula 3 9 4 2 3" xfId="26216"/>
    <cellStyle name="Vírgula 3 9 4 2 3 2" xfId="51283"/>
    <cellStyle name="Vírgula 3 9 4 2 4" xfId="20302"/>
    <cellStyle name="Vírgula 3 9 4 2 4 2" xfId="45369"/>
    <cellStyle name="Vírgula 3 9 4 2 5" xfId="14365"/>
    <cellStyle name="Vírgula 3 9 4 2 5 2" xfId="39458"/>
    <cellStyle name="Vírgula 3 9 4 2 6" xfId="33547"/>
    <cellStyle name="Vírgula 3 9 4 3" xfId="9491"/>
    <cellStyle name="Vírgula 3 9 4 3 2" xfId="27705"/>
    <cellStyle name="Vírgula 3 9 4 3 2 2" xfId="52772"/>
    <cellStyle name="Vírgula 3 9 4 3 3" xfId="21791"/>
    <cellStyle name="Vírgula 3 9 4 3 3 2" xfId="46858"/>
    <cellStyle name="Vírgula 3 9 4 3 4" xfId="15877"/>
    <cellStyle name="Vírgula 3 9 4 3 4 2" xfId="40944"/>
    <cellStyle name="Vírgula 3 9 4 3 5" xfId="35036"/>
    <cellStyle name="Vírgula 3 9 4 4" xfId="6275"/>
    <cellStyle name="Vírgula 3 9 4 4 2" xfId="24748"/>
    <cellStyle name="Vírgula 3 9 4 4 2 2" xfId="49815"/>
    <cellStyle name="Vírgula 3 9 4 4 3" xfId="32079"/>
    <cellStyle name="Vírgula 3 9 4 5" xfId="18834"/>
    <cellStyle name="Vírgula 3 9 4 5 2" xfId="43901"/>
    <cellStyle name="Vírgula 3 9 4 6" xfId="12664"/>
    <cellStyle name="Vírgula 3 9 4 6 2" xfId="37990"/>
    <cellStyle name="Vírgula 3 9 4 7" xfId="30609"/>
    <cellStyle name="Vírgula 3 9 5" xfId="5785"/>
    <cellStyle name="Vírgula 3 9 5 2" xfId="7484"/>
    <cellStyle name="Vírgula 3 9 5 2 2" xfId="10628"/>
    <cellStyle name="Vírgula 3 9 5 2 2 2" xfId="28842"/>
    <cellStyle name="Vírgula 3 9 5 2 2 2 2" xfId="53909"/>
    <cellStyle name="Vírgula 3 9 5 2 2 3" xfId="22928"/>
    <cellStyle name="Vírgula 3 9 5 2 2 3 2" xfId="47995"/>
    <cellStyle name="Vírgula 3 9 5 2 2 4" xfId="17014"/>
    <cellStyle name="Vírgula 3 9 5 2 2 4 2" xfId="42081"/>
    <cellStyle name="Vírgula 3 9 5 2 2 5" xfId="36173"/>
    <cellStyle name="Vírgula 3 9 5 2 3" xfId="25885"/>
    <cellStyle name="Vírgula 3 9 5 2 3 2" xfId="50952"/>
    <cellStyle name="Vírgula 3 9 5 2 4" xfId="19971"/>
    <cellStyle name="Vírgula 3 9 5 2 4 2" xfId="45038"/>
    <cellStyle name="Vírgula 3 9 5 2 5" xfId="13873"/>
    <cellStyle name="Vírgula 3 9 5 2 5 2" xfId="39127"/>
    <cellStyle name="Vírgula 3 9 5 2 6" xfId="33216"/>
    <cellStyle name="Vírgula 3 9 5 3" xfId="9160"/>
    <cellStyle name="Vírgula 3 9 5 3 2" xfId="27374"/>
    <cellStyle name="Vírgula 3 9 5 3 2 2" xfId="52441"/>
    <cellStyle name="Vírgula 3 9 5 3 3" xfId="21460"/>
    <cellStyle name="Vírgula 3 9 5 3 3 2" xfId="46527"/>
    <cellStyle name="Vírgula 3 9 5 3 4" xfId="15546"/>
    <cellStyle name="Vírgula 3 9 5 3 4 2" xfId="40613"/>
    <cellStyle name="Vírgula 3 9 5 3 5" xfId="34705"/>
    <cellStyle name="Vírgula 3 9 5 4" xfId="24417"/>
    <cellStyle name="Vírgula 3 9 5 4 2" xfId="49484"/>
    <cellStyle name="Vírgula 3 9 5 5" xfId="18503"/>
    <cellStyle name="Vírgula 3 9 5 5 2" xfId="43570"/>
    <cellStyle name="Vírgula 3 9 5 6" xfId="12172"/>
    <cellStyle name="Vírgula 3 9 5 6 2" xfId="37659"/>
    <cellStyle name="Vírgula 3 9 5 7" xfId="31748"/>
    <cellStyle name="Vírgula 3 9 6" xfId="6384"/>
    <cellStyle name="Vírgula 3 9 6 2" xfId="9553"/>
    <cellStyle name="Vírgula 3 9 6 2 2" xfId="27767"/>
    <cellStyle name="Vírgula 3 9 6 2 2 2" xfId="52834"/>
    <cellStyle name="Vírgula 3 9 6 2 3" xfId="21853"/>
    <cellStyle name="Vírgula 3 9 6 2 3 2" xfId="46920"/>
    <cellStyle name="Vírgula 3 9 6 2 4" xfId="15939"/>
    <cellStyle name="Vírgula 3 9 6 2 4 2" xfId="41006"/>
    <cellStyle name="Vírgula 3 9 6 2 5" xfId="35098"/>
    <cellStyle name="Vírgula 3 9 6 3" xfId="24810"/>
    <cellStyle name="Vírgula 3 9 6 3 2" xfId="49877"/>
    <cellStyle name="Vírgula 3 9 6 4" xfId="18896"/>
    <cellStyle name="Vírgula 3 9 6 4 2" xfId="43963"/>
    <cellStyle name="Vírgula 3 9 6 5" xfId="12773"/>
    <cellStyle name="Vírgula 3 9 6 5 2" xfId="38052"/>
    <cellStyle name="Vírgula 3 9 6 6" xfId="32141"/>
    <cellStyle name="Vírgula 3 9 7" xfId="8082"/>
    <cellStyle name="Vírgula 3 9 7 2" xfId="26296"/>
    <cellStyle name="Vírgula 3 9 7 2 2" xfId="51363"/>
    <cellStyle name="Vírgula 3 9 7 3" xfId="20382"/>
    <cellStyle name="Vírgula 3 9 7 3 2" xfId="45449"/>
    <cellStyle name="Vírgula 3 9 7 4" xfId="14471"/>
    <cellStyle name="Vírgula 3 9 7 4 2" xfId="39538"/>
    <cellStyle name="Vírgula 3 9 7 5" xfId="33627"/>
    <cellStyle name="Vírgula 3 9 8" xfId="4681"/>
    <cellStyle name="Vírgula 3 9 8 2" xfId="23339"/>
    <cellStyle name="Vírgula 3 9 8 2 2" xfId="48406"/>
    <cellStyle name="Vírgula 3 9 8 3" xfId="30671"/>
    <cellStyle name="Vírgula 3 9 9" xfId="17425"/>
    <cellStyle name="Vírgula 3 9 9 2" xfId="42492"/>
    <cellStyle name="Vírgula 4" xfId="19"/>
    <cellStyle name="Vírgula 4 10" xfId="4218"/>
    <cellStyle name="Vírgula 4 10 2" xfId="7618"/>
    <cellStyle name="Vírgula 4 10 2 2" xfId="10755"/>
    <cellStyle name="Vírgula 4 10 2 2 2" xfId="28969"/>
    <cellStyle name="Vírgula 4 10 2 2 2 2" xfId="54036"/>
    <cellStyle name="Vírgula 4 10 2 2 3" xfId="23055"/>
    <cellStyle name="Vírgula 4 10 2 2 3 2" xfId="48122"/>
    <cellStyle name="Vírgula 4 10 2 2 4" xfId="17141"/>
    <cellStyle name="Vírgula 4 10 2 2 4 2" xfId="42208"/>
    <cellStyle name="Vírgula 4 10 2 2 5" xfId="36300"/>
    <cellStyle name="Vírgula 4 10 2 3" xfId="26012"/>
    <cellStyle name="Vírgula 4 10 2 3 2" xfId="51079"/>
    <cellStyle name="Vírgula 4 10 2 4" xfId="20098"/>
    <cellStyle name="Vírgula 4 10 2 4 2" xfId="45165"/>
    <cellStyle name="Vírgula 4 10 2 5" xfId="14007"/>
    <cellStyle name="Vírgula 4 10 2 5 2" xfId="39254"/>
    <cellStyle name="Vírgula 4 10 2 6" xfId="33343"/>
    <cellStyle name="Vírgula 4 10 3" xfId="9287"/>
    <cellStyle name="Vírgula 4 10 3 2" xfId="27501"/>
    <cellStyle name="Vírgula 4 10 3 2 2" xfId="52568"/>
    <cellStyle name="Vírgula 4 10 3 3" xfId="21587"/>
    <cellStyle name="Vírgula 4 10 3 3 2" xfId="46654"/>
    <cellStyle name="Vírgula 4 10 3 4" xfId="15673"/>
    <cellStyle name="Vírgula 4 10 3 4 2" xfId="40740"/>
    <cellStyle name="Vírgula 4 10 3 5" xfId="34832"/>
    <cellStyle name="Vírgula 4 10 4" xfId="5919"/>
    <cellStyle name="Vírgula 4 10 4 2" xfId="24544"/>
    <cellStyle name="Vírgula 4 10 4 2 2" xfId="49611"/>
    <cellStyle name="Vírgula 4 10 4 3" xfId="31875"/>
    <cellStyle name="Vírgula 4 10 5" xfId="18630"/>
    <cellStyle name="Vírgula 4 10 5 2" xfId="43697"/>
    <cellStyle name="Vírgula 4 10 6" xfId="12306"/>
    <cellStyle name="Vírgula 4 10 6 2" xfId="37786"/>
    <cellStyle name="Vírgula 4 10 7" xfId="30405"/>
    <cellStyle name="Vírgula 4 11" xfId="4294"/>
    <cellStyle name="Vírgula 4 11 2" xfId="7695"/>
    <cellStyle name="Vírgula 4 11 2 2" xfId="10798"/>
    <cellStyle name="Vírgula 4 11 2 2 2" xfId="29012"/>
    <cellStyle name="Vírgula 4 11 2 2 2 2" xfId="54079"/>
    <cellStyle name="Vírgula 4 11 2 2 3" xfId="23098"/>
    <cellStyle name="Vírgula 4 11 2 2 3 2" xfId="48165"/>
    <cellStyle name="Vírgula 4 11 2 2 4" xfId="17184"/>
    <cellStyle name="Vírgula 4 11 2 2 4 2" xfId="42251"/>
    <cellStyle name="Vírgula 4 11 2 2 5" xfId="36343"/>
    <cellStyle name="Vírgula 4 11 2 3" xfId="26055"/>
    <cellStyle name="Vírgula 4 11 2 3 2" xfId="51122"/>
    <cellStyle name="Vírgula 4 11 2 4" xfId="20141"/>
    <cellStyle name="Vírgula 4 11 2 4 2" xfId="45208"/>
    <cellStyle name="Vírgula 4 11 2 5" xfId="14084"/>
    <cellStyle name="Vírgula 4 11 2 5 2" xfId="39297"/>
    <cellStyle name="Vírgula 4 11 2 6" xfId="33386"/>
    <cellStyle name="Vírgula 4 11 3" xfId="9330"/>
    <cellStyle name="Vírgula 4 11 3 2" xfId="27544"/>
    <cellStyle name="Vírgula 4 11 3 2 2" xfId="52611"/>
    <cellStyle name="Vírgula 4 11 3 3" xfId="21630"/>
    <cellStyle name="Vírgula 4 11 3 3 2" xfId="46697"/>
    <cellStyle name="Vírgula 4 11 3 4" xfId="15716"/>
    <cellStyle name="Vírgula 4 11 3 4 2" xfId="40783"/>
    <cellStyle name="Vírgula 4 11 3 5" xfId="34875"/>
    <cellStyle name="Vírgula 4 11 4" xfId="5995"/>
    <cellStyle name="Vírgula 4 11 4 2" xfId="24587"/>
    <cellStyle name="Vírgula 4 11 4 2 2" xfId="49654"/>
    <cellStyle name="Vírgula 4 11 4 3" xfId="31918"/>
    <cellStyle name="Vírgula 4 11 5" xfId="18673"/>
    <cellStyle name="Vírgula 4 11 5 2" xfId="43740"/>
    <cellStyle name="Vírgula 4 11 6" xfId="12383"/>
    <cellStyle name="Vírgula 4 11 6 2" xfId="37829"/>
    <cellStyle name="Vírgula 4 11 7" xfId="30448"/>
    <cellStyle name="Vírgula 4 12" xfId="4402"/>
    <cellStyle name="Vírgula 4 12 2" xfId="7804"/>
    <cellStyle name="Vírgula 4 12 2 2" xfId="10860"/>
    <cellStyle name="Vírgula 4 12 2 2 2" xfId="29074"/>
    <cellStyle name="Vírgula 4 12 2 2 2 2" xfId="54141"/>
    <cellStyle name="Vírgula 4 12 2 2 3" xfId="23160"/>
    <cellStyle name="Vírgula 4 12 2 2 3 2" xfId="48227"/>
    <cellStyle name="Vírgula 4 12 2 2 4" xfId="17246"/>
    <cellStyle name="Vírgula 4 12 2 2 4 2" xfId="42313"/>
    <cellStyle name="Vírgula 4 12 2 2 5" xfId="36405"/>
    <cellStyle name="Vírgula 4 12 2 3" xfId="26117"/>
    <cellStyle name="Vírgula 4 12 2 3 2" xfId="51184"/>
    <cellStyle name="Vírgula 4 12 2 4" xfId="20203"/>
    <cellStyle name="Vírgula 4 12 2 4 2" xfId="45270"/>
    <cellStyle name="Vírgula 4 12 2 5" xfId="14193"/>
    <cellStyle name="Vírgula 4 12 2 5 2" xfId="39359"/>
    <cellStyle name="Vírgula 4 12 2 6" xfId="33448"/>
    <cellStyle name="Vírgula 4 12 3" xfId="9392"/>
    <cellStyle name="Vírgula 4 12 3 2" xfId="27606"/>
    <cellStyle name="Vírgula 4 12 3 2 2" xfId="52673"/>
    <cellStyle name="Vírgula 4 12 3 3" xfId="21692"/>
    <cellStyle name="Vírgula 4 12 3 3 2" xfId="46759"/>
    <cellStyle name="Vírgula 4 12 3 4" xfId="15778"/>
    <cellStyle name="Vírgula 4 12 3 4 2" xfId="40845"/>
    <cellStyle name="Vírgula 4 12 3 5" xfId="34937"/>
    <cellStyle name="Vírgula 4 12 4" xfId="6104"/>
    <cellStyle name="Vírgula 4 12 4 2" xfId="24649"/>
    <cellStyle name="Vírgula 4 12 4 2 2" xfId="49716"/>
    <cellStyle name="Vírgula 4 12 4 3" xfId="31980"/>
    <cellStyle name="Vírgula 4 12 5" xfId="18735"/>
    <cellStyle name="Vírgula 4 12 5 2" xfId="43802"/>
    <cellStyle name="Vírgula 4 12 6" xfId="12492"/>
    <cellStyle name="Vírgula 4 12 6 2" xfId="37891"/>
    <cellStyle name="Vírgula 4 12 7" xfId="30510"/>
    <cellStyle name="Vírgula 4 13" xfId="4510"/>
    <cellStyle name="Vírgula 4 13 2" xfId="7912"/>
    <cellStyle name="Vírgula 4 13 2 2" xfId="10922"/>
    <cellStyle name="Vírgula 4 13 2 2 2" xfId="29136"/>
    <cellStyle name="Vírgula 4 13 2 2 2 2" xfId="54203"/>
    <cellStyle name="Vírgula 4 13 2 2 3" xfId="23222"/>
    <cellStyle name="Vírgula 4 13 2 2 3 2" xfId="48289"/>
    <cellStyle name="Vírgula 4 13 2 2 4" xfId="17308"/>
    <cellStyle name="Vírgula 4 13 2 2 4 2" xfId="42375"/>
    <cellStyle name="Vírgula 4 13 2 2 5" xfId="36467"/>
    <cellStyle name="Vírgula 4 13 2 3" xfId="26179"/>
    <cellStyle name="Vírgula 4 13 2 3 2" xfId="51246"/>
    <cellStyle name="Vírgula 4 13 2 4" xfId="20265"/>
    <cellStyle name="Vírgula 4 13 2 4 2" xfId="45332"/>
    <cellStyle name="Vírgula 4 13 2 5" xfId="14301"/>
    <cellStyle name="Vírgula 4 13 2 5 2" xfId="39421"/>
    <cellStyle name="Vírgula 4 13 2 6" xfId="33510"/>
    <cellStyle name="Vírgula 4 13 3" xfId="9454"/>
    <cellStyle name="Vírgula 4 13 3 2" xfId="27668"/>
    <cellStyle name="Vírgula 4 13 3 2 2" xfId="52735"/>
    <cellStyle name="Vírgula 4 13 3 3" xfId="21754"/>
    <cellStyle name="Vírgula 4 13 3 3 2" xfId="46821"/>
    <cellStyle name="Vírgula 4 13 3 4" xfId="15840"/>
    <cellStyle name="Vírgula 4 13 3 4 2" xfId="40907"/>
    <cellStyle name="Vírgula 4 13 3 5" xfId="34999"/>
    <cellStyle name="Vírgula 4 13 4" xfId="6211"/>
    <cellStyle name="Vírgula 4 13 4 2" xfId="24711"/>
    <cellStyle name="Vírgula 4 13 4 2 2" xfId="49778"/>
    <cellStyle name="Vírgula 4 13 4 3" xfId="32042"/>
    <cellStyle name="Vírgula 4 13 5" xfId="18797"/>
    <cellStyle name="Vírgula 4 13 5 2" xfId="43864"/>
    <cellStyle name="Vírgula 4 13 6" xfId="12600"/>
    <cellStyle name="Vírgula 4 13 6 2" xfId="37953"/>
    <cellStyle name="Vírgula 4 13 7" xfId="30572"/>
    <cellStyle name="Vírgula 4 14" xfId="4712"/>
    <cellStyle name="Vírgula 4 14 2" xfId="6415"/>
    <cellStyle name="Vírgula 4 14 2 2" xfId="9571"/>
    <cellStyle name="Vírgula 4 14 2 2 2" xfId="27785"/>
    <cellStyle name="Vírgula 4 14 2 2 2 2" xfId="52852"/>
    <cellStyle name="Vírgula 4 14 2 2 3" xfId="21871"/>
    <cellStyle name="Vírgula 4 14 2 2 3 2" xfId="46938"/>
    <cellStyle name="Vírgula 4 14 2 2 4" xfId="15957"/>
    <cellStyle name="Vírgula 4 14 2 2 4 2" xfId="41024"/>
    <cellStyle name="Vírgula 4 14 2 2 5" xfId="35116"/>
    <cellStyle name="Vírgula 4 14 2 3" xfId="24828"/>
    <cellStyle name="Vírgula 4 14 2 3 2" xfId="49895"/>
    <cellStyle name="Vírgula 4 14 2 4" xfId="18914"/>
    <cellStyle name="Vírgula 4 14 2 4 2" xfId="43981"/>
    <cellStyle name="Vírgula 4 14 2 5" xfId="12804"/>
    <cellStyle name="Vírgula 4 14 2 5 2" xfId="38070"/>
    <cellStyle name="Vírgula 4 14 2 6" xfId="32159"/>
    <cellStyle name="Vírgula 4 14 3" xfId="8100"/>
    <cellStyle name="Vírgula 4 14 3 2" xfId="26314"/>
    <cellStyle name="Vírgula 4 14 3 2 2" xfId="51381"/>
    <cellStyle name="Vírgula 4 14 3 3" xfId="20400"/>
    <cellStyle name="Vírgula 4 14 3 3 2" xfId="45467"/>
    <cellStyle name="Vírgula 4 14 3 4" xfId="14489"/>
    <cellStyle name="Vírgula 4 14 3 4 2" xfId="39556"/>
    <cellStyle name="Vírgula 4 14 3 5" xfId="33645"/>
    <cellStyle name="Vírgula 4 14 4" xfId="23357"/>
    <cellStyle name="Vírgula 4 14 4 2" xfId="48424"/>
    <cellStyle name="Vírgula 4 14 5" xfId="17443"/>
    <cellStyle name="Vírgula 4 14 5 2" xfId="42510"/>
    <cellStyle name="Vírgula 4 14 6" xfId="11103"/>
    <cellStyle name="Vírgula 4 14 6 2" xfId="36602"/>
    <cellStyle name="Vírgula 4 14 7" xfId="30689"/>
    <cellStyle name="Vírgula 4 15" xfId="6320"/>
    <cellStyle name="Vírgula 4 15 2" xfId="9516"/>
    <cellStyle name="Vírgula 4 15 2 2" xfId="27730"/>
    <cellStyle name="Vírgula 4 15 2 2 2" xfId="52797"/>
    <cellStyle name="Vírgula 4 15 2 3" xfId="21816"/>
    <cellStyle name="Vírgula 4 15 2 3 2" xfId="46883"/>
    <cellStyle name="Vírgula 4 15 2 4" xfId="15902"/>
    <cellStyle name="Vírgula 4 15 2 4 2" xfId="40969"/>
    <cellStyle name="Vírgula 4 15 2 5" xfId="35061"/>
    <cellStyle name="Vírgula 4 15 3" xfId="24773"/>
    <cellStyle name="Vírgula 4 15 3 2" xfId="49840"/>
    <cellStyle name="Vírgula 4 15 4" xfId="18859"/>
    <cellStyle name="Vírgula 4 15 4 2" xfId="43926"/>
    <cellStyle name="Vírgula 4 15 5" xfId="12709"/>
    <cellStyle name="Vírgula 4 15 5 2" xfId="38015"/>
    <cellStyle name="Vírgula 4 15 6" xfId="32104"/>
    <cellStyle name="Vírgula 4 16" xfId="8012"/>
    <cellStyle name="Vírgula 4 16 2" xfId="10980"/>
    <cellStyle name="Vírgula 4 16 2 2" xfId="29194"/>
    <cellStyle name="Vírgula 4 16 2 2 2" xfId="54261"/>
    <cellStyle name="Vírgula 4 16 2 3" xfId="23280"/>
    <cellStyle name="Vírgula 4 16 2 3 2" xfId="48347"/>
    <cellStyle name="Vírgula 4 16 2 4" xfId="17366"/>
    <cellStyle name="Vírgula 4 16 2 4 2" xfId="42433"/>
    <cellStyle name="Vírgula 4 16 2 5" xfId="36525"/>
    <cellStyle name="Vírgula 4 16 3" xfId="26237"/>
    <cellStyle name="Vírgula 4 16 3 2" xfId="51304"/>
    <cellStyle name="Vírgula 4 16 4" xfId="20323"/>
    <cellStyle name="Vírgula 4 16 4 2" xfId="45390"/>
    <cellStyle name="Vírgula 4 16 5" xfId="14401"/>
    <cellStyle name="Vírgula 4 16 5 2" xfId="39479"/>
    <cellStyle name="Vírgula 4 16 6" xfId="33568"/>
    <cellStyle name="Vírgula 4 17" xfId="8045"/>
    <cellStyle name="Vírgula 4 17 2" xfId="26259"/>
    <cellStyle name="Vírgula 4 17 2 2" xfId="51326"/>
    <cellStyle name="Vírgula 4 17 3" xfId="20345"/>
    <cellStyle name="Vírgula 4 17 3 2" xfId="45412"/>
    <cellStyle name="Vírgula 4 17 4" xfId="14434"/>
    <cellStyle name="Vírgula 4 17 4 2" xfId="39501"/>
    <cellStyle name="Vírgula 4 17 5" xfId="33590"/>
    <cellStyle name="Vírgula 4 18" xfId="4618"/>
    <cellStyle name="Vírgula 4 18 2" xfId="23302"/>
    <cellStyle name="Vírgula 4 18 2 2" xfId="48369"/>
    <cellStyle name="Vírgula 4 18 3" xfId="30634"/>
    <cellStyle name="Vírgula 4 19" xfId="17388"/>
    <cellStyle name="Vírgula 4 19 2" xfId="42455"/>
    <cellStyle name="Vírgula 4 2" xfId="217"/>
    <cellStyle name="Vírgula 4 2 10" xfId="8054"/>
    <cellStyle name="Vírgula 4 2 10 2" xfId="26268"/>
    <cellStyle name="Vírgula 4 2 10 2 2" xfId="51335"/>
    <cellStyle name="Vírgula 4 2 10 3" xfId="20354"/>
    <cellStyle name="Vírgula 4 2 10 3 2" xfId="45421"/>
    <cellStyle name="Vírgula 4 2 10 4" xfId="14443"/>
    <cellStyle name="Vírgula 4 2 10 4 2" xfId="39510"/>
    <cellStyle name="Vírgula 4 2 10 5" xfId="33599"/>
    <cellStyle name="Vírgula 4 2 11" xfId="4633"/>
    <cellStyle name="Vírgula 4 2 11 2" xfId="23311"/>
    <cellStyle name="Vírgula 4 2 11 2 2" xfId="48378"/>
    <cellStyle name="Vírgula 4 2 11 3" xfId="30643"/>
    <cellStyle name="Vírgula 4 2 12" xfId="17397"/>
    <cellStyle name="Vírgula 4 2 12 2" xfId="42464"/>
    <cellStyle name="Vírgula 4 2 13" xfId="11024"/>
    <cellStyle name="Vírgula 4 2 13 2" xfId="36556"/>
    <cellStyle name="Vírgula 4 2 14" xfId="29273"/>
    <cellStyle name="Vírgula 4 2 2" xfId="4268"/>
    <cellStyle name="Vírgula 4 2 2 10" xfId="11059"/>
    <cellStyle name="Vírgula 4 2 2 10 2" xfId="36576"/>
    <cellStyle name="Vírgula 4 2 2 11" xfId="30434"/>
    <cellStyle name="Vírgula 4 2 2 2" xfId="4345"/>
    <cellStyle name="Vírgula 4 2 2 2 2" xfId="7746"/>
    <cellStyle name="Vírgula 4 2 2 2 2 2" xfId="10827"/>
    <cellStyle name="Vírgula 4 2 2 2 2 2 2" xfId="29041"/>
    <cellStyle name="Vírgula 4 2 2 2 2 2 2 2" xfId="54108"/>
    <cellStyle name="Vírgula 4 2 2 2 2 2 3" xfId="23127"/>
    <cellStyle name="Vírgula 4 2 2 2 2 2 3 2" xfId="48194"/>
    <cellStyle name="Vírgula 4 2 2 2 2 2 4" xfId="17213"/>
    <cellStyle name="Vírgula 4 2 2 2 2 2 4 2" xfId="42280"/>
    <cellStyle name="Vírgula 4 2 2 2 2 2 5" xfId="36372"/>
    <cellStyle name="Vírgula 4 2 2 2 2 3" xfId="26084"/>
    <cellStyle name="Vírgula 4 2 2 2 2 3 2" xfId="51151"/>
    <cellStyle name="Vírgula 4 2 2 2 2 4" xfId="20170"/>
    <cellStyle name="Vírgula 4 2 2 2 2 4 2" xfId="45237"/>
    <cellStyle name="Vírgula 4 2 2 2 2 5" xfId="14135"/>
    <cellStyle name="Vírgula 4 2 2 2 2 5 2" xfId="39326"/>
    <cellStyle name="Vírgula 4 2 2 2 2 6" xfId="33415"/>
    <cellStyle name="Vírgula 4 2 2 2 3" xfId="9359"/>
    <cellStyle name="Vírgula 4 2 2 2 3 2" xfId="27573"/>
    <cellStyle name="Vírgula 4 2 2 2 3 2 2" xfId="52640"/>
    <cellStyle name="Vírgula 4 2 2 2 3 3" xfId="21659"/>
    <cellStyle name="Vírgula 4 2 2 2 3 3 2" xfId="46726"/>
    <cellStyle name="Vírgula 4 2 2 2 3 4" xfId="15745"/>
    <cellStyle name="Vírgula 4 2 2 2 3 4 2" xfId="40812"/>
    <cellStyle name="Vírgula 4 2 2 2 3 5" xfId="34904"/>
    <cellStyle name="Vírgula 4 2 2 2 4" xfId="6046"/>
    <cellStyle name="Vírgula 4 2 2 2 4 2" xfId="24616"/>
    <cellStyle name="Vírgula 4 2 2 2 4 2 2" xfId="49683"/>
    <cellStyle name="Vírgula 4 2 2 2 4 3" xfId="31947"/>
    <cellStyle name="Vírgula 4 2 2 2 5" xfId="18702"/>
    <cellStyle name="Vírgula 4 2 2 2 5 2" xfId="43769"/>
    <cellStyle name="Vírgula 4 2 2 2 6" xfId="12434"/>
    <cellStyle name="Vírgula 4 2 2 2 6 2" xfId="37858"/>
    <cellStyle name="Vírgula 4 2 2 2 7" xfId="30477"/>
    <cellStyle name="Vírgula 4 2 2 3" xfId="4453"/>
    <cellStyle name="Vírgula 4 2 2 3 2" xfId="7855"/>
    <cellStyle name="Vírgula 4 2 2 3 2 2" xfId="10889"/>
    <cellStyle name="Vírgula 4 2 2 3 2 2 2" xfId="29103"/>
    <cellStyle name="Vírgula 4 2 2 3 2 2 2 2" xfId="54170"/>
    <cellStyle name="Vírgula 4 2 2 3 2 2 3" xfId="23189"/>
    <cellStyle name="Vírgula 4 2 2 3 2 2 3 2" xfId="48256"/>
    <cellStyle name="Vírgula 4 2 2 3 2 2 4" xfId="17275"/>
    <cellStyle name="Vírgula 4 2 2 3 2 2 4 2" xfId="42342"/>
    <cellStyle name="Vírgula 4 2 2 3 2 2 5" xfId="36434"/>
    <cellStyle name="Vírgula 4 2 2 3 2 3" xfId="26146"/>
    <cellStyle name="Vírgula 4 2 2 3 2 3 2" xfId="51213"/>
    <cellStyle name="Vírgula 4 2 2 3 2 4" xfId="20232"/>
    <cellStyle name="Vírgula 4 2 2 3 2 4 2" xfId="45299"/>
    <cellStyle name="Vírgula 4 2 2 3 2 5" xfId="14244"/>
    <cellStyle name="Vírgula 4 2 2 3 2 5 2" xfId="39388"/>
    <cellStyle name="Vírgula 4 2 2 3 2 6" xfId="33477"/>
    <cellStyle name="Vírgula 4 2 2 3 3" xfId="9421"/>
    <cellStyle name="Vírgula 4 2 2 3 3 2" xfId="27635"/>
    <cellStyle name="Vírgula 4 2 2 3 3 2 2" xfId="52702"/>
    <cellStyle name="Vírgula 4 2 2 3 3 3" xfId="21721"/>
    <cellStyle name="Vírgula 4 2 2 3 3 3 2" xfId="46788"/>
    <cellStyle name="Vírgula 4 2 2 3 3 4" xfId="15807"/>
    <cellStyle name="Vírgula 4 2 2 3 3 4 2" xfId="40874"/>
    <cellStyle name="Vírgula 4 2 2 3 3 5" xfId="34966"/>
    <cellStyle name="Vírgula 4 2 2 3 4" xfId="6155"/>
    <cellStyle name="Vírgula 4 2 2 3 4 2" xfId="24678"/>
    <cellStyle name="Vírgula 4 2 2 3 4 2 2" xfId="49745"/>
    <cellStyle name="Vírgula 4 2 2 3 4 3" xfId="32009"/>
    <cellStyle name="Vírgula 4 2 2 3 5" xfId="18764"/>
    <cellStyle name="Vírgula 4 2 2 3 5 2" xfId="43831"/>
    <cellStyle name="Vírgula 4 2 2 3 6" xfId="12543"/>
    <cellStyle name="Vírgula 4 2 2 3 6 2" xfId="37920"/>
    <cellStyle name="Vírgula 4 2 2 3 7" xfId="30539"/>
    <cellStyle name="Vírgula 4 2 2 4" xfId="4561"/>
    <cellStyle name="Vírgula 4 2 2 4 2" xfId="7963"/>
    <cellStyle name="Vírgula 4 2 2 4 2 2" xfId="10951"/>
    <cellStyle name="Vírgula 4 2 2 4 2 2 2" xfId="29165"/>
    <cellStyle name="Vírgula 4 2 2 4 2 2 2 2" xfId="54232"/>
    <cellStyle name="Vírgula 4 2 2 4 2 2 3" xfId="23251"/>
    <cellStyle name="Vírgula 4 2 2 4 2 2 3 2" xfId="48318"/>
    <cellStyle name="Vírgula 4 2 2 4 2 2 4" xfId="17337"/>
    <cellStyle name="Vírgula 4 2 2 4 2 2 4 2" xfId="42404"/>
    <cellStyle name="Vírgula 4 2 2 4 2 2 5" xfId="36496"/>
    <cellStyle name="Vírgula 4 2 2 4 2 3" xfId="26208"/>
    <cellStyle name="Vírgula 4 2 2 4 2 3 2" xfId="51275"/>
    <cellStyle name="Vírgula 4 2 2 4 2 4" xfId="20294"/>
    <cellStyle name="Vírgula 4 2 2 4 2 4 2" xfId="45361"/>
    <cellStyle name="Vírgula 4 2 2 4 2 5" xfId="14352"/>
    <cellStyle name="Vírgula 4 2 2 4 2 5 2" xfId="39450"/>
    <cellStyle name="Vírgula 4 2 2 4 2 6" xfId="33539"/>
    <cellStyle name="Vírgula 4 2 2 4 3" xfId="9483"/>
    <cellStyle name="Vírgula 4 2 2 4 3 2" xfId="27697"/>
    <cellStyle name="Vírgula 4 2 2 4 3 2 2" xfId="52764"/>
    <cellStyle name="Vírgula 4 2 2 4 3 3" xfId="21783"/>
    <cellStyle name="Vírgula 4 2 2 4 3 3 2" xfId="46850"/>
    <cellStyle name="Vírgula 4 2 2 4 3 4" xfId="15869"/>
    <cellStyle name="Vírgula 4 2 2 4 3 4 2" xfId="40936"/>
    <cellStyle name="Vírgula 4 2 2 4 3 5" xfId="35028"/>
    <cellStyle name="Vírgula 4 2 2 4 4" xfId="6262"/>
    <cellStyle name="Vírgula 4 2 2 4 4 2" xfId="24740"/>
    <cellStyle name="Vírgula 4 2 2 4 4 2 2" xfId="49807"/>
    <cellStyle name="Vírgula 4 2 2 4 4 3" xfId="32071"/>
    <cellStyle name="Vírgula 4 2 2 4 5" xfId="18826"/>
    <cellStyle name="Vírgula 4 2 2 4 5 2" xfId="43893"/>
    <cellStyle name="Vírgula 4 2 2 4 6" xfId="12651"/>
    <cellStyle name="Vírgula 4 2 2 4 6 2" xfId="37982"/>
    <cellStyle name="Vírgula 4 2 2 4 7" xfId="30601"/>
    <cellStyle name="Vírgula 4 2 2 5" xfId="5969"/>
    <cellStyle name="Vírgula 4 2 2 5 2" xfId="7669"/>
    <cellStyle name="Vírgula 4 2 2 5 2 2" xfId="10784"/>
    <cellStyle name="Vírgula 4 2 2 5 2 2 2" xfId="28998"/>
    <cellStyle name="Vírgula 4 2 2 5 2 2 2 2" xfId="54065"/>
    <cellStyle name="Vírgula 4 2 2 5 2 2 3" xfId="23084"/>
    <cellStyle name="Vírgula 4 2 2 5 2 2 3 2" xfId="48151"/>
    <cellStyle name="Vírgula 4 2 2 5 2 2 4" xfId="17170"/>
    <cellStyle name="Vírgula 4 2 2 5 2 2 4 2" xfId="42237"/>
    <cellStyle name="Vírgula 4 2 2 5 2 2 5" xfId="36329"/>
    <cellStyle name="Vírgula 4 2 2 5 2 3" xfId="26041"/>
    <cellStyle name="Vírgula 4 2 2 5 2 3 2" xfId="51108"/>
    <cellStyle name="Vírgula 4 2 2 5 2 4" xfId="20127"/>
    <cellStyle name="Vírgula 4 2 2 5 2 4 2" xfId="45194"/>
    <cellStyle name="Vírgula 4 2 2 5 2 5" xfId="14058"/>
    <cellStyle name="Vírgula 4 2 2 5 2 5 2" xfId="39283"/>
    <cellStyle name="Vírgula 4 2 2 5 2 6" xfId="33372"/>
    <cellStyle name="Vírgula 4 2 2 5 3" xfId="9316"/>
    <cellStyle name="Vírgula 4 2 2 5 3 2" xfId="27530"/>
    <cellStyle name="Vírgula 4 2 2 5 3 2 2" xfId="52597"/>
    <cellStyle name="Vírgula 4 2 2 5 3 3" xfId="21616"/>
    <cellStyle name="Vírgula 4 2 2 5 3 3 2" xfId="46683"/>
    <cellStyle name="Vírgula 4 2 2 5 3 4" xfId="15702"/>
    <cellStyle name="Vírgula 4 2 2 5 3 4 2" xfId="40769"/>
    <cellStyle name="Vírgula 4 2 2 5 3 5" xfId="34861"/>
    <cellStyle name="Vírgula 4 2 2 5 4" xfId="24573"/>
    <cellStyle name="Vírgula 4 2 2 5 4 2" xfId="49640"/>
    <cellStyle name="Vírgula 4 2 2 5 5" xfId="18659"/>
    <cellStyle name="Vírgula 4 2 2 5 5 2" xfId="43726"/>
    <cellStyle name="Vírgula 4 2 2 5 6" xfId="12357"/>
    <cellStyle name="Vírgula 4 2 2 5 6 2" xfId="37815"/>
    <cellStyle name="Vírgula 4 2 2 5 7" xfId="31904"/>
    <cellStyle name="Vírgula 4 2 2 6" xfId="6371"/>
    <cellStyle name="Vírgula 4 2 2 6 2" xfId="9545"/>
    <cellStyle name="Vírgula 4 2 2 6 2 2" xfId="27759"/>
    <cellStyle name="Vírgula 4 2 2 6 2 2 2" xfId="52826"/>
    <cellStyle name="Vírgula 4 2 2 6 2 3" xfId="21845"/>
    <cellStyle name="Vírgula 4 2 2 6 2 3 2" xfId="46912"/>
    <cellStyle name="Vírgula 4 2 2 6 2 4" xfId="15931"/>
    <cellStyle name="Vírgula 4 2 2 6 2 4 2" xfId="40998"/>
    <cellStyle name="Vírgula 4 2 2 6 2 5" xfId="35090"/>
    <cellStyle name="Vírgula 4 2 2 6 3" xfId="24802"/>
    <cellStyle name="Vírgula 4 2 2 6 3 2" xfId="49869"/>
    <cellStyle name="Vírgula 4 2 2 6 4" xfId="18888"/>
    <cellStyle name="Vírgula 4 2 2 6 4 2" xfId="43955"/>
    <cellStyle name="Vírgula 4 2 2 6 5" xfId="12760"/>
    <cellStyle name="Vírgula 4 2 2 6 5 2" xfId="38044"/>
    <cellStyle name="Vírgula 4 2 2 6 6" xfId="32133"/>
    <cellStyle name="Vírgula 4 2 2 7" xfId="8074"/>
    <cellStyle name="Vírgula 4 2 2 7 2" xfId="26288"/>
    <cellStyle name="Vírgula 4 2 2 7 2 2" xfId="51355"/>
    <cellStyle name="Vírgula 4 2 2 7 3" xfId="20374"/>
    <cellStyle name="Vírgula 4 2 2 7 3 2" xfId="45441"/>
    <cellStyle name="Vírgula 4 2 2 7 4" xfId="14463"/>
    <cellStyle name="Vírgula 4 2 2 7 4 2" xfId="39530"/>
    <cellStyle name="Vírgula 4 2 2 7 5" xfId="33619"/>
    <cellStyle name="Vírgula 4 2 2 8" xfId="4668"/>
    <cellStyle name="Vírgula 4 2 2 8 2" xfId="23331"/>
    <cellStyle name="Vírgula 4 2 2 8 2 2" xfId="48398"/>
    <cellStyle name="Vírgula 4 2 2 8 3" xfId="30663"/>
    <cellStyle name="Vírgula 4 2 2 9" xfId="17417"/>
    <cellStyle name="Vírgula 4 2 2 9 2" xfId="42484"/>
    <cellStyle name="Vírgula 4 2 3" xfId="4233"/>
    <cellStyle name="Vírgula 4 2 3 10" xfId="11092"/>
    <cellStyle name="Vírgula 4 2 3 10 2" xfId="36595"/>
    <cellStyle name="Vírgula 4 2 3 11" xfId="30414"/>
    <cellStyle name="Vírgula 4 2 3 2" xfId="4377"/>
    <cellStyle name="Vírgula 4 2 3 2 2" xfId="7779"/>
    <cellStyle name="Vírgula 4 2 3 2 2 2" xfId="10846"/>
    <cellStyle name="Vírgula 4 2 3 2 2 2 2" xfId="29060"/>
    <cellStyle name="Vírgula 4 2 3 2 2 2 2 2" xfId="54127"/>
    <cellStyle name="Vírgula 4 2 3 2 2 2 3" xfId="23146"/>
    <cellStyle name="Vírgula 4 2 3 2 2 2 3 2" xfId="48213"/>
    <cellStyle name="Vírgula 4 2 3 2 2 2 4" xfId="17232"/>
    <cellStyle name="Vírgula 4 2 3 2 2 2 4 2" xfId="42299"/>
    <cellStyle name="Vírgula 4 2 3 2 2 2 5" xfId="36391"/>
    <cellStyle name="Vírgula 4 2 3 2 2 3" xfId="26103"/>
    <cellStyle name="Vírgula 4 2 3 2 2 3 2" xfId="51170"/>
    <cellStyle name="Vírgula 4 2 3 2 2 4" xfId="20189"/>
    <cellStyle name="Vírgula 4 2 3 2 2 4 2" xfId="45256"/>
    <cellStyle name="Vírgula 4 2 3 2 2 5" xfId="14168"/>
    <cellStyle name="Vírgula 4 2 3 2 2 5 2" xfId="39345"/>
    <cellStyle name="Vírgula 4 2 3 2 2 6" xfId="33434"/>
    <cellStyle name="Vírgula 4 2 3 2 3" xfId="9378"/>
    <cellStyle name="Vírgula 4 2 3 2 3 2" xfId="27592"/>
    <cellStyle name="Vírgula 4 2 3 2 3 2 2" xfId="52659"/>
    <cellStyle name="Vírgula 4 2 3 2 3 3" xfId="21678"/>
    <cellStyle name="Vírgula 4 2 3 2 3 3 2" xfId="46745"/>
    <cellStyle name="Vírgula 4 2 3 2 3 4" xfId="15764"/>
    <cellStyle name="Vírgula 4 2 3 2 3 4 2" xfId="40831"/>
    <cellStyle name="Vírgula 4 2 3 2 3 5" xfId="34923"/>
    <cellStyle name="Vírgula 4 2 3 2 4" xfId="6079"/>
    <cellStyle name="Vírgula 4 2 3 2 4 2" xfId="24635"/>
    <cellStyle name="Vírgula 4 2 3 2 4 2 2" xfId="49702"/>
    <cellStyle name="Vírgula 4 2 3 2 4 3" xfId="31966"/>
    <cellStyle name="Vírgula 4 2 3 2 5" xfId="18721"/>
    <cellStyle name="Vírgula 4 2 3 2 5 2" xfId="43788"/>
    <cellStyle name="Vírgula 4 2 3 2 6" xfId="12467"/>
    <cellStyle name="Vírgula 4 2 3 2 6 2" xfId="37877"/>
    <cellStyle name="Vírgula 4 2 3 2 7" xfId="30496"/>
    <cellStyle name="Vírgula 4 2 3 3" xfId="4485"/>
    <cellStyle name="Vírgula 4 2 3 3 2" xfId="7887"/>
    <cellStyle name="Vírgula 4 2 3 3 2 2" xfId="10908"/>
    <cellStyle name="Vírgula 4 2 3 3 2 2 2" xfId="29122"/>
    <cellStyle name="Vírgula 4 2 3 3 2 2 2 2" xfId="54189"/>
    <cellStyle name="Vírgula 4 2 3 3 2 2 3" xfId="23208"/>
    <cellStyle name="Vírgula 4 2 3 3 2 2 3 2" xfId="48275"/>
    <cellStyle name="Vírgula 4 2 3 3 2 2 4" xfId="17294"/>
    <cellStyle name="Vírgula 4 2 3 3 2 2 4 2" xfId="42361"/>
    <cellStyle name="Vírgula 4 2 3 3 2 2 5" xfId="36453"/>
    <cellStyle name="Vírgula 4 2 3 3 2 3" xfId="26165"/>
    <cellStyle name="Vírgula 4 2 3 3 2 3 2" xfId="51232"/>
    <cellStyle name="Vírgula 4 2 3 3 2 4" xfId="20251"/>
    <cellStyle name="Vírgula 4 2 3 3 2 4 2" xfId="45318"/>
    <cellStyle name="Vírgula 4 2 3 3 2 5" xfId="14276"/>
    <cellStyle name="Vírgula 4 2 3 3 2 5 2" xfId="39407"/>
    <cellStyle name="Vírgula 4 2 3 3 2 6" xfId="33496"/>
    <cellStyle name="Vírgula 4 2 3 3 3" xfId="9440"/>
    <cellStyle name="Vírgula 4 2 3 3 3 2" xfId="27654"/>
    <cellStyle name="Vírgula 4 2 3 3 3 2 2" xfId="52721"/>
    <cellStyle name="Vírgula 4 2 3 3 3 3" xfId="21740"/>
    <cellStyle name="Vírgula 4 2 3 3 3 3 2" xfId="46807"/>
    <cellStyle name="Vírgula 4 2 3 3 3 4" xfId="15826"/>
    <cellStyle name="Vírgula 4 2 3 3 3 4 2" xfId="40893"/>
    <cellStyle name="Vírgula 4 2 3 3 3 5" xfId="34985"/>
    <cellStyle name="Vírgula 4 2 3 3 4" xfId="6186"/>
    <cellStyle name="Vírgula 4 2 3 3 4 2" xfId="24697"/>
    <cellStyle name="Vírgula 4 2 3 3 4 2 2" xfId="49764"/>
    <cellStyle name="Vírgula 4 2 3 3 4 3" xfId="32028"/>
    <cellStyle name="Vírgula 4 2 3 3 5" xfId="18783"/>
    <cellStyle name="Vírgula 4 2 3 3 5 2" xfId="43850"/>
    <cellStyle name="Vírgula 4 2 3 3 6" xfId="12575"/>
    <cellStyle name="Vírgula 4 2 3 3 6 2" xfId="37939"/>
    <cellStyle name="Vírgula 4 2 3 3 7" xfId="30558"/>
    <cellStyle name="Vírgula 4 2 3 4" xfId="4593"/>
    <cellStyle name="Vírgula 4 2 3 4 2" xfId="7996"/>
    <cellStyle name="Vírgula 4 2 3 4 2 2" xfId="10970"/>
    <cellStyle name="Vírgula 4 2 3 4 2 2 2" xfId="29184"/>
    <cellStyle name="Vírgula 4 2 3 4 2 2 2 2" xfId="54251"/>
    <cellStyle name="Vírgula 4 2 3 4 2 2 3" xfId="23270"/>
    <cellStyle name="Vírgula 4 2 3 4 2 2 3 2" xfId="48337"/>
    <cellStyle name="Vírgula 4 2 3 4 2 2 4" xfId="17356"/>
    <cellStyle name="Vírgula 4 2 3 4 2 2 4 2" xfId="42423"/>
    <cellStyle name="Vírgula 4 2 3 4 2 2 5" xfId="36515"/>
    <cellStyle name="Vírgula 4 2 3 4 2 3" xfId="26227"/>
    <cellStyle name="Vírgula 4 2 3 4 2 3 2" xfId="51294"/>
    <cellStyle name="Vírgula 4 2 3 4 2 4" xfId="20313"/>
    <cellStyle name="Vírgula 4 2 3 4 2 4 2" xfId="45380"/>
    <cellStyle name="Vírgula 4 2 3 4 2 5" xfId="14385"/>
    <cellStyle name="Vírgula 4 2 3 4 2 5 2" xfId="39469"/>
    <cellStyle name="Vírgula 4 2 3 4 2 6" xfId="33558"/>
    <cellStyle name="Vírgula 4 2 3 4 3" xfId="9502"/>
    <cellStyle name="Vírgula 4 2 3 4 3 2" xfId="27716"/>
    <cellStyle name="Vírgula 4 2 3 4 3 2 2" xfId="52783"/>
    <cellStyle name="Vírgula 4 2 3 4 3 3" xfId="21802"/>
    <cellStyle name="Vírgula 4 2 3 4 3 3 2" xfId="46869"/>
    <cellStyle name="Vírgula 4 2 3 4 3 4" xfId="15888"/>
    <cellStyle name="Vírgula 4 2 3 4 3 4 2" xfId="40955"/>
    <cellStyle name="Vírgula 4 2 3 4 3 5" xfId="35047"/>
    <cellStyle name="Vírgula 4 2 3 4 4" xfId="6295"/>
    <cellStyle name="Vírgula 4 2 3 4 4 2" xfId="24759"/>
    <cellStyle name="Vírgula 4 2 3 4 4 2 2" xfId="49826"/>
    <cellStyle name="Vírgula 4 2 3 4 4 3" xfId="32090"/>
    <cellStyle name="Vírgula 4 2 3 4 5" xfId="18845"/>
    <cellStyle name="Vírgula 4 2 3 4 5 2" xfId="43912"/>
    <cellStyle name="Vírgula 4 2 3 4 6" xfId="12684"/>
    <cellStyle name="Vírgula 4 2 3 4 6 2" xfId="38001"/>
    <cellStyle name="Vírgula 4 2 3 4 7" xfId="30620"/>
    <cellStyle name="Vírgula 4 2 3 5" xfId="5934"/>
    <cellStyle name="Vírgula 4 2 3 5 2" xfId="7634"/>
    <cellStyle name="Vírgula 4 2 3 5 2 2" xfId="10764"/>
    <cellStyle name="Vírgula 4 2 3 5 2 2 2" xfId="28978"/>
    <cellStyle name="Vírgula 4 2 3 5 2 2 2 2" xfId="54045"/>
    <cellStyle name="Vírgula 4 2 3 5 2 2 3" xfId="23064"/>
    <cellStyle name="Vírgula 4 2 3 5 2 2 3 2" xfId="48131"/>
    <cellStyle name="Vírgula 4 2 3 5 2 2 4" xfId="17150"/>
    <cellStyle name="Vírgula 4 2 3 5 2 2 4 2" xfId="42217"/>
    <cellStyle name="Vírgula 4 2 3 5 2 2 5" xfId="36309"/>
    <cellStyle name="Vírgula 4 2 3 5 2 3" xfId="26021"/>
    <cellStyle name="Vírgula 4 2 3 5 2 3 2" xfId="51088"/>
    <cellStyle name="Vírgula 4 2 3 5 2 4" xfId="20107"/>
    <cellStyle name="Vírgula 4 2 3 5 2 4 2" xfId="45174"/>
    <cellStyle name="Vírgula 4 2 3 5 2 5" xfId="14023"/>
    <cellStyle name="Vírgula 4 2 3 5 2 5 2" xfId="39263"/>
    <cellStyle name="Vírgula 4 2 3 5 2 6" xfId="33352"/>
    <cellStyle name="Vírgula 4 2 3 5 3" xfId="9296"/>
    <cellStyle name="Vírgula 4 2 3 5 3 2" xfId="27510"/>
    <cellStyle name="Vírgula 4 2 3 5 3 2 2" xfId="52577"/>
    <cellStyle name="Vírgula 4 2 3 5 3 3" xfId="21596"/>
    <cellStyle name="Vírgula 4 2 3 5 3 3 2" xfId="46663"/>
    <cellStyle name="Vírgula 4 2 3 5 3 4" xfId="15682"/>
    <cellStyle name="Vírgula 4 2 3 5 3 4 2" xfId="40749"/>
    <cellStyle name="Vírgula 4 2 3 5 3 5" xfId="34841"/>
    <cellStyle name="Vírgula 4 2 3 5 4" xfId="24553"/>
    <cellStyle name="Vírgula 4 2 3 5 4 2" xfId="49620"/>
    <cellStyle name="Vírgula 4 2 3 5 5" xfId="18639"/>
    <cellStyle name="Vírgula 4 2 3 5 5 2" xfId="43706"/>
    <cellStyle name="Vírgula 4 2 3 5 6" xfId="12322"/>
    <cellStyle name="Vírgula 4 2 3 5 6 2" xfId="37795"/>
    <cellStyle name="Vírgula 4 2 3 5 7" xfId="31884"/>
    <cellStyle name="Vírgula 4 2 3 6" xfId="6404"/>
    <cellStyle name="Vírgula 4 2 3 6 2" xfId="9564"/>
    <cellStyle name="Vírgula 4 2 3 6 2 2" xfId="27778"/>
    <cellStyle name="Vírgula 4 2 3 6 2 2 2" xfId="52845"/>
    <cellStyle name="Vírgula 4 2 3 6 2 3" xfId="21864"/>
    <cellStyle name="Vírgula 4 2 3 6 2 3 2" xfId="46931"/>
    <cellStyle name="Vírgula 4 2 3 6 2 4" xfId="15950"/>
    <cellStyle name="Vírgula 4 2 3 6 2 4 2" xfId="41017"/>
    <cellStyle name="Vírgula 4 2 3 6 2 5" xfId="35109"/>
    <cellStyle name="Vírgula 4 2 3 6 3" xfId="24821"/>
    <cellStyle name="Vírgula 4 2 3 6 3 2" xfId="49888"/>
    <cellStyle name="Vírgula 4 2 3 6 4" xfId="18907"/>
    <cellStyle name="Vírgula 4 2 3 6 4 2" xfId="43974"/>
    <cellStyle name="Vírgula 4 2 3 6 5" xfId="12793"/>
    <cellStyle name="Vírgula 4 2 3 6 5 2" xfId="38063"/>
    <cellStyle name="Vírgula 4 2 3 6 6" xfId="32152"/>
    <cellStyle name="Vírgula 4 2 3 7" xfId="8093"/>
    <cellStyle name="Vírgula 4 2 3 7 2" xfId="26307"/>
    <cellStyle name="Vírgula 4 2 3 7 2 2" xfId="51374"/>
    <cellStyle name="Vírgula 4 2 3 7 3" xfId="20393"/>
    <cellStyle name="Vírgula 4 2 3 7 3 2" xfId="45460"/>
    <cellStyle name="Vírgula 4 2 3 7 4" xfId="14482"/>
    <cellStyle name="Vírgula 4 2 3 7 4 2" xfId="39549"/>
    <cellStyle name="Vírgula 4 2 3 7 5" xfId="33638"/>
    <cellStyle name="Vírgula 4 2 3 8" xfId="4701"/>
    <cellStyle name="Vírgula 4 2 3 8 2" xfId="23350"/>
    <cellStyle name="Vírgula 4 2 3 8 2 2" xfId="48417"/>
    <cellStyle name="Vírgula 4 2 3 8 3" xfId="30682"/>
    <cellStyle name="Vírgula 4 2 3 9" xfId="17436"/>
    <cellStyle name="Vírgula 4 2 3 9 2" xfId="42503"/>
    <cellStyle name="Vírgula 4 2 4" xfId="4310"/>
    <cellStyle name="Vírgula 4 2 4 2" xfId="7711"/>
    <cellStyle name="Vírgula 4 2 4 2 2" xfId="10807"/>
    <cellStyle name="Vírgula 4 2 4 2 2 2" xfId="29021"/>
    <cellStyle name="Vírgula 4 2 4 2 2 2 2" xfId="54088"/>
    <cellStyle name="Vírgula 4 2 4 2 2 3" xfId="23107"/>
    <cellStyle name="Vírgula 4 2 4 2 2 3 2" xfId="48174"/>
    <cellStyle name="Vírgula 4 2 4 2 2 4" xfId="17193"/>
    <cellStyle name="Vírgula 4 2 4 2 2 4 2" xfId="42260"/>
    <cellStyle name="Vírgula 4 2 4 2 2 5" xfId="36352"/>
    <cellStyle name="Vírgula 4 2 4 2 3" xfId="26064"/>
    <cellStyle name="Vírgula 4 2 4 2 3 2" xfId="51131"/>
    <cellStyle name="Vírgula 4 2 4 2 4" xfId="20150"/>
    <cellStyle name="Vírgula 4 2 4 2 4 2" xfId="45217"/>
    <cellStyle name="Vírgula 4 2 4 2 5" xfId="14100"/>
    <cellStyle name="Vírgula 4 2 4 2 5 2" xfId="39306"/>
    <cellStyle name="Vírgula 4 2 4 2 6" xfId="33395"/>
    <cellStyle name="Vírgula 4 2 4 3" xfId="9339"/>
    <cellStyle name="Vírgula 4 2 4 3 2" xfId="27553"/>
    <cellStyle name="Vírgula 4 2 4 3 2 2" xfId="52620"/>
    <cellStyle name="Vírgula 4 2 4 3 3" xfId="21639"/>
    <cellStyle name="Vírgula 4 2 4 3 3 2" xfId="46706"/>
    <cellStyle name="Vírgula 4 2 4 3 4" xfId="15725"/>
    <cellStyle name="Vírgula 4 2 4 3 4 2" xfId="40792"/>
    <cellStyle name="Vírgula 4 2 4 3 5" xfId="34884"/>
    <cellStyle name="Vírgula 4 2 4 4" xfId="6011"/>
    <cellStyle name="Vírgula 4 2 4 4 2" xfId="24596"/>
    <cellStyle name="Vírgula 4 2 4 4 2 2" xfId="49663"/>
    <cellStyle name="Vírgula 4 2 4 4 3" xfId="31927"/>
    <cellStyle name="Vírgula 4 2 4 5" xfId="18682"/>
    <cellStyle name="Vírgula 4 2 4 5 2" xfId="43749"/>
    <cellStyle name="Vírgula 4 2 4 6" xfId="12399"/>
    <cellStyle name="Vírgula 4 2 4 6 2" xfId="37838"/>
    <cellStyle name="Vírgula 4 2 4 7" xfId="30457"/>
    <cellStyle name="Vírgula 4 2 5" xfId="4418"/>
    <cellStyle name="Vírgula 4 2 5 2" xfId="7820"/>
    <cellStyle name="Vírgula 4 2 5 2 2" xfId="10869"/>
    <cellStyle name="Vírgula 4 2 5 2 2 2" xfId="29083"/>
    <cellStyle name="Vírgula 4 2 5 2 2 2 2" xfId="54150"/>
    <cellStyle name="Vírgula 4 2 5 2 2 3" xfId="23169"/>
    <cellStyle name="Vírgula 4 2 5 2 2 3 2" xfId="48236"/>
    <cellStyle name="Vírgula 4 2 5 2 2 4" xfId="17255"/>
    <cellStyle name="Vírgula 4 2 5 2 2 4 2" xfId="42322"/>
    <cellStyle name="Vírgula 4 2 5 2 2 5" xfId="36414"/>
    <cellStyle name="Vírgula 4 2 5 2 3" xfId="26126"/>
    <cellStyle name="Vírgula 4 2 5 2 3 2" xfId="51193"/>
    <cellStyle name="Vírgula 4 2 5 2 4" xfId="20212"/>
    <cellStyle name="Vírgula 4 2 5 2 4 2" xfId="45279"/>
    <cellStyle name="Vírgula 4 2 5 2 5" xfId="14209"/>
    <cellStyle name="Vírgula 4 2 5 2 5 2" xfId="39368"/>
    <cellStyle name="Vírgula 4 2 5 2 6" xfId="33457"/>
    <cellStyle name="Vírgula 4 2 5 3" xfId="9401"/>
    <cellStyle name="Vírgula 4 2 5 3 2" xfId="27615"/>
    <cellStyle name="Vírgula 4 2 5 3 2 2" xfId="52682"/>
    <cellStyle name="Vírgula 4 2 5 3 3" xfId="21701"/>
    <cellStyle name="Vírgula 4 2 5 3 3 2" xfId="46768"/>
    <cellStyle name="Vírgula 4 2 5 3 4" xfId="15787"/>
    <cellStyle name="Vírgula 4 2 5 3 4 2" xfId="40854"/>
    <cellStyle name="Vírgula 4 2 5 3 5" xfId="34946"/>
    <cellStyle name="Vírgula 4 2 5 4" xfId="6120"/>
    <cellStyle name="Vírgula 4 2 5 4 2" xfId="24658"/>
    <cellStyle name="Vírgula 4 2 5 4 2 2" xfId="49725"/>
    <cellStyle name="Vírgula 4 2 5 4 3" xfId="31989"/>
    <cellStyle name="Vírgula 4 2 5 5" xfId="18744"/>
    <cellStyle name="Vírgula 4 2 5 5 2" xfId="43811"/>
    <cellStyle name="Vírgula 4 2 5 6" xfId="12508"/>
    <cellStyle name="Vírgula 4 2 5 6 2" xfId="37900"/>
    <cellStyle name="Vírgula 4 2 5 7" xfId="30519"/>
    <cellStyle name="Vírgula 4 2 6" xfId="4526"/>
    <cellStyle name="Vírgula 4 2 6 2" xfId="7928"/>
    <cellStyle name="Vírgula 4 2 6 2 2" xfId="10931"/>
    <cellStyle name="Vírgula 4 2 6 2 2 2" xfId="29145"/>
    <cellStyle name="Vírgula 4 2 6 2 2 2 2" xfId="54212"/>
    <cellStyle name="Vírgula 4 2 6 2 2 3" xfId="23231"/>
    <cellStyle name="Vírgula 4 2 6 2 2 3 2" xfId="48298"/>
    <cellStyle name="Vírgula 4 2 6 2 2 4" xfId="17317"/>
    <cellStyle name="Vírgula 4 2 6 2 2 4 2" xfId="42384"/>
    <cellStyle name="Vírgula 4 2 6 2 2 5" xfId="36476"/>
    <cellStyle name="Vírgula 4 2 6 2 3" xfId="26188"/>
    <cellStyle name="Vírgula 4 2 6 2 3 2" xfId="51255"/>
    <cellStyle name="Vírgula 4 2 6 2 4" xfId="20274"/>
    <cellStyle name="Vírgula 4 2 6 2 4 2" xfId="45341"/>
    <cellStyle name="Vírgula 4 2 6 2 5" xfId="14317"/>
    <cellStyle name="Vírgula 4 2 6 2 5 2" xfId="39430"/>
    <cellStyle name="Vírgula 4 2 6 2 6" xfId="33519"/>
    <cellStyle name="Vírgula 4 2 6 3" xfId="9463"/>
    <cellStyle name="Vírgula 4 2 6 3 2" xfId="27677"/>
    <cellStyle name="Vírgula 4 2 6 3 2 2" xfId="52744"/>
    <cellStyle name="Vírgula 4 2 6 3 3" xfId="21763"/>
    <cellStyle name="Vírgula 4 2 6 3 3 2" xfId="46830"/>
    <cellStyle name="Vírgula 4 2 6 3 4" xfId="15849"/>
    <cellStyle name="Vírgula 4 2 6 3 4 2" xfId="40916"/>
    <cellStyle name="Vírgula 4 2 6 3 5" xfId="35008"/>
    <cellStyle name="Vírgula 4 2 6 4" xfId="6227"/>
    <cellStyle name="Vírgula 4 2 6 4 2" xfId="24720"/>
    <cellStyle name="Vírgula 4 2 6 4 2 2" xfId="49787"/>
    <cellStyle name="Vírgula 4 2 6 4 3" xfId="32051"/>
    <cellStyle name="Vírgula 4 2 6 5" xfId="18806"/>
    <cellStyle name="Vírgula 4 2 6 5 2" xfId="43873"/>
    <cellStyle name="Vírgula 4 2 6 6" xfId="12616"/>
    <cellStyle name="Vírgula 4 2 6 6 2" xfId="37962"/>
    <cellStyle name="Vírgula 4 2 6 7" xfId="30581"/>
    <cellStyle name="Vírgula 4 2 7" xfId="4774"/>
    <cellStyle name="Vírgula 4 2 7 2" xfId="6475"/>
    <cellStyle name="Vírgula 4 2 7 2 2" xfId="9626"/>
    <cellStyle name="Vírgula 4 2 7 2 2 2" xfId="27840"/>
    <cellStyle name="Vírgula 4 2 7 2 2 2 2" xfId="52907"/>
    <cellStyle name="Vírgula 4 2 7 2 2 3" xfId="21926"/>
    <cellStyle name="Vírgula 4 2 7 2 2 3 2" xfId="46993"/>
    <cellStyle name="Vírgula 4 2 7 2 2 4" xfId="16012"/>
    <cellStyle name="Vírgula 4 2 7 2 2 4 2" xfId="41079"/>
    <cellStyle name="Vírgula 4 2 7 2 2 5" xfId="35171"/>
    <cellStyle name="Vírgula 4 2 7 2 3" xfId="24883"/>
    <cellStyle name="Vírgula 4 2 7 2 3 2" xfId="49950"/>
    <cellStyle name="Vírgula 4 2 7 2 4" xfId="18969"/>
    <cellStyle name="Vírgula 4 2 7 2 4 2" xfId="44036"/>
    <cellStyle name="Vírgula 4 2 7 2 5" xfId="12864"/>
    <cellStyle name="Vírgula 4 2 7 2 5 2" xfId="38125"/>
    <cellStyle name="Vírgula 4 2 7 2 6" xfId="32214"/>
    <cellStyle name="Vírgula 4 2 7 3" xfId="8155"/>
    <cellStyle name="Vírgula 4 2 7 3 2" xfId="26369"/>
    <cellStyle name="Vírgula 4 2 7 3 2 2" xfId="51436"/>
    <cellStyle name="Vírgula 4 2 7 3 3" xfId="20455"/>
    <cellStyle name="Vírgula 4 2 7 3 3 2" xfId="45522"/>
    <cellStyle name="Vírgula 4 2 7 3 4" xfId="14544"/>
    <cellStyle name="Vírgula 4 2 7 3 4 2" xfId="39611"/>
    <cellStyle name="Vírgula 4 2 7 3 5" xfId="33700"/>
    <cellStyle name="Vírgula 4 2 7 4" xfId="23412"/>
    <cellStyle name="Vírgula 4 2 7 4 2" xfId="48479"/>
    <cellStyle name="Vírgula 4 2 7 5" xfId="17498"/>
    <cellStyle name="Vírgula 4 2 7 5 2" xfId="42565"/>
    <cellStyle name="Vírgula 4 2 7 6" xfId="11163"/>
    <cellStyle name="Vírgula 4 2 7 6 2" xfId="36657"/>
    <cellStyle name="Vírgula 4 2 7 7" xfId="30744"/>
    <cellStyle name="Vírgula 4 2 8" xfId="6336"/>
    <cellStyle name="Vírgula 4 2 8 2" xfId="9525"/>
    <cellStyle name="Vírgula 4 2 8 2 2" xfId="27739"/>
    <cellStyle name="Vírgula 4 2 8 2 2 2" xfId="52806"/>
    <cellStyle name="Vírgula 4 2 8 2 3" xfId="21825"/>
    <cellStyle name="Vírgula 4 2 8 2 3 2" xfId="46892"/>
    <cellStyle name="Vírgula 4 2 8 2 4" xfId="15911"/>
    <cellStyle name="Vírgula 4 2 8 2 4 2" xfId="40978"/>
    <cellStyle name="Vírgula 4 2 8 2 5" xfId="35070"/>
    <cellStyle name="Vírgula 4 2 8 3" xfId="24782"/>
    <cellStyle name="Vírgula 4 2 8 3 2" xfId="49849"/>
    <cellStyle name="Vírgula 4 2 8 4" xfId="18868"/>
    <cellStyle name="Vírgula 4 2 8 4 2" xfId="43935"/>
    <cellStyle name="Vírgula 4 2 8 5" xfId="12725"/>
    <cellStyle name="Vírgula 4 2 8 5 2" xfId="38024"/>
    <cellStyle name="Vírgula 4 2 8 6" xfId="32113"/>
    <cellStyle name="Vírgula 4 2 9" xfId="8028"/>
    <cellStyle name="Vírgula 4 2 9 2" xfId="10989"/>
    <cellStyle name="Vírgula 4 2 9 2 2" xfId="29203"/>
    <cellStyle name="Vírgula 4 2 9 2 2 2" xfId="54270"/>
    <cellStyle name="Vírgula 4 2 9 2 3" xfId="23289"/>
    <cellStyle name="Vírgula 4 2 9 2 3 2" xfId="48356"/>
    <cellStyle name="Vírgula 4 2 9 2 4" xfId="17375"/>
    <cellStyle name="Vírgula 4 2 9 2 4 2" xfId="42442"/>
    <cellStyle name="Vírgula 4 2 9 2 5" xfId="36534"/>
    <cellStyle name="Vírgula 4 2 9 3" xfId="26246"/>
    <cellStyle name="Vírgula 4 2 9 3 2" xfId="51313"/>
    <cellStyle name="Vírgula 4 2 9 4" xfId="20332"/>
    <cellStyle name="Vírgula 4 2 9 4 2" xfId="45399"/>
    <cellStyle name="Vírgula 4 2 9 5" xfId="14417"/>
    <cellStyle name="Vírgula 4 2 9 5 2" xfId="39488"/>
    <cellStyle name="Vírgula 4 2 9 6" xfId="33577"/>
    <cellStyle name="Vírgula 4 20" xfId="11009"/>
    <cellStyle name="Vírgula 4 20 2" xfId="36547"/>
    <cellStyle name="Vírgula 4 21" xfId="29217"/>
    <cellStyle name="Vírgula 4 3" xfId="313"/>
    <cellStyle name="Vírgula 4 3 10" xfId="4653"/>
    <cellStyle name="Vírgula 4 3 10 2" xfId="23322"/>
    <cellStyle name="Vírgula 4 3 10 2 2" xfId="48389"/>
    <cellStyle name="Vírgula 4 3 10 3" xfId="30654"/>
    <cellStyle name="Vírgula 4 3 11" xfId="17408"/>
    <cellStyle name="Vírgula 4 3 11 2" xfId="42475"/>
    <cellStyle name="Vírgula 4 3 12" xfId="11044"/>
    <cellStyle name="Vírgula 4 3 12 2" xfId="36567"/>
    <cellStyle name="Vírgula 4 3 13" xfId="29301"/>
    <cellStyle name="Vírgula 4 3 2" xfId="777"/>
    <cellStyle name="Vírgula 4 3 2 2" xfId="6648"/>
    <cellStyle name="Vírgula 4 3 2 2 2" xfId="9795"/>
    <cellStyle name="Vírgula 4 3 2 2 2 2" xfId="28009"/>
    <cellStyle name="Vírgula 4 3 2 2 2 2 2" xfId="53076"/>
    <cellStyle name="Vírgula 4 3 2 2 2 3" xfId="22095"/>
    <cellStyle name="Vírgula 4 3 2 2 2 3 2" xfId="47162"/>
    <cellStyle name="Vírgula 4 3 2 2 2 4" xfId="16181"/>
    <cellStyle name="Vírgula 4 3 2 2 2 4 2" xfId="41248"/>
    <cellStyle name="Vírgula 4 3 2 2 2 5" xfId="35340"/>
    <cellStyle name="Vírgula 4 3 2 2 3" xfId="25052"/>
    <cellStyle name="Vírgula 4 3 2 2 3 2" xfId="50119"/>
    <cellStyle name="Vírgula 4 3 2 2 4" xfId="19138"/>
    <cellStyle name="Vírgula 4 3 2 2 4 2" xfId="44205"/>
    <cellStyle name="Vírgula 4 3 2 2 5" xfId="13037"/>
    <cellStyle name="Vírgula 4 3 2 2 5 2" xfId="38294"/>
    <cellStyle name="Vírgula 4 3 2 2 6" xfId="32383"/>
    <cellStyle name="Vírgula 4 3 2 3" xfId="8327"/>
    <cellStyle name="Vírgula 4 3 2 3 2" xfId="26541"/>
    <cellStyle name="Vírgula 4 3 2 3 2 2" xfId="51608"/>
    <cellStyle name="Vírgula 4 3 2 3 3" xfId="20627"/>
    <cellStyle name="Vírgula 4 3 2 3 3 2" xfId="45694"/>
    <cellStyle name="Vírgula 4 3 2 3 4" xfId="14713"/>
    <cellStyle name="Vírgula 4 3 2 3 4 2" xfId="39780"/>
    <cellStyle name="Vírgula 4 3 2 3 5" xfId="33872"/>
    <cellStyle name="Vírgula 4 3 2 4" xfId="4949"/>
    <cellStyle name="Vírgula 4 3 2 4 2" xfId="23584"/>
    <cellStyle name="Vírgula 4 3 2 4 2 2" xfId="48651"/>
    <cellStyle name="Vírgula 4 3 2 4 3" xfId="30915"/>
    <cellStyle name="Vírgula 4 3 2 5" xfId="17670"/>
    <cellStyle name="Vírgula 4 3 2 5 2" xfId="42737"/>
    <cellStyle name="Vírgula 4 3 2 6" xfId="11336"/>
    <cellStyle name="Vírgula 4 3 2 6 2" xfId="36826"/>
    <cellStyle name="Vírgula 4 3 2 7" xfId="29445"/>
    <cellStyle name="Vírgula 4 3 3" xfId="4253"/>
    <cellStyle name="Vírgula 4 3 3 2" xfId="7654"/>
    <cellStyle name="Vírgula 4 3 3 2 2" xfId="10775"/>
    <cellStyle name="Vírgula 4 3 3 2 2 2" xfId="28989"/>
    <cellStyle name="Vírgula 4 3 3 2 2 2 2" xfId="54056"/>
    <cellStyle name="Vírgula 4 3 3 2 2 3" xfId="23075"/>
    <cellStyle name="Vírgula 4 3 3 2 2 3 2" xfId="48142"/>
    <cellStyle name="Vírgula 4 3 3 2 2 4" xfId="17161"/>
    <cellStyle name="Vírgula 4 3 3 2 2 4 2" xfId="42228"/>
    <cellStyle name="Vírgula 4 3 3 2 2 5" xfId="36320"/>
    <cellStyle name="Vírgula 4 3 3 2 3" xfId="26032"/>
    <cellStyle name="Vírgula 4 3 3 2 3 2" xfId="51099"/>
    <cellStyle name="Vírgula 4 3 3 2 4" xfId="20118"/>
    <cellStyle name="Vírgula 4 3 3 2 4 2" xfId="45185"/>
    <cellStyle name="Vírgula 4 3 3 2 5" xfId="14043"/>
    <cellStyle name="Vírgula 4 3 3 2 5 2" xfId="39274"/>
    <cellStyle name="Vírgula 4 3 3 2 6" xfId="33363"/>
    <cellStyle name="Vírgula 4 3 3 3" xfId="9307"/>
    <cellStyle name="Vírgula 4 3 3 3 2" xfId="27521"/>
    <cellStyle name="Vírgula 4 3 3 3 2 2" xfId="52588"/>
    <cellStyle name="Vírgula 4 3 3 3 3" xfId="21607"/>
    <cellStyle name="Vírgula 4 3 3 3 3 2" xfId="46674"/>
    <cellStyle name="Vírgula 4 3 3 3 4" xfId="15693"/>
    <cellStyle name="Vírgula 4 3 3 3 4 2" xfId="40760"/>
    <cellStyle name="Vírgula 4 3 3 3 5" xfId="34852"/>
    <cellStyle name="Vírgula 4 3 3 4" xfId="5954"/>
    <cellStyle name="Vírgula 4 3 3 4 2" xfId="24564"/>
    <cellStyle name="Vírgula 4 3 3 4 2 2" xfId="49631"/>
    <cellStyle name="Vírgula 4 3 3 4 3" xfId="31895"/>
    <cellStyle name="Vírgula 4 3 3 5" xfId="18650"/>
    <cellStyle name="Vírgula 4 3 3 5 2" xfId="43717"/>
    <cellStyle name="Vírgula 4 3 3 6" xfId="12342"/>
    <cellStyle name="Vírgula 4 3 3 6 2" xfId="37806"/>
    <cellStyle name="Vírgula 4 3 3 7" xfId="30425"/>
    <cellStyle name="Vírgula 4 3 4" xfId="4330"/>
    <cellStyle name="Vírgula 4 3 4 2" xfId="7731"/>
    <cellStyle name="Vírgula 4 3 4 2 2" xfId="10818"/>
    <cellStyle name="Vírgula 4 3 4 2 2 2" xfId="29032"/>
    <cellStyle name="Vírgula 4 3 4 2 2 2 2" xfId="54099"/>
    <cellStyle name="Vírgula 4 3 4 2 2 3" xfId="23118"/>
    <cellStyle name="Vírgula 4 3 4 2 2 3 2" xfId="48185"/>
    <cellStyle name="Vírgula 4 3 4 2 2 4" xfId="17204"/>
    <cellStyle name="Vírgula 4 3 4 2 2 4 2" xfId="42271"/>
    <cellStyle name="Vírgula 4 3 4 2 2 5" xfId="36363"/>
    <cellStyle name="Vírgula 4 3 4 2 3" xfId="26075"/>
    <cellStyle name="Vírgula 4 3 4 2 3 2" xfId="51142"/>
    <cellStyle name="Vírgula 4 3 4 2 4" xfId="20161"/>
    <cellStyle name="Vírgula 4 3 4 2 4 2" xfId="45228"/>
    <cellStyle name="Vírgula 4 3 4 2 5" xfId="14120"/>
    <cellStyle name="Vírgula 4 3 4 2 5 2" xfId="39317"/>
    <cellStyle name="Vírgula 4 3 4 2 6" xfId="33406"/>
    <cellStyle name="Vírgula 4 3 4 3" xfId="9350"/>
    <cellStyle name="Vírgula 4 3 4 3 2" xfId="27564"/>
    <cellStyle name="Vírgula 4 3 4 3 2 2" xfId="52631"/>
    <cellStyle name="Vírgula 4 3 4 3 3" xfId="21650"/>
    <cellStyle name="Vírgula 4 3 4 3 3 2" xfId="46717"/>
    <cellStyle name="Vírgula 4 3 4 3 4" xfId="15736"/>
    <cellStyle name="Vírgula 4 3 4 3 4 2" xfId="40803"/>
    <cellStyle name="Vírgula 4 3 4 3 5" xfId="34895"/>
    <cellStyle name="Vírgula 4 3 4 4" xfId="6031"/>
    <cellStyle name="Vírgula 4 3 4 4 2" xfId="24607"/>
    <cellStyle name="Vírgula 4 3 4 4 2 2" xfId="49674"/>
    <cellStyle name="Vírgula 4 3 4 4 3" xfId="31938"/>
    <cellStyle name="Vírgula 4 3 4 5" xfId="18693"/>
    <cellStyle name="Vírgula 4 3 4 5 2" xfId="43760"/>
    <cellStyle name="Vírgula 4 3 4 6" xfId="12419"/>
    <cellStyle name="Vírgula 4 3 4 6 2" xfId="37849"/>
    <cellStyle name="Vírgula 4 3 4 7" xfId="30468"/>
    <cellStyle name="Vírgula 4 3 5" xfId="4438"/>
    <cellStyle name="Vírgula 4 3 5 2" xfId="7840"/>
    <cellStyle name="Vírgula 4 3 5 2 2" xfId="10880"/>
    <cellStyle name="Vírgula 4 3 5 2 2 2" xfId="29094"/>
    <cellStyle name="Vírgula 4 3 5 2 2 2 2" xfId="54161"/>
    <cellStyle name="Vírgula 4 3 5 2 2 3" xfId="23180"/>
    <cellStyle name="Vírgula 4 3 5 2 2 3 2" xfId="48247"/>
    <cellStyle name="Vírgula 4 3 5 2 2 4" xfId="17266"/>
    <cellStyle name="Vírgula 4 3 5 2 2 4 2" xfId="42333"/>
    <cellStyle name="Vírgula 4 3 5 2 2 5" xfId="36425"/>
    <cellStyle name="Vírgula 4 3 5 2 3" xfId="26137"/>
    <cellStyle name="Vírgula 4 3 5 2 3 2" xfId="51204"/>
    <cellStyle name="Vírgula 4 3 5 2 4" xfId="20223"/>
    <cellStyle name="Vírgula 4 3 5 2 4 2" xfId="45290"/>
    <cellStyle name="Vírgula 4 3 5 2 5" xfId="14229"/>
    <cellStyle name="Vírgula 4 3 5 2 5 2" xfId="39379"/>
    <cellStyle name="Vírgula 4 3 5 2 6" xfId="33468"/>
    <cellStyle name="Vírgula 4 3 5 3" xfId="9412"/>
    <cellStyle name="Vírgula 4 3 5 3 2" xfId="27626"/>
    <cellStyle name="Vírgula 4 3 5 3 2 2" xfId="52693"/>
    <cellStyle name="Vírgula 4 3 5 3 3" xfId="21712"/>
    <cellStyle name="Vírgula 4 3 5 3 3 2" xfId="46779"/>
    <cellStyle name="Vírgula 4 3 5 3 4" xfId="15798"/>
    <cellStyle name="Vírgula 4 3 5 3 4 2" xfId="40865"/>
    <cellStyle name="Vírgula 4 3 5 3 5" xfId="34957"/>
    <cellStyle name="Vírgula 4 3 5 4" xfId="6140"/>
    <cellStyle name="Vírgula 4 3 5 4 2" xfId="24669"/>
    <cellStyle name="Vírgula 4 3 5 4 2 2" xfId="49736"/>
    <cellStyle name="Vírgula 4 3 5 4 3" xfId="32000"/>
    <cellStyle name="Vírgula 4 3 5 5" xfId="18755"/>
    <cellStyle name="Vírgula 4 3 5 5 2" xfId="43822"/>
    <cellStyle name="Vírgula 4 3 5 6" xfId="12528"/>
    <cellStyle name="Vírgula 4 3 5 6 2" xfId="37911"/>
    <cellStyle name="Vírgula 4 3 5 7" xfId="30530"/>
    <cellStyle name="Vírgula 4 3 6" xfId="4546"/>
    <cellStyle name="Vírgula 4 3 6 2" xfId="7948"/>
    <cellStyle name="Vírgula 4 3 6 2 2" xfId="10942"/>
    <cellStyle name="Vírgula 4 3 6 2 2 2" xfId="29156"/>
    <cellStyle name="Vírgula 4 3 6 2 2 2 2" xfId="54223"/>
    <cellStyle name="Vírgula 4 3 6 2 2 3" xfId="23242"/>
    <cellStyle name="Vírgula 4 3 6 2 2 3 2" xfId="48309"/>
    <cellStyle name="Vírgula 4 3 6 2 2 4" xfId="17328"/>
    <cellStyle name="Vírgula 4 3 6 2 2 4 2" xfId="42395"/>
    <cellStyle name="Vírgula 4 3 6 2 2 5" xfId="36487"/>
    <cellStyle name="Vírgula 4 3 6 2 3" xfId="26199"/>
    <cellStyle name="Vírgula 4 3 6 2 3 2" xfId="51266"/>
    <cellStyle name="Vírgula 4 3 6 2 4" xfId="20285"/>
    <cellStyle name="Vírgula 4 3 6 2 4 2" xfId="45352"/>
    <cellStyle name="Vírgula 4 3 6 2 5" xfId="14337"/>
    <cellStyle name="Vírgula 4 3 6 2 5 2" xfId="39441"/>
    <cellStyle name="Vírgula 4 3 6 2 6" xfId="33530"/>
    <cellStyle name="Vírgula 4 3 6 3" xfId="9474"/>
    <cellStyle name="Vírgula 4 3 6 3 2" xfId="27688"/>
    <cellStyle name="Vírgula 4 3 6 3 2 2" xfId="52755"/>
    <cellStyle name="Vírgula 4 3 6 3 3" xfId="21774"/>
    <cellStyle name="Vírgula 4 3 6 3 3 2" xfId="46841"/>
    <cellStyle name="Vírgula 4 3 6 3 4" xfId="15860"/>
    <cellStyle name="Vírgula 4 3 6 3 4 2" xfId="40927"/>
    <cellStyle name="Vírgula 4 3 6 3 5" xfId="35019"/>
    <cellStyle name="Vírgula 4 3 6 4" xfId="6247"/>
    <cellStyle name="Vírgula 4 3 6 4 2" xfId="24731"/>
    <cellStyle name="Vírgula 4 3 6 4 2 2" xfId="49798"/>
    <cellStyle name="Vírgula 4 3 6 4 3" xfId="32062"/>
    <cellStyle name="Vírgula 4 3 6 5" xfId="18817"/>
    <cellStyle name="Vírgula 4 3 6 5 2" xfId="43884"/>
    <cellStyle name="Vírgula 4 3 6 6" xfId="12636"/>
    <cellStyle name="Vírgula 4 3 6 6 2" xfId="37973"/>
    <cellStyle name="Vírgula 4 3 6 7" xfId="30592"/>
    <cellStyle name="Vírgula 4 3 7" xfId="4805"/>
    <cellStyle name="Vírgula 4 3 7 2" xfId="6506"/>
    <cellStyle name="Vírgula 4 3 7 2 2" xfId="9654"/>
    <cellStyle name="Vírgula 4 3 7 2 2 2" xfId="27868"/>
    <cellStyle name="Vírgula 4 3 7 2 2 2 2" xfId="52935"/>
    <cellStyle name="Vírgula 4 3 7 2 2 3" xfId="21954"/>
    <cellStyle name="Vírgula 4 3 7 2 2 3 2" xfId="47021"/>
    <cellStyle name="Vírgula 4 3 7 2 2 4" xfId="16040"/>
    <cellStyle name="Vírgula 4 3 7 2 2 4 2" xfId="41107"/>
    <cellStyle name="Vírgula 4 3 7 2 2 5" xfId="35199"/>
    <cellStyle name="Vírgula 4 3 7 2 3" xfId="24911"/>
    <cellStyle name="Vírgula 4 3 7 2 3 2" xfId="49978"/>
    <cellStyle name="Vírgula 4 3 7 2 4" xfId="18997"/>
    <cellStyle name="Vírgula 4 3 7 2 4 2" xfId="44064"/>
    <cellStyle name="Vírgula 4 3 7 2 5" xfId="12895"/>
    <cellStyle name="Vírgula 4 3 7 2 5 2" xfId="38153"/>
    <cellStyle name="Vírgula 4 3 7 2 6" xfId="32242"/>
    <cellStyle name="Vírgula 4 3 7 3" xfId="8183"/>
    <cellStyle name="Vírgula 4 3 7 3 2" xfId="26397"/>
    <cellStyle name="Vírgula 4 3 7 3 2 2" xfId="51464"/>
    <cellStyle name="Vírgula 4 3 7 3 3" xfId="20483"/>
    <cellStyle name="Vírgula 4 3 7 3 3 2" xfId="45550"/>
    <cellStyle name="Vírgula 4 3 7 3 4" xfId="14572"/>
    <cellStyle name="Vírgula 4 3 7 3 4 2" xfId="39639"/>
    <cellStyle name="Vírgula 4 3 7 3 5" xfId="33728"/>
    <cellStyle name="Vírgula 4 3 7 4" xfId="23440"/>
    <cellStyle name="Vírgula 4 3 7 4 2" xfId="48507"/>
    <cellStyle name="Vírgula 4 3 7 5" xfId="17526"/>
    <cellStyle name="Vírgula 4 3 7 5 2" xfId="42593"/>
    <cellStyle name="Vírgula 4 3 7 6" xfId="11194"/>
    <cellStyle name="Vírgula 4 3 7 6 2" xfId="36685"/>
    <cellStyle name="Vírgula 4 3 7 7" xfId="30772"/>
    <cellStyle name="Vírgula 4 3 8" xfId="6356"/>
    <cellStyle name="Vírgula 4 3 8 2" xfId="9536"/>
    <cellStyle name="Vírgula 4 3 8 2 2" xfId="27750"/>
    <cellStyle name="Vírgula 4 3 8 2 2 2" xfId="52817"/>
    <cellStyle name="Vírgula 4 3 8 2 3" xfId="21836"/>
    <cellStyle name="Vírgula 4 3 8 2 3 2" xfId="46903"/>
    <cellStyle name="Vírgula 4 3 8 2 4" xfId="15922"/>
    <cellStyle name="Vírgula 4 3 8 2 4 2" xfId="40989"/>
    <cellStyle name="Vírgula 4 3 8 2 5" xfId="35081"/>
    <cellStyle name="Vírgula 4 3 8 3" xfId="24793"/>
    <cellStyle name="Vírgula 4 3 8 3 2" xfId="49860"/>
    <cellStyle name="Vírgula 4 3 8 4" xfId="18879"/>
    <cellStyle name="Vírgula 4 3 8 4 2" xfId="43946"/>
    <cellStyle name="Vírgula 4 3 8 5" xfId="12745"/>
    <cellStyle name="Vírgula 4 3 8 5 2" xfId="38035"/>
    <cellStyle name="Vírgula 4 3 8 6" xfId="32124"/>
    <cellStyle name="Vírgula 4 3 9" xfId="8065"/>
    <cellStyle name="Vírgula 4 3 9 2" xfId="26279"/>
    <cellStyle name="Vírgula 4 3 9 2 2" xfId="51346"/>
    <cellStyle name="Vírgula 4 3 9 3" xfId="20365"/>
    <cellStyle name="Vírgula 4 3 9 3 2" xfId="45432"/>
    <cellStyle name="Vírgula 4 3 9 4" xfId="14454"/>
    <cellStyle name="Vírgula 4 3 9 4 2" xfId="39521"/>
    <cellStyle name="Vírgula 4 3 9 5" xfId="33610"/>
    <cellStyle name="Vírgula 4 4" xfId="1128"/>
    <cellStyle name="Vírgula 4 4 10" xfId="11076"/>
    <cellStyle name="Vírgula 4 4 10 2" xfId="36586"/>
    <cellStyle name="Vírgula 4 4 11" xfId="29543"/>
    <cellStyle name="Vírgula 4 4 2" xfId="4362"/>
    <cellStyle name="Vírgula 4 4 2 2" xfId="7763"/>
    <cellStyle name="Vírgula 4 4 2 2 2" xfId="10837"/>
    <cellStyle name="Vírgula 4 4 2 2 2 2" xfId="29051"/>
    <cellStyle name="Vírgula 4 4 2 2 2 2 2" xfId="54118"/>
    <cellStyle name="Vírgula 4 4 2 2 2 3" xfId="23137"/>
    <cellStyle name="Vírgula 4 4 2 2 2 3 2" xfId="48204"/>
    <cellStyle name="Vírgula 4 4 2 2 2 4" xfId="17223"/>
    <cellStyle name="Vírgula 4 4 2 2 2 4 2" xfId="42290"/>
    <cellStyle name="Vírgula 4 4 2 2 2 5" xfId="36382"/>
    <cellStyle name="Vírgula 4 4 2 2 3" xfId="26094"/>
    <cellStyle name="Vírgula 4 4 2 2 3 2" xfId="51161"/>
    <cellStyle name="Vírgula 4 4 2 2 4" xfId="20180"/>
    <cellStyle name="Vírgula 4 4 2 2 4 2" xfId="45247"/>
    <cellStyle name="Vírgula 4 4 2 2 5" xfId="14152"/>
    <cellStyle name="Vírgula 4 4 2 2 5 2" xfId="39336"/>
    <cellStyle name="Vírgula 4 4 2 2 6" xfId="33425"/>
    <cellStyle name="Vírgula 4 4 2 3" xfId="9369"/>
    <cellStyle name="Vírgula 4 4 2 3 2" xfId="27583"/>
    <cellStyle name="Vírgula 4 4 2 3 2 2" xfId="52650"/>
    <cellStyle name="Vírgula 4 4 2 3 3" xfId="21669"/>
    <cellStyle name="Vírgula 4 4 2 3 3 2" xfId="46736"/>
    <cellStyle name="Vírgula 4 4 2 3 4" xfId="15755"/>
    <cellStyle name="Vírgula 4 4 2 3 4 2" xfId="40822"/>
    <cellStyle name="Vírgula 4 4 2 3 5" xfId="34914"/>
    <cellStyle name="Vírgula 4 4 2 4" xfId="6063"/>
    <cellStyle name="Vírgula 4 4 2 4 2" xfId="24626"/>
    <cellStyle name="Vírgula 4 4 2 4 2 2" xfId="49693"/>
    <cellStyle name="Vírgula 4 4 2 4 3" xfId="31957"/>
    <cellStyle name="Vírgula 4 4 2 5" xfId="18712"/>
    <cellStyle name="Vírgula 4 4 2 5 2" xfId="43779"/>
    <cellStyle name="Vírgula 4 4 2 6" xfId="12451"/>
    <cellStyle name="Vírgula 4 4 2 6 2" xfId="37868"/>
    <cellStyle name="Vírgula 4 4 2 7" xfId="30487"/>
    <cellStyle name="Vírgula 4 4 3" xfId="4470"/>
    <cellStyle name="Vírgula 4 4 3 2" xfId="7872"/>
    <cellStyle name="Vírgula 4 4 3 2 2" xfId="10899"/>
    <cellStyle name="Vírgula 4 4 3 2 2 2" xfId="29113"/>
    <cellStyle name="Vírgula 4 4 3 2 2 2 2" xfId="54180"/>
    <cellStyle name="Vírgula 4 4 3 2 2 3" xfId="23199"/>
    <cellStyle name="Vírgula 4 4 3 2 2 3 2" xfId="48266"/>
    <cellStyle name="Vírgula 4 4 3 2 2 4" xfId="17285"/>
    <cellStyle name="Vírgula 4 4 3 2 2 4 2" xfId="42352"/>
    <cellStyle name="Vírgula 4 4 3 2 2 5" xfId="36444"/>
    <cellStyle name="Vírgula 4 4 3 2 3" xfId="26156"/>
    <cellStyle name="Vírgula 4 4 3 2 3 2" xfId="51223"/>
    <cellStyle name="Vírgula 4 4 3 2 4" xfId="20242"/>
    <cellStyle name="Vírgula 4 4 3 2 4 2" xfId="45309"/>
    <cellStyle name="Vírgula 4 4 3 2 5" xfId="14261"/>
    <cellStyle name="Vírgula 4 4 3 2 5 2" xfId="39398"/>
    <cellStyle name="Vírgula 4 4 3 2 6" xfId="33487"/>
    <cellStyle name="Vírgula 4 4 3 3" xfId="9431"/>
    <cellStyle name="Vírgula 4 4 3 3 2" xfId="27645"/>
    <cellStyle name="Vírgula 4 4 3 3 2 2" xfId="52712"/>
    <cellStyle name="Vírgula 4 4 3 3 3" xfId="21731"/>
    <cellStyle name="Vírgula 4 4 3 3 3 2" xfId="46798"/>
    <cellStyle name="Vírgula 4 4 3 3 4" xfId="15817"/>
    <cellStyle name="Vírgula 4 4 3 3 4 2" xfId="40884"/>
    <cellStyle name="Vírgula 4 4 3 3 5" xfId="34976"/>
    <cellStyle name="Vírgula 4 4 3 4" xfId="6171"/>
    <cellStyle name="Vírgula 4 4 3 4 2" xfId="24688"/>
    <cellStyle name="Vírgula 4 4 3 4 2 2" xfId="49755"/>
    <cellStyle name="Vírgula 4 4 3 4 3" xfId="32019"/>
    <cellStyle name="Vírgula 4 4 3 5" xfId="18774"/>
    <cellStyle name="Vírgula 4 4 3 5 2" xfId="43841"/>
    <cellStyle name="Vírgula 4 4 3 6" xfId="12560"/>
    <cellStyle name="Vírgula 4 4 3 6 2" xfId="37930"/>
    <cellStyle name="Vírgula 4 4 3 7" xfId="30549"/>
    <cellStyle name="Vírgula 4 4 4" xfId="4578"/>
    <cellStyle name="Vírgula 4 4 4 2" xfId="7980"/>
    <cellStyle name="Vírgula 4 4 4 2 2" xfId="10961"/>
    <cellStyle name="Vírgula 4 4 4 2 2 2" xfId="29175"/>
    <cellStyle name="Vírgula 4 4 4 2 2 2 2" xfId="54242"/>
    <cellStyle name="Vírgula 4 4 4 2 2 3" xfId="23261"/>
    <cellStyle name="Vírgula 4 4 4 2 2 3 2" xfId="48328"/>
    <cellStyle name="Vírgula 4 4 4 2 2 4" xfId="17347"/>
    <cellStyle name="Vírgula 4 4 4 2 2 4 2" xfId="42414"/>
    <cellStyle name="Vírgula 4 4 4 2 2 5" xfId="36506"/>
    <cellStyle name="Vírgula 4 4 4 2 3" xfId="26218"/>
    <cellStyle name="Vírgula 4 4 4 2 3 2" xfId="51285"/>
    <cellStyle name="Vírgula 4 4 4 2 4" xfId="20304"/>
    <cellStyle name="Vírgula 4 4 4 2 4 2" xfId="45371"/>
    <cellStyle name="Vírgula 4 4 4 2 5" xfId="14369"/>
    <cellStyle name="Vírgula 4 4 4 2 5 2" xfId="39460"/>
    <cellStyle name="Vírgula 4 4 4 2 6" xfId="33549"/>
    <cellStyle name="Vírgula 4 4 4 3" xfId="9493"/>
    <cellStyle name="Vírgula 4 4 4 3 2" xfId="27707"/>
    <cellStyle name="Vírgula 4 4 4 3 2 2" xfId="52774"/>
    <cellStyle name="Vírgula 4 4 4 3 3" xfId="21793"/>
    <cellStyle name="Vírgula 4 4 4 3 3 2" xfId="46860"/>
    <cellStyle name="Vírgula 4 4 4 3 4" xfId="15879"/>
    <cellStyle name="Vírgula 4 4 4 3 4 2" xfId="40946"/>
    <cellStyle name="Vírgula 4 4 4 3 5" xfId="35038"/>
    <cellStyle name="Vírgula 4 4 4 4" xfId="6279"/>
    <cellStyle name="Vírgula 4 4 4 4 2" xfId="24750"/>
    <cellStyle name="Vírgula 4 4 4 4 2 2" xfId="49817"/>
    <cellStyle name="Vírgula 4 4 4 4 3" xfId="32081"/>
    <cellStyle name="Vírgula 4 4 4 5" xfId="18836"/>
    <cellStyle name="Vírgula 4 4 4 5 2" xfId="43903"/>
    <cellStyle name="Vírgula 4 4 4 6" xfId="12668"/>
    <cellStyle name="Vírgula 4 4 4 6 2" xfId="37992"/>
    <cellStyle name="Vírgula 4 4 4 7" xfId="30611"/>
    <cellStyle name="Vírgula 4 4 5" xfId="5047"/>
    <cellStyle name="Vírgula 4 4 5 2" xfId="6746"/>
    <cellStyle name="Vírgula 4 4 5 2 2" xfId="9893"/>
    <cellStyle name="Vírgula 4 4 5 2 2 2" xfId="28107"/>
    <cellStyle name="Vírgula 4 4 5 2 2 2 2" xfId="53174"/>
    <cellStyle name="Vírgula 4 4 5 2 2 3" xfId="22193"/>
    <cellStyle name="Vírgula 4 4 5 2 2 3 2" xfId="47260"/>
    <cellStyle name="Vírgula 4 4 5 2 2 4" xfId="16279"/>
    <cellStyle name="Vírgula 4 4 5 2 2 4 2" xfId="41346"/>
    <cellStyle name="Vírgula 4 4 5 2 2 5" xfId="35438"/>
    <cellStyle name="Vírgula 4 4 5 2 3" xfId="25150"/>
    <cellStyle name="Vírgula 4 4 5 2 3 2" xfId="50217"/>
    <cellStyle name="Vírgula 4 4 5 2 4" xfId="19236"/>
    <cellStyle name="Vírgula 4 4 5 2 4 2" xfId="44303"/>
    <cellStyle name="Vírgula 4 4 5 2 5" xfId="13135"/>
    <cellStyle name="Vírgula 4 4 5 2 5 2" xfId="38392"/>
    <cellStyle name="Vírgula 4 4 5 2 6" xfId="32481"/>
    <cellStyle name="Vírgula 4 4 5 3" xfId="8425"/>
    <cellStyle name="Vírgula 4 4 5 3 2" xfId="26639"/>
    <cellStyle name="Vírgula 4 4 5 3 2 2" xfId="51706"/>
    <cellStyle name="Vírgula 4 4 5 3 3" xfId="20725"/>
    <cellStyle name="Vírgula 4 4 5 3 3 2" xfId="45792"/>
    <cellStyle name="Vírgula 4 4 5 3 4" xfId="14811"/>
    <cellStyle name="Vírgula 4 4 5 3 4 2" xfId="39878"/>
    <cellStyle name="Vírgula 4 4 5 3 5" xfId="33970"/>
    <cellStyle name="Vírgula 4 4 5 4" xfId="23682"/>
    <cellStyle name="Vírgula 4 4 5 4 2" xfId="48749"/>
    <cellStyle name="Vírgula 4 4 5 5" xfId="17768"/>
    <cellStyle name="Vírgula 4 4 5 5 2" xfId="42835"/>
    <cellStyle name="Vírgula 4 4 5 6" xfId="11434"/>
    <cellStyle name="Vírgula 4 4 5 6 2" xfId="36924"/>
    <cellStyle name="Vírgula 4 4 5 7" xfId="31013"/>
    <cellStyle name="Vírgula 4 4 6" xfId="6388"/>
    <cellStyle name="Vírgula 4 4 6 2" xfId="9555"/>
    <cellStyle name="Vírgula 4 4 6 2 2" xfId="27769"/>
    <cellStyle name="Vírgula 4 4 6 2 2 2" xfId="52836"/>
    <cellStyle name="Vírgula 4 4 6 2 3" xfId="21855"/>
    <cellStyle name="Vírgula 4 4 6 2 3 2" xfId="46922"/>
    <cellStyle name="Vírgula 4 4 6 2 4" xfId="15941"/>
    <cellStyle name="Vírgula 4 4 6 2 4 2" xfId="41008"/>
    <cellStyle name="Vírgula 4 4 6 2 5" xfId="35100"/>
    <cellStyle name="Vírgula 4 4 6 3" xfId="24812"/>
    <cellStyle name="Vírgula 4 4 6 3 2" xfId="49879"/>
    <cellStyle name="Vírgula 4 4 6 4" xfId="18898"/>
    <cellStyle name="Vírgula 4 4 6 4 2" xfId="43965"/>
    <cellStyle name="Vírgula 4 4 6 5" xfId="12777"/>
    <cellStyle name="Vírgula 4 4 6 5 2" xfId="38054"/>
    <cellStyle name="Vírgula 4 4 6 6" xfId="32143"/>
    <cellStyle name="Vírgula 4 4 7" xfId="8084"/>
    <cellStyle name="Vírgula 4 4 7 2" xfId="26298"/>
    <cellStyle name="Vírgula 4 4 7 2 2" xfId="51365"/>
    <cellStyle name="Vírgula 4 4 7 3" xfId="20384"/>
    <cellStyle name="Vírgula 4 4 7 3 2" xfId="45451"/>
    <cellStyle name="Vírgula 4 4 7 4" xfId="14473"/>
    <cellStyle name="Vírgula 4 4 7 4 2" xfId="39540"/>
    <cellStyle name="Vírgula 4 4 7 5" xfId="33629"/>
    <cellStyle name="Vírgula 4 4 8" xfId="4685"/>
    <cellStyle name="Vírgula 4 4 8 2" xfId="23341"/>
    <cellStyle name="Vírgula 4 4 8 2 2" xfId="48408"/>
    <cellStyle name="Vírgula 4 4 8 3" xfId="30673"/>
    <cellStyle name="Vírgula 4 4 9" xfId="17427"/>
    <cellStyle name="Vírgula 4 4 9 2" xfId="42494"/>
    <cellStyle name="Vírgula 4 5" xfId="1563"/>
    <cellStyle name="Vírgula 4 5 2" xfId="6865"/>
    <cellStyle name="Vírgula 4 5 2 2" xfId="10012"/>
    <cellStyle name="Vírgula 4 5 2 2 2" xfId="28226"/>
    <cellStyle name="Vírgula 4 5 2 2 2 2" xfId="53293"/>
    <cellStyle name="Vírgula 4 5 2 2 3" xfId="22312"/>
    <cellStyle name="Vírgula 4 5 2 2 3 2" xfId="47379"/>
    <cellStyle name="Vírgula 4 5 2 2 4" xfId="16398"/>
    <cellStyle name="Vírgula 4 5 2 2 4 2" xfId="41465"/>
    <cellStyle name="Vírgula 4 5 2 2 5" xfId="35557"/>
    <cellStyle name="Vírgula 4 5 2 3" xfId="25269"/>
    <cellStyle name="Vírgula 4 5 2 3 2" xfId="50336"/>
    <cellStyle name="Vírgula 4 5 2 4" xfId="19355"/>
    <cellStyle name="Vírgula 4 5 2 4 2" xfId="44422"/>
    <cellStyle name="Vírgula 4 5 2 5" xfId="13254"/>
    <cellStyle name="Vírgula 4 5 2 5 2" xfId="38511"/>
    <cellStyle name="Vírgula 4 5 2 6" xfId="32600"/>
    <cellStyle name="Vírgula 4 5 3" xfId="8544"/>
    <cellStyle name="Vírgula 4 5 3 2" xfId="26758"/>
    <cellStyle name="Vírgula 4 5 3 2 2" xfId="51825"/>
    <cellStyle name="Vírgula 4 5 3 3" xfId="20844"/>
    <cellStyle name="Vírgula 4 5 3 3 2" xfId="45911"/>
    <cellStyle name="Vírgula 4 5 3 4" xfId="14930"/>
    <cellStyle name="Vírgula 4 5 3 4 2" xfId="39997"/>
    <cellStyle name="Vírgula 4 5 3 5" xfId="34089"/>
    <cellStyle name="Vírgula 4 5 4" xfId="5166"/>
    <cellStyle name="Vírgula 4 5 4 2" xfId="23801"/>
    <cellStyle name="Vírgula 4 5 4 2 2" xfId="48868"/>
    <cellStyle name="Vírgula 4 5 4 3" xfId="31132"/>
    <cellStyle name="Vírgula 4 5 5" xfId="17887"/>
    <cellStyle name="Vírgula 4 5 5 2" xfId="42954"/>
    <cellStyle name="Vírgula 4 5 6" xfId="11553"/>
    <cellStyle name="Vírgula 4 5 6 2" xfId="37043"/>
    <cellStyle name="Vírgula 4 5 7" xfId="29662"/>
    <cellStyle name="Vírgula 4 6" xfId="2093"/>
    <cellStyle name="Vírgula 4 6 2" xfId="7015"/>
    <cellStyle name="Vírgula 4 6 2 2" xfId="10159"/>
    <cellStyle name="Vírgula 4 6 2 2 2" xfId="28373"/>
    <cellStyle name="Vírgula 4 6 2 2 2 2" xfId="53440"/>
    <cellStyle name="Vírgula 4 6 2 2 3" xfId="22459"/>
    <cellStyle name="Vírgula 4 6 2 2 3 2" xfId="47526"/>
    <cellStyle name="Vírgula 4 6 2 2 4" xfId="16545"/>
    <cellStyle name="Vírgula 4 6 2 2 4 2" xfId="41612"/>
    <cellStyle name="Vírgula 4 6 2 2 5" xfId="35704"/>
    <cellStyle name="Vírgula 4 6 2 3" xfId="25416"/>
    <cellStyle name="Vírgula 4 6 2 3 2" xfId="50483"/>
    <cellStyle name="Vírgula 4 6 2 4" xfId="19502"/>
    <cellStyle name="Vírgula 4 6 2 4 2" xfId="44569"/>
    <cellStyle name="Vírgula 4 6 2 5" xfId="13404"/>
    <cellStyle name="Vírgula 4 6 2 5 2" xfId="38658"/>
    <cellStyle name="Vírgula 4 6 2 6" xfId="32747"/>
    <cellStyle name="Vírgula 4 6 3" xfId="8691"/>
    <cellStyle name="Vírgula 4 6 3 2" xfId="26905"/>
    <cellStyle name="Vírgula 4 6 3 2 2" xfId="51972"/>
    <cellStyle name="Vírgula 4 6 3 3" xfId="20991"/>
    <cellStyle name="Vírgula 4 6 3 3 2" xfId="46058"/>
    <cellStyle name="Vírgula 4 6 3 4" xfId="15077"/>
    <cellStyle name="Vírgula 4 6 3 4 2" xfId="40144"/>
    <cellStyle name="Vírgula 4 6 3 5" xfId="34236"/>
    <cellStyle name="Vírgula 4 6 4" xfId="5316"/>
    <cellStyle name="Vírgula 4 6 4 2" xfId="23948"/>
    <cellStyle name="Vírgula 4 6 4 2 2" xfId="49015"/>
    <cellStyle name="Vírgula 4 6 4 3" xfId="31279"/>
    <cellStyle name="Vírgula 4 6 5" xfId="18034"/>
    <cellStyle name="Vírgula 4 6 5 2" xfId="43101"/>
    <cellStyle name="Vírgula 4 6 6" xfId="11703"/>
    <cellStyle name="Vírgula 4 6 6 2" xfId="37190"/>
    <cellStyle name="Vírgula 4 6 7" xfId="29809"/>
    <cellStyle name="Vírgula 4 7" xfId="2620"/>
    <cellStyle name="Vírgula 4 7 2" xfId="7162"/>
    <cellStyle name="Vírgula 4 7 2 2" xfId="10306"/>
    <cellStyle name="Vírgula 4 7 2 2 2" xfId="28520"/>
    <cellStyle name="Vírgula 4 7 2 2 2 2" xfId="53587"/>
    <cellStyle name="Vírgula 4 7 2 2 3" xfId="22606"/>
    <cellStyle name="Vírgula 4 7 2 2 3 2" xfId="47673"/>
    <cellStyle name="Vírgula 4 7 2 2 4" xfId="16692"/>
    <cellStyle name="Vírgula 4 7 2 2 4 2" xfId="41759"/>
    <cellStyle name="Vírgula 4 7 2 2 5" xfId="35851"/>
    <cellStyle name="Vírgula 4 7 2 3" xfId="25563"/>
    <cellStyle name="Vírgula 4 7 2 3 2" xfId="50630"/>
    <cellStyle name="Vírgula 4 7 2 4" xfId="19649"/>
    <cellStyle name="Vírgula 4 7 2 4 2" xfId="44716"/>
    <cellStyle name="Vírgula 4 7 2 5" xfId="13551"/>
    <cellStyle name="Vírgula 4 7 2 5 2" xfId="38805"/>
    <cellStyle name="Vírgula 4 7 2 6" xfId="32894"/>
    <cellStyle name="Vírgula 4 7 3" xfId="8838"/>
    <cellStyle name="Vírgula 4 7 3 2" xfId="27052"/>
    <cellStyle name="Vírgula 4 7 3 2 2" xfId="52119"/>
    <cellStyle name="Vírgula 4 7 3 3" xfId="21138"/>
    <cellStyle name="Vírgula 4 7 3 3 2" xfId="46205"/>
    <cellStyle name="Vírgula 4 7 3 4" xfId="15224"/>
    <cellStyle name="Vírgula 4 7 3 4 2" xfId="40291"/>
    <cellStyle name="Vírgula 4 7 3 5" xfId="34383"/>
    <cellStyle name="Vírgula 4 7 4" xfId="5463"/>
    <cellStyle name="Vírgula 4 7 4 2" xfId="24095"/>
    <cellStyle name="Vírgula 4 7 4 2 2" xfId="49162"/>
    <cellStyle name="Vírgula 4 7 4 3" xfId="31426"/>
    <cellStyle name="Vírgula 4 7 5" xfId="18181"/>
    <cellStyle name="Vírgula 4 7 5 2" xfId="43248"/>
    <cellStyle name="Vírgula 4 7 6" xfId="11850"/>
    <cellStyle name="Vírgula 4 7 6 2" xfId="37337"/>
    <cellStyle name="Vírgula 4 7 7" xfId="29956"/>
    <cellStyle name="Vírgula 4 8" xfId="3147"/>
    <cellStyle name="Vírgula 4 8 2" xfId="7309"/>
    <cellStyle name="Vírgula 4 8 2 2" xfId="10453"/>
    <cellStyle name="Vírgula 4 8 2 2 2" xfId="28667"/>
    <cellStyle name="Vírgula 4 8 2 2 2 2" xfId="53734"/>
    <cellStyle name="Vírgula 4 8 2 2 3" xfId="22753"/>
    <cellStyle name="Vírgula 4 8 2 2 3 2" xfId="47820"/>
    <cellStyle name="Vírgula 4 8 2 2 4" xfId="16839"/>
    <cellStyle name="Vírgula 4 8 2 2 4 2" xfId="41906"/>
    <cellStyle name="Vírgula 4 8 2 2 5" xfId="35998"/>
    <cellStyle name="Vírgula 4 8 2 3" xfId="25710"/>
    <cellStyle name="Vírgula 4 8 2 3 2" xfId="50777"/>
    <cellStyle name="Vírgula 4 8 2 4" xfId="19796"/>
    <cellStyle name="Vírgula 4 8 2 4 2" xfId="44863"/>
    <cellStyle name="Vírgula 4 8 2 5" xfId="13698"/>
    <cellStyle name="Vírgula 4 8 2 5 2" xfId="38952"/>
    <cellStyle name="Vírgula 4 8 2 6" xfId="33041"/>
    <cellStyle name="Vírgula 4 8 3" xfId="8985"/>
    <cellStyle name="Vírgula 4 8 3 2" xfId="27199"/>
    <cellStyle name="Vírgula 4 8 3 2 2" xfId="52266"/>
    <cellStyle name="Vírgula 4 8 3 3" xfId="21285"/>
    <cellStyle name="Vírgula 4 8 3 3 2" xfId="46352"/>
    <cellStyle name="Vírgula 4 8 3 4" xfId="15371"/>
    <cellStyle name="Vírgula 4 8 3 4 2" xfId="40438"/>
    <cellStyle name="Vírgula 4 8 3 5" xfId="34530"/>
    <cellStyle name="Vírgula 4 8 4" xfId="5610"/>
    <cellStyle name="Vírgula 4 8 4 2" xfId="24242"/>
    <cellStyle name="Vírgula 4 8 4 2 2" xfId="49309"/>
    <cellStyle name="Vírgula 4 8 4 3" xfId="31573"/>
    <cellStyle name="Vírgula 4 8 5" xfId="18328"/>
    <cellStyle name="Vírgula 4 8 5 2" xfId="43395"/>
    <cellStyle name="Vírgula 4 8 6" xfId="11997"/>
    <cellStyle name="Vírgula 4 8 6 2" xfId="37484"/>
    <cellStyle name="Vírgula 4 8 7" xfId="30103"/>
    <cellStyle name="Vírgula 4 9" xfId="3674"/>
    <cellStyle name="Vírgula 4 9 2" xfId="7456"/>
    <cellStyle name="Vírgula 4 9 2 2" xfId="10600"/>
    <cellStyle name="Vírgula 4 9 2 2 2" xfId="28814"/>
    <cellStyle name="Vírgula 4 9 2 2 2 2" xfId="53881"/>
    <cellStyle name="Vírgula 4 9 2 2 3" xfId="22900"/>
    <cellStyle name="Vírgula 4 9 2 2 3 2" xfId="47967"/>
    <cellStyle name="Vírgula 4 9 2 2 4" xfId="16986"/>
    <cellStyle name="Vírgula 4 9 2 2 4 2" xfId="42053"/>
    <cellStyle name="Vírgula 4 9 2 2 5" xfId="36145"/>
    <cellStyle name="Vírgula 4 9 2 3" xfId="25857"/>
    <cellStyle name="Vírgula 4 9 2 3 2" xfId="50924"/>
    <cellStyle name="Vírgula 4 9 2 4" xfId="19943"/>
    <cellStyle name="Vírgula 4 9 2 4 2" xfId="45010"/>
    <cellStyle name="Vírgula 4 9 2 5" xfId="13845"/>
    <cellStyle name="Vírgula 4 9 2 5 2" xfId="39099"/>
    <cellStyle name="Vírgula 4 9 2 6" xfId="33188"/>
    <cellStyle name="Vírgula 4 9 3" xfId="9132"/>
    <cellStyle name="Vírgula 4 9 3 2" xfId="27346"/>
    <cellStyle name="Vírgula 4 9 3 2 2" xfId="52413"/>
    <cellStyle name="Vírgula 4 9 3 3" xfId="21432"/>
    <cellStyle name="Vírgula 4 9 3 3 2" xfId="46499"/>
    <cellStyle name="Vírgula 4 9 3 4" xfId="15518"/>
    <cellStyle name="Vírgula 4 9 3 4 2" xfId="40585"/>
    <cellStyle name="Vírgula 4 9 3 5" xfId="34677"/>
    <cellStyle name="Vírgula 4 9 4" xfId="5757"/>
    <cellStyle name="Vírgula 4 9 4 2" xfId="24389"/>
    <cellStyle name="Vírgula 4 9 4 2 2" xfId="49456"/>
    <cellStyle name="Vírgula 4 9 4 3" xfId="31720"/>
    <cellStyle name="Vírgula 4 9 5" xfId="18475"/>
    <cellStyle name="Vírgula 4 9 5 2" xfId="43542"/>
    <cellStyle name="Vírgula 4 9 6" xfId="12144"/>
    <cellStyle name="Vírgula 4 9 6 2" xfId="37631"/>
    <cellStyle name="Vírgula 4 9 7" xfId="30250"/>
    <cellStyle name="Vírgula 5" xfId="569"/>
    <cellStyle name="Vírgula 5 10" xfId="8017"/>
    <cellStyle name="Vírgula 5 10 2" xfId="10983"/>
    <cellStyle name="Vírgula 5 10 2 2" xfId="29197"/>
    <cellStyle name="Vírgula 5 10 2 2 2" xfId="54264"/>
    <cellStyle name="Vírgula 5 10 2 3" xfId="23283"/>
    <cellStyle name="Vírgula 5 10 2 3 2" xfId="48350"/>
    <cellStyle name="Vírgula 5 10 2 4" xfId="17369"/>
    <cellStyle name="Vírgula 5 10 2 4 2" xfId="42436"/>
    <cellStyle name="Vírgula 5 10 2 5" xfId="36528"/>
    <cellStyle name="Vírgula 5 10 3" xfId="26240"/>
    <cellStyle name="Vírgula 5 10 3 2" xfId="51307"/>
    <cellStyle name="Vírgula 5 10 4" xfId="20326"/>
    <cellStyle name="Vírgula 5 10 4 2" xfId="45393"/>
    <cellStyle name="Vírgula 5 10 5" xfId="14406"/>
    <cellStyle name="Vírgula 5 10 5 2" xfId="39482"/>
    <cellStyle name="Vírgula 5 10 6" xfId="33571"/>
    <cellStyle name="Vírgula 5 11" xfId="8048"/>
    <cellStyle name="Vírgula 5 11 2" xfId="26262"/>
    <cellStyle name="Vírgula 5 11 2 2" xfId="51329"/>
    <cellStyle name="Vírgula 5 11 3" xfId="20348"/>
    <cellStyle name="Vírgula 5 11 3 2" xfId="45415"/>
    <cellStyle name="Vírgula 5 11 4" xfId="14437"/>
    <cellStyle name="Vírgula 5 11 4 2" xfId="39504"/>
    <cellStyle name="Vírgula 5 11 5" xfId="33593"/>
    <cellStyle name="Vírgula 5 12" xfId="4623"/>
    <cellStyle name="Vírgula 5 12 2" xfId="23305"/>
    <cellStyle name="Vírgula 5 12 2 2" xfId="48372"/>
    <cellStyle name="Vírgula 5 12 3" xfId="30637"/>
    <cellStyle name="Vírgula 5 13" xfId="17391"/>
    <cellStyle name="Vírgula 5 13 2" xfId="42458"/>
    <cellStyle name="Vírgula 5 14" xfId="11014"/>
    <cellStyle name="Vírgula 5 14 2" xfId="36550"/>
    <cellStyle name="Vírgula 5 15" xfId="29365"/>
    <cellStyle name="Vírgula 5 2" xfId="4238"/>
    <cellStyle name="Vírgula 5 2 10" xfId="8057"/>
    <cellStyle name="Vírgula 5 2 10 2" xfId="26271"/>
    <cellStyle name="Vírgula 5 2 10 2 2" xfId="51338"/>
    <cellStyle name="Vírgula 5 2 10 3" xfId="20357"/>
    <cellStyle name="Vírgula 5 2 10 3 2" xfId="45424"/>
    <cellStyle name="Vírgula 5 2 10 4" xfId="14446"/>
    <cellStyle name="Vírgula 5 2 10 4 2" xfId="39513"/>
    <cellStyle name="Vírgula 5 2 10 5" xfId="33602"/>
    <cellStyle name="Vírgula 5 2 11" xfId="4638"/>
    <cellStyle name="Vírgula 5 2 11 2" xfId="23314"/>
    <cellStyle name="Vírgula 5 2 11 2 2" xfId="48381"/>
    <cellStyle name="Vírgula 5 2 11 3" xfId="30646"/>
    <cellStyle name="Vírgula 5 2 12" xfId="17400"/>
    <cellStyle name="Vírgula 5 2 12 2" xfId="42467"/>
    <cellStyle name="Vírgula 5 2 13" xfId="11029"/>
    <cellStyle name="Vírgula 5 2 13 2" xfId="36559"/>
    <cellStyle name="Vírgula 5 2 14" xfId="30417"/>
    <cellStyle name="Vírgula 5 2 2" xfId="4273"/>
    <cellStyle name="Vírgula 5 2 2 10" xfId="11064"/>
    <cellStyle name="Vírgula 5 2 2 10 2" xfId="36579"/>
    <cellStyle name="Vírgula 5 2 2 11" xfId="30437"/>
    <cellStyle name="Vírgula 5 2 2 2" xfId="4350"/>
    <cellStyle name="Vírgula 5 2 2 2 2" xfId="7751"/>
    <cellStyle name="Vírgula 5 2 2 2 2 2" xfId="10830"/>
    <cellStyle name="Vírgula 5 2 2 2 2 2 2" xfId="29044"/>
    <cellStyle name="Vírgula 5 2 2 2 2 2 2 2" xfId="54111"/>
    <cellStyle name="Vírgula 5 2 2 2 2 2 3" xfId="23130"/>
    <cellStyle name="Vírgula 5 2 2 2 2 2 3 2" xfId="48197"/>
    <cellStyle name="Vírgula 5 2 2 2 2 2 4" xfId="17216"/>
    <cellStyle name="Vírgula 5 2 2 2 2 2 4 2" xfId="42283"/>
    <cellStyle name="Vírgula 5 2 2 2 2 2 5" xfId="36375"/>
    <cellStyle name="Vírgula 5 2 2 2 2 3" xfId="26087"/>
    <cellStyle name="Vírgula 5 2 2 2 2 3 2" xfId="51154"/>
    <cellStyle name="Vírgula 5 2 2 2 2 4" xfId="20173"/>
    <cellStyle name="Vírgula 5 2 2 2 2 4 2" xfId="45240"/>
    <cellStyle name="Vírgula 5 2 2 2 2 5" xfId="14140"/>
    <cellStyle name="Vírgula 5 2 2 2 2 5 2" xfId="39329"/>
    <cellStyle name="Vírgula 5 2 2 2 2 6" xfId="33418"/>
    <cellStyle name="Vírgula 5 2 2 2 3" xfId="9362"/>
    <cellStyle name="Vírgula 5 2 2 2 3 2" xfId="27576"/>
    <cellStyle name="Vírgula 5 2 2 2 3 2 2" xfId="52643"/>
    <cellStyle name="Vírgula 5 2 2 2 3 3" xfId="21662"/>
    <cellStyle name="Vírgula 5 2 2 2 3 3 2" xfId="46729"/>
    <cellStyle name="Vírgula 5 2 2 2 3 4" xfId="15748"/>
    <cellStyle name="Vírgula 5 2 2 2 3 4 2" xfId="40815"/>
    <cellStyle name="Vírgula 5 2 2 2 3 5" xfId="34907"/>
    <cellStyle name="Vírgula 5 2 2 2 4" xfId="6051"/>
    <cellStyle name="Vírgula 5 2 2 2 4 2" xfId="24619"/>
    <cellStyle name="Vírgula 5 2 2 2 4 2 2" xfId="49686"/>
    <cellStyle name="Vírgula 5 2 2 2 4 3" xfId="31950"/>
    <cellStyle name="Vírgula 5 2 2 2 5" xfId="18705"/>
    <cellStyle name="Vírgula 5 2 2 2 5 2" xfId="43772"/>
    <cellStyle name="Vírgula 5 2 2 2 6" xfId="12439"/>
    <cellStyle name="Vírgula 5 2 2 2 6 2" xfId="37861"/>
    <cellStyle name="Vírgula 5 2 2 2 7" xfId="30480"/>
    <cellStyle name="Vírgula 5 2 2 3" xfId="4458"/>
    <cellStyle name="Vírgula 5 2 2 3 2" xfId="7860"/>
    <cellStyle name="Vírgula 5 2 2 3 2 2" xfId="10892"/>
    <cellStyle name="Vírgula 5 2 2 3 2 2 2" xfId="29106"/>
    <cellStyle name="Vírgula 5 2 2 3 2 2 2 2" xfId="54173"/>
    <cellStyle name="Vírgula 5 2 2 3 2 2 3" xfId="23192"/>
    <cellStyle name="Vírgula 5 2 2 3 2 2 3 2" xfId="48259"/>
    <cellStyle name="Vírgula 5 2 2 3 2 2 4" xfId="17278"/>
    <cellStyle name="Vírgula 5 2 2 3 2 2 4 2" xfId="42345"/>
    <cellStyle name="Vírgula 5 2 2 3 2 2 5" xfId="36437"/>
    <cellStyle name="Vírgula 5 2 2 3 2 3" xfId="26149"/>
    <cellStyle name="Vírgula 5 2 2 3 2 3 2" xfId="51216"/>
    <cellStyle name="Vírgula 5 2 2 3 2 4" xfId="20235"/>
    <cellStyle name="Vírgula 5 2 2 3 2 4 2" xfId="45302"/>
    <cellStyle name="Vírgula 5 2 2 3 2 5" xfId="14249"/>
    <cellStyle name="Vírgula 5 2 2 3 2 5 2" xfId="39391"/>
    <cellStyle name="Vírgula 5 2 2 3 2 6" xfId="33480"/>
    <cellStyle name="Vírgula 5 2 2 3 3" xfId="9424"/>
    <cellStyle name="Vírgula 5 2 2 3 3 2" xfId="27638"/>
    <cellStyle name="Vírgula 5 2 2 3 3 2 2" xfId="52705"/>
    <cellStyle name="Vírgula 5 2 2 3 3 3" xfId="21724"/>
    <cellStyle name="Vírgula 5 2 2 3 3 3 2" xfId="46791"/>
    <cellStyle name="Vírgula 5 2 2 3 3 4" xfId="15810"/>
    <cellStyle name="Vírgula 5 2 2 3 3 4 2" xfId="40877"/>
    <cellStyle name="Vírgula 5 2 2 3 3 5" xfId="34969"/>
    <cellStyle name="Vírgula 5 2 2 3 4" xfId="6160"/>
    <cellStyle name="Vírgula 5 2 2 3 4 2" xfId="24681"/>
    <cellStyle name="Vírgula 5 2 2 3 4 2 2" xfId="49748"/>
    <cellStyle name="Vírgula 5 2 2 3 4 3" xfId="32012"/>
    <cellStyle name="Vírgula 5 2 2 3 5" xfId="18767"/>
    <cellStyle name="Vírgula 5 2 2 3 5 2" xfId="43834"/>
    <cellStyle name="Vírgula 5 2 2 3 6" xfId="12548"/>
    <cellStyle name="Vírgula 5 2 2 3 6 2" xfId="37923"/>
    <cellStyle name="Vírgula 5 2 2 3 7" xfId="30542"/>
    <cellStyle name="Vírgula 5 2 2 4" xfId="4566"/>
    <cellStyle name="Vírgula 5 2 2 4 2" xfId="7968"/>
    <cellStyle name="Vírgula 5 2 2 4 2 2" xfId="10954"/>
    <cellStyle name="Vírgula 5 2 2 4 2 2 2" xfId="29168"/>
    <cellStyle name="Vírgula 5 2 2 4 2 2 2 2" xfId="54235"/>
    <cellStyle name="Vírgula 5 2 2 4 2 2 3" xfId="23254"/>
    <cellStyle name="Vírgula 5 2 2 4 2 2 3 2" xfId="48321"/>
    <cellStyle name="Vírgula 5 2 2 4 2 2 4" xfId="17340"/>
    <cellStyle name="Vírgula 5 2 2 4 2 2 4 2" xfId="42407"/>
    <cellStyle name="Vírgula 5 2 2 4 2 2 5" xfId="36499"/>
    <cellStyle name="Vírgula 5 2 2 4 2 3" xfId="26211"/>
    <cellStyle name="Vírgula 5 2 2 4 2 3 2" xfId="51278"/>
    <cellStyle name="Vírgula 5 2 2 4 2 4" xfId="20297"/>
    <cellStyle name="Vírgula 5 2 2 4 2 4 2" xfId="45364"/>
    <cellStyle name="Vírgula 5 2 2 4 2 5" xfId="14357"/>
    <cellStyle name="Vírgula 5 2 2 4 2 5 2" xfId="39453"/>
    <cellStyle name="Vírgula 5 2 2 4 2 6" xfId="33542"/>
    <cellStyle name="Vírgula 5 2 2 4 3" xfId="9486"/>
    <cellStyle name="Vírgula 5 2 2 4 3 2" xfId="27700"/>
    <cellStyle name="Vírgula 5 2 2 4 3 2 2" xfId="52767"/>
    <cellStyle name="Vírgula 5 2 2 4 3 3" xfId="21786"/>
    <cellStyle name="Vírgula 5 2 2 4 3 3 2" xfId="46853"/>
    <cellStyle name="Vírgula 5 2 2 4 3 4" xfId="15872"/>
    <cellStyle name="Vírgula 5 2 2 4 3 4 2" xfId="40939"/>
    <cellStyle name="Vírgula 5 2 2 4 3 5" xfId="35031"/>
    <cellStyle name="Vírgula 5 2 2 4 4" xfId="6267"/>
    <cellStyle name="Vírgula 5 2 2 4 4 2" xfId="24743"/>
    <cellStyle name="Vírgula 5 2 2 4 4 2 2" xfId="49810"/>
    <cellStyle name="Vírgula 5 2 2 4 4 3" xfId="32074"/>
    <cellStyle name="Vírgula 5 2 2 4 5" xfId="18829"/>
    <cellStyle name="Vírgula 5 2 2 4 5 2" xfId="43896"/>
    <cellStyle name="Vírgula 5 2 2 4 6" xfId="12656"/>
    <cellStyle name="Vírgula 5 2 2 4 6 2" xfId="37985"/>
    <cellStyle name="Vírgula 5 2 2 4 7" xfId="30604"/>
    <cellStyle name="Vírgula 5 2 2 5" xfId="5974"/>
    <cellStyle name="Vírgula 5 2 2 5 2" xfId="7674"/>
    <cellStyle name="Vírgula 5 2 2 5 2 2" xfId="10787"/>
    <cellStyle name="Vírgula 5 2 2 5 2 2 2" xfId="29001"/>
    <cellStyle name="Vírgula 5 2 2 5 2 2 2 2" xfId="54068"/>
    <cellStyle name="Vírgula 5 2 2 5 2 2 3" xfId="23087"/>
    <cellStyle name="Vírgula 5 2 2 5 2 2 3 2" xfId="48154"/>
    <cellStyle name="Vírgula 5 2 2 5 2 2 4" xfId="17173"/>
    <cellStyle name="Vírgula 5 2 2 5 2 2 4 2" xfId="42240"/>
    <cellStyle name="Vírgula 5 2 2 5 2 2 5" xfId="36332"/>
    <cellStyle name="Vírgula 5 2 2 5 2 3" xfId="26044"/>
    <cellStyle name="Vírgula 5 2 2 5 2 3 2" xfId="51111"/>
    <cellStyle name="Vírgula 5 2 2 5 2 4" xfId="20130"/>
    <cellStyle name="Vírgula 5 2 2 5 2 4 2" xfId="45197"/>
    <cellStyle name="Vírgula 5 2 2 5 2 5" xfId="14063"/>
    <cellStyle name="Vírgula 5 2 2 5 2 5 2" xfId="39286"/>
    <cellStyle name="Vírgula 5 2 2 5 2 6" xfId="33375"/>
    <cellStyle name="Vírgula 5 2 2 5 3" xfId="9319"/>
    <cellStyle name="Vírgula 5 2 2 5 3 2" xfId="27533"/>
    <cellStyle name="Vírgula 5 2 2 5 3 2 2" xfId="52600"/>
    <cellStyle name="Vírgula 5 2 2 5 3 3" xfId="21619"/>
    <cellStyle name="Vírgula 5 2 2 5 3 3 2" xfId="46686"/>
    <cellStyle name="Vírgula 5 2 2 5 3 4" xfId="15705"/>
    <cellStyle name="Vírgula 5 2 2 5 3 4 2" xfId="40772"/>
    <cellStyle name="Vírgula 5 2 2 5 3 5" xfId="34864"/>
    <cellStyle name="Vírgula 5 2 2 5 4" xfId="24576"/>
    <cellStyle name="Vírgula 5 2 2 5 4 2" xfId="49643"/>
    <cellStyle name="Vírgula 5 2 2 5 5" xfId="18662"/>
    <cellStyle name="Vírgula 5 2 2 5 5 2" xfId="43729"/>
    <cellStyle name="Vírgula 5 2 2 5 6" xfId="12362"/>
    <cellStyle name="Vírgula 5 2 2 5 6 2" xfId="37818"/>
    <cellStyle name="Vírgula 5 2 2 5 7" xfId="31907"/>
    <cellStyle name="Vírgula 5 2 2 6" xfId="6376"/>
    <cellStyle name="Vírgula 5 2 2 6 2" xfId="9548"/>
    <cellStyle name="Vírgula 5 2 2 6 2 2" xfId="27762"/>
    <cellStyle name="Vírgula 5 2 2 6 2 2 2" xfId="52829"/>
    <cellStyle name="Vírgula 5 2 2 6 2 3" xfId="21848"/>
    <cellStyle name="Vírgula 5 2 2 6 2 3 2" xfId="46915"/>
    <cellStyle name="Vírgula 5 2 2 6 2 4" xfId="15934"/>
    <cellStyle name="Vírgula 5 2 2 6 2 4 2" xfId="41001"/>
    <cellStyle name="Vírgula 5 2 2 6 2 5" xfId="35093"/>
    <cellStyle name="Vírgula 5 2 2 6 3" xfId="24805"/>
    <cellStyle name="Vírgula 5 2 2 6 3 2" xfId="49872"/>
    <cellStyle name="Vírgula 5 2 2 6 4" xfId="18891"/>
    <cellStyle name="Vírgula 5 2 2 6 4 2" xfId="43958"/>
    <cellStyle name="Vírgula 5 2 2 6 5" xfId="12765"/>
    <cellStyle name="Vírgula 5 2 2 6 5 2" xfId="38047"/>
    <cellStyle name="Vírgula 5 2 2 6 6" xfId="32136"/>
    <cellStyle name="Vírgula 5 2 2 7" xfId="8077"/>
    <cellStyle name="Vírgula 5 2 2 7 2" xfId="26291"/>
    <cellStyle name="Vírgula 5 2 2 7 2 2" xfId="51358"/>
    <cellStyle name="Vírgula 5 2 2 7 3" xfId="20377"/>
    <cellStyle name="Vírgula 5 2 2 7 3 2" xfId="45444"/>
    <cellStyle name="Vírgula 5 2 2 7 4" xfId="14466"/>
    <cellStyle name="Vírgula 5 2 2 7 4 2" xfId="39533"/>
    <cellStyle name="Vírgula 5 2 2 7 5" xfId="33622"/>
    <cellStyle name="Vírgula 5 2 2 8" xfId="4673"/>
    <cellStyle name="Vírgula 5 2 2 8 2" xfId="23334"/>
    <cellStyle name="Vírgula 5 2 2 8 2 2" xfId="48401"/>
    <cellStyle name="Vírgula 5 2 2 8 3" xfId="30666"/>
    <cellStyle name="Vírgula 5 2 2 9" xfId="17420"/>
    <cellStyle name="Vírgula 5 2 2 9 2" xfId="42487"/>
    <cellStyle name="Vírgula 5 2 3" xfId="4382"/>
    <cellStyle name="Vírgula 5 2 3 10" xfId="30499"/>
    <cellStyle name="Vírgula 5 2 3 2" xfId="4490"/>
    <cellStyle name="Vírgula 5 2 3 2 2" xfId="7892"/>
    <cellStyle name="Vírgula 5 2 3 2 2 2" xfId="10911"/>
    <cellStyle name="Vírgula 5 2 3 2 2 2 2" xfId="29125"/>
    <cellStyle name="Vírgula 5 2 3 2 2 2 2 2" xfId="54192"/>
    <cellStyle name="Vírgula 5 2 3 2 2 2 3" xfId="23211"/>
    <cellStyle name="Vírgula 5 2 3 2 2 2 3 2" xfId="48278"/>
    <cellStyle name="Vírgula 5 2 3 2 2 2 4" xfId="17297"/>
    <cellStyle name="Vírgula 5 2 3 2 2 2 4 2" xfId="42364"/>
    <cellStyle name="Vírgula 5 2 3 2 2 2 5" xfId="36456"/>
    <cellStyle name="Vírgula 5 2 3 2 2 3" xfId="26168"/>
    <cellStyle name="Vírgula 5 2 3 2 2 3 2" xfId="51235"/>
    <cellStyle name="Vírgula 5 2 3 2 2 4" xfId="20254"/>
    <cellStyle name="Vírgula 5 2 3 2 2 4 2" xfId="45321"/>
    <cellStyle name="Vírgula 5 2 3 2 2 5" xfId="14281"/>
    <cellStyle name="Vírgula 5 2 3 2 2 5 2" xfId="39410"/>
    <cellStyle name="Vírgula 5 2 3 2 2 6" xfId="33499"/>
    <cellStyle name="Vírgula 5 2 3 2 3" xfId="9443"/>
    <cellStyle name="Vírgula 5 2 3 2 3 2" xfId="27657"/>
    <cellStyle name="Vírgula 5 2 3 2 3 2 2" xfId="52724"/>
    <cellStyle name="Vírgula 5 2 3 2 3 3" xfId="21743"/>
    <cellStyle name="Vírgula 5 2 3 2 3 3 2" xfId="46810"/>
    <cellStyle name="Vírgula 5 2 3 2 3 4" xfId="15829"/>
    <cellStyle name="Vírgula 5 2 3 2 3 4 2" xfId="40896"/>
    <cellStyle name="Vírgula 5 2 3 2 3 5" xfId="34988"/>
    <cellStyle name="Vírgula 5 2 3 2 4" xfId="6191"/>
    <cellStyle name="Vírgula 5 2 3 2 4 2" xfId="24700"/>
    <cellStyle name="Vírgula 5 2 3 2 4 2 2" xfId="49767"/>
    <cellStyle name="Vírgula 5 2 3 2 4 3" xfId="32031"/>
    <cellStyle name="Vírgula 5 2 3 2 5" xfId="18786"/>
    <cellStyle name="Vírgula 5 2 3 2 5 2" xfId="43853"/>
    <cellStyle name="Vírgula 5 2 3 2 6" xfId="12580"/>
    <cellStyle name="Vírgula 5 2 3 2 6 2" xfId="37942"/>
    <cellStyle name="Vírgula 5 2 3 2 7" xfId="30561"/>
    <cellStyle name="Vírgula 5 2 3 3" xfId="4598"/>
    <cellStyle name="Vírgula 5 2 3 3 2" xfId="8001"/>
    <cellStyle name="Vírgula 5 2 3 3 2 2" xfId="10973"/>
    <cellStyle name="Vírgula 5 2 3 3 2 2 2" xfId="29187"/>
    <cellStyle name="Vírgula 5 2 3 3 2 2 2 2" xfId="54254"/>
    <cellStyle name="Vírgula 5 2 3 3 2 2 3" xfId="23273"/>
    <cellStyle name="Vírgula 5 2 3 3 2 2 3 2" xfId="48340"/>
    <cellStyle name="Vírgula 5 2 3 3 2 2 4" xfId="17359"/>
    <cellStyle name="Vírgula 5 2 3 3 2 2 4 2" xfId="42426"/>
    <cellStyle name="Vírgula 5 2 3 3 2 2 5" xfId="36518"/>
    <cellStyle name="Vírgula 5 2 3 3 2 3" xfId="26230"/>
    <cellStyle name="Vírgula 5 2 3 3 2 3 2" xfId="51297"/>
    <cellStyle name="Vírgula 5 2 3 3 2 4" xfId="20316"/>
    <cellStyle name="Vírgula 5 2 3 3 2 4 2" xfId="45383"/>
    <cellStyle name="Vírgula 5 2 3 3 2 5" xfId="14390"/>
    <cellStyle name="Vírgula 5 2 3 3 2 5 2" xfId="39472"/>
    <cellStyle name="Vírgula 5 2 3 3 2 6" xfId="33561"/>
    <cellStyle name="Vírgula 5 2 3 3 3" xfId="9505"/>
    <cellStyle name="Vírgula 5 2 3 3 3 2" xfId="27719"/>
    <cellStyle name="Vírgula 5 2 3 3 3 2 2" xfId="52786"/>
    <cellStyle name="Vírgula 5 2 3 3 3 3" xfId="21805"/>
    <cellStyle name="Vírgula 5 2 3 3 3 3 2" xfId="46872"/>
    <cellStyle name="Vírgula 5 2 3 3 3 4" xfId="15891"/>
    <cellStyle name="Vírgula 5 2 3 3 3 4 2" xfId="40958"/>
    <cellStyle name="Vírgula 5 2 3 3 3 5" xfId="35050"/>
    <cellStyle name="Vírgula 5 2 3 3 4" xfId="6300"/>
    <cellStyle name="Vírgula 5 2 3 3 4 2" xfId="24762"/>
    <cellStyle name="Vírgula 5 2 3 3 4 2 2" xfId="49829"/>
    <cellStyle name="Vírgula 5 2 3 3 4 3" xfId="32093"/>
    <cellStyle name="Vírgula 5 2 3 3 5" xfId="18848"/>
    <cellStyle name="Vírgula 5 2 3 3 5 2" xfId="43915"/>
    <cellStyle name="Vírgula 5 2 3 3 6" xfId="12689"/>
    <cellStyle name="Vírgula 5 2 3 3 6 2" xfId="38004"/>
    <cellStyle name="Vírgula 5 2 3 3 7" xfId="30623"/>
    <cellStyle name="Vírgula 5 2 3 4" xfId="6084"/>
    <cellStyle name="Vírgula 5 2 3 4 2" xfId="7784"/>
    <cellStyle name="Vírgula 5 2 3 4 2 2" xfId="10849"/>
    <cellStyle name="Vírgula 5 2 3 4 2 2 2" xfId="29063"/>
    <cellStyle name="Vírgula 5 2 3 4 2 2 2 2" xfId="54130"/>
    <cellStyle name="Vírgula 5 2 3 4 2 2 3" xfId="23149"/>
    <cellStyle name="Vírgula 5 2 3 4 2 2 3 2" xfId="48216"/>
    <cellStyle name="Vírgula 5 2 3 4 2 2 4" xfId="17235"/>
    <cellStyle name="Vírgula 5 2 3 4 2 2 4 2" xfId="42302"/>
    <cellStyle name="Vírgula 5 2 3 4 2 2 5" xfId="36394"/>
    <cellStyle name="Vírgula 5 2 3 4 2 3" xfId="26106"/>
    <cellStyle name="Vírgula 5 2 3 4 2 3 2" xfId="51173"/>
    <cellStyle name="Vírgula 5 2 3 4 2 4" xfId="20192"/>
    <cellStyle name="Vírgula 5 2 3 4 2 4 2" xfId="45259"/>
    <cellStyle name="Vírgula 5 2 3 4 2 5" xfId="14173"/>
    <cellStyle name="Vírgula 5 2 3 4 2 5 2" xfId="39348"/>
    <cellStyle name="Vírgula 5 2 3 4 2 6" xfId="33437"/>
    <cellStyle name="Vírgula 5 2 3 4 3" xfId="9381"/>
    <cellStyle name="Vírgula 5 2 3 4 3 2" xfId="27595"/>
    <cellStyle name="Vírgula 5 2 3 4 3 2 2" xfId="52662"/>
    <cellStyle name="Vírgula 5 2 3 4 3 3" xfId="21681"/>
    <cellStyle name="Vírgula 5 2 3 4 3 3 2" xfId="46748"/>
    <cellStyle name="Vírgula 5 2 3 4 3 4" xfId="15767"/>
    <cellStyle name="Vírgula 5 2 3 4 3 4 2" xfId="40834"/>
    <cellStyle name="Vírgula 5 2 3 4 3 5" xfId="34926"/>
    <cellStyle name="Vírgula 5 2 3 4 4" xfId="24638"/>
    <cellStyle name="Vírgula 5 2 3 4 4 2" xfId="49705"/>
    <cellStyle name="Vírgula 5 2 3 4 5" xfId="18724"/>
    <cellStyle name="Vírgula 5 2 3 4 5 2" xfId="43791"/>
    <cellStyle name="Vírgula 5 2 3 4 6" xfId="12472"/>
    <cellStyle name="Vírgula 5 2 3 4 6 2" xfId="37880"/>
    <cellStyle name="Vírgula 5 2 3 4 7" xfId="31969"/>
    <cellStyle name="Vírgula 5 2 3 5" xfId="6409"/>
    <cellStyle name="Vírgula 5 2 3 5 2" xfId="9567"/>
    <cellStyle name="Vírgula 5 2 3 5 2 2" xfId="27781"/>
    <cellStyle name="Vírgula 5 2 3 5 2 2 2" xfId="52848"/>
    <cellStyle name="Vírgula 5 2 3 5 2 3" xfId="21867"/>
    <cellStyle name="Vírgula 5 2 3 5 2 3 2" xfId="46934"/>
    <cellStyle name="Vírgula 5 2 3 5 2 4" xfId="15953"/>
    <cellStyle name="Vírgula 5 2 3 5 2 4 2" xfId="41020"/>
    <cellStyle name="Vírgula 5 2 3 5 2 5" xfId="35112"/>
    <cellStyle name="Vírgula 5 2 3 5 3" xfId="24824"/>
    <cellStyle name="Vírgula 5 2 3 5 3 2" xfId="49891"/>
    <cellStyle name="Vírgula 5 2 3 5 4" xfId="18910"/>
    <cellStyle name="Vírgula 5 2 3 5 4 2" xfId="43977"/>
    <cellStyle name="Vírgula 5 2 3 5 5" xfId="12798"/>
    <cellStyle name="Vírgula 5 2 3 5 5 2" xfId="38066"/>
    <cellStyle name="Vírgula 5 2 3 5 6" xfId="32155"/>
    <cellStyle name="Vírgula 5 2 3 6" xfId="8096"/>
    <cellStyle name="Vírgula 5 2 3 6 2" xfId="26310"/>
    <cellStyle name="Vírgula 5 2 3 6 2 2" xfId="51377"/>
    <cellStyle name="Vírgula 5 2 3 6 3" xfId="20396"/>
    <cellStyle name="Vírgula 5 2 3 6 3 2" xfId="45463"/>
    <cellStyle name="Vírgula 5 2 3 6 4" xfId="14485"/>
    <cellStyle name="Vírgula 5 2 3 6 4 2" xfId="39552"/>
    <cellStyle name="Vírgula 5 2 3 6 5" xfId="33641"/>
    <cellStyle name="Vírgula 5 2 3 7" xfId="4706"/>
    <cellStyle name="Vírgula 5 2 3 7 2" xfId="23353"/>
    <cellStyle name="Vírgula 5 2 3 7 2 2" xfId="48420"/>
    <cellStyle name="Vírgula 5 2 3 7 3" xfId="30685"/>
    <cellStyle name="Vírgula 5 2 3 8" xfId="17439"/>
    <cellStyle name="Vírgula 5 2 3 8 2" xfId="42506"/>
    <cellStyle name="Vírgula 5 2 3 9" xfId="11097"/>
    <cellStyle name="Vírgula 5 2 3 9 2" xfId="36598"/>
    <cellStyle name="Vírgula 5 2 4" xfId="4315"/>
    <cellStyle name="Vírgula 5 2 4 2" xfId="7716"/>
    <cellStyle name="Vírgula 5 2 4 2 2" xfId="10810"/>
    <cellStyle name="Vírgula 5 2 4 2 2 2" xfId="29024"/>
    <cellStyle name="Vírgula 5 2 4 2 2 2 2" xfId="54091"/>
    <cellStyle name="Vírgula 5 2 4 2 2 3" xfId="23110"/>
    <cellStyle name="Vírgula 5 2 4 2 2 3 2" xfId="48177"/>
    <cellStyle name="Vírgula 5 2 4 2 2 4" xfId="17196"/>
    <cellStyle name="Vírgula 5 2 4 2 2 4 2" xfId="42263"/>
    <cellStyle name="Vírgula 5 2 4 2 2 5" xfId="36355"/>
    <cellStyle name="Vírgula 5 2 4 2 3" xfId="26067"/>
    <cellStyle name="Vírgula 5 2 4 2 3 2" xfId="51134"/>
    <cellStyle name="Vírgula 5 2 4 2 4" xfId="20153"/>
    <cellStyle name="Vírgula 5 2 4 2 4 2" xfId="45220"/>
    <cellStyle name="Vírgula 5 2 4 2 5" xfId="14105"/>
    <cellStyle name="Vírgula 5 2 4 2 5 2" xfId="39309"/>
    <cellStyle name="Vírgula 5 2 4 2 6" xfId="33398"/>
    <cellStyle name="Vírgula 5 2 4 3" xfId="9342"/>
    <cellStyle name="Vírgula 5 2 4 3 2" xfId="27556"/>
    <cellStyle name="Vírgula 5 2 4 3 2 2" xfId="52623"/>
    <cellStyle name="Vírgula 5 2 4 3 3" xfId="21642"/>
    <cellStyle name="Vírgula 5 2 4 3 3 2" xfId="46709"/>
    <cellStyle name="Vírgula 5 2 4 3 4" xfId="15728"/>
    <cellStyle name="Vírgula 5 2 4 3 4 2" xfId="40795"/>
    <cellStyle name="Vírgula 5 2 4 3 5" xfId="34887"/>
    <cellStyle name="Vírgula 5 2 4 4" xfId="6016"/>
    <cellStyle name="Vírgula 5 2 4 4 2" xfId="24599"/>
    <cellStyle name="Vírgula 5 2 4 4 2 2" xfId="49666"/>
    <cellStyle name="Vírgula 5 2 4 4 3" xfId="31930"/>
    <cellStyle name="Vírgula 5 2 4 5" xfId="18685"/>
    <cellStyle name="Vírgula 5 2 4 5 2" xfId="43752"/>
    <cellStyle name="Vírgula 5 2 4 6" xfId="12404"/>
    <cellStyle name="Vírgula 5 2 4 6 2" xfId="37841"/>
    <cellStyle name="Vírgula 5 2 4 7" xfId="30460"/>
    <cellStyle name="Vírgula 5 2 5" xfId="4423"/>
    <cellStyle name="Vírgula 5 2 5 2" xfId="7825"/>
    <cellStyle name="Vírgula 5 2 5 2 2" xfId="10872"/>
    <cellStyle name="Vírgula 5 2 5 2 2 2" xfId="29086"/>
    <cellStyle name="Vírgula 5 2 5 2 2 2 2" xfId="54153"/>
    <cellStyle name="Vírgula 5 2 5 2 2 3" xfId="23172"/>
    <cellStyle name="Vírgula 5 2 5 2 2 3 2" xfId="48239"/>
    <cellStyle name="Vírgula 5 2 5 2 2 4" xfId="17258"/>
    <cellStyle name="Vírgula 5 2 5 2 2 4 2" xfId="42325"/>
    <cellStyle name="Vírgula 5 2 5 2 2 5" xfId="36417"/>
    <cellStyle name="Vírgula 5 2 5 2 3" xfId="26129"/>
    <cellStyle name="Vírgula 5 2 5 2 3 2" xfId="51196"/>
    <cellStyle name="Vírgula 5 2 5 2 4" xfId="20215"/>
    <cellStyle name="Vírgula 5 2 5 2 4 2" xfId="45282"/>
    <cellStyle name="Vírgula 5 2 5 2 5" xfId="14214"/>
    <cellStyle name="Vírgula 5 2 5 2 5 2" xfId="39371"/>
    <cellStyle name="Vírgula 5 2 5 2 6" xfId="33460"/>
    <cellStyle name="Vírgula 5 2 5 3" xfId="9404"/>
    <cellStyle name="Vírgula 5 2 5 3 2" xfId="27618"/>
    <cellStyle name="Vírgula 5 2 5 3 2 2" xfId="52685"/>
    <cellStyle name="Vírgula 5 2 5 3 3" xfId="21704"/>
    <cellStyle name="Vírgula 5 2 5 3 3 2" xfId="46771"/>
    <cellStyle name="Vírgula 5 2 5 3 4" xfId="15790"/>
    <cellStyle name="Vírgula 5 2 5 3 4 2" xfId="40857"/>
    <cellStyle name="Vírgula 5 2 5 3 5" xfId="34949"/>
    <cellStyle name="Vírgula 5 2 5 4" xfId="6125"/>
    <cellStyle name="Vírgula 5 2 5 4 2" xfId="24661"/>
    <cellStyle name="Vírgula 5 2 5 4 2 2" xfId="49728"/>
    <cellStyle name="Vírgula 5 2 5 4 3" xfId="31992"/>
    <cellStyle name="Vírgula 5 2 5 5" xfId="18747"/>
    <cellStyle name="Vírgula 5 2 5 5 2" xfId="43814"/>
    <cellStyle name="Vírgula 5 2 5 6" xfId="12513"/>
    <cellStyle name="Vírgula 5 2 5 6 2" xfId="37903"/>
    <cellStyle name="Vírgula 5 2 5 7" xfId="30522"/>
    <cellStyle name="Vírgula 5 2 6" xfId="4531"/>
    <cellStyle name="Vírgula 5 2 6 2" xfId="7933"/>
    <cellStyle name="Vírgula 5 2 6 2 2" xfId="10934"/>
    <cellStyle name="Vírgula 5 2 6 2 2 2" xfId="29148"/>
    <cellStyle name="Vírgula 5 2 6 2 2 2 2" xfId="54215"/>
    <cellStyle name="Vírgula 5 2 6 2 2 3" xfId="23234"/>
    <cellStyle name="Vírgula 5 2 6 2 2 3 2" xfId="48301"/>
    <cellStyle name="Vírgula 5 2 6 2 2 4" xfId="17320"/>
    <cellStyle name="Vírgula 5 2 6 2 2 4 2" xfId="42387"/>
    <cellStyle name="Vírgula 5 2 6 2 2 5" xfId="36479"/>
    <cellStyle name="Vírgula 5 2 6 2 3" xfId="26191"/>
    <cellStyle name="Vírgula 5 2 6 2 3 2" xfId="51258"/>
    <cellStyle name="Vírgula 5 2 6 2 4" xfId="20277"/>
    <cellStyle name="Vírgula 5 2 6 2 4 2" xfId="45344"/>
    <cellStyle name="Vírgula 5 2 6 2 5" xfId="14322"/>
    <cellStyle name="Vírgula 5 2 6 2 5 2" xfId="39433"/>
    <cellStyle name="Vírgula 5 2 6 2 6" xfId="33522"/>
    <cellStyle name="Vírgula 5 2 6 3" xfId="9466"/>
    <cellStyle name="Vírgula 5 2 6 3 2" xfId="27680"/>
    <cellStyle name="Vírgula 5 2 6 3 2 2" xfId="52747"/>
    <cellStyle name="Vírgula 5 2 6 3 3" xfId="21766"/>
    <cellStyle name="Vírgula 5 2 6 3 3 2" xfId="46833"/>
    <cellStyle name="Vírgula 5 2 6 3 4" xfId="15852"/>
    <cellStyle name="Vírgula 5 2 6 3 4 2" xfId="40919"/>
    <cellStyle name="Vírgula 5 2 6 3 5" xfId="35011"/>
    <cellStyle name="Vírgula 5 2 6 4" xfId="6232"/>
    <cellStyle name="Vírgula 5 2 6 4 2" xfId="24723"/>
    <cellStyle name="Vírgula 5 2 6 4 2 2" xfId="49790"/>
    <cellStyle name="Vírgula 5 2 6 4 3" xfId="32054"/>
    <cellStyle name="Vírgula 5 2 6 5" xfId="18809"/>
    <cellStyle name="Vírgula 5 2 6 5 2" xfId="43876"/>
    <cellStyle name="Vírgula 5 2 6 6" xfId="12621"/>
    <cellStyle name="Vírgula 5 2 6 6 2" xfId="37965"/>
    <cellStyle name="Vírgula 5 2 6 7" xfId="30584"/>
    <cellStyle name="Vírgula 5 2 7" xfId="5939"/>
    <cellStyle name="Vírgula 5 2 7 2" xfId="7639"/>
    <cellStyle name="Vírgula 5 2 7 2 2" xfId="10767"/>
    <cellStyle name="Vírgula 5 2 7 2 2 2" xfId="28981"/>
    <cellStyle name="Vírgula 5 2 7 2 2 2 2" xfId="54048"/>
    <cellStyle name="Vírgula 5 2 7 2 2 3" xfId="23067"/>
    <cellStyle name="Vírgula 5 2 7 2 2 3 2" xfId="48134"/>
    <cellStyle name="Vírgula 5 2 7 2 2 4" xfId="17153"/>
    <cellStyle name="Vírgula 5 2 7 2 2 4 2" xfId="42220"/>
    <cellStyle name="Vírgula 5 2 7 2 2 5" xfId="36312"/>
    <cellStyle name="Vírgula 5 2 7 2 3" xfId="26024"/>
    <cellStyle name="Vírgula 5 2 7 2 3 2" xfId="51091"/>
    <cellStyle name="Vírgula 5 2 7 2 4" xfId="20110"/>
    <cellStyle name="Vírgula 5 2 7 2 4 2" xfId="45177"/>
    <cellStyle name="Vírgula 5 2 7 2 5" xfId="14028"/>
    <cellStyle name="Vírgula 5 2 7 2 5 2" xfId="39266"/>
    <cellStyle name="Vírgula 5 2 7 2 6" xfId="33355"/>
    <cellStyle name="Vírgula 5 2 7 3" xfId="9299"/>
    <cellStyle name="Vírgula 5 2 7 3 2" xfId="27513"/>
    <cellStyle name="Vírgula 5 2 7 3 2 2" xfId="52580"/>
    <cellStyle name="Vírgula 5 2 7 3 3" xfId="21599"/>
    <cellStyle name="Vírgula 5 2 7 3 3 2" xfId="46666"/>
    <cellStyle name="Vírgula 5 2 7 3 4" xfId="15685"/>
    <cellStyle name="Vírgula 5 2 7 3 4 2" xfId="40752"/>
    <cellStyle name="Vírgula 5 2 7 3 5" xfId="34844"/>
    <cellStyle name="Vírgula 5 2 7 4" xfId="24556"/>
    <cellStyle name="Vírgula 5 2 7 4 2" xfId="49623"/>
    <cellStyle name="Vírgula 5 2 7 5" xfId="18642"/>
    <cellStyle name="Vírgula 5 2 7 5 2" xfId="43709"/>
    <cellStyle name="Vírgula 5 2 7 6" xfId="12327"/>
    <cellStyle name="Vírgula 5 2 7 6 2" xfId="37798"/>
    <cellStyle name="Vírgula 5 2 7 7" xfId="31887"/>
    <cellStyle name="Vírgula 5 2 8" xfId="6341"/>
    <cellStyle name="Vírgula 5 2 8 2" xfId="9528"/>
    <cellStyle name="Vírgula 5 2 8 2 2" xfId="27742"/>
    <cellStyle name="Vírgula 5 2 8 2 2 2" xfId="52809"/>
    <cellStyle name="Vírgula 5 2 8 2 3" xfId="21828"/>
    <cellStyle name="Vírgula 5 2 8 2 3 2" xfId="46895"/>
    <cellStyle name="Vírgula 5 2 8 2 4" xfId="15914"/>
    <cellStyle name="Vírgula 5 2 8 2 4 2" xfId="40981"/>
    <cellStyle name="Vírgula 5 2 8 2 5" xfId="35073"/>
    <cellStyle name="Vírgula 5 2 8 3" xfId="24785"/>
    <cellStyle name="Vírgula 5 2 8 3 2" xfId="49852"/>
    <cellStyle name="Vírgula 5 2 8 4" xfId="18871"/>
    <cellStyle name="Vírgula 5 2 8 4 2" xfId="43938"/>
    <cellStyle name="Vírgula 5 2 8 5" xfId="12730"/>
    <cellStyle name="Vírgula 5 2 8 5 2" xfId="38027"/>
    <cellStyle name="Vírgula 5 2 8 6" xfId="32116"/>
    <cellStyle name="Vírgula 5 2 9" xfId="8033"/>
    <cellStyle name="Vírgula 5 2 9 2" xfId="10992"/>
    <cellStyle name="Vírgula 5 2 9 2 2" xfId="29206"/>
    <cellStyle name="Vírgula 5 2 9 2 2 2" xfId="54273"/>
    <cellStyle name="Vírgula 5 2 9 2 3" xfId="23292"/>
    <cellStyle name="Vírgula 5 2 9 2 3 2" xfId="48359"/>
    <cellStyle name="Vírgula 5 2 9 2 4" xfId="17378"/>
    <cellStyle name="Vírgula 5 2 9 2 4 2" xfId="42445"/>
    <cellStyle name="Vírgula 5 2 9 2 5" xfId="36537"/>
    <cellStyle name="Vírgula 5 2 9 3" xfId="26249"/>
    <cellStyle name="Vírgula 5 2 9 3 2" xfId="51316"/>
    <cellStyle name="Vírgula 5 2 9 4" xfId="20335"/>
    <cellStyle name="Vírgula 5 2 9 4 2" xfId="45402"/>
    <cellStyle name="Vírgula 5 2 9 5" xfId="14422"/>
    <cellStyle name="Vírgula 5 2 9 5 2" xfId="39491"/>
    <cellStyle name="Vírgula 5 2 9 6" xfId="33580"/>
    <cellStyle name="Vírgula 5 3" xfId="4258"/>
    <cellStyle name="Vírgula 5 3 10" xfId="11049"/>
    <cellStyle name="Vírgula 5 3 10 2" xfId="36570"/>
    <cellStyle name="Vírgula 5 3 11" xfId="30428"/>
    <cellStyle name="Vírgula 5 3 2" xfId="4335"/>
    <cellStyle name="Vírgula 5 3 2 2" xfId="7736"/>
    <cellStyle name="Vírgula 5 3 2 2 2" xfId="10821"/>
    <cellStyle name="Vírgula 5 3 2 2 2 2" xfId="29035"/>
    <cellStyle name="Vírgula 5 3 2 2 2 2 2" xfId="54102"/>
    <cellStyle name="Vírgula 5 3 2 2 2 3" xfId="23121"/>
    <cellStyle name="Vírgula 5 3 2 2 2 3 2" xfId="48188"/>
    <cellStyle name="Vírgula 5 3 2 2 2 4" xfId="17207"/>
    <cellStyle name="Vírgula 5 3 2 2 2 4 2" xfId="42274"/>
    <cellStyle name="Vírgula 5 3 2 2 2 5" xfId="36366"/>
    <cellStyle name="Vírgula 5 3 2 2 3" xfId="26078"/>
    <cellStyle name="Vírgula 5 3 2 2 3 2" xfId="51145"/>
    <cellStyle name="Vírgula 5 3 2 2 4" xfId="20164"/>
    <cellStyle name="Vírgula 5 3 2 2 4 2" xfId="45231"/>
    <cellStyle name="Vírgula 5 3 2 2 5" xfId="14125"/>
    <cellStyle name="Vírgula 5 3 2 2 5 2" xfId="39320"/>
    <cellStyle name="Vírgula 5 3 2 2 6" xfId="33409"/>
    <cellStyle name="Vírgula 5 3 2 3" xfId="9353"/>
    <cellStyle name="Vírgula 5 3 2 3 2" xfId="27567"/>
    <cellStyle name="Vírgula 5 3 2 3 2 2" xfId="52634"/>
    <cellStyle name="Vírgula 5 3 2 3 3" xfId="21653"/>
    <cellStyle name="Vírgula 5 3 2 3 3 2" xfId="46720"/>
    <cellStyle name="Vírgula 5 3 2 3 4" xfId="15739"/>
    <cellStyle name="Vírgula 5 3 2 3 4 2" xfId="40806"/>
    <cellStyle name="Vírgula 5 3 2 3 5" xfId="34898"/>
    <cellStyle name="Vírgula 5 3 2 4" xfId="6036"/>
    <cellStyle name="Vírgula 5 3 2 4 2" xfId="24610"/>
    <cellStyle name="Vírgula 5 3 2 4 2 2" xfId="49677"/>
    <cellStyle name="Vírgula 5 3 2 4 3" xfId="31941"/>
    <cellStyle name="Vírgula 5 3 2 5" xfId="18696"/>
    <cellStyle name="Vírgula 5 3 2 5 2" xfId="43763"/>
    <cellStyle name="Vírgula 5 3 2 6" xfId="12424"/>
    <cellStyle name="Vírgula 5 3 2 6 2" xfId="37852"/>
    <cellStyle name="Vírgula 5 3 2 7" xfId="30471"/>
    <cellStyle name="Vírgula 5 3 3" xfId="4443"/>
    <cellStyle name="Vírgula 5 3 3 2" xfId="7845"/>
    <cellStyle name="Vírgula 5 3 3 2 2" xfId="10883"/>
    <cellStyle name="Vírgula 5 3 3 2 2 2" xfId="29097"/>
    <cellStyle name="Vírgula 5 3 3 2 2 2 2" xfId="54164"/>
    <cellStyle name="Vírgula 5 3 3 2 2 3" xfId="23183"/>
    <cellStyle name="Vírgula 5 3 3 2 2 3 2" xfId="48250"/>
    <cellStyle name="Vírgula 5 3 3 2 2 4" xfId="17269"/>
    <cellStyle name="Vírgula 5 3 3 2 2 4 2" xfId="42336"/>
    <cellStyle name="Vírgula 5 3 3 2 2 5" xfId="36428"/>
    <cellStyle name="Vírgula 5 3 3 2 3" xfId="26140"/>
    <cellStyle name="Vírgula 5 3 3 2 3 2" xfId="51207"/>
    <cellStyle name="Vírgula 5 3 3 2 4" xfId="20226"/>
    <cellStyle name="Vírgula 5 3 3 2 4 2" xfId="45293"/>
    <cellStyle name="Vírgula 5 3 3 2 5" xfId="14234"/>
    <cellStyle name="Vírgula 5 3 3 2 5 2" xfId="39382"/>
    <cellStyle name="Vírgula 5 3 3 2 6" xfId="33471"/>
    <cellStyle name="Vírgula 5 3 3 3" xfId="9415"/>
    <cellStyle name="Vírgula 5 3 3 3 2" xfId="27629"/>
    <cellStyle name="Vírgula 5 3 3 3 2 2" xfId="52696"/>
    <cellStyle name="Vírgula 5 3 3 3 3" xfId="21715"/>
    <cellStyle name="Vírgula 5 3 3 3 3 2" xfId="46782"/>
    <cellStyle name="Vírgula 5 3 3 3 4" xfId="15801"/>
    <cellStyle name="Vírgula 5 3 3 3 4 2" xfId="40868"/>
    <cellStyle name="Vírgula 5 3 3 3 5" xfId="34960"/>
    <cellStyle name="Vírgula 5 3 3 4" xfId="6145"/>
    <cellStyle name="Vírgula 5 3 3 4 2" xfId="24672"/>
    <cellStyle name="Vírgula 5 3 3 4 2 2" xfId="49739"/>
    <cellStyle name="Vírgula 5 3 3 4 3" xfId="32003"/>
    <cellStyle name="Vírgula 5 3 3 5" xfId="18758"/>
    <cellStyle name="Vírgula 5 3 3 5 2" xfId="43825"/>
    <cellStyle name="Vírgula 5 3 3 6" xfId="12533"/>
    <cellStyle name="Vírgula 5 3 3 6 2" xfId="37914"/>
    <cellStyle name="Vírgula 5 3 3 7" xfId="30533"/>
    <cellStyle name="Vírgula 5 3 4" xfId="4551"/>
    <cellStyle name="Vírgula 5 3 4 2" xfId="7953"/>
    <cellStyle name="Vírgula 5 3 4 2 2" xfId="10945"/>
    <cellStyle name="Vírgula 5 3 4 2 2 2" xfId="29159"/>
    <cellStyle name="Vírgula 5 3 4 2 2 2 2" xfId="54226"/>
    <cellStyle name="Vírgula 5 3 4 2 2 3" xfId="23245"/>
    <cellStyle name="Vírgula 5 3 4 2 2 3 2" xfId="48312"/>
    <cellStyle name="Vírgula 5 3 4 2 2 4" xfId="17331"/>
    <cellStyle name="Vírgula 5 3 4 2 2 4 2" xfId="42398"/>
    <cellStyle name="Vírgula 5 3 4 2 2 5" xfId="36490"/>
    <cellStyle name="Vírgula 5 3 4 2 3" xfId="26202"/>
    <cellStyle name="Vírgula 5 3 4 2 3 2" xfId="51269"/>
    <cellStyle name="Vírgula 5 3 4 2 4" xfId="20288"/>
    <cellStyle name="Vírgula 5 3 4 2 4 2" xfId="45355"/>
    <cellStyle name="Vírgula 5 3 4 2 5" xfId="14342"/>
    <cellStyle name="Vírgula 5 3 4 2 5 2" xfId="39444"/>
    <cellStyle name="Vírgula 5 3 4 2 6" xfId="33533"/>
    <cellStyle name="Vírgula 5 3 4 3" xfId="9477"/>
    <cellStyle name="Vírgula 5 3 4 3 2" xfId="27691"/>
    <cellStyle name="Vírgula 5 3 4 3 2 2" xfId="52758"/>
    <cellStyle name="Vírgula 5 3 4 3 3" xfId="21777"/>
    <cellStyle name="Vírgula 5 3 4 3 3 2" xfId="46844"/>
    <cellStyle name="Vírgula 5 3 4 3 4" xfId="15863"/>
    <cellStyle name="Vírgula 5 3 4 3 4 2" xfId="40930"/>
    <cellStyle name="Vírgula 5 3 4 3 5" xfId="35022"/>
    <cellStyle name="Vírgula 5 3 4 4" xfId="6252"/>
    <cellStyle name="Vírgula 5 3 4 4 2" xfId="24734"/>
    <cellStyle name="Vírgula 5 3 4 4 2 2" xfId="49801"/>
    <cellStyle name="Vírgula 5 3 4 4 3" xfId="32065"/>
    <cellStyle name="Vírgula 5 3 4 5" xfId="18820"/>
    <cellStyle name="Vírgula 5 3 4 5 2" xfId="43887"/>
    <cellStyle name="Vírgula 5 3 4 6" xfId="12641"/>
    <cellStyle name="Vírgula 5 3 4 6 2" xfId="37976"/>
    <cellStyle name="Vírgula 5 3 4 7" xfId="30595"/>
    <cellStyle name="Vírgula 5 3 5" xfId="5959"/>
    <cellStyle name="Vírgula 5 3 5 2" xfId="7659"/>
    <cellStyle name="Vírgula 5 3 5 2 2" xfId="10778"/>
    <cellStyle name="Vírgula 5 3 5 2 2 2" xfId="28992"/>
    <cellStyle name="Vírgula 5 3 5 2 2 2 2" xfId="54059"/>
    <cellStyle name="Vírgula 5 3 5 2 2 3" xfId="23078"/>
    <cellStyle name="Vírgula 5 3 5 2 2 3 2" xfId="48145"/>
    <cellStyle name="Vírgula 5 3 5 2 2 4" xfId="17164"/>
    <cellStyle name="Vírgula 5 3 5 2 2 4 2" xfId="42231"/>
    <cellStyle name="Vírgula 5 3 5 2 2 5" xfId="36323"/>
    <cellStyle name="Vírgula 5 3 5 2 3" xfId="26035"/>
    <cellStyle name="Vírgula 5 3 5 2 3 2" xfId="51102"/>
    <cellStyle name="Vírgula 5 3 5 2 4" xfId="20121"/>
    <cellStyle name="Vírgula 5 3 5 2 4 2" xfId="45188"/>
    <cellStyle name="Vírgula 5 3 5 2 5" xfId="14048"/>
    <cellStyle name="Vírgula 5 3 5 2 5 2" xfId="39277"/>
    <cellStyle name="Vírgula 5 3 5 2 6" xfId="33366"/>
    <cellStyle name="Vírgula 5 3 5 3" xfId="9310"/>
    <cellStyle name="Vírgula 5 3 5 3 2" xfId="27524"/>
    <cellStyle name="Vírgula 5 3 5 3 2 2" xfId="52591"/>
    <cellStyle name="Vírgula 5 3 5 3 3" xfId="21610"/>
    <cellStyle name="Vírgula 5 3 5 3 3 2" xfId="46677"/>
    <cellStyle name="Vírgula 5 3 5 3 4" xfId="15696"/>
    <cellStyle name="Vírgula 5 3 5 3 4 2" xfId="40763"/>
    <cellStyle name="Vírgula 5 3 5 3 5" xfId="34855"/>
    <cellStyle name="Vírgula 5 3 5 4" xfId="24567"/>
    <cellStyle name="Vírgula 5 3 5 4 2" xfId="49634"/>
    <cellStyle name="Vírgula 5 3 5 5" xfId="18653"/>
    <cellStyle name="Vírgula 5 3 5 5 2" xfId="43720"/>
    <cellStyle name="Vírgula 5 3 5 6" xfId="12347"/>
    <cellStyle name="Vírgula 5 3 5 6 2" xfId="37809"/>
    <cellStyle name="Vírgula 5 3 5 7" xfId="31898"/>
    <cellStyle name="Vírgula 5 3 6" xfId="6361"/>
    <cellStyle name="Vírgula 5 3 6 2" xfId="9539"/>
    <cellStyle name="Vírgula 5 3 6 2 2" xfId="27753"/>
    <cellStyle name="Vírgula 5 3 6 2 2 2" xfId="52820"/>
    <cellStyle name="Vírgula 5 3 6 2 3" xfId="21839"/>
    <cellStyle name="Vírgula 5 3 6 2 3 2" xfId="46906"/>
    <cellStyle name="Vírgula 5 3 6 2 4" xfId="15925"/>
    <cellStyle name="Vírgula 5 3 6 2 4 2" xfId="40992"/>
    <cellStyle name="Vírgula 5 3 6 2 5" xfId="35084"/>
    <cellStyle name="Vírgula 5 3 6 3" xfId="24796"/>
    <cellStyle name="Vírgula 5 3 6 3 2" xfId="49863"/>
    <cellStyle name="Vírgula 5 3 6 4" xfId="18882"/>
    <cellStyle name="Vírgula 5 3 6 4 2" xfId="43949"/>
    <cellStyle name="Vírgula 5 3 6 5" xfId="12750"/>
    <cellStyle name="Vírgula 5 3 6 5 2" xfId="38038"/>
    <cellStyle name="Vírgula 5 3 6 6" xfId="32127"/>
    <cellStyle name="Vírgula 5 3 7" xfId="8068"/>
    <cellStyle name="Vírgula 5 3 7 2" xfId="26282"/>
    <cellStyle name="Vírgula 5 3 7 2 2" xfId="51349"/>
    <cellStyle name="Vírgula 5 3 7 3" xfId="20368"/>
    <cellStyle name="Vírgula 5 3 7 3 2" xfId="45435"/>
    <cellStyle name="Vírgula 5 3 7 4" xfId="14457"/>
    <cellStyle name="Vírgula 5 3 7 4 2" xfId="39524"/>
    <cellStyle name="Vírgula 5 3 7 5" xfId="33613"/>
    <cellStyle name="Vírgula 5 3 8" xfId="4658"/>
    <cellStyle name="Vírgula 5 3 8 2" xfId="23325"/>
    <cellStyle name="Vírgula 5 3 8 2 2" xfId="48392"/>
    <cellStyle name="Vírgula 5 3 8 3" xfId="30657"/>
    <cellStyle name="Vírgula 5 3 9" xfId="17411"/>
    <cellStyle name="Vírgula 5 3 9 2" xfId="42478"/>
    <cellStyle name="Vírgula 5 4" xfId="4223"/>
    <cellStyle name="Vírgula 5 4 10" xfId="11081"/>
    <cellStyle name="Vírgula 5 4 10 2" xfId="36589"/>
    <cellStyle name="Vírgula 5 4 11" xfId="30408"/>
    <cellStyle name="Vírgula 5 4 2" xfId="4367"/>
    <cellStyle name="Vírgula 5 4 2 2" xfId="7768"/>
    <cellStyle name="Vírgula 5 4 2 2 2" xfId="10840"/>
    <cellStyle name="Vírgula 5 4 2 2 2 2" xfId="29054"/>
    <cellStyle name="Vírgula 5 4 2 2 2 2 2" xfId="54121"/>
    <cellStyle name="Vírgula 5 4 2 2 2 3" xfId="23140"/>
    <cellStyle name="Vírgula 5 4 2 2 2 3 2" xfId="48207"/>
    <cellStyle name="Vírgula 5 4 2 2 2 4" xfId="17226"/>
    <cellStyle name="Vírgula 5 4 2 2 2 4 2" xfId="42293"/>
    <cellStyle name="Vírgula 5 4 2 2 2 5" xfId="36385"/>
    <cellStyle name="Vírgula 5 4 2 2 3" xfId="26097"/>
    <cellStyle name="Vírgula 5 4 2 2 3 2" xfId="51164"/>
    <cellStyle name="Vírgula 5 4 2 2 4" xfId="20183"/>
    <cellStyle name="Vírgula 5 4 2 2 4 2" xfId="45250"/>
    <cellStyle name="Vírgula 5 4 2 2 5" xfId="14157"/>
    <cellStyle name="Vírgula 5 4 2 2 5 2" xfId="39339"/>
    <cellStyle name="Vírgula 5 4 2 2 6" xfId="33428"/>
    <cellStyle name="Vírgula 5 4 2 3" xfId="9372"/>
    <cellStyle name="Vírgula 5 4 2 3 2" xfId="27586"/>
    <cellStyle name="Vírgula 5 4 2 3 2 2" xfId="52653"/>
    <cellStyle name="Vírgula 5 4 2 3 3" xfId="21672"/>
    <cellStyle name="Vírgula 5 4 2 3 3 2" xfId="46739"/>
    <cellStyle name="Vírgula 5 4 2 3 4" xfId="15758"/>
    <cellStyle name="Vírgula 5 4 2 3 4 2" xfId="40825"/>
    <cellStyle name="Vírgula 5 4 2 3 5" xfId="34917"/>
    <cellStyle name="Vírgula 5 4 2 4" xfId="6068"/>
    <cellStyle name="Vírgula 5 4 2 4 2" xfId="24629"/>
    <cellStyle name="Vírgula 5 4 2 4 2 2" xfId="49696"/>
    <cellStyle name="Vírgula 5 4 2 4 3" xfId="31960"/>
    <cellStyle name="Vírgula 5 4 2 5" xfId="18715"/>
    <cellStyle name="Vírgula 5 4 2 5 2" xfId="43782"/>
    <cellStyle name="Vírgula 5 4 2 6" xfId="12456"/>
    <cellStyle name="Vírgula 5 4 2 6 2" xfId="37871"/>
    <cellStyle name="Vírgula 5 4 2 7" xfId="30490"/>
    <cellStyle name="Vírgula 5 4 3" xfId="4475"/>
    <cellStyle name="Vírgula 5 4 3 2" xfId="7877"/>
    <cellStyle name="Vírgula 5 4 3 2 2" xfId="10902"/>
    <cellStyle name="Vírgula 5 4 3 2 2 2" xfId="29116"/>
    <cellStyle name="Vírgula 5 4 3 2 2 2 2" xfId="54183"/>
    <cellStyle name="Vírgula 5 4 3 2 2 3" xfId="23202"/>
    <cellStyle name="Vírgula 5 4 3 2 2 3 2" xfId="48269"/>
    <cellStyle name="Vírgula 5 4 3 2 2 4" xfId="17288"/>
    <cellStyle name="Vírgula 5 4 3 2 2 4 2" xfId="42355"/>
    <cellStyle name="Vírgula 5 4 3 2 2 5" xfId="36447"/>
    <cellStyle name="Vírgula 5 4 3 2 3" xfId="26159"/>
    <cellStyle name="Vírgula 5 4 3 2 3 2" xfId="51226"/>
    <cellStyle name="Vírgula 5 4 3 2 4" xfId="20245"/>
    <cellStyle name="Vírgula 5 4 3 2 4 2" xfId="45312"/>
    <cellStyle name="Vírgula 5 4 3 2 5" xfId="14266"/>
    <cellStyle name="Vírgula 5 4 3 2 5 2" xfId="39401"/>
    <cellStyle name="Vírgula 5 4 3 2 6" xfId="33490"/>
    <cellStyle name="Vírgula 5 4 3 3" xfId="9434"/>
    <cellStyle name="Vírgula 5 4 3 3 2" xfId="27648"/>
    <cellStyle name="Vírgula 5 4 3 3 2 2" xfId="52715"/>
    <cellStyle name="Vírgula 5 4 3 3 3" xfId="21734"/>
    <cellStyle name="Vírgula 5 4 3 3 3 2" xfId="46801"/>
    <cellStyle name="Vírgula 5 4 3 3 4" xfId="15820"/>
    <cellStyle name="Vírgula 5 4 3 3 4 2" xfId="40887"/>
    <cellStyle name="Vírgula 5 4 3 3 5" xfId="34979"/>
    <cellStyle name="Vírgula 5 4 3 4" xfId="6176"/>
    <cellStyle name="Vírgula 5 4 3 4 2" xfId="24691"/>
    <cellStyle name="Vírgula 5 4 3 4 2 2" xfId="49758"/>
    <cellStyle name="Vírgula 5 4 3 4 3" xfId="32022"/>
    <cellStyle name="Vírgula 5 4 3 5" xfId="18777"/>
    <cellStyle name="Vírgula 5 4 3 5 2" xfId="43844"/>
    <cellStyle name="Vírgula 5 4 3 6" xfId="12565"/>
    <cellStyle name="Vírgula 5 4 3 6 2" xfId="37933"/>
    <cellStyle name="Vírgula 5 4 3 7" xfId="30552"/>
    <cellStyle name="Vírgula 5 4 4" xfId="4583"/>
    <cellStyle name="Vírgula 5 4 4 2" xfId="7985"/>
    <cellStyle name="Vírgula 5 4 4 2 2" xfId="10964"/>
    <cellStyle name="Vírgula 5 4 4 2 2 2" xfId="29178"/>
    <cellStyle name="Vírgula 5 4 4 2 2 2 2" xfId="54245"/>
    <cellStyle name="Vírgula 5 4 4 2 2 3" xfId="23264"/>
    <cellStyle name="Vírgula 5 4 4 2 2 3 2" xfId="48331"/>
    <cellStyle name="Vírgula 5 4 4 2 2 4" xfId="17350"/>
    <cellStyle name="Vírgula 5 4 4 2 2 4 2" xfId="42417"/>
    <cellStyle name="Vírgula 5 4 4 2 2 5" xfId="36509"/>
    <cellStyle name="Vírgula 5 4 4 2 3" xfId="26221"/>
    <cellStyle name="Vírgula 5 4 4 2 3 2" xfId="51288"/>
    <cellStyle name="Vírgula 5 4 4 2 4" xfId="20307"/>
    <cellStyle name="Vírgula 5 4 4 2 4 2" xfId="45374"/>
    <cellStyle name="Vírgula 5 4 4 2 5" xfId="14374"/>
    <cellStyle name="Vírgula 5 4 4 2 5 2" xfId="39463"/>
    <cellStyle name="Vírgula 5 4 4 2 6" xfId="33552"/>
    <cellStyle name="Vírgula 5 4 4 3" xfId="9496"/>
    <cellStyle name="Vírgula 5 4 4 3 2" xfId="27710"/>
    <cellStyle name="Vírgula 5 4 4 3 2 2" xfId="52777"/>
    <cellStyle name="Vírgula 5 4 4 3 3" xfId="21796"/>
    <cellStyle name="Vírgula 5 4 4 3 3 2" xfId="46863"/>
    <cellStyle name="Vírgula 5 4 4 3 4" xfId="15882"/>
    <cellStyle name="Vírgula 5 4 4 3 4 2" xfId="40949"/>
    <cellStyle name="Vírgula 5 4 4 3 5" xfId="35041"/>
    <cellStyle name="Vírgula 5 4 4 4" xfId="6284"/>
    <cellStyle name="Vírgula 5 4 4 4 2" xfId="24753"/>
    <cellStyle name="Vírgula 5 4 4 4 2 2" xfId="49820"/>
    <cellStyle name="Vírgula 5 4 4 4 3" xfId="32084"/>
    <cellStyle name="Vírgula 5 4 4 5" xfId="18839"/>
    <cellStyle name="Vírgula 5 4 4 5 2" xfId="43906"/>
    <cellStyle name="Vírgula 5 4 4 6" xfId="12673"/>
    <cellStyle name="Vírgula 5 4 4 6 2" xfId="37995"/>
    <cellStyle name="Vírgula 5 4 4 7" xfId="30614"/>
    <cellStyle name="Vírgula 5 4 5" xfId="5923"/>
    <cellStyle name="Vírgula 5 4 5 2" xfId="7623"/>
    <cellStyle name="Vírgula 5 4 5 2 2" xfId="10758"/>
    <cellStyle name="Vírgula 5 4 5 2 2 2" xfId="28972"/>
    <cellStyle name="Vírgula 5 4 5 2 2 2 2" xfId="54039"/>
    <cellStyle name="Vírgula 5 4 5 2 2 3" xfId="23058"/>
    <cellStyle name="Vírgula 5 4 5 2 2 3 2" xfId="48125"/>
    <cellStyle name="Vírgula 5 4 5 2 2 4" xfId="17144"/>
    <cellStyle name="Vírgula 5 4 5 2 2 4 2" xfId="42211"/>
    <cellStyle name="Vírgula 5 4 5 2 2 5" xfId="36303"/>
    <cellStyle name="Vírgula 5 4 5 2 3" xfId="26015"/>
    <cellStyle name="Vírgula 5 4 5 2 3 2" xfId="51082"/>
    <cellStyle name="Vírgula 5 4 5 2 4" xfId="20101"/>
    <cellStyle name="Vírgula 5 4 5 2 4 2" xfId="45168"/>
    <cellStyle name="Vírgula 5 4 5 2 5" xfId="14012"/>
    <cellStyle name="Vírgula 5 4 5 2 5 2" xfId="39257"/>
    <cellStyle name="Vírgula 5 4 5 2 6" xfId="33346"/>
    <cellStyle name="Vírgula 5 4 5 3" xfId="9290"/>
    <cellStyle name="Vírgula 5 4 5 3 2" xfId="27504"/>
    <cellStyle name="Vírgula 5 4 5 3 2 2" xfId="52571"/>
    <cellStyle name="Vírgula 5 4 5 3 3" xfId="21590"/>
    <cellStyle name="Vírgula 5 4 5 3 3 2" xfId="46657"/>
    <cellStyle name="Vírgula 5 4 5 3 4" xfId="15676"/>
    <cellStyle name="Vírgula 5 4 5 3 4 2" xfId="40743"/>
    <cellStyle name="Vírgula 5 4 5 3 5" xfId="34835"/>
    <cellStyle name="Vírgula 5 4 5 4" xfId="24547"/>
    <cellStyle name="Vírgula 5 4 5 4 2" xfId="49614"/>
    <cellStyle name="Vírgula 5 4 5 5" xfId="18633"/>
    <cellStyle name="Vírgula 5 4 5 5 2" xfId="43700"/>
    <cellStyle name="Vírgula 5 4 5 6" xfId="12311"/>
    <cellStyle name="Vírgula 5 4 5 6 2" xfId="37789"/>
    <cellStyle name="Vírgula 5 4 5 7" xfId="31878"/>
    <cellStyle name="Vírgula 5 4 6" xfId="6393"/>
    <cellStyle name="Vírgula 5 4 6 2" xfId="9558"/>
    <cellStyle name="Vírgula 5 4 6 2 2" xfId="27772"/>
    <cellStyle name="Vírgula 5 4 6 2 2 2" xfId="52839"/>
    <cellStyle name="Vírgula 5 4 6 2 3" xfId="21858"/>
    <cellStyle name="Vírgula 5 4 6 2 3 2" xfId="46925"/>
    <cellStyle name="Vírgula 5 4 6 2 4" xfId="15944"/>
    <cellStyle name="Vírgula 5 4 6 2 4 2" xfId="41011"/>
    <cellStyle name="Vírgula 5 4 6 2 5" xfId="35103"/>
    <cellStyle name="Vírgula 5 4 6 3" xfId="24815"/>
    <cellStyle name="Vírgula 5 4 6 3 2" xfId="49882"/>
    <cellStyle name="Vírgula 5 4 6 4" xfId="18901"/>
    <cellStyle name="Vírgula 5 4 6 4 2" xfId="43968"/>
    <cellStyle name="Vírgula 5 4 6 5" xfId="12782"/>
    <cellStyle name="Vírgula 5 4 6 5 2" xfId="38057"/>
    <cellStyle name="Vírgula 5 4 6 6" xfId="32146"/>
    <cellStyle name="Vírgula 5 4 7" xfId="8087"/>
    <cellStyle name="Vírgula 5 4 7 2" xfId="26301"/>
    <cellStyle name="Vírgula 5 4 7 2 2" xfId="51368"/>
    <cellStyle name="Vírgula 5 4 7 3" xfId="20387"/>
    <cellStyle name="Vírgula 5 4 7 3 2" xfId="45454"/>
    <cellStyle name="Vírgula 5 4 7 4" xfId="14476"/>
    <cellStyle name="Vírgula 5 4 7 4 2" xfId="39543"/>
    <cellStyle name="Vírgula 5 4 7 5" xfId="33632"/>
    <cellStyle name="Vírgula 5 4 8" xfId="4690"/>
    <cellStyle name="Vírgula 5 4 8 2" xfId="23344"/>
    <cellStyle name="Vírgula 5 4 8 2 2" xfId="48411"/>
    <cellStyle name="Vírgula 5 4 8 3" xfId="30676"/>
    <cellStyle name="Vírgula 5 4 9" xfId="17430"/>
    <cellStyle name="Vírgula 5 4 9 2" xfId="42497"/>
    <cellStyle name="Vírgula 5 5" xfId="4299"/>
    <cellStyle name="Vírgula 5 5 2" xfId="7700"/>
    <cellStyle name="Vírgula 5 5 2 2" xfId="10801"/>
    <cellStyle name="Vírgula 5 5 2 2 2" xfId="29015"/>
    <cellStyle name="Vírgula 5 5 2 2 2 2" xfId="54082"/>
    <cellStyle name="Vírgula 5 5 2 2 3" xfId="23101"/>
    <cellStyle name="Vírgula 5 5 2 2 3 2" xfId="48168"/>
    <cellStyle name="Vírgula 5 5 2 2 4" xfId="17187"/>
    <cellStyle name="Vírgula 5 5 2 2 4 2" xfId="42254"/>
    <cellStyle name="Vírgula 5 5 2 2 5" xfId="36346"/>
    <cellStyle name="Vírgula 5 5 2 3" xfId="26058"/>
    <cellStyle name="Vírgula 5 5 2 3 2" xfId="51125"/>
    <cellStyle name="Vírgula 5 5 2 4" xfId="20144"/>
    <cellStyle name="Vírgula 5 5 2 4 2" xfId="45211"/>
    <cellStyle name="Vírgula 5 5 2 5" xfId="14089"/>
    <cellStyle name="Vírgula 5 5 2 5 2" xfId="39300"/>
    <cellStyle name="Vírgula 5 5 2 6" xfId="33389"/>
    <cellStyle name="Vírgula 5 5 3" xfId="9333"/>
    <cellStyle name="Vírgula 5 5 3 2" xfId="27547"/>
    <cellStyle name="Vírgula 5 5 3 2 2" xfId="52614"/>
    <cellStyle name="Vírgula 5 5 3 3" xfId="21633"/>
    <cellStyle name="Vírgula 5 5 3 3 2" xfId="46700"/>
    <cellStyle name="Vírgula 5 5 3 4" xfId="15719"/>
    <cellStyle name="Vírgula 5 5 3 4 2" xfId="40786"/>
    <cellStyle name="Vírgula 5 5 3 5" xfId="34878"/>
    <cellStyle name="Vírgula 5 5 4" xfId="6000"/>
    <cellStyle name="Vírgula 5 5 4 2" xfId="24590"/>
    <cellStyle name="Vírgula 5 5 4 2 2" xfId="49657"/>
    <cellStyle name="Vírgula 5 5 4 3" xfId="31921"/>
    <cellStyle name="Vírgula 5 5 5" xfId="18676"/>
    <cellStyle name="Vírgula 5 5 5 2" xfId="43743"/>
    <cellStyle name="Vírgula 5 5 6" xfId="12388"/>
    <cellStyle name="Vírgula 5 5 6 2" xfId="37832"/>
    <cellStyle name="Vírgula 5 5 7" xfId="30451"/>
    <cellStyle name="Vírgula 5 6" xfId="4407"/>
    <cellStyle name="Vírgula 5 6 2" xfId="7809"/>
    <cellStyle name="Vírgula 5 6 2 2" xfId="10863"/>
    <cellStyle name="Vírgula 5 6 2 2 2" xfId="29077"/>
    <cellStyle name="Vírgula 5 6 2 2 2 2" xfId="54144"/>
    <cellStyle name="Vírgula 5 6 2 2 3" xfId="23163"/>
    <cellStyle name="Vírgula 5 6 2 2 3 2" xfId="48230"/>
    <cellStyle name="Vírgula 5 6 2 2 4" xfId="17249"/>
    <cellStyle name="Vírgula 5 6 2 2 4 2" xfId="42316"/>
    <cellStyle name="Vírgula 5 6 2 2 5" xfId="36408"/>
    <cellStyle name="Vírgula 5 6 2 3" xfId="26120"/>
    <cellStyle name="Vírgula 5 6 2 3 2" xfId="51187"/>
    <cellStyle name="Vírgula 5 6 2 4" xfId="20206"/>
    <cellStyle name="Vírgula 5 6 2 4 2" xfId="45273"/>
    <cellStyle name="Vírgula 5 6 2 5" xfId="14198"/>
    <cellStyle name="Vírgula 5 6 2 5 2" xfId="39362"/>
    <cellStyle name="Vírgula 5 6 2 6" xfId="33451"/>
    <cellStyle name="Vírgula 5 6 3" xfId="9395"/>
    <cellStyle name="Vírgula 5 6 3 2" xfId="27609"/>
    <cellStyle name="Vírgula 5 6 3 2 2" xfId="52676"/>
    <cellStyle name="Vírgula 5 6 3 3" xfId="21695"/>
    <cellStyle name="Vírgula 5 6 3 3 2" xfId="46762"/>
    <cellStyle name="Vírgula 5 6 3 4" xfId="15781"/>
    <cellStyle name="Vírgula 5 6 3 4 2" xfId="40848"/>
    <cellStyle name="Vírgula 5 6 3 5" xfId="34940"/>
    <cellStyle name="Vírgula 5 6 4" xfId="6109"/>
    <cellStyle name="Vírgula 5 6 4 2" xfId="24652"/>
    <cellStyle name="Vírgula 5 6 4 2 2" xfId="49719"/>
    <cellStyle name="Vírgula 5 6 4 3" xfId="31983"/>
    <cellStyle name="Vírgula 5 6 5" xfId="18738"/>
    <cellStyle name="Vírgula 5 6 5 2" xfId="43805"/>
    <cellStyle name="Vírgula 5 6 6" xfId="12497"/>
    <cellStyle name="Vírgula 5 6 6 2" xfId="37894"/>
    <cellStyle name="Vírgula 5 6 7" xfId="30513"/>
    <cellStyle name="Vírgula 5 7" xfId="4515"/>
    <cellStyle name="Vírgula 5 7 2" xfId="7917"/>
    <cellStyle name="Vírgula 5 7 2 2" xfId="10925"/>
    <cellStyle name="Vírgula 5 7 2 2 2" xfId="29139"/>
    <cellStyle name="Vírgula 5 7 2 2 2 2" xfId="54206"/>
    <cellStyle name="Vírgula 5 7 2 2 3" xfId="23225"/>
    <cellStyle name="Vírgula 5 7 2 2 3 2" xfId="48292"/>
    <cellStyle name="Vírgula 5 7 2 2 4" xfId="17311"/>
    <cellStyle name="Vírgula 5 7 2 2 4 2" xfId="42378"/>
    <cellStyle name="Vírgula 5 7 2 2 5" xfId="36470"/>
    <cellStyle name="Vírgula 5 7 2 3" xfId="26182"/>
    <cellStyle name="Vírgula 5 7 2 3 2" xfId="51249"/>
    <cellStyle name="Vírgula 5 7 2 4" xfId="20268"/>
    <cellStyle name="Vírgula 5 7 2 4 2" xfId="45335"/>
    <cellStyle name="Vírgula 5 7 2 5" xfId="14306"/>
    <cellStyle name="Vírgula 5 7 2 5 2" xfId="39424"/>
    <cellStyle name="Vírgula 5 7 2 6" xfId="33513"/>
    <cellStyle name="Vírgula 5 7 3" xfId="9457"/>
    <cellStyle name="Vírgula 5 7 3 2" xfId="27671"/>
    <cellStyle name="Vírgula 5 7 3 2 2" xfId="52738"/>
    <cellStyle name="Vírgula 5 7 3 3" xfId="21757"/>
    <cellStyle name="Vírgula 5 7 3 3 2" xfId="46824"/>
    <cellStyle name="Vírgula 5 7 3 4" xfId="15843"/>
    <cellStyle name="Vírgula 5 7 3 4 2" xfId="40910"/>
    <cellStyle name="Vírgula 5 7 3 5" xfId="35002"/>
    <cellStyle name="Vírgula 5 7 4" xfId="6216"/>
    <cellStyle name="Vírgula 5 7 4 2" xfId="24714"/>
    <cellStyle name="Vírgula 5 7 4 2 2" xfId="49781"/>
    <cellStyle name="Vírgula 5 7 4 3" xfId="32045"/>
    <cellStyle name="Vírgula 5 7 5" xfId="18800"/>
    <cellStyle name="Vírgula 5 7 5 2" xfId="43867"/>
    <cellStyle name="Vírgula 5 7 6" xfId="12605"/>
    <cellStyle name="Vírgula 5 7 6 2" xfId="37956"/>
    <cellStyle name="Vírgula 5 7 7" xfId="30575"/>
    <cellStyle name="Vírgula 5 8" xfId="4870"/>
    <cellStyle name="Vírgula 5 8 2" xfId="6571"/>
    <cellStyle name="Vírgula 5 8 2 2" xfId="9718"/>
    <cellStyle name="Vírgula 5 8 2 2 2" xfId="27932"/>
    <cellStyle name="Vírgula 5 8 2 2 2 2" xfId="52999"/>
    <cellStyle name="Vírgula 5 8 2 2 3" xfId="22018"/>
    <cellStyle name="Vírgula 5 8 2 2 3 2" xfId="47085"/>
    <cellStyle name="Vírgula 5 8 2 2 4" xfId="16104"/>
    <cellStyle name="Vírgula 5 8 2 2 4 2" xfId="41171"/>
    <cellStyle name="Vírgula 5 8 2 2 5" xfId="35263"/>
    <cellStyle name="Vírgula 5 8 2 3" xfId="24975"/>
    <cellStyle name="Vírgula 5 8 2 3 2" xfId="50042"/>
    <cellStyle name="Vírgula 5 8 2 4" xfId="19061"/>
    <cellStyle name="Vírgula 5 8 2 4 2" xfId="44128"/>
    <cellStyle name="Vírgula 5 8 2 5" xfId="12960"/>
    <cellStyle name="Vírgula 5 8 2 5 2" xfId="38217"/>
    <cellStyle name="Vírgula 5 8 2 6" xfId="32306"/>
    <cellStyle name="Vírgula 5 8 3" xfId="8247"/>
    <cellStyle name="Vírgula 5 8 3 2" xfId="26461"/>
    <cellStyle name="Vírgula 5 8 3 2 2" xfId="51528"/>
    <cellStyle name="Vírgula 5 8 3 3" xfId="20547"/>
    <cellStyle name="Vírgula 5 8 3 3 2" xfId="45614"/>
    <cellStyle name="Vírgula 5 8 3 4" xfId="14636"/>
    <cellStyle name="Vírgula 5 8 3 4 2" xfId="39703"/>
    <cellStyle name="Vírgula 5 8 3 5" xfId="33792"/>
    <cellStyle name="Vírgula 5 8 4" xfId="23504"/>
    <cellStyle name="Vírgula 5 8 4 2" xfId="48571"/>
    <cellStyle name="Vírgula 5 8 5" xfId="17590"/>
    <cellStyle name="Vírgula 5 8 5 2" xfId="42657"/>
    <cellStyle name="Vírgula 5 8 6" xfId="11259"/>
    <cellStyle name="Vírgula 5 8 6 2" xfId="36749"/>
    <cellStyle name="Vírgula 5 8 7" xfId="30836"/>
    <cellStyle name="Vírgula 5 9" xfId="6325"/>
    <cellStyle name="Vírgula 5 9 2" xfId="9519"/>
    <cellStyle name="Vírgula 5 9 2 2" xfId="27733"/>
    <cellStyle name="Vírgula 5 9 2 2 2" xfId="52800"/>
    <cellStyle name="Vírgula 5 9 2 3" xfId="21819"/>
    <cellStyle name="Vírgula 5 9 2 3 2" xfId="46886"/>
    <cellStyle name="Vírgula 5 9 2 4" xfId="15905"/>
    <cellStyle name="Vírgula 5 9 2 4 2" xfId="40972"/>
    <cellStyle name="Vírgula 5 9 2 5" xfId="35064"/>
    <cellStyle name="Vírgula 5 9 3" xfId="24776"/>
    <cellStyle name="Vírgula 5 9 3 2" xfId="49843"/>
    <cellStyle name="Vírgula 5 9 4" xfId="18862"/>
    <cellStyle name="Vírgula 5 9 4 2" xfId="43929"/>
    <cellStyle name="Vírgula 5 9 5" xfId="12714"/>
    <cellStyle name="Vírgula 5 9 5 2" xfId="38018"/>
    <cellStyle name="Vírgula 5 9 6" xfId="32107"/>
    <cellStyle name="Vírgula 6" xfId="4228"/>
    <cellStyle name="Vírgula 6 10" xfId="8051"/>
    <cellStyle name="Vírgula 6 10 2" xfId="26265"/>
    <cellStyle name="Vírgula 6 10 2 2" xfId="51332"/>
    <cellStyle name="Vírgula 6 10 3" xfId="20351"/>
    <cellStyle name="Vírgula 6 10 3 2" xfId="45418"/>
    <cellStyle name="Vírgula 6 10 4" xfId="14440"/>
    <cellStyle name="Vírgula 6 10 4 2" xfId="39507"/>
    <cellStyle name="Vírgula 6 10 5" xfId="33596"/>
    <cellStyle name="Vírgula 6 11" xfId="4628"/>
    <cellStyle name="Vírgula 6 11 2" xfId="23308"/>
    <cellStyle name="Vírgula 6 11 2 2" xfId="48375"/>
    <cellStyle name="Vírgula 6 11 3" xfId="30640"/>
    <cellStyle name="Vírgula 6 12" xfId="17394"/>
    <cellStyle name="Vírgula 6 12 2" xfId="42461"/>
    <cellStyle name="Vírgula 6 13" xfId="11019"/>
    <cellStyle name="Vírgula 6 13 2" xfId="36553"/>
    <cellStyle name="Vírgula 6 14" xfId="30411"/>
    <cellStyle name="Vírgula 6 2" xfId="4263"/>
    <cellStyle name="Vírgula 6 2 10" xfId="11054"/>
    <cellStyle name="Vírgula 6 2 10 2" xfId="36573"/>
    <cellStyle name="Vírgula 6 2 11" xfId="30431"/>
    <cellStyle name="Vírgula 6 2 2" xfId="4340"/>
    <cellStyle name="Vírgula 6 2 2 2" xfId="7741"/>
    <cellStyle name="Vírgula 6 2 2 2 2" xfId="10824"/>
    <cellStyle name="Vírgula 6 2 2 2 2 2" xfId="29038"/>
    <cellStyle name="Vírgula 6 2 2 2 2 2 2" xfId="54105"/>
    <cellStyle name="Vírgula 6 2 2 2 2 3" xfId="23124"/>
    <cellStyle name="Vírgula 6 2 2 2 2 3 2" xfId="48191"/>
    <cellStyle name="Vírgula 6 2 2 2 2 4" xfId="17210"/>
    <cellStyle name="Vírgula 6 2 2 2 2 4 2" xfId="42277"/>
    <cellStyle name="Vírgula 6 2 2 2 2 5" xfId="36369"/>
    <cellStyle name="Vírgula 6 2 2 2 3" xfId="26081"/>
    <cellStyle name="Vírgula 6 2 2 2 3 2" xfId="51148"/>
    <cellStyle name="Vírgula 6 2 2 2 4" xfId="20167"/>
    <cellStyle name="Vírgula 6 2 2 2 4 2" xfId="45234"/>
    <cellStyle name="Vírgula 6 2 2 2 5" xfId="14130"/>
    <cellStyle name="Vírgula 6 2 2 2 5 2" xfId="39323"/>
    <cellStyle name="Vírgula 6 2 2 2 6" xfId="33412"/>
    <cellStyle name="Vírgula 6 2 2 3" xfId="9356"/>
    <cellStyle name="Vírgula 6 2 2 3 2" xfId="27570"/>
    <cellStyle name="Vírgula 6 2 2 3 2 2" xfId="52637"/>
    <cellStyle name="Vírgula 6 2 2 3 3" xfId="21656"/>
    <cellStyle name="Vírgula 6 2 2 3 3 2" xfId="46723"/>
    <cellStyle name="Vírgula 6 2 2 3 4" xfId="15742"/>
    <cellStyle name="Vírgula 6 2 2 3 4 2" xfId="40809"/>
    <cellStyle name="Vírgula 6 2 2 3 5" xfId="34901"/>
    <cellStyle name="Vírgula 6 2 2 4" xfId="6041"/>
    <cellStyle name="Vírgula 6 2 2 4 2" xfId="24613"/>
    <cellStyle name="Vírgula 6 2 2 4 2 2" xfId="49680"/>
    <cellStyle name="Vírgula 6 2 2 4 3" xfId="31944"/>
    <cellStyle name="Vírgula 6 2 2 5" xfId="18699"/>
    <cellStyle name="Vírgula 6 2 2 5 2" xfId="43766"/>
    <cellStyle name="Vírgula 6 2 2 6" xfId="12429"/>
    <cellStyle name="Vírgula 6 2 2 6 2" xfId="37855"/>
    <cellStyle name="Vírgula 6 2 2 7" xfId="30474"/>
    <cellStyle name="Vírgula 6 2 3" xfId="4448"/>
    <cellStyle name="Vírgula 6 2 3 2" xfId="7850"/>
    <cellStyle name="Vírgula 6 2 3 2 2" xfId="10886"/>
    <cellStyle name="Vírgula 6 2 3 2 2 2" xfId="29100"/>
    <cellStyle name="Vírgula 6 2 3 2 2 2 2" xfId="54167"/>
    <cellStyle name="Vírgula 6 2 3 2 2 3" xfId="23186"/>
    <cellStyle name="Vírgula 6 2 3 2 2 3 2" xfId="48253"/>
    <cellStyle name="Vírgula 6 2 3 2 2 4" xfId="17272"/>
    <cellStyle name="Vírgula 6 2 3 2 2 4 2" xfId="42339"/>
    <cellStyle name="Vírgula 6 2 3 2 2 5" xfId="36431"/>
    <cellStyle name="Vírgula 6 2 3 2 3" xfId="26143"/>
    <cellStyle name="Vírgula 6 2 3 2 3 2" xfId="51210"/>
    <cellStyle name="Vírgula 6 2 3 2 4" xfId="20229"/>
    <cellStyle name="Vírgula 6 2 3 2 4 2" xfId="45296"/>
    <cellStyle name="Vírgula 6 2 3 2 5" xfId="14239"/>
    <cellStyle name="Vírgula 6 2 3 2 5 2" xfId="39385"/>
    <cellStyle name="Vírgula 6 2 3 2 6" xfId="33474"/>
    <cellStyle name="Vírgula 6 2 3 3" xfId="9418"/>
    <cellStyle name="Vírgula 6 2 3 3 2" xfId="27632"/>
    <cellStyle name="Vírgula 6 2 3 3 2 2" xfId="52699"/>
    <cellStyle name="Vírgula 6 2 3 3 3" xfId="21718"/>
    <cellStyle name="Vírgula 6 2 3 3 3 2" xfId="46785"/>
    <cellStyle name="Vírgula 6 2 3 3 4" xfId="15804"/>
    <cellStyle name="Vírgula 6 2 3 3 4 2" xfId="40871"/>
    <cellStyle name="Vírgula 6 2 3 3 5" xfId="34963"/>
    <cellStyle name="Vírgula 6 2 3 4" xfId="6150"/>
    <cellStyle name="Vírgula 6 2 3 4 2" xfId="24675"/>
    <cellStyle name="Vírgula 6 2 3 4 2 2" xfId="49742"/>
    <cellStyle name="Vírgula 6 2 3 4 3" xfId="32006"/>
    <cellStyle name="Vírgula 6 2 3 5" xfId="18761"/>
    <cellStyle name="Vírgula 6 2 3 5 2" xfId="43828"/>
    <cellStyle name="Vírgula 6 2 3 6" xfId="12538"/>
    <cellStyle name="Vírgula 6 2 3 6 2" xfId="37917"/>
    <cellStyle name="Vírgula 6 2 3 7" xfId="30536"/>
    <cellStyle name="Vírgula 6 2 4" xfId="4556"/>
    <cellStyle name="Vírgula 6 2 4 2" xfId="7958"/>
    <cellStyle name="Vírgula 6 2 4 2 2" xfId="10948"/>
    <cellStyle name="Vírgula 6 2 4 2 2 2" xfId="29162"/>
    <cellStyle name="Vírgula 6 2 4 2 2 2 2" xfId="54229"/>
    <cellStyle name="Vírgula 6 2 4 2 2 3" xfId="23248"/>
    <cellStyle name="Vírgula 6 2 4 2 2 3 2" xfId="48315"/>
    <cellStyle name="Vírgula 6 2 4 2 2 4" xfId="17334"/>
    <cellStyle name="Vírgula 6 2 4 2 2 4 2" xfId="42401"/>
    <cellStyle name="Vírgula 6 2 4 2 2 5" xfId="36493"/>
    <cellStyle name="Vírgula 6 2 4 2 3" xfId="26205"/>
    <cellStyle name="Vírgula 6 2 4 2 3 2" xfId="51272"/>
    <cellStyle name="Vírgula 6 2 4 2 4" xfId="20291"/>
    <cellStyle name="Vírgula 6 2 4 2 4 2" xfId="45358"/>
    <cellStyle name="Vírgula 6 2 4 2 5" xfId="14347"/>
    <cellStyle name="Vírgula 6 2 4 2 5 2" xfId="39447"/>
    <cellStyle name="Vírgula 6 2 4 2 6" xfId="33536"/>
    <cellStyle name="Vírgula 6 2 4 3" xfId="9480"/>
    <cellStyle name="Vírgula 6 2 4 3 2" xfId="27694"/>
    <cellStyle name="Vírgula 6 2 4 3 2 2" xfId="52761"/>
    <cellStyle name="Vírgula 6 2 4 3 3" xfId="21780"/>
    <cellStyle name="Vírgula 6 2 4 3 3 2" xfId="46847"/>
    <cellStyle name="Vírgula 6 2 4 3 4" xfId="15866"/>
    <cellStyle name="Vírgula 6 2 4 3 4 2" xfId="40933"/>
    <cellStyle name="Vírgula 6 2 4 3 5" xfId="35025"/>
    <cellStyle name="Vírgula 6 2 4 4" xfId="6257"/>
    <cellStyle name="Vírgula 6 2 4 4 2" xfId="24737"/>
    <cellStyle name="Vírgula 6 2 4 4 2 2" xfId="49804"/>
    <cellStyle name="Vírgula 6 2 4 4 3" xfId="32068"/>
    <cellStyle name="Vírgula 6 2 4 5" xfId="18823"/>
    <cellStyle name="Vírgula 6 2 4 5 2" xfId="43890"/>
    <cellStyle name="Vírgula 6 2 4 6" xfId="12646"/>
    <cellStyle name="Vírgula 6 2 4 6 2" xfId="37979"/>
    <cellStyle name="Vírgula 6 2 4 7" xfId="30598"/>
    <cellStyle name="Vírgula 6 2 5" xfId="5964"/>
    <cellStyle name="Vírgula 6 2 5 2" xfId="7664"/>
    <cellStyle name="Vírgula 6 2 5 2 2" xfId="10781"/>
    <cellStyle name="Vírgula 6 2 5 2 2 2" xfId="28995"/>
    <cellStyle name="Vírgula 6 2 5 2 2 2 2" xfId="54062"/>
    <cellStyle name="Vírgula 6 2 5 2 2 3" xfId="23081"/>
    <cellStyle name="Vírgula 6 2 5 2 2 3 2" xfId="48148"/>
    <cellStyle name="Vírgula 6 2 5 2 2 4" xfId="17167"/>
    <cellStyle name="Vírgula 6 2 5 2 2 4 2" xfId="42234"/>
    <cellStyle name="Vírgula 6 2 5 2 2 5" xfId="36326"/>
    <cellStyle name="Vírgula 6 2 5 2 3" xfId="26038"/>
    <cellStyle name="Vírgula 6 2 5 2 3 2" xfId="51105"/>
    <cellStyle name="Vírgula 6 2 5 2 4" xfId="20124"/>
    <cellStyle name="Vírgula 6 2 5 2 4 2" xfId="45191"/>
    <cellStyle name="Vírgula 6 2 5 2 5" xfId="14053"/>
    <cellStyle name="Vírgula 6 2 5 2 5 2" xfId="39280"/>
    <cellStyle name="Vírgula 6 2 5 2 6" xfId="33369"/>
    <cellStyle name="Vírgula 6 2 5 3" xfId="9313"/>
    <cellStyle name="Vírgula 6 2 5 3 2" xfId="27527"/>
    <cellStyle name="Vírgula 6 2 5 3 2 2" xfId="52594"/>
    <cellStyle name="Vírgula 6 2 5 3 3" xfId="21613"/>
    <cellStyle name="Vírgula 6 2 5 3 3 2" xfId="46680"/>
    <cellStyle name="Vírgula 6 2 5 3 4" xfId="15699"/>
    <cellStyle name="Vírgula 6 2 5 3 4 2" xfId="40766"/>
    <cellStyle name="Vírgula 6 2 5 3 5" xfId="34858"/>
    <cellStyle name="Vírgula 6 2 5 4" xfId="24570"/>
    <cellStyle name="Vírgula 6 2 5 4 2" xfId="49637"/>
    <cellStyle name="Vírgula 6 2 5 5" xfId="18656"/>
    <cellStyle name="Vírgula 6 2 5 5 2" xfId="43723"/>
    <cellStyle name="Vírgula 6 2 5 6" xfId="12352"/>
    <cellStyle name="Vírgula 6 2 5 6 2" xfId="37812"/>
    <cellStyle name="Vírgula 6 2 5 7" xfId="31901"/>
    <cellStyle name="Vírgula 6 2 6" xfId="6366"/>
    <cellStyle name="Vírgula 6 2 6 2" xfId="9542"/>
    <cellStyle name="Vírgula 6 2 6 2 2" xfId="27756"/>
    <cellStyle name="Vírgula 6 2 6 2 2 2" xfId="52823"/>
    <cellStyle name="Vírgula 6 2 6 2 3" xfId="21842"/>
    <cellStyle name="Vírgula 6 2 6 2 3 2" xfId="46909"/>
    <cellStyle name="Vírgula 6 2 6 2 4" xfId="15928"/>
    <cellStyle name="Vírgula 6 2 6 2 4 2" xfId="40995"/>
    <cellStyle name="Vírgula 6 2 6 2 5" xfId="35087"/>
    <cellStyle name="Vírgula 6 2 6 3" xfId="24799"/>
    <cellStyle name="Vírgula 6 2 6 3 2" xfId="49866"/>
    <cellStyle name="Vírgula 6 2 6 4" xfId="18885"/>
    <cellStyle name="Vírgula 6 2 6 4 2" xfId="43952"/>
    <cellStyle name="Vírgula 6 2 6 5" xfId="12755"/>
    <cellStyle name="Vírgula 6 2 6 5 2" xfId="38041"/>
    <cellStyle name="Vírgula 6 2 6 6" xfId="32130"/>
    <cellStyle name="Vírgula 6 2 7" xfId="8071"/>
    <cellStyle name="Vírgula 6 2 7 2" xfId="26285"/>
    <cellStyle name="Vírgula 6 2 7 2 2" xfId="51352"/>
    <cellStyle name="Vírgula 6 2 7 3" xfId="20371"/>
    <cellStyle name="Vírgula 6 2 7 3 2" xfId="45438"/>
    <cellStyle name="Vírgula 6 2 7 4" xfId="14460"/>
    <cellStyle name="Vírgula 6 2 7 4 2" xfId="39527"/>
    <cellStyle name="Vírgula 6 2 7 5" xfId="33616"/>
    <cellStyle name="Vírgula 6 2 8" xfId="4663"/>
    <cellStyle name="Vírgula 6 2 8 2" xfId="23328"/>
    <cellStyle name="Vírgula 6 2 8 2 2" xfId="48395"/>
    <cellStyle name="Vírgula 6 2 8 3" xfId="30660"/>
    <cellStyle name="Vírgula 6 2 9" xfId="17414"/>
    <cellStyle name="Vírgula 6 2 9 2" xfId="42481"/>
    <cellStyle name="Vírgula 6 3" xfId="4372"/>
    <cellStyle name="Vírgula 6 3 10" xfId="30493"/>
    <cellStyle name="Vírgula 6 3 2" xfId="4480"/>
    <cellStyle name="Vírgula 6 3 2 2" xfId="7882"/>
    <cellStyle name="Vírgula 6 3 2 2 2" xfId="10905"/>
    <cellStyle name="Vírgula 6 3 2 2 2 2" xfId="29119"/>
    <cellStyle name="Vírgula 6 3 2 2 2 2 2" xfId="54186"/>
    <cellStyle name="Vírgula 6 3 2 2 2 3" xfId="23205"/>
    <cellStyle name="Vírgula 6 3 2 2 2 3 2" xfId="48272"/>
    <cellStyle name="Vírgula 6 3 2 2 2 4" xfId="17291"/>
    <cellStyle name="Vírgula 6 3 2 2 2 4 2" xfId="42358"/>
    <cellStyle name="Vírgula 6 3 2 2 2 5" xfId="36450"/>
    <cellStyle name="Vírgula 6 3 2 2 3" xfId="26162"/>
    <cellStyle name="Vírgula 6 3 2 2 3 2" xfId="51229"/>
    <cellStyle name="Vírgula 6 3 2 2 4" xfId="20248"/>
    <cellStyle name="Vírgula 6 3 2 2 4 2" xfId="45315"/>
    <cellStyle name="Vírgula 6 3 2 2 5" xfId="14271"/>
    <cellStyle name="Vírgula 6 3 2 2 5 2" xfId="39404"/>
    <cellStyle name="Vírgula 6 3 2 2 6" xfId="33493"/>
    <cellStyle name="Vírgula 6 3 2 3" xfId="9437"/>
    <cellStyle name="Vírgula 6 3 2 3 2" xfId="27651"/>
    <cellStyle name="Vírgula 6 3 2 3 2 2" xfId="52718"/>
    <cellStyle name="Vírgula 6 3 2 3 3" xfId="21737"/>
    <cellStyle name="Vírgula 6 3 2 3 3 2" xfId="46804"/>
    <cellStyle name="Vírgula 6 3 2 3 4" xfId="15823"/>
    <cellStyle name="Vírgula 6 3 2 3 4 2" xfId="40890"/>
    <cellStyle name="Vírgula 6 3 2 3 5" xfId="34982"/>
    <cellStyle name="Vírgula 6 3 2 4" xfId="6181"/>
    <cellStyle name="Vírgula 6 3 2 4 2" xfId="24694"/>
    <cellStyle name="Vírgula 6 3 2 4 2 2" xfId="49761"/>
    <cellStyle name="Vírgula 6 3 2 4 3" xfId="32025"/>
    <cellStyle name="Vírgula 6 3 2 5" xfId="18780"/>
    <cellStyle name="Vírgula 6 3 2 5 2" xfId="43847"/>
    <cellStyle name="Vírgula 6 3 2 6" xfId="12570"/>
    <cellStyle name="Vírgula 6 3 2 6 2" xfId="37936"/>
    <cellStyle name="Vírgula 6 3 2 7" xfId="30555"/>
    <cellStyle name="Vírgula 6 3 3" xfId="4588"/>
    <cellStyle name="Vírgula 6 3 3 2" xfId="7990"/>
    <cellStyle name="Vírgula 6 3 3 2 2" xfId="10967"/>
    <cellStyle name="Vírgula 6 3 3 2 2 2" xfId="29181"/>
    <cellStyle name="Vírgula 6 3 3 2 2 2 2" xfId="54248"/>
    <cellStyle name="Vírgula 6 3 3 2 2 3" xfId="23267"/>
    <cellStyle name="Vírgula 6 3 3 2 2 3 2" xfId="48334"/>
    <cellStyle name="Vírgula 6 3 3 2 2 4" xfId="17353"/>
    <cellStyle name="Vírgula 6 3 3 2 2 4 2" xfId="42420"/>
    <cellStyle name="Vírgula 6 3 3 2 2 5" xfId="36512"/>
    <cellStyle name="Vírgula 6 3 3 2 3" xfId="26224"/>
    <cellStyle name="Vírgula 6 3 3 2 3 2" xfId="51291"/>
    <cellStyle name="Vírgula 6 3 3 2 4" xfId="20310"/>
    <cellStyle name="Vírgula 6 3 3 2 4 2" xfId="45377"/>
    <cellStyle name="Vírgula 6 3 3 2 5" xfId="14379"/>
    <cellStyle name="Vírgula 6 3 3 2 5 2" xfId="39466"/>
    <cellStyle name="Vírgula 6 3 3 2 6" xfId="33555"/>
    <cellStyle name="Vírgula 6 3 3 3" xfId="9499"/>
    <cellStyle name="Vírgula 6 3 3 3 2" xfId="27713"/>
    <cellStyle name="Vírgula 6 3 3 3 2 2" xfId="52780"/>
    <cellStyle name="Vírgula 6 3 3 3 3" xfId="21799"/>
    <cellStyle name="Vírgula 6 3 3 3 3 2" xfId="46866"/>
    <cellStyle name="Vírgula 6 3 3 3 4" xfId="15885"/>
    <cellStyle name="Vírgula 6 3 3 3 4 2" xfId="40952"/>
    <cellStyle name="Vírgula 6 3 3 3 5" xfId="35044"/>
    <cellStyle name="Vírgula 6 3 3 4" xfId="6289"/>
    <cellStyle name="Vírgula 6 3 3 4 2" xfId="24756"/>
    <cellStyle name="Vírgula 6 3 3 4 2 2" xfId="49823"/>
    <cellStyle name="Vírgula 6 3 3 4 3" xfId="32087"/>
    <cellStyle name="Vírgula 6 3 3 5" xfId="18842"/>
    <cellStyle name="Vírgula 6 3 3 5 2" xfId="43909"/>
    <cellStyle name="Vírgula 6 3 3 6" xfId="12678"/>
    <cellStyle name="Vírgula 6 3 3 6 2" xfId="37998"/>
    <cellStyle name="Vírgula 6 3 3 7" xfId="30617"/>
    <cellStyle name="Vírgula 6 3 4" xfId="6073"/>
    <cellStyle name="Vírgula 6 3 4 2" xfId="7773"/>
    <cellStyle name="Vírgula 6 3 4 2 2" xfId="10843"/>
    <cellStyle name="Vírgula 6 3 4 2 2 2" xfId="29057"/>
    <cellStyle name="Vírgula 6 3 4 2 2 2 2" xfId="54124"/>
    <cellStyle name="Vírgula 6 3 4 2 2 3" xfId="23143"/>
    <cellStyle name="Vírgula 6 3 4 2 2 3 2" xfId="48210"/>
    <cellStyle name="Vírgula 6 3 4 2 2 4" xfId="17229"/>
    <cellStyle name="Vírgula 6 3 4 2 2 4 2" xfId="42296"/>
    <cellStyle name="Vírgula 6 3 4 2 2 5" xfId="36388"/>
    <cellStyle name="Vírgula 6 3 4 2 3" xfId="26100"/>
    <cellStyle name="Vírgula 6 3 4 2 3 2" xfId="51167"/>
    <cellStyle name="Vírgula 6 3 4 2 4" xfId="20186"/>
    <cellStyle name="Vírgula 6 3 4 2 4 2" xfId="45253"/>
    <cellStyle name="Vírgula 6 3 4 2 5" xfId="14162"/>
    <cellStyle name="Vírgula 6 3 4 2 5 2" xfId="39342"/>
    <cellStyle name="Vírgula 6 3 4 2 6" xfId="33431"/>
    <cellStyle name="Vírgula 6 3 4 3" xfId="9375"/>
    <cellStyle name="Vírgula 6 3 4 3 2" xfId="27589"/>
    <cellStyle name="Vírgula 6 3 4 3 2 2" xfId="52656"/>
    <cellStyle name="Vírgula 6 3 4 3 3" xfId="21675"/>
    <cellStyle name="Vírgula 6 3 4 3 3 2" xfId="46742"/>
    <cellStyle name="Vírgula 6 3 4 3 4" xfId="15761"/>
    <cellStyle name="Vírgula 6 3 4 3 4 2" xfId="40828"/>
    <cellStyle name="Vírgula 6 3 4 3 5" xfId="34920"/>
    <cellStyle name="Vírgula 6 3 4 4" xfId="24632"/>
    <cellStyle name="Vírgula 6 3 4 4 2" xfId="49699"/>
    <cellStyle name="Vírgula 6 3 4 5" xfId="18718"/>
    <cellStyle name="Vírgula 6 3 4 5 2" xfId="43785"/>
    <cellStyle name="Vírgula 6 3 4 6" xfId="12461"/>
    <cellStyle name="Vírgula 6 3 4 6 2" xfId="37874"/>
    <cellStyle name="Vírgula 6 3 4 7" xfId="31963"/>
    <cellStyle name="Vírgula 6 3 5" xfId="6398"/>
    <cellStyle name="Vírgula 6 3 5 2" xfId="9561"/>
    <cellStyle name="Vírgula 6 3 5 2 2" xfId="27775"/>
    <cellStyle name="Vírgula 6 3 5 2 2 2" xfId="52842"/>
    <cellStyle name="Vírgula 6 3 5 2 3" xfId="21861"/>
    <cellStyle name="Vírgula 6 3 5 2 3 2" xfId="46928"/>
    <cellStyle name="Vírgula 6 3 5 2 4" xfId="15947"/>
    <cellStyle name="Vírgula 6 3 5 2 4 2" xfId="41014"/>
    <cellStyle name="Vírgula 6 3 5 2 5" xfId="35106"/>
    <cellStyle name="Vírgula 6 3 5 3" xfId="24818"/>
    <cellStyle name="Vírgula 6 3 5 3 2" xfId="49885"/>
    <cellStyle name="Vírgula 6 3 5 4" xfId="18904"/>
    <cellStyle name="Vírgula 6 3 5 4 2" xfId="43971"/>
    <cellStyle name="Vírgula 6 3 5 5" xfId="12787"/>
    <cellStyle name="Vírgula 6 3 5 5 2" xfId="38060"/>
    <cellStyle name="Vírgula 6 3 5 6" xfId="32149"/>
    <cellStyle name="Vírgula 6 3 6" xfId="8090"/>
    <cellStyle name="Vírgula 6 3 6 2" xfId="26304"/>
    <cellStyle name="Vírgula 6 3 6 2 2" xfId="51371"/>
    <cellStyle name="Vírgula 6 3 6 3" xfId="20390"/>
    <cellStyle name="Vírgula 6 3 6 3 2" xfId="45457"/>
    <cellStyle name="Vírgula 6 3 6 4" xfId="14479"/>
    <cellStyle name="Vírgula 6 3 6 4 2" xfId="39546"/>
    <cellStyle name="Vírgula 6 3 6 5" xfId="33635"/>
    <cellStyle name="Vírgula 6 3 7" xfId="4695"/>
    <cellStyle name="Vírgula 6 3 7 2" xfId="23347"/>
    <cellStyle name="Vírgula 6 3 7 2 2" xfId="48414"/>
    <cellStyle name="Vírgula 6 3 7 3" xfId="30679"/>
    <cellStyle name="Vírgula 6 3 8" xfId="17433"/>
    <cellStyle name="Vírgula 6 3 8 2" xfId="42500"/>
    <cellStyle name="Vírgula 6 3 9" xfId="11086"/>
    <cellStyle name="Vírgula 6 3 9 2" xfId="36592"/>
    <cellStyle name="Vírgula 6 4" xfId="4304"/>
    <cellStyle name="Vírgula 6 4 2" xfId="7705"/>
    <cellStyle name="Vírgula 6 4 2 2" xfId="10804"/>
    <cellStyle name="Vírgula 6 4 2 2 2" xfId="29018"/>
    <cellStyle name="Vírgula 6 4 2 2 2 2" xfId="54085"/>
    <cellStyle name="Vírgula 6 4 2 2 3" xfId="23104"/>
    <cellStyle name="Vírgula 6 4 2 2 3 2" xfId="48171"/>
    <cellStyle name="Vírgula 6 4 2 2 4" xfId="17190"/>
    <cellStyle name="Vírgula 6 4 2 2 4 2" xfId="42257"/>
    <cellStyle name="Vírgula 6 4 2 2 5" xfId="36349"/>
    <cellStyle name="Vírgula 6 4 2 3" xfId="26061"/>
    <cellStyle name="Vírgula 6 4 2 3 2" xfId="51128"/>
    <cellStyle name="Vírgula 6 4 2 4" xfId="20147"/>
    <cellStyle name="Vírgula 6 4 2 4 2" xfId="45214"/>
    <cellStyle name="Vírgula 6 4 2 5" xfId="14094"/>
    <cellStyle name="Vírgula 6 4 2 5 2" xfId="39303"/>
    <cellStyle name="Vírgula 6 4 2 6" xfId="33392"/>
    <cellStyle name="Vírgula 6 4 3" xfId="9336"/>
    <cellStyle name="Vírgula 6 4 3 2" xfId="27550"/>
    <cellStyle name="Vírgula 6 4 3 2 2" xfId="52617"/>
    <cellStyle name="Vírgula 6 4 3 3" xfId="21636"/>
    <cellStyle name="Vírgula 6 4 3 3 2" xfId="46703"/>
    <cellStyle name="Vírgula 6 4 3 4" xfId="15722"/>
    <cellStyle name="Vírgula 6 4 3 4 2" xfId="40789"/>
    <cellStyle name="Vírgula 6 4 3 5" xfId="34881"/>
    <cellStyle name="Vírgula 6 4 4" xfId="6005"/>
    <cellStyle name="Vírgula 6 4 4 2" xfId="24593"/>
    <cellStyle name="Vírgula 6 4 4 2 2" xfId="49660"/>
    <cellStyle name="Vírgula 6 4 4 3" xfId="31924"/>
    <cellStyle name="Vírgula 6 4 5" xfId="18679"/>
    <cellStyle name="Vírgula 6 4 5 2" xfId="43746"/>
    <cellStyle name="Vírgula 6 4 6" xfId="12393"/>
    <cellStyle name="Vírgula 6 4 6 2" xfId="37835"/>
    <cellStyle name="Vírgula 6 4 7" xfId="30454"/>
    <cellStyle name="Vírgula 6 5" xfId="4412"/>
    <cellStyle name="Vírgula 6 5 2" xfId="7814"/>
    <cellStyle name="Vírgula 6 5 2 2" xfId="10866"/>
    <cellStyle name="Vírgula 6 5 2 2 2" xfId="29080"/>
    <cellStyle name="Vírgula 6 5 2 2 2 2" xfId="54147"/>
    <cellStyle name="Vírgula 6 5 2 2 3" xfId="23166"/>
    <cellStyle name="Vírgula 6 5 2 2 3 2" xfId="48233"/>
    <cellStyle name="Vírgula 6 5 2 2 4" xfId="17252"/>
    <cellStyle name="Vírgula 6 5 2 2 4 2" xfId="42319"/>
    <cellStyle name="Vírgula 6 5 2 2 5" xfId="36411"/>
    <cellStyle name="Vírgula 6 5 2 3" xfId="26123"/>
    <cellStyle name="Vírgula 6 5 2 3 2" xfId="51190"/>
    <cellStyle name="Vírgula 6 5 2 4" xfId="20209"/>
    <cellStyle name="Vírgula 6 5 2 4 2" xfId="45276"/>
    <cellStyle name="Vírgula 6 5 2 5" xfId="14203"/>
    <cellStyle name="Vírgula 6 5 2 5 2" xfId="39365"/>
    <cellStyle name="Vírgula 6 5 2 6" xfId="33454"/>
    <cellStyle name="Vírgula 6 5 3" xfId="9398"/>
    <cellStyle name="Vírgula 6 5 3 2" xfId="27612"/>
    <cellStyle name="Vírgula 6 5 3 2 2" xfId="52679"/>
    <cellStyle name="Vírgula 6 5 3 3" xfId="21698"/>
    <cellStyle name="Vírgula 6 5 3 3 2" xfId="46765"/>
    <cellStyle name="Vírgula 6 5 3 4" xfId="15784"/>
    <cellStyle name="Vírgula 6 5 3 4 2" xfId="40851"/>
    <cellStyle name="Vírgula 6 5 3 5" xfId="34943"/>
    <cellStyle name="Vírgula 6 5 4" xfId="6114"/>
    <cellStyle name="Vírgula 6 5 4 2" xfId="24655"/>
    <cellStyle name="Vírgula 6 5 4 2 2" xfId="49722"/>
    <cellStyle name="Vírgula 6 5 4 3" xfId="31986"/>
    <cellStyle name="Vírgula 6 5 5" xfId="18741"/>
    <cellStyle name="Vírgula 6 5 5 2" xfId="43808"/>
    <cellStyle name="Vírgula 6 5 6" xfId="12502"/>
    <cellStyle name="Vírgula 6 5 6 2" xfId="37897"/>
    <cellStyle name="Vírgula 6 5 7" xfId="30516"/>
    <cellStyle name="Vírgula 6 6" xfId="4520"/>
    <cellStyle name="Vírgula 6 6 2" xfId="7922"/>
    <cellStyle name="Vírgula 6 6 2 2" xfId="10928"/>
    <cellStyle name="Vírgula 6 6 2 2 2" xfId="29142"/>
    <cellStyle name="Vírgula 6 6 2 2 2 2" xfId="54209"/>
    <cellStyle name="Vírgula 6 6 2 2 3" xfId="23228"/>
    <cellStyle name="Vírgula 6 6 2 2 3 2" xfId="48295"/>
    <cellStyle name="Vírgula 6 6 2 2 4" xfId="17314"/>
    <cellStyle name="Vírgula 6 6 2 2 4 2" xfId="42381"/>
    <cellStyle name="Vírgula 6 6 2 2 5" xfId="36473"/>
    <cellStyle name="Vírgula 6 6 2 3" xfId="26185"/>
    <cellStyle name="Vírgula 6 6 2 3 2" xfId="51252"/>
    <cellStyle name="Vírgula 6 6 2 4" xfId="20271"/>
    <cellStyle name="Vírgula 6 6 2 4 2" xfId="45338"/>
    <cellStyle name="Vírgula 6 6 2 5" xfId="14311"/>
    <cellStyle name="Vírgula 6 6 2 5 2" xfId="39427"/>
    <cellStyle name="Vírgula 6 6 2 6" xfId="33516"/>
    <cellStyle name="Vírgula 6 6 3" xfId="9460"/>
    <cellStyle name="Vírgula 6 6 3 2" xfId="27674"/>
    <cellStyle name="Vírgula 6 6 3 2 2" xfId="52741"/>
    <cellStyle name="Vírgula 6 6 3 3" xfId="21760"/>
    <cellStyle name="Vírgula 6 6 3 3 2" xfId="46827"/>
    <cellStyle name="Vírgula 6 6 3 4" xfId="15846"/>
    <cellStyle name="Vírgula 6 6 3 4 2" xfId="40913"/>
    <cellStyle name="Vírgula 6 6 3 5" xfId="35005"/>
    <cellStyle name="Vírgula 6 6 4" xfId="6221"/>
    <cellStyle name="Vírgula 6 6 4 2" xfId="24717"/>
    <cellStyle name="Vírgula 6 6 4 2 2" xfId="49784"/>
    <cellStyle name="Vírgula 6 6 4 3" xfId="32048"/>
    <cellStyle name="Vírgula 6 6 5" xfId="18803"/>
    <cellStyle name="Vírgula 6 6 5 2" xfId="43870"/>
    <cellStyle name="Vírgula 6 6 6" xfId="12610"/>
    <cellStyle name="Vírgula 6 6 6 2" xfId="37959"/>
    <cellStyle name="Vírgula 6 6 7" xfId="30578"/>
    <cellStyle name="Vírgula 6 7" xfId="5928"/>
    <cellStyle name="Vírgula 6 7 2" xfId="7628"/>
    <cellStyle name="Vírgula 6 7 2 2" xfId="10761"/>
    <cellStyle name="Vírgula 6 7 2 2 2" xfId="28975"/>
    <cellStyle name="Vírgula 6 7 2 2 2 2" xfId="54042"/>
    <cellStyle name="Vírgula 6 7 2 2 3" xfId="23061"/>
    <cellStyle name="Vírgula 6 7 2 2 3 2" xfId="48128"/>
    <cellStyle name="Vírgula 6 7 2 2 4" xfId="17147"/>
    <cellStyle name="Vírgula 6 7 2 2 4 2" xfId="42214"/>
    <cellStyle name="Vírgula 6 7 2 2 5" xfId="36306"/>
    <cellStyle name="Vírgula 6 7 2 3" xfId="26018"/>
    <cellStyle name="Vírgula 6 7 2 3 2" xfId="51085"/>
    <cellStyle name="Vírgula 6 7 2 4" xfId="20104"/>
    <cellStyle name="Vírgula 6 7 2 4 2" xfId="45171"/>
    <cellStyle name="Vírgula 6 7 2 5" xfId="14017"/>
    <cellStyle name="Vírgula 6 7 2 5 2" xfId="39260"/>
    <cellStyle name="Vírgula 6 7 2 6" xfId="33349"/>
    <cellStyle name="Vírgula 6 7 3" xfId="9293"/>
    <cellStyle name="Vírgula 6 7 3 2" xfId="27507"/>
    <cellStyle name="Vírgula 6 7 3 2 2" xfId="52574"/>
    <cellStyle name="Vírgula 6 7 3 3" xfId="21593"/>
    <cellStyle name="Vírgula 6 7 3 3 2" xfId="46660"/>
    <cellStyle name="Vírgula 6 7 3 4" xfId="15679"/>
    <cellStyle name="Vírgula 6 7 3 4 2" xfId="40746"/>
    <cellStyle name="Vírgula 6 7 3 5" xfId="34838"/>
    <cellStyle name="Vírgula 6 7 4" xfId="24550"/>
    <cellStyle name="Vírgula 6 7 4 2" xfId="49617"/>
    <cellStyle name="Vírgula 6 7 5" xfId="18636"/>
    <cellStyle name="Vírgula 6 7 5 2" xfId="43703"/>
    <cellStyle name="Vírgula 6 7 6" xfId="12316"/>
    <cellStyle name="Vírgula 6 7 6 2" xfId="37792"/>
    <cellStyle name="Vírgula 6 7 7" xfId="31881"/>
    <cellStyle name="Vírgula 6 8" xfId="6330"/>
    <cellStyle name="Vírgula 6 8 2" xfId="9522"/>
    <cellStyle name="Vírgula 6 8 2 2" xfId="27736"/>
    <cellStyle name="Vírgula 6 8 2 2 2" xfId="52803"/>
    <cellStyle name="Vírgula 6 8 2 3" xfId="21822"/>
    <cellStyle name="Vírgula 6 8 2 3 2" xfId="46889"/>
    <cellStyle name="Vírgula 6 8 2 4" xfId="15908"/>
    <cellStyle name="Vírgula 6 8 2 4 2" xfId="40975"/>
    <cellStyle name="Vírgula 6 8 2 5" xfId="35067"/>
    <cellStyle name="Vírgula 6 8 3" xfId="24779"/>
    <cellStyle name="Vírgula 6 8 3 2" xfId="49846"/>
    <cellStyle name="Vírgula 6 8 4" xfId="18865"/>
    <cellStyle name="Vírgula 6 8 4 2" xfId="43932"/>
    <cellStyle name="Vírgula 6 8 5" xfId="12719"/>
    <cellStyle name="Vírgula 6 8 5 2" xfId="38021"/>
    <cellStyle name="Vírgula 6 8 6" xfId="32110"/>
    <cellStyle name="Vírgula 6 9" xfId="8022"/>
    <cellStyle name="Vírgula 6 9 2" xfId="10986"/>
    <cellStyle name="Vírgula 6 9 2 2" xfId="29200"/>
    <cellStyle name="Vírgula 6 9 2 2 2" xfId="54267"/>
    <cellStyle name="Vírgula 6 9 2 3" xfId="23286"/>
    <cellStyle name="Vírgula 6 9 2 3 2" xfId="48353"/>
    <cellStyle name="Vírgula 6 9 2 4" xfId="17372"/>
    <cellStyle name="Vírgula 6 9 2 4 2" xfId="42439"/>
    <cellStyle name="Vírgula 6 9 2 5" xfId="36531"/>
    <cellStyle name="Vírgula 6 9 3" xfId="26243"/>
    <cellStyle name="Vírgula 6 9 3 2" xfId="51310"/>
    <cellStyle name="Vírgula 6 9 4" xfId="20329"/>
    <cellStyle name="Vírgula 6 9 4 2" xfId="45396"/>
    <cellStyle name="Vírgula 6 9 5" xfId="14411"/>
    <cellStyle name="Vírgula 6 9 5 2" xfId="39485"/>
    <cellStyle name="Vírgula 6 9 6" xfId="33574"/>
    <cellStyle name="Vírgula 7" xfId="4211"/>
    <cellStyle name="Vírgula 7 10" xfId="11002"/>
    <cellStyle name="Vírgula 7 10 2" xfId="36543"/>
    <cellStyle name="Vírgula 7 11" xfId="30401"/>
    <cellStyle name="Vírgula 7 2" xfId="4287"/>
    <cellStyle name="Vírgula 7 2 2" xfId="7688"/>
    <cellStyle name="Vírgula 7 2 2 2" xfId="10794"/>
    <cellStyle name="Vírgula 7 2 2 2 2" xfId="29008"/>
    <cellStyle name="Vírgula 7 2 2 2 2 2" xfId="54075"/>
    <cellStyle name="Vírgula 7 2 2 2 3" xfId="23094"/>
    <cellStyle name="Vírgula 7 2 2 2 3 2" xfId="48161"/>
    <cellStyle name="Vírgula 7 2 2 2 4" xfId="17180"/>
    <cellStyle name="Vírgula 7 2 2 2 4 2" xfId="42247"/>
    <cellStyle name="Vírgula 7 2 2 2 5" xfId="36339"/>
    <cellStyle name="Vírgula 7 2 2 3" xfId="26051"/>
    <cellStyle name="Vírgula 7 2 2 3 2" xfId="51118"/>
    <cellStyle name="Vírgula 7 2 2 4" xfId="20137"/>
    <cellStyle name="Vírgula 7 2 2 4 2" xfId="45204"/>
    <cellStyle name="Vírgula 7 2 2 5" xfId="14077"/>
    <cellStyle name="Vírgula 7 2 2 5 2" xfId="39293"/>
    <cellStyle name="Vírgula 7 2 2 6" xfId="33382"/>
    <cellStyle name="Vírgula 7 2 3" xfId="9326"/>
    <cellStyle name="Vírgula 7 2 3 2" xfId="27540"/>
    <cellStyle name="Vírgula 7 2 3 2 2" xfId="52607"/>
    <cellStyle name="Vírgula 7 2 3 3" xfId="21626"/>
    <cellStyle name="Vírgula 7 2 3 3 2" xfId="46693"/>
    <cellStyle name="Vírgula 7 2 3 4" xfId="15712"/>
    <cellStyle name="Vírgula 7 2 3 4 2" xfId="40779"/>
    <cellStyle name="Vírgula 7 2 3 5" xfId="34871"/>
    <cellStyle name="Vírgula 7 2 4" xfId="5988"/>
    <cellStyle name="Vírgula 7 2 4 2" xfId="24583"/>
    <cellStyle name="Vírgula 7 2 4 2 2" xfId="49650"/>
    <cellStyle name="Vírgula 7 2 4 3" xfId="31914"/>
    <cellStyle name="Vírgula 7 2 5" xfId="18669"/>
    <cellStyle name="Vírgula 7 2 5 2" xfId="43736"/>
    <cellStyle name="Vírgula 7 2 6" xfId="12376"/>
    <cellStyle name="Vírgula 7 2 6 2" xfId="37825"/>
    <cellStyle name="Vírgula 7 2 7" xfId="30444"/>
    <cellStyle name="Vírgula 7 3" xfId="4395"/>
    <cellStyle name="Vírgula 7 3 2" xfId="7797"/>
    <cellStyle name="Vírgula 7 3 2 2" xfId="10856"/>
    <cellStyle name="Vírgula 7 3 2 2 2" xfId="29070"/>
    <cellStyle name="Vírgula 7 3 2 2 2 2" xfId="54137"/>
    <cellStyle name="Vírgula 7 3 2 2 3" xfId="23156"/>
    <cellStyle name="Vírgula 7 3 2 2 3 2" xfId="48223"/>
    <cellStyle name="Vírgula 7 3 2 2 4" xfId="17242"/>
    <cellStyle name="Vírgula 7 3 2 2 4 2" xfId="42309"/>
    <cellStyle name="Vírgula 7 3 2 2 5" xfId="36401"/>
    <cellStyle name="Vírgula 7 3 2 3" xfId="26113"/>
    <cellStyle name="Vírgula 7 3 2 3 2" xfId="51180"/>
    <cellStyle name="Vírgula 7 3 2 4" xfId="20199"/>
    <cellStyle name="Vírgula 7 3 2 4 2" xfId="45266"/>
    <cellStyle name="Vírgula 7 3 2 5" xfId="14186"/>
    <cellStyle name="Vírgula 7 3 2 5 2" xfId="39355"/>
    <cellStyle name="Vírgula 7 3 2 6" xfId="33444"/>
    <cellStyle name="Vírgula 7 3 3" xfId="9388"/>
    <cellStyle name="Vírgula 7 3 3 2" xfId="27602"/>
    <cellStyle name="Vírgula 7 3 3 2 2" xfId="52669"/>
    <cellStyle name="Vírgula 7 3 3 3" xfId="21688"/>
    <cellStyle name="Vírgula 7 3 3 3 2" xfId="46755"/>
    <cellStyle name="Vírgula 7 3 3 4" xfId="15774"/>
    <cellStyle name="Vírgula 7 3 3 4 2" xfId="40841"/>
    <cellStyle name="Vírgula 7 3 3 5" xfId="34933"/>
    <cellStyle name="Vírgula 7 3 4" xfId="6097"/>
    <cellStyle name="Vírgula 7 3 4 2" xfId="24645"/>
    <cellStyle name="Vírgula 7 3 4 2 2" xfId="49712"/>
    <cellStyle name="Vírgula 7 3 4 3" xfId="31976"/>
    <cellStyle name="Vírgula 7 3 5" xfId="18731"/>
    <cellStyle name="Vírgula 7 3 5 2" xfId="43798"/>
    <cellStyle name="Vírgula 7 3 6" xfId="12485"/>
    <cellStyle name="Vírgula 7 3 6 2" xfId="37887"/>
    <cellStyle name="Vírgula 7 3 7" xfId="30506"/>
    <cellStyle name="Vírgula 7 4" xfId="4503"/>
    <cellStyle name="Vírgula 7 4 2" xfId="7905"/>
    <cellStyle name="Vírgula 7 4 2 2" xfId="10918"/>
    <cellStyle name="Vírgula 7 4 2 2 2" xfId="29132"/>
    <cellStyle name="Vírgula 7 4 2 2 2 2" xfId="54199"/>
    <cellStyle name="Vírgula 7 4 2 2 3" xfId="23218"/>
    <cellStyle name="Vírgula 7 4 2 2 3 2" xfId="48285"/>
    <cellStyle name="Vírgula 7 4 2 2 4" xfId="17304"/>
    <cellStyle name="Vírgula 7 4 2 2 4 2" xfId="42371"/>
    <cellStyle name="Vírgula 7 4 2 2 5" xfId="36463"/>
    <cellStyle name="Vírgula 7 4 2 3" xfId="26175"/>
    <cellStyle name="Vírgula 7 4 2 3 2" xfId="51242"/>
    <cellStyle name="Vírgula 7 4 2 4" xfId="20261"/>
    <cellStyle name="Vírgula 7 4 2 4 2" xfId="45328"/>
    <cellStyle name="Vírgula 7 4 2 5" xfId="14294"/>
    <cellStyle name="Vírgula 7 4 2 5 2" xfId="39417"/>
    <cellStyle name="Vírgula 7 4 2 6" xfId="33506"/>
    <cellStyle name="Vírgula 7 4 3" xfId="9450"/>
    <cellStyle name="Vírgula 7 4 3 2" xfId="27664"/>
    <cellStyle name="Vírgula 7 4 3 2 2" xfId="52731"/>
    <cellStyle name="Vírgula 7 4 3 3" xfId="21750"/>
    <cellStyle name="Vírgula 7 4 3 3 2" xfId="46817"/>
    <cellStyle name="Vírgula 7 4 3 4" xfId="15836"/>
    <cellStyle name="Vírgula 7 4 3 4 2" xfId="40903"/>
    <cellStyle name="Vírgula 7 4 3 5" xfId="34995"/>
    <cellStyle name="Vírgula 7 4 4" xfId="6204"/>
    <cellStyle name="Vírgula 7 4 4 2" xfId="24707"/>
    <cellStyle name="Vírgula 7 4 4 2 2" xfId="49774"/>
    <cellStyle name="Vírgula 7 4 4 3" xfId="32038"/>
    <cellStyle name="Vírgula 7 4 5" xfId="18793"/>
    <cellStyle name="Vírgula 7 4 5 2" xfId="43860"/>
    <cellStyle name="Vírgula 7 4 6" xfId="12593"/>
    <cellStyle name="Vírgula 7 4 6 2" xfId="37949"/>
    <cellStyle name="Vírgula 7 4 7" xfId="30568"/>
    <cellStyle name="Vírgula 7 5" xfId="5912"/>
    <cellStyle name="Vírgula 7 5 2" xfId="7611"/>
    <cellStyle name="Vírgula 7 5 2 2" xfId="10751"/>
    <cellStyle name="Vírgula 7 5 2 2 2" xfId="28965"/>
    <cellStyle name="Vírgula 7 5 2 2 2 2" xfId="54032"/>
    <cellStyle name="Vírgula 7 5 2 2 3" xfId="23051"/>
    <cellStyle name="Vírgula 7 5 2 2 3 2" xfId="48118"/>
    <cellStyle name="Vírgula 7 5 2 2 4" xfId="17137"/>
    <cellStyle name="Vírgula 7 5 2 2 4 2" xfId="42204"/>
    <cellStyle name="Vírgula 7 5 2 2 5" xfId="36296"/>
    <cellStyle name="Vírgula 7 5 2 3" xfId="26008"/>
    <cellStyle name="Vírgula 7 5 2 3 2" xfId="51075"/>
    <cellStyle name="Vírgula 7 5 2 4" xfId="20094"/>
    <cellStyle name="Vírgula 7 5 2 4 2" xfId="45161"/>
    <cellStyle name="Vírgula 7 5 2 5" xfId="14000"/>
    <cellStyle name="Vírgula 7 5 2 5 2" xfId="39250"/>
    <cellStyle name="Vírgula 7 5 2 6" xfId="33339"/>
    <cellStyle name="Vírgula 7 5 3" xfId="9283"/>
    <cellStyle name="Vírgula 7 5 3 2" xfId="27497"/>
    <cellStyle name="Vírgula 7 5 3 2 2" xfId="52564"/>
    <cellStyle name="Vírgula 7 5 3 3" xfId="21583"/>
    <cellStyle name="Vírgula 7 5 3 3 2" xfId="46650"/>
    <cellStyle name="Vírgula 7 5 3 4" xfId="15669"/>
    <cellStyle name="Vírgula 7 5 3 4 2" xfId="40736"/>
    <cellStyle name="Vírgula 7 5 3 5" xfId="34828"/>
    <cellStyle name="Vírgula 7 5 4" xfId="24540"/>
    <cellStyle name="Vírgula 7 5 4 2" xfId="49607"/>
    <cellStyle name="Vírgula 7 5 5" xfId="18626"/>
    <cellStyle name="Vírgula 7 5 5 2" xfId="43693"/>
    <cellStyle name="Vírgula 7 5 6" xfId="12299"/>
    <cellStyle name="Vírgula 7 5 6 2" xfId="37782"/>
    <cellStyle name="Vírgula 7 5 7" xfId="31871"/>
    <cellStyle name="Vírgula 7 6" xfId="6313"/>
    <cellStyle name="Vírgula 7 6 2" xfId="9512"/>
    <cellStyle name="Vírgula 7 6 2 2" xfId="27726"/>
    <cellStyle name="Vírgula 7 6 2 2 2" xfId="52793"/>
    <cellStyle name="Vírgula 7 6 2 3" xfId="21812"/>
    <cellStyle name="Vírgula 7 6 2 3 2" xfId="46879"/>
    <cellStyle name="Vírgula 7 6 2 4" xfId="15898"/>
    <cellStyle name="Vírgula 7 6 2 4 2" xfId="40965"/>
    <cellStyle name="Vírgula 7 6 2 5" xfId="35057"/>
    <cellStyle name="Vírgula 7 6 3" xfId="24769"/>
    <cellStyle name="Vírgula 7 6 3 2" xfId="49836"/>
    <cellStyle name="Vírgula 7 6 4" xfId="18855"/>
    <cellStyle name="Vírgula 7 6 4 2" xfId="43922"/>
    <cellStyle name="Vírgula 7 6 5" xfId="12702"/>
    <cellStyle name="Vírgula 7 6 5 2" xfId="38011"/>
    <cellStyle name="Vírgula 7 6 6" xfId="32100"/>
    <cellStyle name="Vírgula 7 7" xfId="8041"/>
    <cellStyle name="Vírgula 7 7 2" xfId="26255"/>
    <cellStyle name="Vírgula 7 7 2 2" xfId="51322"/>
    <cellStyle name="Vírgula 7 7 3" xfId="20341"/>
    <cellStyle name="Vírgula 7 7 3 2" xfId="45408"/>
    <cellStyle name="Vírgula 7 7 4" xfId="14430"/>
    <cellStyle name="Vírgula 7 7 4 2" xfId="39497"/>
    <cellStyle name="Vírgula 7 7 5" xfId="33586"/>
    <cellStyle name="Vírgula 7 8" xfId="4611"/>
    <cellStyle name="Vírgula 7 8 2" xfId="23298"/>
    <cellStyle name="Vírgula 7 8 2 2" xfId="48365"/>
    <cellStyle name="Vírgula 7 8 3" xfId="30630"/>
    <cellStyle name="Vírgula 7 9" xfId="17384"/>
    <cellStyle name="Vírgula 7 9 2" xfId="42451"/>
    <cellStyle name="Vírgula 8" xfId="4247"/>
    <cellStyle name="Vírgula 8 10" xfId="11038"/>
    <cellStyle name="Vírgula 8 10 2" xfId="36564"/>
    <cellStyle name="Vírgula 8 11" xfId="30422"/>
    <cellStyle name="Vírgula 8 2" xfId="4324"/>
    <cellStyle name="Vírgula 8 2 2" xfId="7725"/>
    <cellStyle name="Vírgula 8 2 2 2" xfId="10815"/>
    <cellStyle name="Vírgula 8 2 2 2 2" xfId="29029"/>
    <cellStyle name="Vírgula 8 2 2 2 2 2" xfId="54096"/>
    <cellStyle name="Vírgula 8 2 2 2 3" xfId="23115"/>
    <cellStyle name="Vírgula 8 2 2 2 3 2" xfId="48182"/>
    <cellStyle name="Vírgula 8 2 2 2 4" xfId="17201"/>
    <cellStyle name="Vírgula 8 2 2 2 4 2" xfId="42268"/>
    <cellStyle name="Vírgula 8 2 2 2 5" xfId="36360"/>
    <cellStyle name="Vírgula 8 2 2 3" xfId="26072"/>
    <cellStyle name="Vírgula 8 2 2 3 2" xfId="51139"/>
    <cellStyle name="Vírgula 8 2 2 4" xfId="20158"/>
    <cellStyle name="Vírgula 8 2 2 4 2" xfId="45225"/>
    <cellStyle name="Vírgula 8 2 2 5" xfId="14114"/>
    <cellStyle name="Vírgula 8 2 2 5 2" xfId="39314"/>
    <cellStyle name="Vírgula 8 2 2 6" xfId="33403"/>
    <cellStyle name="Vírgula 8 2 3" xfId="9347"/>
    <cellStyle name="Vírgula 8 2 3 2" xfId="27561"/>
    <cellStyle name="Vírgula 8 2 3 2 2" xfId="52628"/>
    <cellStyle name="Vírgula 8 2 3 3" xfId="21647"/>
    <cellStyle name="Vírgula 8 2 3 3 2" xfId="46714"/>
    <cellStyle name="Vírgula 8 2 3 4" xfId="15733"/>
    <cellStyle name="Vírgula 8 2 3 4 2" xfId="40800"/>
    <cellStyle name="Vírgula 8 2 3 5" xfId="34892"/>
    <cellStyle name="Vírgula 8 2 4" xfId="6025"/>
    <cellStyle name="Vírgula 8 2 4 2" xfId="24604"/>
    <cellStyle name="Vírgula 8 2 4 2 2" xfId="49671"/>
    <cellStyle name="Vírgula 8 2 4 3" xfId="31935"/>
    <cellStyle name="Vírgula 8 2 5" xfId="18690"/>
    <cellStyle name="Vírgula 8 2 5 2" xfId="43757"/>
    <cellStyle name="Vírgula 8 2 6" xfId="12413"/>
    <cellStyle name="Vírgula 8 2 6 2" xfId="37846"/>
    <cellStyle name="Vírgula 8 2 7" xfId="30465"/>
    <cellStyle name="Vírgula 8 3" xfId="4432"/>
    <cellStyle name="Vírgula 8 3 2" xfId="7834"/>
    <cellStyle name="Vírgula 8 3 2 2" xfId="10877"/>
    <cellStyle name="Vírgula 8 3 2 2 2" xfId="29091"/>
    <cellStyle name="Vírgula 8 3 2 2 2 2" xfId="54158"/>
    <cellStyle name="Vírgula 8 3 2 2 3" xfId="23177"/>
    <cellStyle name="Vírgula 8 3 2 2 3 2" xfId="48244"/>
    <cellStyle name="Vírgula 8 3 2 2 4" xfId="17263"/>
    <cellStyle name="Vírgula 8 3 2 2 4 2" xfId="42330"/>
    <cellStyle name="Vírgula 8 3 2 2 5" xfId="36422"/>
    <cellStyle name="Vírgula 8 3 2 3" xfId="26134"/>
    <cellStyle name="Vírgula 8 3 2 3 2" xfId="51201"/>
    <cellStyle name="Vírgula 8 3 2 4" xfId="20220"/>
    <cellStyle name="Vírgula 8 3 2 4 2" xfId="45287"/>
    <cellStyle name="Vírgula 8 3 2 5" xfId="14223"/>
    <cellStyle name="Vírgula 8 3 2 5 2" xfId="39376"/>
    <cellStyle name="Vírgula 8 3 2 6" xfId="33465"/>
    <cellStyle name="Vírgula 8 3 3" xfId="9409"/>
    <cellStyle name="Vírgula 8 3 3 2" xfId="27623"/>
    <cellStyle name="Vírgula 8 3 3 2 2" xfId="52690"/>
    <cellStyle name="Vírgula 8 3 3 3" xfId="21709"/>
    <cellStyle name="Vírgula 8 3 3 3 2" xfId="46776"/>
    <cellStyle name="Vírgula 8 3 3 4" xfId="15795"/>
    <cellStyle name="Vírgula 8 3 3 4 2" xfId="40862"/>
    <cellStyle name="Vírgula 8 3 3 5" xfId="34954"/>
    <cellStyle name="Vírgula 8 3 4" xfId="6134"/>
    <cellStyle name="Vírgula 8 3 4 2" xfId="24666"/>
    <cellStyle name="Vírgula 8 3 4 2 2" xfId="49733"/>
    <cellStyle name="Vírgula 8 3 4 3" xfId="31997"/>
    <cellStyle name="Vírgula 8 3 5" xfId="18752"/>
    <cellStyle name="Vírgula 8 3 5 2" xfId="43819"/>
    <cellStyle name="Vírgula 8 3 6" xfId="12522"/>
    <cellStyle name="Vírgula 8 3 6 2" xfId="37908"/>
    <cellStyle name="Vírgula 8 3 7" xfId="30527"/>
    <cellStyle name="Vírgula 8 4" xfId="4540"/>
    <cellStyle name="Vírgula 8 4 2" xfId="7942"/>
    <cellStyle name="Vírgula 8 4 2 2" xfId="10939"/>
    <cellStyle name="Vírgula 8 4 2 2 2" xfId="29153"/>
    <cellStyle name="Vírgula 8 4 2 2 2 2" xfId="54220"/>
    <cellStyle name="Vírgula 8 4 2 2 3" xfId="23239"/>
    <cellStyle name="Vírgula 8 4 2 2 3 2" xfId="48306"/>
    <cellStyle name="Vírgula 8 4 2 2 4" xfId="17325"/>
    <cellStyle name="Vírgula 8 4 2 2 4 2" xfId="42392"/>
    <cellStyle name="Vírgula 8 4 2 2 5" xfId="36484"/>
    <cellStyle name="Vírgula 8 4 2 3" xfId="26196"/>
    <cellStyle name="Vírgula 8 4 2 3 2" xfId="51263"/>
    <cellStyle name="Vírgula 8 4 2 4" xfId="20282"/>
    <cellStyle name="Vírgula 8 4 2 4 2" xfId="45349"/>
    <cellStyle name="Vírgula 8 4 2 5" xfId="14331"/>
    <cellStyle name="Vírgula 8 4 2 5 2" xfId="39438"/>
    <cellStyle name="Vírgula 8 4 2 6" xfId="33527"/>
    <cellStyle name="Vírgula 8 4 3" xfId="9471"/>
    <cellStyle name="Vírgula 8 4 3 2" xfId="27685"/>
    <cellStyle name="Vírgula 8 4 3 2 2" xfId="52752"/>
    <cellStyle name="Vírgula 8 4 3 3" xfId="21771"/>
    <cellStyle name="Vírgula 8 4 3 3 2" xfId="46838"/>
    <cellStyle name="Vírgula 8 4 3 4" xfId="15857"/>
    <cellStyle name="Vírgula 8 4 3 4 2" xfId="40924"/>
    <cellStyle name="Vírgula 8 4 3 5" xfId="35016"/>
    <cellStyle name="Vírgula 8 4 4" xfId="6241"/>
    <cellStyle name="Vírgula 8 4 4 2" xfId="24728"/>
    <cellStyle name="Vírgula 8 4 4 2 2" xfId="49795"/>
    <cellStyle name="Vírgula 8 4 4 3" xfId="32059"/>
    <cellStyle name="Vírgula 8 4 5" xfId="18814"/>
    <cellStyle name="Vírgula 8 4 5 2" xfId="43881"/>
    <cellStyle name="Vírgula 8 4 6" xfId="12630"/>
    <cellStyle name="Vírgula 8 4 6 2" xfId="37970"/>
    <cellStyle name="Vírgula 8 4 7" xfId="30589"/>
    <cellStyle name="Vírgula 8 5" xfId="5948"/>
    <cellStyle name="Vírgula 8 5 2" xfId="7648"/>
    <cellStyle name="Vírgula 8 5 2 2" xfId="10772"/>
    <cellStyle name="Vírgula 8 5 2 2 2" xfId="28986"/>
    <cellStyle name="Vírgula 8 5 2 2 2 2" xfId="54053"/>
    <cellStyle name="Vírgula 8 5 2 2 3" xfId="23072"/>
    <cellStyle name="Vírgula 8 5 2 2 3 2" xfId="48139"/>
    <cellStyle name="Vírgula 8 5 2 2 4" xfId="17158"/>
    <cellStyle name="Vírgula 8 5 2 2 4 2" xfId="42225"/>
    <cellStyle name="Vírgula 8 5 2 2 5" xfId="36317"/>
    <cellStyle name="Vírgula 8 5 2 3" xfId="26029"/>
    <cellStyle name="Vírgula 8 5 2 3 2" xfId="51096"/>
    <cellStyle name="Vírgula 8 5 2 4" xfId="20115"/>
    <cellStyle name="Vírgula 8 5 2 4 2" xfId="45182"/>
    <cellStyle name="Vírgula 8 5 2 5" xfId="14037"/>
    <cellStyle name="Vírgula 8 5 2 5 2" xfId="39271"/>
    <cellStyle name="Vírgula 8 5 2 6" xfId="33360"/>
    <cellStyle name="Vírgula 8 5 3" xfId="9304"/>
    <cellStyle name="Vírgula 8 5 3 2" xfId="27518"/>
    <cellStyle name="Vírgula 8 5 3 2 2" xfId="52585"/>
    <cellStyle name="Vírgula 8 5 3 3" xfId="21604"/>
    <cellStyle name="Vírgula 8 5 3 3 2" xfId="46671"/>
    <cellStyle name="Vírgula 8 5 3 4" xfId="15690"/>
    <cellStyle name="Vírgula 8 5 3 4 2" xfId="40757"/>
    <cellStyle name="Vírgula 8 5 3 5" xfId="34849"/>
    <cellStyle name="Vírgula 8 5 4" xfId="24561"/>
    <cellStyle name="Vírgula 8 5 4 2" xfId="49628"/>
    <cellStyle name="Vírgula 8 5 5" xfId="18647"/>
    <cellStyle name="Vírgula 8 5 5 2" xfId="43714"/>
    <cellStyle name="Vírgula 8 5 6" xfId="12336"/>
    <cellStyle name="Vírgula 8 5 6 2" xfId="37803"/>
    <cellStyle name="Vírgula 8 5 7" xfId="31892"/>
    <cellStyle name="Vírgula 8 6" xfId="6350"/>
    <cellStyle name="Vírgula 8 6 2" xfId="9533"/>
    <cellStyle name="Vírgula 8 6 2 2" xfId="27747"/>
    <cellStyle name="Vírgula 8 6 2 2 2" xfId="52814"/>
    <cellStyle name="Vírgula 8 6 2 3" xfId="21833"/>
    <cellStyle name="Vírgula 8 6 2 3 2" xfId="46900"/>
    <cellStyle name="Vírgula 8 6 2 4" xfId="15919"/>
    <cellStyle name="Vírgula 8 6 2 4 2" xfId="40986"/>
    <cellStyle name="Vírgula 8 6 2 5" xfId="35078"/>
    <cellStyle name="Vírgula 8 6 3" xfId="24790"/>
    <cellStyle name="Vírgula 8 6 3 2" xfId="49857"/>
    <cellStyle name="Vírgula 8 6 4" xfId="18876"/>
    <cellStyle name="Vírgula 8 6 4 2" xfId="43943"/>
    <cellStyle name="Vírgula 8 6 5" xfId="12739"/>
    <cellStyle name="Vírgula 8 6 5 2" xfId="38032"/>
    <cellStyle name="Vírgula 8 6 6" xfId="32121"/>
    <cellStyle name="Vírgula 8 7" xfId="8062"/>
    <cellStyle name="Vírgula 8 7 2" xfId="26276"/>
    <cellStyle name="Vírgula 8 7 2 2" xfId="51343"/>
    <cellStyle name="Vírgula 8 7 3" xfId="20362"/>
    <cellStyle name="Vírgula 8 7 3 2" xfId="45429"/>
    <cellStyle name="Vírgula 8 7 4" xfId="14451"/>
    <cellStyle name="Vírgula 8 7 4 2" xfId="39518"/>
    <cellStyle name="Vírgula 8 7 5" xfId="33607"/>
    <cellStyle name="Vírgula 8 8" xfId="4647"/>
    <cellStyle name="Vírgula 8 8 2" xfId="23319"/>
    <cellStyle name="Vírgula 8 8 2 2" xfId="48386"/>
    <cellStyle name="Vírgula 8 8 3" xfId="30651"/>
    <cellStyle name="Vírgula 8 9" xfId="17405"/>
    <cellStyle name="Vírgula 8 9 2" xfId="42472"/>
    <cellStyle name="Vírgula 9" xfId="4278"/>
    <cellStyle name="Vírgula 9 10" xfId="11069"/>
    <cellStyle name="Vírgula 9 10 2" xfId="36582"/>
    <cellStyle name="Vírgula 9 11" xfId="30440"/>
    <cellStyle name="Vírgula 9 2" xfId="4355"/>
    <cellStyle name="Vírgula 9 2 2" xfId="7756"/>
    <cellStyle name="Vírgula 9 2 2 2" xfId="10833"/>
    <cellStyle name="Vírgula 9 2 2 2 2" xfId="29047"/>
    <cellStyle name="Vírgula 9 2 2 2 2 2" xfId="54114"/>
    <cellStyle name="Vírgula 9 2 2 2 3" xfId="23133"/>
    <cellStyle name="Vírgula 9 2 2 2 3 2" xfId="48200"/>
    <cellStyle name="Vírgula 9 2 2 2 4" xfId="17219"/>
    <cellStyle name="Vírgula 9 2 2 2 4 2" xfId="42286"/>
    <cellStyle name="Vírgula 9 2 2 2 5" xfId="36378"/>
    <cellStyle name="Vírgula 9 2 2 3" xfId="26090"/>
    <cellStyle name="Vírgula 9 2 2 3 2" xfId="51157"/>
    <cellStyle name="Vírgula 9 2 2 4" xfId="20176"/>
    <cellStyle name="Vírgula 9 2 2 4 2" xfId="45243"/>
    <cellStyle name="Vírgula 9 2 2 5" xfId="14145"/>
    <cellStyle name="Vírgula 9 2 2 5 2" xfId="39332"/>
    <cellStyle name="Vírgula 9 2 2 6" xfId="33421"/>
    <cellStyle name="Vírgula 9 2 3" xfId="9365"/>
    <cellStyle name="Vírgula 9 2 3 2" xfId="27579"/>
    <cellStyle name="Vírgula 9 2 3 2 2" xfId="52646"/>
    <cellStyle name="Vírgula 9 2 3 3" xfId="21665"/>
    <cellStyle name="Vírgula 9 2 3 3 2" xfId="46732"/>
    <cellStyle name="Vírgula 9 2 3 4" xfId="15751"/>
    <cellStyle name="Vírgula 9 2 3 4 2" xfId="40818"/>
    <cellStyle name="Vírgula 9 2 3 5" xfId="34910"/>
    <cellStyle name="Vírgula 9 2 4" xfId="6056"/>
    <cellStyle name="Vírgula 9 2 4 2" xfId="24622"/>
    <cellStyle name="Vírgula 9 2 4 2 2" xfId="49689"/>
    <cellStyle name="Vírgula 9 2 4 3" xfId="31953"/>
    <cellStyle name="Vírgula 9 2 5" xfId="18708"/>
    <cellStyle name="Vírgula 9 2 5 2" xfId="43775"/>
    <cellStyle name="Vírgula 9 2 6" xfId="12444"/>
    <cellStyle name="Vírgula 9 2 6 2" xfId="37864"/>
    <cellStyle name="Vírgula 9 2 7" xfId="30483"/>
    <cellStyle name="Vírgula 9 3" xfId="4463"/>
    <cellStyle name="Vírgula 9 3 2" xfId="7865"/>
    <cellStyle name="Vírgula 9 3 2 2" xfId="10895"/>
    <cellStyle name="Vírgula 9 3 2 2 2" xfId="29109"/>
    <cellStyle name="Vírgula 9 3 2 2 2 2" xfId="54176"/>
    <cellStyle name="Vírgula 9 3 2 2 3" xfId="23195"/>
    <cellStyle name="Vírgula 9 3 2 2 3 2" xfId="48262"/>
    <cellStyle name="Vírgula 9 3 2 2 4" xfId="17281"/>
    <cellStyle name="Vírgula 9 3 2 2 4 2" xfId="42348"/>
    <cellStyle name="Vírgula 9 3 2 2 5" xfId="36440"/>
    <cellStyle name="Vírgula 9 3 2 3" xfId="26152"/>
    <cellStyle name="Vírgula 9 3 2 3 2" xfId="51219"/>
    <cellStyle name="Vírgula 9 3 2 4" xfId="20238"/>
    <cellStyle name="Vírgula 9 3 2 4 2" xfId="45305"/>
    <cellStyle name="Vírgula 9 3 2 5" xfId="14254"/>
    <cellStyle name="Vírgula 9 3 2 5 2" xfId="39394"/>
    <cellStyle name="Vírgula 9 3 2 6" xfId="33483"/>
    <cellStyle name="Vírgula 9 3 3" xfId="9427"/>
    <cellStyle name="Vírgula 9 3 3 2" xfId="27641"/>
    <cellStyle name="Vírgula 9 3 3 2 2" xfId="52708"/>
    <cellStyle name="Vírgula 9 3 3 3" xfId="21727"/>
    <cellStyle name="Vírgula 9 3 3 3 2" xfId="46794"/>
    <cellStyle name="Vírgula 9 3 3 4" xfId="15813"/>
    <cellStyle name="Vírgula 9 3 3 4 2" xfId="40880"/>
    <cellStyle name="Vírgula 9 3 3 5" xfId="34972"/>
    <cellStyle name="Vírgula 9 3 4" xfId="6164"/>
    <cellStyle name="Vírgula 9 3 4 2" xfId="24684"/>
    <cellStyle name="Vírgula 9 3 4 2 2" xfId="49751"/>
    <cellStyle name="Vírgula 9 3 4 3" xfId="32015"/>
    <cellStyle name="Vírgula 9 3 5" xfId="18770"/>
    <cellStyle name="Vírgula 9 3 5 2" xfId="43837"/>
    <cellStyle name="Vírgula 9 3 6" xfId="12553"/>
    <cellStyle name="Vírgula 9 3 6 2" xfId="37926"/>
    <cellStyle name="Vírgula 9 3 7" xfId="30545"/>
    <cellStyle name="Vírgula 9 4" xfId="4571"/>
    <cellStyle name="Vírgula 9 4 2" xfId="7973"/>
    <cellStyle name="Vírgula 9 4 2 2" xfId="10957"/>
    <cellStyle name="Vírgula 9 4 2 2 2" xfId="29171"/>
    <cellStyle name="Vírgula 9 4 2 2 2 2" xfId="54238"/>
    <cellStyle name="Vírgula 9 4 2 2 3" xfId="23257"/>
    <cellStyle name="Vírgula 9 4 2 2 3 2" xfId="48324"/>
    <cellStyle name="Vírgula 9 4 2 2 4" xfId="17343"/>
    <cellStyle name="Vírgula 9 4 2 2 4 2" xfId="42410"/>
    <cellStyle name="Vírgula 9 4 2 2 5" xfId="36502"/>
    <cellStyle name="Vírgula 9 4 2 3" xfId="26214"/>
    <cellStyle name="Vírgula 9 4 2 3 2" xfId="51281"/>
    <cellStyle name="Vírgula 9 4 2 4" xfId="20300"/>
    <cellStyle name="Vírgula 9 4 2 4 2" xfId="45367"/>
    <cellStyle name="Vírgula 9 4 2 5" xfId="14362"/>
    <cellStyle name="Vírgula 9 4 2 5 2" xfId="39456"/>
    <cellStyle name="Vírgula 9 4 2 6" xfId="33545"/>
    <cellStyle name="Vírgula 9 4 3" xfId="9489"/>
    <cellStyle name="Vírgula 9 4 3 2" xfId="27703"/>
    <cellStyle name="Vírgula 9 4 3 2 2" xfId="52770"/>
    <cellStyle name="Vírgula 9 4 3 3" xfId="21789"/>
    <cellStyle name="Vírgula 9 4 3 3 2" xfId="46856"/>
    <cellStyle name="Vírgula 9 4 3 4" xfId="15875"/>
    <cellStyle name="Vírgula 9 4 3 4 2" xfId="40942"/>
    <cellStyle name="Vírgula 9 4 3 5" xfId="35034"/>
    <cellStyle name="Vírgula 9 4 4" xfId="6272"/>
    <cellStyle name="Vírgula 9 4 4 2" xfId="24746"/>
    <cellStyle name="Vírgula 9 4 4 2 2" xfId="49813"/>
    <cellStyle name="Vírgula 9 4 4 3" xfId="32077"/>
    <cellStyle name="Vírgula 9 4 5" xfId="18832"/>
    <cellStyle name="Vírgula 9 4 5 2" xfId="43899"/>
    <cellStyle name="Vírgula 9 4 6" xfId="12661"/>
    <cellStyle name="Vírgula 9 4 6 2" xfId="37988"/>
    <cellStyle name="Vírgula 9 4 7" xfId="30607"/>
    <cellStyle name="Vírgula 9 5" xfId="5979"/>
    <cellStyle name="Vírgula 9 5 2" xfId="7679"/>
    <cellStyle name="Vírgula 9 5 2 2" xfId="10790"/>
    <cellStyle name="Vírgula 9 5 2 2 2" xfId="29004"/>
    <cellStyle name="Vírgula 9 5 2 2 2 2" xfId="54071"/>
    <cellStyle name="Vírgula 9 5 2 2 3" xfId="23090"/>
    <cellStyle name="Vírgula 9 5 2 2 3 2" xfId="48157"/>
    <cellStyle name="Vírgula 9 5 2 2 4" xfId="17176"/>
    <cellStyle name="Vírgula 9 5 2 2 4 2" xfId="42243"/>
    <cellStyle name="Vírgula 9 5 2 2 5" xfId="36335"/>
    <cellStyle name="Vírgula 9 5 2 3" xfId="26047"/>
    <cellStyle name="Vírgula 9 5 2 3 2" xfId="51114"/>
    <cellStyle name="Vírgula 9 5 2 4" xfId="20133"/>
    <cellStyle name="Vírgula 9 5 2 4 2" xfId="45200"/>
    <cellStyle name="Vírgula 9 5 2 5" xfId="14068"/>
    <cellStyle name="Vírgula 9 5 2 5 2" xfId="39289"/>
    <cellStyle name="Vírgula 9 5 2 6" xfId="33378"/>
    <cellStyle name="Vírgula 9 5 3" xfId="9322"/>
    <cellStyle name="Vírgula 9 5 3 2" xfId="27536"/>
    <cellStyle name="Vírgula 9 5 3 2 2" xfId="52603"/>
    <cellStyle name="Vírgula 9 5 3 3" xfId="21622"/>
    <cellStyle name="Vírgula 9 5 3 3 2" xfId="46689"/>
    <cellStyle name="Vírgula 9 5 3 4" xfId="15708"/>
    <cellStyle name="Vírgula 9 5 3 4 2" xfId="40775"/>
    <cellStyle name="Vírgula 9 5 3 5" xfId="34867"/>
    <cellStyle name="Vírgula 9 5 4" xfId="24579"/>
    <cellStyle name="Vírgula 9 5 4 2" xfId="49646"/>
    <cellStyle name="Vírgula 9 5 5" xfId="18665"/>
    <cellStyle name="Vírgula 9 5 5 2" xfId="43732"/>
    <cellStyle name="Vírgula 9 5 6" xfId="12367"/>
    <cellStyle name="Vírgula 9 5 6 2" xfId="37821"/>
    <cellStyle name="Vírgula 9 5 7" xfId="31910"/>
    <cellStyle name="Vírgula 9 6" xfId="6381"/>
    <cellStyle name="Vírgula 9 6 2" xfId="9551"/>
    <cellStyle name="Vírgula 9 6 2 2" xfId="27765"/>
    <cellStyle name="Vírgula 9 6 2 2 2" xfId="52832"/>
    <cellStyle name="Vírgula 9 6 2 3" xfId="21851"/>
    <cellStyle name="Vírgula 9 6 2 3 2" xfId="46918"/>
    <cellStyle name="Vírgula 9 6 2 4" xfId="15937"/>
    <cellStyle name="Vírgula 9 6 2 4 2" xfId="41004"/>
    <cellStyle name="Vírgula 9 6 2 5" xfId="35096"/>
    <cellStyle name="Vírgula 9 6 3" xfId="24808"/>
    <cellStyle name="Vírgula 9 6 3 2" xfId="49875"/>
    <cellStyle name="Vírgula 9 6 4" xfId="18894"/>
    <cellStyle name="Vírgula 9 6 4 2" xfId="43961"/>
    <cellStyle name="Vírgula 9 6 5" xfId="12770"/>
    <cellStyle name="Vírgula 9 6 5 2" xfId="38050"/>
    <cellStyle name="Vírgula 9 6 6" xfId="32139"/>
    <cellStyle name="Vírgula 9 7" xfId="8080"/>
    <cellStyle name="Vírgula 9 7 2" xfId="26294"/>
    <cellStyle name="Vírgula 9 7 2 2" xfId="51361"/>
    <cellStyle name="Vírgula 9 7 3" xfId="20380"/>
    <cellStyle name="Vírgula 9 7 3 2" xfId="45447"/>
    <cellStyle name="Vírgula 9 7 4" xfId="14469"/>
    <cellStyle name="Vírgula 9 7 4 2" xfId="39536"/>
    <cellStyle name="Vírgula 9 7 5" xfId="33625"/>
    <cellStyle name="Vírgula 9 8" xfId="4678"/>
    <cellStyle name="Vírgula 9 8 2" xfId="23337"/>
    <cellStyle name="Vírgula 9 8 2 2" xfId="48404"/>
    <cellStyle name="Vírgula 9 8 3" xfId="30669"/>
    <cellStyle name="Vírgula 9 9" xfId="17423"/>
    <cellStyle name="Vírgula 9 9 2" xfId="42490"/>
  </cellStyles>
  <dxfs count="3119">
    <dxf>
      <font>
        <color rgb="FFFF0000"/>
      </font>
    </dxf>
    <dxf>
      <font>
        <color rgb="FFFF0000"/>
      </font>
    </dxf>
    <dxf>
      <font>
        <color rgb="FFFF0000"/>
      </font>
    </dxf>
    <dxf>
      <font>
        <color rgb="FFFF0000"/>
      </font>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499984740745262"/>
          <bgColor theme="8" tint="-0.499984740745262"/>
        </patternFill>
      </fill>
      <border diagonalUp="0" diagonalDown="0">
        <left/>
        <right/>
        <top/>
        <bottom/>
        <vertical/>
        <horizontal/>
      </border>
    </dxf>
    <dxf>
      <font>
        <color auto="1"/>
      </font>
      <fill>
        <patternFill patternType="solid">
          <fgColor theme="1"/>
          <bgColor theme="4" tint="0.39994506668294322"/>
        </patternFill>
      </fill>
      <border diagonalUp="0" diagonalDown="0">
        <left/>
        <right/>
        <top/>
        <bottom/>
        <vertical/>
        <horizontal/>
      </border>
    </dxf>
    <dxf>
      <font>
        <color auto="1"/>
      </font>
      <fill>
        <patternFill patternType="solid">
          <fgColor theme="8"/>
          <bgColor theme="8"/>
        </patternFill>
      </fill>
      <border diagonalUp="0" diagonalDown="0">
        <left/>
        <right/>
        <top/>
        <bottom/>
        <vertical/>
        <horizontal/>
      </border>
    </dxf>
  </dxfs>
  <tableStyles count="1" defaultTableStyle="TableStyleMedium2" defaultPivotStyle="PivotStyleLight16">
    <tableStyle name="TableStyleDark6 2" pivot="0" count="9">
      <tableStyleElement type="wholeTable" dxfId="3118"/>
      <tableStyleElement type="headerRow" dxfId="3117"/>
      <tableStyleElement type="totalRow" dxfId="3116"/>
      <tableStyleElement type="firstColumn" dxfId="3115"/>
      <tableStyleElement type="lastColumn" dxfId="3114"/>
      <tableStyleElement type="firstRowStripe" dxfId="3113"/>
      <tableStyleElement type="secondRowStripe" dxfId="3112"/>
      <tableStyleElement type="firstColumnStripe" dxfId="3111"/>
      <tableStyleElement type="secondColumnStripe" dxfId="31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184197</xdr:colOff>
      <xdr:row>4</xdr:row>
      <xdr:rowOff>276225</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a16="http://schemas.microsoft.com/office/drawing/2014/main" xmlns="" id="{00000000-0008-0000-03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479472</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a16="http://schemas.microsoft.com/office/drawing/2014/main" xmlns="" id="{00000000-0008-0000-03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479472</xdr:colOff>
      <xdr:row>4</xdr:row>
      <xdr:rowOff>152400</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a16="http://schemas.microsoft.com/office/drawing/2014/main" xmlns="" id="{00000000-0008-0000-03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190500</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a16="http://schemas.microsoft.com/office/drawing/2014/main" xmlns="" id="{00000000-0008-0000-0400-00001C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190500</xdr:colOff>
      <xdr:row>4</xdr:row>
      <xdr:rowOff>180975</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a16="http://schemas.microsoft.com/office/drawing/2014/main" xmlns="" id="{00000000-0008-0000-0400-00001D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200025</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a16="http://schemas.microsoft.com/office/drawing/2014/main" xmlns="" id="{00000000-0008-0000-05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200025</xdr:colOff>
      <xdr:row>4</xdr:row>
      <xdr:rowOff>95250</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a16="http://schemas.microsoft.com/office/drawing/2014/main" xmlns="" id="{00000000-0008-0000-05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597694</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xmlns="" id="{00000000-0008-0000-0700-000002000000}"/>
            </a:ext>
          </a:extLst>
        </xdr:cNvPr>
        <xdr:cNvSpPr/>
      </xdr:nvSpPr>
      <xdr:spPr bwMode="auto">
        <a:xfrm>
          <a:off x="19869150" y="19050"/>
          <a:ext cx="1197769"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10</xdr:col>
      <xdr:colOff>607219</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xmlns="" id="{00000000-0008-0000-0700-000003000000}"/>
            </a:ext>
          </a:extLst>
        </xdr:cNvPr>
        <xdr:cNvSpPr/>
      </xdr:nvSpPr>
      <xdr:spPr bwMode="auto">
        <a:xfrm>
          <a:off x="19859625" y="409575"/>
          <a:ext cx="1207294"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465021</xdr:colOff>
      <xdr:row>36</xdr:row>
      <xdr:rowOff>26769</xdr:rowOff>
    </xdr:to>
    <xdr:pic>
      <xdr:nvPicPr>
        <xdr:cNvPr id="2" name="Imagem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91DC6683\Materiais%20Fora%20de%20Planilha%202021-02%20Rev2%20-%20XR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I"/>
      <sheetName val="BDI"/>
      <sheetName val="BASE II M"/>
      <sheetName val="Materiais_Fábio"/>
      <sheetName val="FERRA"/>
      <sheetName val="UNI EPI"/>
      <sheetName val="1"/>
      <sheetName val="2"/>
      <sheetName val="3"/>
      <sheetName val="4"/>
      <sheetName val="5"/>
      <sheetName val="6"/>
      <sheetName val="7"/>
      <sheetName val="8"/>
      <sheetName val="9"/>
      <sheetName val="10"/>
      <sheetName val="11"/>
      <sheetName val="12"/>
      <sheetName val="13"/>
      <sheetName val="14"/>
      <sheetName val="15"/>
      <sheetName val="16"/>
      <sheetName val="17"/>
      <sheetName val="Composição BDI"/>
      <sheetName val="Ressarcimento 3"/>
      <sheetName val="Ressarcimento 6"/>
      <sheetName val="Negados"/>
      <sheetName val="Fatores"/>
      <sheetName val="Codigos"/>
      <sheetName val="Materiais Comprados"/>
      <sheetName val="18"/>
      <sheetName val="19"/>
      <sheetName val="20"/>
      <sheetName val="21"/>
      <sheetName val="22"/>
      <sheetName val="ALUGUEL"/>
      <sheetName val="BDI Serviços"/>
      <sheetName val="Plan1"/>
      <sheetName val="FATOR K"/>
      <sheetName val="Insu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3">
          <cell r="B3">
            <v>0.14019999999999999</v>
          </cell>
          <cell r="D3">
            <v>0.73676980201258513</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7716"/>
  <sheetViews>
    <sheetView zoomScale="80" zoomScaleNormal="80" workbookViewId="0">
      <pane ySplit="5" topLeftCell="A8" activePane="bottomLeft" state="frozen"/>
      <selection pane="bottomLeft" activeCell="B1757" sqref="B1757:B1763"/>
    </sheetView>
  </sheetViews>
  <sheetFormatPr defaultRowHeight="15" x14ac:dyDescent="0.25"/>
  <cols>
    <col min="1" max="1" width="14.7109375" customWidth="1"/>
    <col min="2" max="2" width="50.7109375" style="168" customWidth="1"/>
    <col min="3" max="3" width="65.7109375" style="4"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219" t="s">
        <v>2822</v>
      </c>
      <c r="B1" s="219"/>
      <c r="C1" s="219"/>
      <c r="D1" s="219"/>
      <c r="E1" s="219"/>
      <c r="F1" s="219"/>
      <c r="G1" s="219"/>
      <c r="H1" s="219"/>
      <c r="I1" s="6"/>
      <c r="J1" s="7"/>
    </row>
    <row r="2" spans="1:10" ht="24.95" customHeight="1" x14ac:dyDescent="0.25">
      <c r="A2" s="218" t="s">
        <v>0</v>
      </c>
      <c r="B2" s="218"/>
      <c r="C2" s="218"/>
      <c r="D2" s="218"/>
      <c r="E2" s="218"/>
      <c r="F2" s="218"/>
      <c r="G2" s="218"/>
      <c r="H2" s="218"/>
      <c r="I2" s="8"/>
      <c r="J2" s="7"/>
    </row>
    <row r="3" spans="1:10" ht="20.100000000000001" customHeight="1" x14ac:dyDescent="0.25">
      <c r="A3" s="241" t="s">
        <v>2823</v>
      </c>
      <c r="B3" s="241"/>
      <c r="C3" s="241"/>
      <c r="D3" s="241"/>
      <c r="E3" s="241"/>
      <c r="F3" s="241"/>
      <c r="G3" s="241"/>
      <c r="H3" s="241"/>
      <c r="J3" s="7"/>
    </row>
    <row r="4" spans="1:10" ht="15.75" thickBot="1" x14ac:dyDescent="0.3">
      <c r="A4" s="10"/>
      <c r="B4" s="10"/>
      <c r="C4" s="156"/>
      <c r="D4" s="10"/>
      <c r="E4" s="11"/>
      <c r="F4" s="10"/>
      <c r="G4" s="12"/>
      <c r="H4" s="10"/>
      <c r="I4" s="10"/>
      <c r="J4" s="13"/>
    </row>
    <row r="5" spans="1:10" ht="30.75" thickBot="1" x14ac:dyDescent="0.3">
      <c r="A5" s="14" t="s">
        <v>1</v>
      </c>
      <c r="B5" s="15" t="s">
        <v>2</v>
      </c>
      <c r="C5" s="157" t="s">
        <v>3</v>
      </c>
      <c r="D5" s="15" t="s">
        <v>4</v>
      </c>
      <c r="E5" s="16" t="s">
        <v>5</v>
      </c>
      <c r="F5" s="15" t="s">
        <v>6</v>
      </c>
      <c r="G5" s="15" t="s">
        <v>7</v>
      </c>
      <c r="H5" s="17" t="s">
        <v>8</v>
      </c>
      <c r="I5" s="18"/>
      <c r="J5" s="19" t="s">
        <v>9</v>
      </c>
    </row>
    <row r="6" spans="1:10" ht="15.75" thickBot="1" x14ac:dyDescent="0.3">
      <c r="A6" s="220" t="s">
        <v>10</v>
      </c>
      <c r="B6" s="222" t="str">
        <f>INDEX(Orçamentária!A:B,MATCH(Composições!A6,Orçamentária!A:A,0),2)</f>
        <v>Engenheiro(a) júnior</v>
      </c>
      <c r="C6" s="35"/>
      <c r="D6" s="20" t="s">
        <v>1449</v>
      </c>
      <c r="E6" s="21"/>
      <c r="F6" s="22" t="s">
        <v>521</v>
      </c>
      <c r="G6" s="22" t="str">
        <f t="shared" ref="G6:G69" si="0">IF(ISNUMBER(F6),E6*F6,"")</f>
        <v/>
      </c>
      <c r="H6" s="23"/>
      <c r="I6" s="24"/>
      <c r="J6" s="138">
        <v>180</v>
      </c>
    </row>
    <row r="7" spans="1:10" x14ac:dyDescent="0.25">
      <c r="A7" s="221"/>
      <c r="B7" s="223"/>
      <c r="C7" s="26"/>
      <c r="D7" s="26"/>
      <c r="E7" s="27"/>
      <c r="F7" s="25" t="s">
        <v>521</v>
      </c>
      <c r="G7" s="28" t="str">
        <f t="shared" si="0"/>
        <v/>
      </c>
      <c r="H7" s="29"/>
      <c r="I7" s="25"/>
      <c r="J7" s="138">
        <v>180</v>
      </c>
    </row>
    <row r="8" spans="1:10" x14ac:dyDescent="0.25">
      <c r="A8" s="221"/>
      <c r="B8" s="223"/>
      <c r="C8" s="30" t="s">
        <v>11</v>
      </c>
      <c r="D8" s="30" t="s">
        <v>12</v>
      </c>
      <c r="E8" s="31">
        <v>1</v>
      </c>
      <c r="F8" s="25">
        <v>87.314499999999995</v>
      </c>
      <c r="G8" s="28">
        <f t="shared" si="0"/>
        <v>87.314499999999995</v>
      </c>
      <c r="H8" s="33">
        <f>SUM(G8:G8)</f>
        <v>87.314499999999995</v>
      </c>
      <c r="I8" s="34"/>
      <c r="J8" s="138">
        <v>180</v>
      </c>
    </row>
    <row r="9" spans="1:10" ht="15.75" thickBot="1" x14ac:dyDescent="0.3">
      <c r="A9" s="227"/>
      <c r="B9" s="224"/>
      <c r="C9" s="30"/>
      <c r="D9" s="30"/>
      <c r="E9" s="31"/>
      <c r="F9" s="25" t="s">
        <v>521</v>
      </c>
      <c r="G9" s="28" t="str">
        <f t="shared" si="0"/>
        <v/>
      </c>
      <c r="H9" s="29"/>
      <c r="I9" s="25"/>
      <c r="J9" s="138">
        <v>180</v>
      </c>
    </row>
    <row r="10" spans="1:10" ht="15.75" thickBot="1" x14ac:dyDescent="0.3">
      <c r="A10" s="236" t="s">
        <v>13</v>
      </c>
      <c r="B10" s="222" t="str">
        <f>INDEX(Orçamentária!A:B,MATCH(Composições!A10,Orçamentária!A:A,0),2)</f>
        <v>Mestre de obras</v>
      </c>
      <c r="C10" s="35"/>
      <c r="D10" s="20" t="s">
        <v>1449</v>
      </c>
      <c r="E10" s="21"/>
      <c r="F10" s="36" t="s">
        <v>521</v>
      </c>
      <c r="G10" s="22" t="str">
        <f t="shared" si="0"/>
        <v/>
      </c>
      <c r="H10" s="23"/>
      <c r="I10" s="24"/>
      <c r="J10" s="138">
        <v>720</v>
      </c>
    </row>
    <row r="11" spans="1:10" x14ac:dyDescent="0.25">
      <c r="A11" s="237"/>
      <c r="B11" s="223"/>
      <c r="C11" s="26"/>
      <c r="D11" s="26"/>
      <c r="E11" s="27"/>
      <c r="F11" s="37" t="s">
        <v>521</v>
      </c>
      <c r="G11" s="25" t="str">
        <f t="shared" si="0"/>
        <v/>
      </c>
      <c r="H11" s="29"/>
      <c r="I11" s="25"/>
      <c r="J11" s="138">
        <v>720</v>
      </c>
    </row>
    <row r="12" spans="1:10" x14ac:dyDescent="0.25">
      <c r="A12" s="237"/>
      <c r="B12" s="223"/>
      <c r="C12" s="30" t="s">
        <v>14</v>
      </c>
      <c r="D12" s="30" t="s">
        <v>12</v>
      </c>
      <c r="E12" s="31">
        <v>1</v>
      </c>
      <c r="F12" s="25">
        <v>41.495999999999995</v>
      </c>
      <c r="G12" s="28">
        <f t="shared" si="0"/>
        <v>41.495999999999995</v>
      </c>
      <c r="H12" s="33">
        <f>SUM(G12:G12)</f>
        <v>41.495999999999995</v>
      </c>
      <c r="I12" s="34"/>
      <c r="J12" s="138">
        <v>720</v>
      </c>
    </row>
    <row r="13" spans="1:10" ht="15.75" thickBot="1" x14ac:dyDescent="0.3">
      <c r="A13" s="237"/>
      <c r="B13" s="223"/>
      <c r="C13" s="30"/>
      <c r="D13" s="30"/>
      <c r="E13" s="31"/>
      <c r="F13" s="25" t="s">
        <v>521</v>
      </c>
      <c r="G13" s="25" t="str">
        <f t="shared" si="0"/>
        <v/>
      </c>
      <c r="H13" s="29"/>
      <c r="I13" s="25"/>
      <c r="J13" s="138">
        <v>720</v>
      </c>
    </row>
    <row r="14" spans="1:10" ht="15.75" thickBot="1" x14ac:dyDescent="0.3">
      <c r="A14" s="220" t="s">
        <v>15</v>
      </c>
      <c r="B14" s="222" t="str">
        <f>INDEX(Orçamentária!A:B,MATCH(Composições!A14,Orçamentária!A:A,0),2)</f>
        <v>Planejamento físico-financeiro</v>
      </c>
      <c r="C14" s="35"/>
      <c r="D14" s="20" t="s">
        <v>20</v>
      </c>
      <c r="E14" s="21"/>
      <c r="F14" s="36" t="s">
        <v>521</v>
      </c>
      <c r="G14" s="22" t="str">
        <f t="shared" si="0"/>
        <v/>
      </c>
      <c r="H14" s="23"/>
      <c r="I14" s="24"/>
      <c r="J14" s="138">
        <v>1</v>
      </c>
    </row>
    <row r="15" spans="1:10" x14ac:dyDescent="0.25">
      <c r="A15" s="221"/>
      <c r="B15" s="223"/>
      <c r="C15" s="26"/>
      <c r="D15" s="26"/>
      <c r="E15" s="27"/>
      <c r="F15" s="37" t="s">
        <v>521</v>
      </c>
      <c r="G15" s="25" t="str">
        <f t="shared" si="0"/>
        <v/>
      </c>
      <c r="H15" s="29"/>
      <c r="I15" s="25"/>
      <c r="J15" s="138">
        <v>1</v>
      </c>
    </row>
    <row r="16" spans="1:10" x14ac:dyDescent="0.25">
      <c r="A16" s="221"/>
      <c r="B16" s="223"/>
      <c r="C16" s="30" t="s">
        <v>16</v>
      </c>
      <c r="D16" s="30" t="s">
        <v>12</v>
      </c>
      <c r="E16" s="31">
        <v>16</v>
      </c>
      <c r="F16" s="25">
        <v>99.17049999999999</v>
      </c>
      <c r="G16" s="25">
        <f t="shared" si="0"/>
        <v>1586.7279999999998</v>
      </c>
      <c r="H16" s="33">
        <f>SUM(G16:G16)</f>
        <v>1586.7279999999998</v>
      </c>
      <c r="I16" s="34"/>
      <c r="J16" s="138">
        <v>1</v>
      </c>
    </row>
    <row r="17" spans="1:10" ht="15.75" thickBot="1" x14ac:dyDescent="0.3">
      <c r="A17" s="227"/>
      <c r="B17" s="224"/>
      <c r="C17" s="30"/>
      <c r="D17" s="30"/>
      <c r="E17" s="31"/>
      <c r="F17" s="25" t="s">
        <v>521</v>
      </c>
      <c r="G17" s="25" t="str">
        <f t="shared" si="0"/>
        <v/>
      </c>
      <c r="H17" s="29"/>
      <c r="I17" s="25"/>
      <c r="J17" s="138">
        <v>1</v>
      </c>
    </row>
    <row r="18" spans="1:10" ht="15.75" thickBot="1" x14ac:dyDescent="0.3">
      <c r="A18" s="220" t="s">
        <v>17</v>
      </c>
      <c r="B18" s="222" t="str">
        <f>INDEX(Orçamentária!A:B,MATCH(Composições!A18,Orçamentária!A:A,0),2)</f>
        <v>Projetos de segurança do trabalho</v>
      </c>
      <c r="C18" s="35"/>
      <c r="D18" s="20" t="s">
        <v>20</v>
      </c>
      <c r="E18" s="21"/>
      <c r="F18" s="36" t="s">
        <v>521</v>
      </c>
      <c r="G18" s="22" t="str">
        <f t="shared" si="0"/>
        <v/>
      </c>
      <c r="H18" s="23"/>
      <c r="I18" s="24"/>
      <c r="J18" s="138">
        <v>1</v>
      </c>
    </row>
    <row r="19" spans="1:10" x14ac:dyDescent="0.25">
      <c r="A19" s="221"/>
      <c r="B19" s="223"/>
      <c r="C19" s="26"/>
      <c r="D19" s="26"/>
      <c r="E19" s="27"/>
      <c r="F19" s="37" t="s">
        <v>521</v>
      </c>
      <c r="G19" s="25" t="str">
        <f t="shared" si="0"/>
        <v/>
      </c>
      <c r="H19" s="29"/>
      <c r="I19" s="25"/>
      <c r="J19" s="138">
        <v>1</v>
      </c>
    </row>
    <row r="20" spans="1:10" x14ac:dyDescent="0.25">
      <c r="A20" s="221"/>
      <c r="B20" s="223"/>
      <c r="C20" s="30" t="s">
        <v>1211</v>
      </c>
      <c r="D20" s="30" t="s">
        <v>702</v>
      </c>
      <c r="E20" s="31">
        <v>20</v>
      </c>
      <c r="F20" s="25">
        <v>99.474499999999992</v>
      </c>
      <c r="G20" s="25">
        <f t="shared" si="0"/>
        <v>1989.4899999999998</v>
      </c>
      <c r="H20" s="33">
        <f>SUM(G20:G21)</f>
        <v>2223.4299999999998</v>
      </c>
      <c r="I20" s="34"/>
      <c r="J20" s="138">
        <v>1</v>
      </c>
    </row>
    <row r="21" spans="1:10" x14ac:dyDescent="0.25">
      <c r="A21" s="221"/>
      <c r="B21" s="223"/>
      <c r="C21" s="30" t="s">
        <v>19</v>
      </c>
      <c r="D21" s="30" t="s">
        <v>20</v>
      </c>
      <c r="E21" s="31">
        <v>1</v>
      </c>
      <c r="F21" s="28">
        <v>233.94</v>
      </c>
      <c r="G21" s="25">
        <f t="shared" si="0"/>
        <v>233.94</v>
      </c>
      <c r="H21" s="29"/>
      <c r="I21" s="25"/>
      <c r="J21" s="138">
        <v>1</v>
      </c>
    </row>
    <row r="22" spans="1:10" ht="15.75" thickBot="1" x14ac:dyDescent="0.3">
      <c r="A22" s="227"/>
      <c r="B22" s="224"/>
      <c r="C22" s="30"/>
      <c r="D22" s="30"/>
      <c r="E22" s="31"/>
      <c r="F22" s="25" t="s">
        <v>521</v>
      </c>
      <c r="G22" s="25" t="str">
        <f t="shared" si="0"/>
        <v/>
      </c>
      <c r="H22" s="29"/>
      <c r="I22" s="25"/>
      <c r="J22" s="138">
        <v>1</v>
      </c>
    </row>
    <row r="23" spans="1:10" ht="15.75" hidden="1" thickBot="1" x14ac:dyDescent="0.3">
      <c r="A23" s="220" t="s">
        <v>21</v>
      </c>
      <c r="B23" s="222" t="e">
        <f>INDEX(Orçamentária!A:B,MATCH(Composições!A23,Orçamentária!A:A,0),2)</f>
        <v>#N/A</v>
      </c>
      <c r="C23" s="35"/>
      <c r="D23" s="20" t="s">
        <v>109</v>
      </c>
      <c r="E23" s="21"/>
      <c r="F23" s="36" t="s">
        <v>521</v>
      </c>
      <c r="G23" s="22" t="str">
        <f t="shared" si="0"/>
        <v/>
      </c>
      <c r="H23" s="23"/>
      <c r="I23" s="24"/>
      <c r="J23" s="138">
        <v>0</v>
      </c>
    </row>
    <row r="24" spans="1:10" ht="15.75" hidden="1" thickBot="1" x14ac:dyDescent="0.3">
      <c r="A24" s="221"/>
      <c r="B24" s="223"/>
      <c r="C24" s="26"/>
      <c r="D24" s="26"/>
      <c r="E24" s="27"/>
      <c r="F24" s="37" t="s">
        <v>521</v>
      </c>
      <c r="G24" s="25" t="str">
        <f t="shared" si="0"/>
        <v/>
      </c>
      <c r="H24" s="29"/>
      <c r="I24" s="25"/>
      <c r="J24" s="138">
        <v>0</v>
      </c>
    </row>
    <row r="25" spans="1:10" ht="15.75" hidden="1" thickBot="1" x14ac:dyDescent="0.3">
      <c r="A25" s="221"/>
      <c r="B25" s="223"/>
      <c r="C25" s="30" t="s">
        <v>22</v>
      </c>
      <c r="D25" s="30" t="s">
        <v>12</v>
      </c>
      <c r="E25" s="31">
        <v>0.22500000000000001</v>
      </c>
      <c r="F25" s="25">
        <v>24.889999999999997</v>
      </c>
      <c r="G25" s="28">
        <f t="shared" si="0"/>
        <v>5.6002499999999991</v>
      </c>
      <c r="H25" s="33">
        <f>SUM(G25:G26)</f>
        <v>48.424228400000004</v>
      </c>
      <c r="I25" s="34"/>
      <c r="J25" s="138">
        <v>0</v>
      </c>
    </row>
    <row r="26" spans="1:10" ht="15.75" hidden="1" thickBot="1" x14ac:dyDescent="0.3">
      <c r="A26" s="221"/>
      <c r="B26" s="223"/>
      <c r="C26" s="30" t="s">
        <v>23</v>
      </c>
      <c r="D26" s="30" t="s">
        <v>12</v>
      </c>
      <c r="E26" s="31">
        <v>2.3248000000000002</v>
      </c>
      <c r="F26" s="25">
        <v>18.420500000000001</v>
      </c>
      <c r="G26" s="28">
        <f t="shared" si="0"/>
        <v>42.823978400000001</v>
      </c>
      <c r="H26" s="38"/>
      <c r="I26" s="34"/>
      <c r="J26" s="138">
        <v>0</v>
      </c>
    </row>
    <row r="27" spans="1:10" ht="15.75" hidden="1" thickBot="1" x14ac:dyDescent="0.3">
      <c r="A27" s="227"/>
      <c r="B27" s="224"/>
      <c r="C27" s="30"/>
      <c r="D27" s="30"/>
      <c r="E27" s="31"/>
      <c r="F27" s="25" t="s">
        <v>521</v>
      </c>
      <c r="G27" s="25" t="str">
        <f t="shared" si="0"/>
        <v/>
      </c>
      <c r="H27" s="29"/>
      <c r="I27" s="25"/>
      <c r="J27" s="138">
        <v>0</v>
      </c>
    </row>
    <row r="28" spans="1:10" ht="15.75" hidden="1" thickBot="1" x14ac:dyDescent="0.3">
      <c r="A28" s="220" t="s">
        <v>24</v>
      </c>
      <c r="B28" s="222" t="e">
        <f>INDEX(Orçamentária!A:B,MATCH(Composições!A28,Orçamentária!A:A,0),2)</f>
        <v>#N/A</v>
      </c>
      <c r="C28" s="35"/>
      <c r="D28" s="20" t="s">
        <v>109</v>
      </c>
      <c r="E28" s="21"/>
      <c r="F28" s="36" t="s">
        <v>521</v>
      </c>
      <c r="G28" s="22" t="str">
        <f t="shared" si="0"/>
        <v/>
      </c>
      <c r="H28" s="23"/>
      <c r="I28" s="24"/>
      <c r="J28" s="138">
        <v>0</v>
      </c>
    </row>
    <row r="29" spans="1:10" ht="15.75" hidden="1" thickBot="1" x14ac:dyDescent="0.3">
      <c r="A29" s="221"/>
      <c r="B29" s="223"/>
      <c r="C29" s="26"/>
      <c r="D29" s="26"/>
      <c r="E29" s="27"/>
      <c r="F29" s="37" t="s">
        <v>521</v>
      </c>
      <c r="G29" s="25" t="str">
        <f t="shared" si="0"/>
        <v/>
      </c>
      <c r="H29" s="29"/>
      <c r="I29" s="25"/>
      <c r="J29" s="138">
        <v>0</v>
      </c>
    </row>
    <row r="30" spans="1:10" ht="15.75" hidden="1" thickBot="1" x14ac:dyDescent="0.3">
      <c r="A30" s="221"/>
      <c r="B30" s="223"/>
      <c r="C30" s="30" t="s">
        <v>22</v>
      </c>
      <c r="D30" s="30" t="s">
        <v>12</v>
      </c>
      <c r="E30" s="31">
        <v>1.3</v>
      </c>
      <c r="F30" s="25">
        <v>24.889999999999997</v>
      </c>
      <c r="G30" s="28">
        <f t="shared" si="0"/>
        <v>32.356999999999999</v>
      </c>
      <c r="H30" s="33">
        <f>SUM(G30:G31)</f>
        <v>271.82349999999997</v>
      </c>
      <c r="I30" s="34"/>
      <c r="J30" s="138">
        <v>0</v>
      </c>
    </row>
    <row r="31" spans="1:10" ht="15.75" hidden="1" thickBot="1" x14ac:dyDescent="0.3">
      <c r="A31" s="221"/>
      <c r="B31" s="223"/>
      <c r="C31" s="30" t="s">
        <v>23</v>
      </c>
      <c r="D31" s="30" t="s">
        <v>12</v>
      </c>
      <c r="E31" s="31">
        <v>13</v>
      </c>
      <c r="F31" s="25">
        <v>18.420500000000001</v>
      </c>
      <c r="G31" s="28">
        <f t="shared" si="0"/>
        <v>239.4665</v>
      </c>
      <c r="H31" s="29"/>
      <c r="I31" s="25"/>
      <c r="J31" s="138">
        <v>0</v>
      </c>
    </row>
    <row r="32" spans="1:10" ht="15.75" hidden="1" thickBot="1" x14ac:dyDescent="0.3">
      <c r="A32" s="227"/>
      <c r="B32" s="224"/>
      <c r="C32" s="30"/>
      <c r="D32" s="30"/>
      <c r="E32" s="31"/>
      <c r="F32" s="25" t="s">
        <v>521</v>
      </c>
      <c r="G32" s="25" t="str">
        <f t="shared" si="0"/>
        <v/>
      </c>
      <c r="H32" s="29"/>
      <c r="I32" s="25"/>
      <c r="J32" s="138">
        <v>0</v>
      </c>
    </row>
    <row r="33" spans="1:10" ht="15.75" hidden="1" thickBot="1" x14ac:dyDescent="0.3">
      <c r="A33" s="238" t="s">
        <v>25</v>
      </c>
      <c r="B33" s="231" t="e">
        <f>INDEX(Orçamentária!A:B,MATCH(Composições!A33,Orçamentária!A:A,0),2)</f>
        <v>#N/A</v>
      </c>
      <c r="C33" s="35"/>
      <c r="D33" s="20" t="s">
        <v>95</v>
      </c>
      <c r="E33" s="21"/>
      <c r="F33" s="36" t="s">
        <v>521</v>
      </c>
      <c r="G33" s="22" t="str">
        <f t="shared" si="0"/>
        <v/>
      </c>
      <c r="H33" s="23"/>
      <c r="I33" s="24"/>
      <c r="J33" s="138">
        <v>0</v>
      </c>
    </row>
    <row r="34" spans="1:10" ht="15.75" hidden="1" thickBot="1" x14ac:dyDescent="0.3">
      <c r="A34" s="239"/>
      <c r="B34" s="232"/>
      <c r="C34" s="26"/>
      <c r="D34" s="26"/>
      <c r="E34" s="27"/>
      <c r="F34" s="37" t="s">
        <v>521</v>
      </c>
      <c r="G34" s="25" t="str">
        <f t="shared" si="0"/>
        <v/>
      </c>
      <c r="H34" s="29"/>
      <c r="I34" s="25"/>
      <c r="J34" s="138">
        <v>0</v>
      </c>
    </row>
    <row r="35" spans="1:10" ht="15.75" hidden="1" thickBot="1" x14ac:dyDescent="0.3">
      <c r="A35" s="239"/>
      <c r="B35" s="232"/>
      <c r="C35" s="30" t="s">
        <v>23</v>
      </c>
      <c r="D35" s="30" t="s">
        <v>12</v>
      </c>
      <c r="E35" s="31">
        <v>0.7</v>
      </c>
      <c r="F35" s="25">
        <v>18.420500000000001</v>
      </c>
      <c r="G35" s="28">
        <f t="shared" si="0"/>
        <v>12.894349999999999</v>
      </c>
      <c r="H35" s="33">
        <f>SUM(G35:G35)</f>
        <v>12.894349999999999</v>
      </c>
      <c r="I35" s="34"/>
      <c r="J35" s="138">
        <v>0</v>
      </c>
    </row>
    <row r="36" spans="1:10" ht="15.75" hidden="1" thickBot="1" x14ac:dyDescent="0.3">
      <c r="A36" s="240"/>
      <c r="B36" s="233"/>
      <c r="C36" s="30"/>
      <c r="D36" s="30"/>
      <c r="E36" s="31"/>
      <c r="F36" s="25" t="s">
        <v>521</v>
      </c>
      <c r="G36" s="25" t="str">
        <f t="shared" si="0"/>
        <v/>
      </c>
      <c r="H36" s="29"/>
      <c r="I36" s="25"/>
      <c r="J36" s="138">
        <v>0</v>
      </c>
    </row>
    <row r="37" spans="1:10" ht="15.75" hidden="1" thickBot="1" x14ac:dyDescent="0.3">
      <c r="A37" s="220" t="s">
        <v>26</v>
      </c>
      <c r="B37" s="222" t="e">
        <f>INDEX(Orçamentária!A:B,MATCH(Composições!A37,Orçamentária!A:A,0),2)</f>
        <v>#N/A</v>
      </c>
      <c r="C37" s="35"/>
      <c r="D37" s="20" t="s">
        <v>95</v>
      </c>
      <c r="E37" s="21"/>
      <c r="F37" s="36" t="s">
        <v>521</v>
      </c>
      <c r="G37" s="22" t="str">
        <f t="shared" si="0"/>
        <v/>
      </c>
      <c r="H37" s="23"/>
      <c r="I37" s="24"/>
      <c r="J37" s="138">
        <v>0</v>
      </c>
    </row>
    <row r="38" spans="1:10" ht="15.75" hidden="1" thickBot="1" x14ac:dyDescent="0.3">
      <c r="A38" s="221"/>
      <c r="B38" s="223"/>
      <c r="C38" s="26"/>
      <c r="D38" s="26"/>
      <c r="E38" s="27"/>
      <c r="F38" s="37" t="s">
        <v>521</v>
      </c>
      <c r="G38" s="25" t="str">
        <f t="shared" si="0"/>
        <v/>
      </c>
      <c r="H38" s="29"/>
      <c r="I38" s="25"/>
      <c r="J38" s="138">
        <v>0</v>
      </c>
    </row>
    <row r="39" spans="1:10" ht="15.75" hidden="1" thickBot="1" x14ac:dyDescent="0.3">
      <c r="A39" s="221"/>
      <c r="B39" s="223"/>
      <c r="C39" s="30" t="s">
        <v>27</v>
      </c>
      <c r="D39" s="30" t="s">
        <v>12</v>
      </c>
      <c r="E39" s="31">
        <v>0.1186</v>
      </c>
      <c r="F39" s="25">
        <v>18.933499999999999</v>
      </c>
      <c r="G39" s="28">
        <f t="shared" si="0"/>
        <v>2.2455130999999997</v>
      </c>
      <c r="H39" s="33">
        <f>SUM(G39:G40)</f>
        <v>6.5356475500000002</v>
      </c>
      <c r="I39" s="34"/>
      <c r="J39" s="138">
        <v>0</v>
      </c>
    </row>
    <row r="40" spans="1:10" ht="15.75" hidden="1" thickBot="1" x14ac:dyDescent="0.3">
      <c r="A40" s="221"/>
      <c r="B40" s="223"/>
      <c r="C40" s="30" t="s">
        <v>23</v>
      </c>
      <c r="D40" s="30" t="s">
        <v>12</v>
      </c>
      <c r="E40" s="31">
        <v>0.2329</v>
      </c>
      <c r="F40" s="25">
        <v>18.420500000000001</v>
      </c>
      <c r="G40" s="28">
        <f t="shared" si="0"/>
        <v>4.29013445</v>
      </c>
      <c r="H40" s="39"/>
      <c r="I40" s="40"/>
      <c r="J40" s="138">
        <v>0</v>
      </c>
    </row>
    <row r="41" spans="1:10" ht="15.75" hidden="1" thickBot="1" x14ac:dyDescent="0.3">
      <c r="A41" s="227"/>
      <c r="B41" s="224"/>
      <c r="C41" s="30"/>
      <c r="D41" s="30"/>
      <c r="E41" s="31"/>
      <c r="F41" s="25" t="s">
        <v>521</v>
      </c>
      <c r="G41" s="25" t="str">
        <f t="shared" si="0"/>
        <v/>
      </c>
      <c r="H41" s="29"/>
      <c r="I41" s="25"/>
      <c r="J41" s="138">
        <v>0</v>
      </c>
    </row>
    <row r="42" spans="1:10" ht="15.75" hidden="1" thickBot="1" x14ac:dyDescent="0.3">
      <c r="A42" s="220" t="s">
        <v>28</v>
      </c>
      <c r="B42" s="222" t="e">
        <f>INDEX(Orçamentária!A:B,MATCH(Composições!A42,Orçamentária!A:A,0),2)</f>
        <v>#N/A</v>
      </c>
      <c r="C42" s="35"/>
      <c r="D42" s="20" t="s">
        <v>95</v>
      </c>
      <c r="E42" s="21"/>
      <c r="F42" s="36" t="s">
        <v>521</v>
      </c>
      <c r="G42" s="22" t="str">
        <f t="shared" si="0"/>
        <v/>
      </c>
      <c r="H42" s="23"/>
      <c r="I42" s="24"/>
      <c r="J42" s="138">
        <v>0</v>
      </c>
    </row>
    <row r="43" spans="1:10" ht="15.75" hidden="1" thickBot="1" x14ac:dyDescent="0.3">
      <c r="A43" s="221"/>
      <c r="B43" s="223"/>
      <c r="C43" s="26"/>
      <c r="D43" s="26"/>
      <c r="E43" s="27"/>
      <c r="F43" s="37" t="s">
        <v>521</v>
      </c>
      <c r="G43" s="25" t="str">
        <f t="shared" si="0"/>
        <v/>
      </c>
      <c r="H43" s="29"/>
      <c r="I43" s="25"/>
      <c r="J43" s="138">
        <v>0</v>
      </c>
    </row>
    <row r="44" spans="1:10" ht="15.75" hidden="1" thickBot="1" x14ac:dyDescent="0.3">
      <c r="A44" s="221"/>
      <c r="B44" s="223"/>
      <c r="C44" s="30" t="s">
        <v>27</v>
      </c>
      <c r="D44" s="30" t="s">
        <v>12</v>
      </c>
      <c r="E44" s="31">
        <v>2.58E-2</v>
      </c>
      <c r="F44" s="25">
        <v>18.933499999999999</v>
      </c>
      <c r="G44" s="28">
        <f t="shared" si="0"/>
        <v>0.48848429999999998</v>
      </c>
      <c r="H44" s="33">
        <f>SUM(G44:G45)</f>
        <v>1.4224036500000001</v>
      </c>
      <c r="I44" s="34"/>
      <c r="J44" s="138">
        <v>0</v>
      </c>
    </row>
    <row r="45" spans="1:10" ht="15.75" hidden="1" thickBot="1" x14ac:dyDescent="0.3">
      <c r="A45" s="221"/>
      <c r="B45" s="223"/>
      <c r="C45" s="30" t="s">
        <v>23</v>
      </c>
      <c r="D45" s="30" t="s">
        <v>12</v>
      </c>
      <c r="E45" s="31">
        <v>5.0700000000000002E-2</v>
      </c>
      <c r="F45" s="25">
        <v>18.420500000000001</v>
      </c>
      <c r="G45" s="28">
        <f t="shared" si="0"/>
        <v>0.93391935000000004</v>
      </c>
      <c r="H45" s="29"/>
      <c r="I45" s="25"/>
      <c r="J45" s="138">
        <v>0</v>
      </c>
    </row>
    <row r="46" spans="1:10" ht="15.75" hidden="1" thickBot="1" x14ac:dyDescent="0.3">
      <c r="A46" s="227"/>
      <c r="B46" s="224"/>
      <c r="C46" s="30"/>
      <c r="D46" s="30"/>
      <c r="E46" s="31"/>
      <c r="F46" s="25" t="s">
        <v>521</v>
      </c>
      <c r="G46" s="25" t="str">
        <f t="shared" si="0"/>
        <v/>
      </c>
      <c r="H46" s="29"/>
      <c r="I46" s="25"/>
      <c r="J46" s="138">
        <v>0</v>
      </c>
    </row>
    <row r="47" spans="1:10" ht="15.75" hidden="1" thickBot="1" x14ac:dyDescent="0.3">
      <c r="A47" s="220" t="s">
        <v>29</v>
      </c>
      <c r="B47" s="222" t="e">
        <f>INDEX(Orçamentária!A:B,MATCH(Composições!A47,Orçamentária!A:A,0),2)</f>
        <v>#N/A</v>
      </c>
      <c r="C47" s="35"/>
      <c r="D47" s="20" t="s">
        <v>93</v>
      </c>
      <c r="E47" s="21"/>
      <c r="F47" s="36" t="s">
        <v>521</v>
      </c>
      <c r="G47" s="22" t="str">
        <f t="shared" si="0"/>
        <v/>
      </c>
      <c r="H47" s="23"/>
      <c r="I47" s="24"/>
      <c r="J47" s="138">
        <v>0</v>
      </c>
    </row>
    <row r="48" spans="1:10" ht="15.75" hidden="1" thickBot="1" x14ac:dyDescent="0.3">
      <c r="A48" s="221"/>
      <c r="B48" s="223"/>
      <c r="C48" s="26"/>
      <c r="D48" s="26"/>
      <c r="E48" s="27"/>
      <c r="F48" s="37" t="s">
        <v>521</v>
      </c>
      <c r="G48" s="25" t="str">
        <f t="shared" si="0"/>
        <v/>
      </c>
      <c r="H48" s="29"/>
      <c r="I48" s="25"/>
      <c r="J48" s="138">
        <v>0</v>
      </c>
    </row>
    <row r="49" spans="1:10" ht="15.75" hidden="1" thickBot="1" x14ac:dyDescent="0.3">
      <c r="A49" s="221"/>
      <c r="B49" s="223"/>
      <c r="C49" s="30" t="s">
        <v>30</v>
      </c>
      <c r="D49" s="30" t="s">
        <v>12</v>
      </c>
      <c r="E49" s="31">
        <f>ROUND(0.0096*5,4)</f>
        <v>4.8000000000000001E-2</v>
      </c>
      <c r="F49" s="25">
        <v>25.146499999999996</v>
      </c>
      <c r="G49" s="28">
        <f t="shared" si="0"/>
        <v>1.2070319999999999</v>
      </c>
      <c r="H49" s="33">
        <f>SUM(G49:G50)</f>
        <v>2.9385589999999997</v>
      </c>
      <c r="I49" s="34"/>
      <c r="J49" s="138">
        <v>0</v>
      </c>
    </row>
    <row r="50" spans="1:10" ht="15.75" hidden="1" thickBot="1" x14ac:dyDescent="0.3">
      <c r="A50" s="221"/>
      <c r="B50" s="223"/>
      <c r="C50" s="30" t="s">
        <v>23</v>
      </c>
      <c r="D50" s="30" t="s">
        <v>12</v>
      </c>
      <c r="E50" s="31">
        <f>ROUND(0.0188*5,4)</f>
        <v>9.4E-2</v>
      </c>
      <c r="F50" s="25">
        <v>18.420500000000001</v>
      </c>
      <c r="G50" s="28">
        <f t="shared" si="0"/>
        <v>1.731527</v>
      </c>
      <c r="H50" s="29"/>
      <c r="I50" s="25"/>
      <c r="J50" s="138">
        <v>0</v>
      </c>
    </row>
    <row r="51" spans="1:10" ht="15.75" hidden="1" thickBot="1" x14ac:dyDescent="0.3">
      <c r="A51" s="227"/>
      <c r="B51" s="224"/>
      <c r="C51" s="30"/>
      <c r="D51" s="30"/>
      <c r="E51" s="31"/>
      <c r="F51" s="25" t="s">
        <v>521</v>
      </c>
      <c r="G51" s="25" t="str">
        <f t="shared" si="0"/>
        <v/>
      </c>
      <c r="H51" s="29"/>
      <c r="I51" s="25"/>
      <c r="J51" s="138">
        <v>0</v>
      </c>
    </row>
    <row r="52" spans="1:10" ht="15.75" hidden="1" thickBot="1" x14ac:dyDescent="0.3">
      <c r="A52" s="220" t="s">
        <v>31</v>
      </c>
      <c r="B52" s="222" t="e">
        <f>INDEX(Orçamentária!A:B,MATCH(Composições!A52,Orçamentária!A:A,0),2)</f>
        <v>#N/A</v>
      </c>
      <c r="C52" s="35"/>
      <c r="D52" s="20" t="s">
        <v>95</v>
      </c>
      <c r="E52" s="21"/>
      <c r="F52" s="36" t="s">
        <v>521</v>
      </c>
      <c r="G52" s="22" t="str">
        <f t="shared" si="0"/>
        <v/>
      </c>
      <c r="H52" s="23"/>
      <c r="I52" s="24"/>
      <c r="J52" s="138">
        <v>0</v>
      </c>
    </row>
    <row r="53" spans="1:10" ht="15.75" hidden="1" thickBot="1" x14ac:dyDescent="0.3">
      <c r="A53" s="221"/>
      <c r="B53" s="223"/>
      <c r="C53" s="26"/>
      <c r="D53" s="26"/>
      <c r="E53" s="27"/>
      <c r="F53" s="37" t="s">
        <v>521</v>
      </c>
      <c r="G53" s="25" t="str">
        <f t="shared" si="0"/>
        <v/>
      </c>
      <c r="H53" s="29"/>
      <c r="I53" s="25"/>
      <c r="J53" s="138">
        <v>0</v>
      </c>
    </row>
    <row r="54" spans="1:10" ht="26.25" hidden="1" thickBot="1" x14ac:dyDescent="0.3">
      <c r="A54" s="221"/>
      <c r="B54" s="223"/>
      <c r="C54" s="30" t="s">
        <v>32</v>
      </c>
      <c r="D54" s="30" t="s">
        <v>33</v>
      </c>
      <c r="E54" s="31">
        <v>6.9900000000000004E-2</v>
      </c>
      <c r="F54" s="28">
        <v>22.001999999999999</v>
      </c>
      <c r="G54" s="28">
        <f t="shared" si="0"/>
        <v>1.5379398</v>
      </c>
      <c r="H54" s="33">
        <f>SUM(G54:G57)</f>
        <v>10.630728000000001</v>
      </c>
      <c r="I54" s="34"/>
      <c r="J54" s="138">
        <v>0</v>
      </c>
    </row>
    <row r="55" spans="1:10" ht="26.25" hidden="1" thickBot="1" x14ac:dyDescent="0.3">
      <c r="A55" s="221"/>
      <c r="B55" s="223"/>
      <c r="C55" s="30" t="s">
        <v>34</v>
      </c>
      <c r="D55" s="30" t="s">
        <v>35</v>
      </c>
      <c r="E55" s="31">
        <v>4.82E-2</v>
      </c>
      <c r="F55" s="28">
        <v>20.795500000000001</v>
      </c>
      <c r="G55" s="28">
        <f t="shared" si="0"/>
        <v>1.0023431</v>
      </c>
      <c r="H55" s="29"/>
      <c r="I55" s="25"/>
      <c r="J55" s="138">
        <v>0</v>
      </c>
    </row>
    <row r="56" spans="1:10" ht="15.75" hidden="1" thickBot="1" x14ac:dyDescent="0.3">
      <c r="A56" s="221"/>
      <c r="B56" s="223"/>
      <c r="C56" s="30" t="s">
        <v>36</v>
      </c>
      <c r="D56" s="30" t="s">
        <v>12</v>
      </c>
      <c r="E56" s="31">
        <v>0.1055</v>
      </c>
      <c r="F56" s="25">
        <v>24.795000000000002</v>
      </c>
      <c r="G56" s="28">
        <f t="shared" si="0"/>
        <v>2.6158725</v>
      </c>
      <c r="H56" s="29"/>
      <c r="I56" s="25"/>
      <c r="J56" s="138">
        <v>0</v>
      </c>
    </row>
    <row r="57" spans="1:10" ht="15.75" hidden="1" thickBot="1" x14ac:dyDescent="0.3">
      <c r="A57" s="221"/>
      <c r="B57" s="223"/>
      <c r="C57" s="30" t="s">
        <v>23</v>
      </c>
      <c r="D57" s="30" t="s">
        <v>12</v>
      </c>
      <c r="E57" s="31">
        <v>0.29720000000000002</v>
      </c>
      <c r="F57" s="25">
        <v>18.420500000000001</v>
      </c>
      <c r="G57" s="28">
        <f t="shared" si="0"/>
        <v>5.4745726000000001</v>
      </c>
      <c r="H57" s="29"/>
      <c r="I57" s="25"/>
      <c r="J57" s="138">
        <v>0</v>
      </c>
    </row>
    <row r="58" spans="1:10" ht="15.75" hidden="1" thickBot="1" x14ac:dyDescent="0.3">
      <c r="A58" s="227"/>
      <c r="B58" s="224"/>
      <c r="C58" s="30"/>
      <c r="D58" s="30"/>
      <c r="E58" s="31"/>
      <c r="F58" s="25" t="s">
        <v>521</v>
      </c>
      <c r="G58" s="25" t="str">
        <f t="shared" si="0"/>
        <v/>
      </c>
      <c r="H58" s="29"/>
      <c r="I58" s="25"/>
      <c r="J58" s="138">
        <v>0</v>
      </c>
    </row>
    <row r="59" spans="1:10" ht="15.75" hidden="1" thickBot="1" x14ac:dyDescent="0.3">
      <c r="A59" s="220" t="s">
        <v>37</v>
      </c>
      <c r="B59" s="222" t="e">
        <f>INDEX(Orçamentária!A:B,MATCH(Composições!A59,Orçamentária!A:A,0),2)</f>
        <v>#N/A</v>
      </c>
      <c r="C59" s="35"/>
      <c r="D59" s="20" t="s">
        <v>95</v>
      </c>
      <c r="E59" s="21"/>
      <c r="F59" s="36" t="s">
        <v>521</v>
      </c>
      <c r="G59" s="22" t="str">
        <f t="shared" si="0"/>
        <v/>
      </c>
      <c r="H59" s="23"/>
      <c r="I59" s="24"/>
      <c r="J59" s="138">
        <v>0</v>
      </c>
    </row>
    <row r="60" spans="1:10" ht="15.75" hidden="1" thickBot="1" x14ac:dyDescent="0.3">
      <c r="A60" s="221"/>
      <c r="B60" s="223"/>
      <c r="C60" s="26"/>
      <c r="D60" s="26"/>
      <c r="E60" s="27"/>
      <c r="F60" s="37" t="s">
        <v>521</v>
      </c>
      <c r="G60" s="25" t="str">
        <f t="shared" si="0"/>
        <v/>
      </c>
      <c r="H60" s="29"/>
      <c r="I60" s="25"/>
      <c r="J60" s="138">
        <v>0</v>
      </c>
    </row>
    <row r="61" spans="1:10" ht="15.75" hidden="1" thickBot="1" x14ac:dyDescent="0.3">
      <c r="A61" s="221"/>
      <c r="B61" s="223"/>
      <c r="C61" s="30" t="s">
        <v>22</v>
      </c>
      <c r="D61" s="30" t="s">
        <v>12</v>
      </c>
      <c r="E61" s="31">
        <v>3.7400000000000003E-2</v>
      </c>
      <c r="F61" s="25">
        <v>24.889999999999997</v>
      </c>
      <c r="G61" s="28">
        <f t="shared" si="0"/>
        <v>0.93088599999999999</v>
      </c>
      <c r="H61" s="33">
        <f>SUM(G61:G62)</f>
        <v>2.8705646499999999</v>
      </c>
      <c r="I61" s="34"/>
      <c r="J61" s="138">
        <v>0</v>
      </c>
    </row>
    <row r="62" spans="1:10" ht="15.75" hidden="1" thickBot="1" x14ac:dyDescent="0.3">
      <c r="A62" s="221"/>
      <c r="B62" s="223"/>
      <c r="C62" s="30" t="s">
        <v>23</v>
      </c>
      <c r="D62" s="30" t="s">
        <v>12</v>
      </c>
      <c r="E62" s="31">
        <v>0.1053</v>
      </c>
      <c r="F62" s="25">
        <v>18.420500000000001</v>
      </c>
      <c r="G62" s="28">
        <f t="shared" si="0"/>
        <v>1.9396786500000001</v>
      </c>
      <c r="H62" s="29"/>
      <c r="I62" s="25"/>
      <c r="J62" s="138">
        <v>0</v>
      </c>
    </row>
    <row r="63" spans="1:10" ht="15.75" hidden="1" thickBot="1" x14ac:dyDescent="0.3">
      <c r="A63" s="227"/>
      <c r="B63" s="224"/>
      <c r="C63" s="30"/>
      <c r="D63" s="30"/>
      <c r="E63" s="31"/>
      <c r="F63" s="25" t="s">
        <v>521</v>
      </c>
      <c r="G63" s="25" t="str">
        <f t="shared" si="0"/>
        <v/>
      </c>
      <c r="H63" s="29"/>
      <c r="I63" s="25"/>
      <c r="J63" s="138">
        <v>0</v>
      </c>
    </row>
    <row r="64" spans="1:10" ht="15.75" hidden="1" thickBot="1" x14ac:dyDescent="0.3">
      <c r="A64" s="220" t="s">
        <v>38</v>
      </c>
      <c r="B64" s="222" t="e">
        <f>INDEX(Orçamentária!A:B,MATCH(Composições!A64,Orçamentária!A:A,0),2)</f>
        <v>#N/A</v>
      </c>
      <c r="C64" s="35"/>
      <c r="D64" s="20" t="s">
        <v>93</v>
      </c>
      <c r="E64" s="21"/>
      <c r="F64" s="36" t="s">
        <v>521</v>
      </c>
      <c r="G64" s="22" t="str">
        <f t="shared" si="0"/>
        <v/>
      </c>
      <c r="H64" s="23"/>
      <c r="I64" s="24"/>
      <c r="J64" s="138">
        <v>0</v>
      </c>
    </row>
    <row r="65" spans="1:10" ht="15.75" hidden="1" thickBot="1" x14ac:dyDescent="0.3">
      <c r="A65" s="221"/>
      <c r="B65" s="223"/>
      <c r="C65" s="26"/>
      <c r="D65" s="26"/>
      <c r="E65" s="27"/>
      <c r="F65" s="37" t="s">
        <v>521</v>
      </c>
      <c r="G65" s="25" t="str">
        <f t="shared" si="0"/>
        <v/>
      </c>
      <c r="H65" s="29"/>
      <c r="I65" s="25"/>
      <c r="J65" s="138">
        <v>0</v>
      </c>
    </row>
    <row r="66" spans="1:10" ht="15.75" hidden="1" thickBot="1" x14ac:dyDescent="0.3">
      <c r="A66" s="221"/>
      <c r="B66" s="223"/>
      <c r="C66" s="30" t="s">
        <v>39</v>
      </c>
      <c r="D66" s="41" t="s">
        <v>12</v>
      </c>
      <c r="E66" s="31">
        <v>7.1000000000000004E-3</v>
      </c>
      <c r="F66" s="25">
        <v>24.300999999999998</v>
      </c>
      <c r="G66" s="28">
        <f t="shared" si="0"/>
        <v>0.1725371</v>
      </c>
      <c r="H66" s="33">
        <f>SUM(G66:G67)</f>
        <v>0.43042410000000003</v>
      </c>
      <c r="I66" s="34"/>
      <c r="J66" s="138">
        <v>0</v>
      </c>
    </row>
    <row r="67" spans="1:10" ht="15.75" hidden="1" thickBot="1" x14ac:dyDescent="0.3">
      <c r="A67" s="221"/>
      <c r="B67" s="223"/>
      <c r="C67" s="30" t="s">
        <v>23</v>
      </c>
      <c r="D67" s="41" t="s">
        <v>12</v>
      </c>
      <c r="E67" s="31">
        <v>1.4E-2</v>
      </c>
      <c r="F67" s="25">
        <v>18.420500000000001</v>
      </c>
      <c r="G67" s="28">
        <f t="shared" si="0"/>
        <v>0.25788700000000003</v>
      </c>
      <c r="H67" s="29"/>
      <c r="I67" s="25"/>
      <c r="J67" s="138">
        <v>0</v>
      </c>
    </row>
    <row r="68" spans="1:10" ht="15.75" hidden="1" thickBot="1" x14ac:dyDescent="0.3">
      <c r="A68" s="227"/>
      <c r="B68" s="224"/>
      <c r="C68" s="30"/>
      <c r="D68" s="30"/>
      <c r="E68" s="31"/>
      <c r="F68" s="25" t="s">
        <v>521</v>
      </c>
      <c r="G68" s="25" t="str">
        <f t="shared" si="0"/>
        <v/>
      </c>
      <c r="H68" s="29"/>
      <c r="I68" s="25"/>
      <c r="J68" s="138">
        <v>0</v>
      </c>
    </row>
    <row r="69" spans="1:10" ht="15.75" hidden="1" thickBot="1" x14ac:dyDescent="0.3">
      <c r="A69" s="220" t="s">
        <v>40</v>
      </c>
      <c r="B69" s="222" t="e">
        <f>INDEX(Orçamentária!A:B,MATCH(Composições!A69,Orçamentária!A:A,0),2)</f>
        <v>#N/A</v>
      </c>
      <c r="C69" s="35"/>
      <c r="D69" s="20" t="s">
        <v>109</v>
      </c>
      <c r="E69" s="21"/>
      <c r="F69" s="36" t="s">
        <v>521</v>
      </c>
      <c r="G69" s="22" t="str">
        <f t="shared" si="0"/>
        <v/>
      </c>
      <c r="H69" s="23"/>
      <c r="I69" s="24"/>
      <c r="J69" s="138">
        <v>0</v>
      </c>
    </row>
    <row r="70" spans="1:10" ht="15.75" hidden="1" thickBot="1" x14ac:dyDescent="0.3">
      <c r="A70" s="221"/>
      <c r="B70" s="223"/>
      <c r="C70" s="26"/>
      <c r="D70" s="26"/>
      <c r="E70" s="27"/>
      <c r="F70" s="37" t="s">
        <v>521</v>
      </c>
      <c r="G70" s="25" t="str">
        <f t="shared" ref="G70:G133" si="1">IF(ISNUMBER(F70),E70*F70,"")</f>
        <v/>
      </c>
      <c r="H70" s="29"/>
      <c r="I70" s="25"/>
      <c r="J70" s="138">
        <v>0</v>
      </c>
    </row>
    <row r="71" spans="1:10" ht="26.25" hidden="1" thickBot="1" x14ac:dyDescent="0.3">
      <c r="A71" s="221"/>
      <c r="B71" s="223"/>
      <c r="C71" s="30" t="s">
        <v>32</v>
      </c>
      <c r="D71" s="30" t="s">
        <v>33</v>
      </c>
      <c r="E71" s="31">
        <v>3.2467999999999999</v>
      </c>
      <c r="F71" s="28">
        <v>22.001999999999999</v>
      </c>
      <c r="G71" s="28">
        <f t="shared" si="1"/>
        <v>71.436093599999992</v>
      </c>
      <c r="H71" s="33">
        <f>SUM(G71:G75)</f>
        <v>247.8738252</v>
      </c>
      <c r="I71" s="34"/>
      <c r="J71" s="138">
        <v>0</v>
      </c>
    </row>
    <row r="72" spans="1:10" ht="26.25" hidden="1" thickBot="1" x14ac:dyDescent="0.3">
      <c r="A72" s="221"/>
      <c r="B72" s="223"/>
      <c r="C72" s="30" t="s">
        <v>34</v>
      </c>
      <c r="D72" s="30" t="s">
        <v>35</v>
      </c>
      <c r="E72" s="31">
        <v>0.92020000000000002</v>
      </c>
      <c r="F72" s="28">
        <v>20.795500000000001</v>
      </c>
      <c r="G72" s="28">
        <f t="shared" si="1"/>
        <v>19.136019100000002</v>
      </c>
      <c r="H72" s="29"/>
      <c r="I72" s="25"/>
      <c r="J72" s="138">
        <v>0</v>
      </c>
    </row>
    <row r="73" spans="1:10" ht="26.25" hidden="1" thickBot="1" x14ac:dyDescent="0.3">
      <c r="A73" s="221"/>
      <c r="B73" s="223"/>
      <c r="C73" s="30" t="s">
        <v>41</v>
      </c>
      <c r="D73" s="30" t="s">
        <v>42</v>
      </c>
      <c r="E73" s="31">
        <v>0.28349999999999997</v>
      </c>
      <c r="F73" s="28">
        <v>71.525500000000008</v>
      </c>
      <c r="G73" s="25">
        <f t="shared" si="1"/>
        <v>20.277479249999999</v>
      </c>
      <c r="H73" s="29"/>
      <c r="I73" s="25"/>
      <c r="J73" s="138">
        <v>0</v>
      </c>
    </row>
    <row r="74" spans="1:10" ht="15.75" hidden="1" thickBot="1" x14ac:dyDescent="0.3">
      <c r="A74" s="221"/>
      <c r="B74" s="223"/>
      <c r="C74" s="30" t="s">
        <v>22</v>
      </c>
      <c r="D74" s="30" t="s">
        <v>12</v>
      </c>
      <c r="E74" s="31">
        <v>0.63660000000000005</v>
      </c>
      <c r="F74" s="25">
        <v>24.889999999999997</v>
      </c>
      <c r="G74" s="28">
        <f t="shared" si="1"/>
        <v>15.844973999999999</v>
      </c>
      <c r="H74" s="29"/>
      <c r="I74" s="25"/>
      <c r="J74" s="138">
        <v>0</v>
      </c>
    </row>
    <row r="75" spans="1:10" ht="15.75" hidden="1" thickBot="1" x14ac:dyDescent="0.3">
      <c r="A75" s="221"/>
      <c r="B75" s="223"/>
      <c r="C75" s="30" t="s">
        <v>23</v>
      </c>
      <c r="D75" s="30" t="s">
        <v>12</v>
      </c>
      <c r="E75" s="31">
        <v>6.5785</v>
      </c>
      <c r="F75" s="25">
        <v>18.420500000000001</v>
      </c>
      <c r="G75" s="28">
        <f t="shared" si="1"/>
        <v>121.17925925</v>
      </c>
      <c r="H75" s="29"/>
      <c r="I75" s="25"/>
      <c r="J75" s="138">
        <v>0</v>
      </c>
    </row>
    <row r="76" spans="1:10" ht="15.75" hidden="1" thickBot="1" x14ac:dyDescent="0.3">
      <c r="A76" s="227"/>
      <c r="B76" s="224"/>
      <c r="C76" s="30"/>
      <c r="D76" s="30"/>
      <c r="E76" s="31"/>
      <c r="F76" s="25" t="s">
        <v>521</v>
      </c>
      <c r="G76" s="25" t="str">
        <f t="shared" si="1"/>
        <v/>
      </c>
      <c r="H76" s="29"/>
      <c r="I76" s="25"/>
      <c r="J76" s="138">
        <v>0</v>
      </c>
    </row>
    <row r="77" spans="1:10" ht="15.75" hidden="1" thickBot="1" x14ac:dyDescent="0.3">
      <c r="A77" s="236" t="s">
        <v>43</v>
      </c>
      <c r="B77" s="222" t="e">
        <f>INDEX(Orçamentária!A:B,MATCH(Composições!A77,Orçamentária!A:A,0),2)</f>
        <v>#N/A</v>
      </c>
      <c r="C77" s="35"/>
      <c r="D77" s="20" t="s">
        <v>95</v>
      </c>
      <c r="E77" s="21"/>
      <c r="F77" s="36" t="s">
        <v>521</v>
      </c>
      <c r="G77" s="22" t="str">
        <f t="shared" si="1"/>
        <v/>
      </c>
      <c r="H77" s="23"/>
      <c r="I77" s="24"/>
      <c r="J77" s="138">
        <v>0</v>
      </c>
    </row>
    <row r="78" spans="1:10" ht="15.75" hidden="1" thickBot="1" x14ac:dyDescent="0.3">
      <c r="A78" s="237"/>
      <c r="B78" s="223"/>
      <c r="C78" s="26"/>
      <c r="D78" s="26"/>
      <c r="E78" s="27"/>
      <c r="F78" s="37" t="s">
        <v>521</v>
      </c>
      <c r="G78" s="25" t="str">
        <f t="shared" si="1"/>
        <v/>
      </c>
      <c r="H78" s="29"/>
      <c r="I78" s="25"/>
      <c r="J78" s="138">
        <v>0</v>
      </c>
    </row>
    <row r="79" spans="1:10" ht="15.75" hidden="1" thickBot="1" x14ac:dyDescent="0.3">
      <c r="A79" s="237"/>
      <c r="B79" s="223"/>
      <c r="C79" s="30" t="s">
        <v>44</v>
      </c>
      <c r="D79" s="30" t="s">
        <v>12</v>
      </c>
      <c r="E79" s="31">
        <v>0.35</v>
      </c>
      <c r="F79" s="25">
        <v>23.616999999999997</v>
      </c>
      <c r="G79" s="28">
        <f t="shared" si="1"/>
        <v>8.2659499999999984</v>
      </c>
      <c r="H79" s="33">
        <f>SUM(G79:G80)</f>
        <v>14.713124999999998</v>
      </c>
      <c r="I79" s="34"/>
      <c r="J79" s="138">
        <v>0</v>
      </c>
    </row>
    <row r="80" spans="1:10" ht="15.75" hidden="1" thickBot="1" x14ac:dyDescent="0.3">
      <c r="A80" s="237"/>
      <c r="B80" s="223"/>
      <c r="C80" s="30" t="s">
        <v>23</v>
      </c>
      <c r="D80" s="30" t="s">
        <v>12</v>
      </c>
      <c r="E80" s="31">
        <v>0.35</v>
      </c>
      <c r="F80" s="25">
        <v>18.420500000000001</v>
      </c>
      <c r="G80" s="28">
        <f t="shared" si="1"/>
        <v>6.4471749999999997</v>
      </c>
      <c r="H80" s="39"/>
      <c r="I80" s="40"/>
      <c r="J80" s="138">
        <v>0</v>
      </c>
    </row>
    <row r="81" spans="1:10" ht="15.75" hidden="1" thickBot="1" x14ac:dyDescent="0.3">
      <c r="A81" s="237"/>
      <c r="B81" s="223"/>
      <c r="C81" s="30"/>
      <c r="D81" s="30"/>
      <c r="E81" s="31"/>
      <c r="F81" s="25" t="s">
        <v>521</v>
      </c>
      <c r="G81" s="25" t="str">
        <f t="shared" si="1"/>
        <v/>
      </c>
      <c r="H81" s="29"/>
      <c r="I81" s="25"/>
      <c r="J81" s="138">
        <v>0</v>
      </c>
    </row>
    <row r="82" spans="1:10" ht="15.75" hidden="1" thickBot="1" x14ac:dyDescent="0.3">
      <c r="A82" s="220" t="s">
        <v>45</v>
      </c>
      <c r="B82" s="222" t="e">
        <f>INDEX(Orçamentária!A:B,MATCH(Composições!A82,Orçamentária!A:A,0),2)</f>
        <v>#N/A</v>
      </c>
      <c r="C82" s="35"/>
      <c r="D82" s="20" t="s">
        <v>95</v>
      </c>
      <c r="E82" s="21"/>
      <c r="F82" s="36" t="s">
        <v>521</v>
      </c>
      <c r="G82" s="22" t="str">
        <f t="shared" si="1"/>
        <v/>
      </c>
      <c r="H82" s="23"/>
      <c r="I82" s="24"/>
      <c r="J82" s="138">
        <v>0</v>
      </c>
    </row>
    <row r="83" spans="1:10" ht="15.75" hidden="1" thickBot="1" x14ac:dyDescent="0.3">
      <c r="A83" s="221"/>
      <c r="B83" s="223"/>
      <c r="C83" s="26"/>
      <c r="D83" s="26"/>
      <c r="E83" s="27"/>
      <c r="F83" s="37" t="s">
        <v>521</v>
      </c>
      <c r="G83" s="25" t="str">
        <f t="shared" si="1"/>
        <v/>
      </c>
      <c r="H83" s="29"/>
      <c r="I83" s="25"/>
      <c r="J83" s="138">
        <v>0</v>
      </c>
    </row>
    <row r="84" spans="1:10" ht="15.75" hidden="1" thickBot="1" x14ac:dyDescent="0.3">
      <c r="A84" s="221"/>
      <c r="B84" s="223"/>
      <c r="C84" s="30" t="s">
        <v>22</v>
      </c>
      <c r="D84" s="30" t="s">
        <v>12</v>
      </c>
      <c r="E84" s="31">
        <v>0.15</v>
      </c>
      <c r="F84" s="25">
        <v>24.889999999999997</v>
      </c>
      <c r="G84" s="28">
        <f t="shared" si="1"/>
        <v>3.7334999999999994</v>
      </c>
      <c r="H84" s="33">
        <f>SUM(G84:G85)</f>
        <v>22.154</v>
      </c>
      <c r="I84" s="34"/>
      <c r="J84" s="138">
        <v>0</v>
      </c>
    </row>
    <row r="85" spans="1:10" ht="15.75" hidden="1" thickBot="1" x14ac:dyDescent="0.3">
      <c r="A85" s="221"/>
      <c r="B85" s="223"/>
      <c r="C85" s="30" t="s">
        <v>23</v>
      </c>
      <c r="D85" s="30" t="s">
        <v>12</v>
      </c>
      <c r="E85" s="31">
        <v>1</v>
      </c>
      <c r="F85" s="25">
        <v>18.420500000000001</v>
      </c>
      <c r="G85" s="28">
        <f t="shared" si="1"/>
        <v>18.420500000000001</v>
      </c>
      <c r="H85" s="29"/>
      <c r="I85" s="25"/>
      <c r="J85" s="138">
        <v>0</v>
      </c>
    </row>
    <row r="86" spans="1:10" ht="15.75" hidden="1" thickBot="1" x14ac:dyDescent="0.3">
      <c r="A86" s="227"/>
      <c r="B86" s="224"/>
      <c r="C86" s="30"/>
      <c r="D86" s="30"/>
      <c r="E86" s="31"/>
      <c r="F86" s="25" t="s">
        <v>521</v>
      </c>
      <c r="G86" s="25" t="str">
        <f t="shared" si="1"/>
        <v/>
      </c>
      <c r="H86" s="29"/>
      <c r="I86" s="25"/>
      <c r="J86" s="138">
        <v>0</v>
      </c>
    </row>
    <row r="87" spans="1:10" ht="15.75" hidden="1" thickBot="1" x14ac:dyDescent="0.3">
      <c r="A87" s="220" t="s">
        <v>46</v>
      </c>
      <c r="B87" s="222" t="e">
        <f>INDEX(Orçamentária!A:B,MATCH(Composições!A87,Orçamentária!A:A,0),2)</f>
        <v>#N/A</v>
      </c>
      <c r="C87" s="35"/>
      <c r="D87" s="20" t="s">
        <v>20</v>
      </c>
      <c r="E87" s="21"/>
      <c r="F87" s="36" t="s">
        <v>521</v>
      </c>
      <c r="G87" s="22" t="str">
        <f t="shared" si="1"/>
        <v/>
      </c>
      <c r="H87" s="23"/>
      <c r="I87" s="24"/>
      <c r="J87" s="138">
        <v>0</v>
      </c>
    </row>
    <row r="88" spans="1:10" ht="15.75" hidden="1" thickBot="1" x14ac:dyDescent="0.3">
      <c r="A88" s="221"/>
      <c r="B88" s="223"/>
      <c r="C88" s="26"/>
      <c r="D88" s="26"/>
      <c r="E88" s="27"/>
      <c r="F88" s="37" t="s">
        <v>521</v>
      </c>
      <c r="G88" s="25" t="str">
        <f t="shared" si="1"/>
        <v/>
      </c>
      <c r="H88" s="29"/>
      <c r="I88" s="25"/>
      <c r="J88" s="138">
        <v>0</v>
      </c>
    </row>
    <row r="89" spans="1:10" ht="15.75" hidden="1" thickBot="1" x14ac:dyDescent="0.3">
      <c r="A89" s="221"/>
      <c r="B89" s="223"/>
      <c r="C89" s="30" t="s">
        <v>22</v>
      </c>
      <c r="D89" s="30" t="s">
        <v>12</v>
      </c>
      <c r="E89" s="31">
        <f>0.08/2</f>
        <v>0.04</v>
      </c>
      <c r="F89" s="25">
        <v>24.889999999999997</v>
      </c>
      <c r="G89" s="28">
        <f t="shared" si="1"/>
        <v>0.99559999999999993</v>
      </c>
      <c r="H89" s="33">
        <f>SUM(G89:G90)</f>
        <v>8.3638000000000012</v>
      </c>
      <c r="I89" s="34"/>
      <c r="J89" s="138">
        <v>0</v>
      </c>
    </row>
    <row r="90" spans="1:10" ht="15.75" hidden="1" thickBot="1" x14ac:dyDescent="0.3">
      <c r="A90" s="221"/>
      <c r="B90" s="223"/>
      <c r="C90" s="30" t="s">
        <v>23</v>
      </c>
      <c r="D90" s="30" t="s">
        <v>12</v>
      </c>
      <c r="E90" s="31">
        <f>0.8/2</f>
        <v>0.4</v>
      </c>
      <c r="F90" s="25">
        <v>18.420500000000001</v>
      </c>
      <c r="G90" s="28">
        <f t="shared" si="1"/>
        <v>7.3682000000000007</v>
      </c>
      <c r="H90" s="29"/>
      <c r="I90" s="25"/>
      <c r="J90" s="138">
        <v>0</v>
      </c>
    </row>
    <row r="91" spans="1:10" ht="15.75" hidden="1" thickBot="1" x14ac:dyDescent="0.3">
      <c r="A91" s="221"/>
      <c r="B91" s="223"/>
      <c r="C91" s="30"/>
      <c r="D91" s="30"/>
      <c r="E91" s="31"/>
      <c r="F91" s="28" t="s">
        <v>521</v>
      </c>
      <c r="G91" s="28" t="str">
        <f t="shared" si="1"/>
        <v/>
      </c>
      <c r="H91" s="29"/>
      <c r="I91" s="25"/>
      <c r="J91" s="138">
        <v>0</v>
      </c>
    </row>
    <row r="92" spans="1:10" ht="15.75" hidden="1" thickBot="1" x14ac:dyDescent="0.3">
      <c r="A92" s="220" t="s">
        <v>47</v>
      </c>
      <c r="B92" s="222" t="e">
        <f>INDEX(Orçamentária!A:B,MATCH(Composições!A92,Orçamentária!A:A,0),2)</f>
        <v>#N/A</v>
      </c>
      <c r="C92" s="35"/>
      <c r="D92" s="20" t="s">
        <v>93</v>
      </c>
      <c r="E92" s="21"/>
      <c r="F92" s="36" t="s">
        <v>521</v>
      </c>
      <c r="G92" s="22" t="str">
        <f t="shared" si="1"/>
        <v/>
      </c>
      <c r="H92" s="23"/>
      <c r="I92" s="24"/>
      <c r="J92" s="138">
        <v>0</v>
      </c>
    </row>
    <row r="93" spans="1:10" ht="15.75" hidden="1" thickBot="1" x14ac:dyDescent="0.3">
      <c r="A93" s="221"/>
      <c r="B93" s="223"/>
      <c r="C93" s="26"/>
      <c r="D93" s="26"/>
      <c r="E93" s="27"/>
      <c r="F93" s="37" t="s">
        <v>521</v>
      </c>
      <c r="G93" s="25" t="str">
        <f t="shared" si="1"/>
        <v/>
      </c>
      <c r="H93" s="29"/>
      <c r="I93" s="25"/>
      <c r="J93" s="138">
        <v>0</v>
      </c>
    </row>
    <row r="94" spans="1:10" ht="15.75" hidden="1" thickBot="1" x14ac:dyDescent="0.3">
      <c r="A94" s="221"/>
      <c r="B94" s="223"/>
      <c r="C94" s="30" t="s">
        <v>30</v>
      </c>
      <c r="D94" s="41" t="s">
        <v>12</v>
      </c>
      <c r="E94" s="31">
        <f>0.75*0.1</f>
        <v>7.5000000000000011E-2</v>
      </c>
      <c r="F94" s="25">
        <v>25.146499999999996</v>
      </c>
      <c r="G94" s="28">
        <f t="shared" si="1"/>
        <v>1.8859874999999999</v>
      </c>
      <c r="H94" s="33">
        <f>SUM(G94:G95)</f>
        <v>4.6490625000000003</v>
      </c>
      <c r="I94" s="34"/>
      <c r="J94" s="138">
        <v>0</v>
      </c>
    </row>
    <row r="95" spans="1:10" ht="15.75" hidden="1" thickBot="1" x14ac:dyDescent="0.3">
      <c r="A95" s="221"/>
      <c r="B95" s="223"/>
      <c r="C95" s="30" t="s">
        <v>23</v>
      </c>
      <c r="D95" s="41" t="s">
        <v>12</v>
      </c>
      <c r="E95" s="31">
        <f>0.75*0.2</f>
        <v>0.15000000000000002</v>
      </c>
      <c r="F95" s="25">
        <v>18.420500000000001</v>
      </c>
      <c r="G95" s="28">
        <f t="shared" si="1"/>
        <v>2.7630750000000006</v>
      </c>
      <c r="H95" s="29"/>
      <c r="I95" s="25"/>
      <c r="J95" s="138">
        <v>0</v>
      </c>
    </row>
    <row r="96" spans="1:10" ht="15.75" hidden="1" thickBot="1" x14ac:dyDescent="0.3">
      <c r="A96" s="227"/>
      <c r="B96" s="224"/>
      <c r="C96" s="30"/>
      <c r="D96" s="30"/>
      <c r="E96" s="31"/>
      <c r="F96" s="25" t="s">
        <v>521</v>
      </c>
      <c r="G96" s="25" t="str">
        <f t="shared" si="1"/>
        <v/>
      </c>
      <c r="H96" s="29"/>
      <c r="I96" s="25"/>
      <c r="J96" s="138">
        <v>0</v>
      </c>
    </row>
    <row r="97" spans="1:10" ht="15.75" hidden="1" thickBot="1" x14ac:dyDescent="0.3">
      <c r="A97" s="220" t="s">
        <v>48</v>
      </c>
      <c r="B97" s="222" t="e">
        <f>INDEX(Orçamentária!A:B,MATCH(Composições!A97,Orçamentária!A:A,0),2)</f>
        <v>#N/A</v>
      </c>
      <c r="C97" s="35"/>
      <c r="D97" s="20" t="s">
        <v>95</v>
      </c>
      <c r="E97" s="21"/>
      <c r="F97" s="36" t="s">
        <v>521</v>
      </c>
      <c r="G97" s="22" t="str">
        <f t="shared" si="1"/>
        <v/>
      </c>
      <c r="H97" s="23"/>
      <c r="I97" s="24"/>
      <c r="J97" s="138">
        <v>0</v>
      </c>
    </row>
    <row r="98" spans="1:10" ht="15.75" hidden="1" thickBot="1" x14ac:dyDescent="0.3">
      <c r="A98" s="221"/>
      <c r="B98" s="223"/>
      <c r="C98" s="26"/>
      <c r="D98" s="26"/>
      <c r="E98" s="27"/>
      <c r="F98" s="37" t="s">
        <v>521</v>
      </c>
      <c r="G98" s="25" t="str">
        <f t="shared" si="1"/>
        <v/>
      </c>
      <c r="H98" s="29"/>
      <c r="I98" s="25"/>
      <c r="J98" s="138">
        <v>0</v>
      </c>
    </row>
    <row r="99" spans="1:10" ht="15.75" hidden="1" thickBot="1" x14ac:dyDescent="0.3">
      <c r="A99" s="221"/>
      <c r="B99" s="223"/>
      <c r="C99" s="30" t="s">
        <v>22</v>
      </c>
      <c r="D99" s="30" t="s">
        <v>12</v>
      </c>
      <c r="E99" s="31">
        <v>0.01</v>
      </c>
      <c r="F99" s="25">
        <v>24.889999999999997</v>
      </c>
      <c r="G99" s="28">
        <f t="shared" si="1"/>
        <v>0.24889999999999998</v>
      </c>
      <c r="H99" s="33">
        <f>SUM(G99:G100)</f>
        <v>2.0909500000000003</v>
      </c>
      <c r="I99" s="34"/>
      <c r="J99" s="138">
        <v>0</v>
      </c>
    </row>
    <row r="100" spans="1:10" ht="15.75" hidden="1" thickBot="1" x14ac:dyDescent="0.3">
      <c r="A100" s="221"/>
      <c r="B100" s="223"/>
      <c r="C100" s="30" t="s">
        <v>23</v>
      </c>
      <c r="D100" s="30" t="s">
        <v>12</v>
      </c>
      <c r="E100" s="31">
        <v>0.1</v>
      </c>
      <c r="F100" s="25">
        <v>18.420500000000001</v>
      </c>
      <c r="G100" s="28">
        <f t="shared" si="1"/>
        <v>1.8420500000000002</v>
      </c>
      <c r="H100" s="29"/>
      <c r="I100" s="25"/>
      <c r="J100" s="138">
        <v>0</v>
      </c>
    </row>
    <row r="101" spans="1:10" ht="15.75" hidden="1" thickBot="1" x14ac:dyDescent="0.3">
      <c r="A101" s="227"/>
      <c r="B101" s="224"/>
      <c r="C101" s="30"/>
      <c r="D101" s="30"/>
      <c r="E101" s="31"/>
      <c r="F101" s="25" t="s">
        <v>521</v>
      </c>
      <c r="G101" s="25" t="str">
        <f t="shared" si="1"/>
        <v/>
      </c>
      <c r="H101" s="29"/>
      <c r="I101" s="25"/>
      <c r="J101" s="138">
        <v>0</v>
      </c>
    </row>
    <row r="102" spans="1:10" ht="15.75" hidden="1" thickBot="1" x14ac:dyDescent="0.3">
      <c r="A102" s="220" t="s">
        <v>49</v>
      </c>
      <c r="B102" s="222" t="e">
        <f>INDEX(Orçamentária!A:B,MATCH(Composições!A102,Orçamentária!A:A,0),2)</f>
        <v>#N/A</v>
      </c>
      <c r="C102" s="35"/>
      <c r="D102" s="20" t="s">
        <v>93</v>
      </c>
      <c r="E102" s="21"/>
      <c r="F102" s="36" t="s">
        <v>521</v>
      </c>
      <c r="G102" s="22" t="str">
        <f t="shared" si="1"/>
        <v/>
      </c>
      <c r="H102" s="23"/>
      <c r="I102" s="24"/>
      <c r="J102" s="138">
        <v>0</v>
      </c>
    </row>
    <row r="103" spans="1:10" ht="15.75" hidden="1" thickBot="1" x14ac:dyDescent="0.3">
      <c r="A103" s="221"/>
      <c r="B103" s="223"/>
      <c r="C103" s="26"/>
      <c r="D103" s="26"/>
      <c r="E103" s="27"/>
      <c r="F103" s="37" t="s">
        <v>521</v>
      </c>
      <c r="G103" s="25" t="str">
        <f t="shared" si="1"/>
        <v/>
      </c>
      <c r="H103" s="29"/>
      <c r="I103" s="25"/>
      <c r="J103" s="138">
        <v>0</v>
      </c>
    </row>
    <row r="104" spans="1:10" ht="15.75" hidden="1" thickBot="1" x14ac:dyDescent="0.3">
      <c r="A104" s="221"/>
      <c r="B104" s="223"/>
      <c r="C104" s="30" t="s">
        <v>50</v>
      </c>
      <c r="D104" s="30" t="s">
        <v>12</v>
      </c>
      <c r="E104" s="31">
        <f>ROUND(1/6,4)</f>
        <v>0.16669999999999999</v>
      </c>
      <c r="F104" s="25">
        <v>19.474999999999998</v>
      </c>
      <c r="G104" s="28">
        <f t="shared" si="1"/>
        <v>3.2464824999999995</v>
      </c>
      <c r="H104" s="33">
        <f>SUM(G104:G104)</f>
        <v>3.2464824999999995</v>
      </c>
      <c r="I104" s="34"/>
      <c r="J104" s="138">
        <v>0</v>
      </c>
    </row>
    <row r="105" spans="1:10" ht="15.75" hidden="1" thickBot="1" x14ac:dyDescent="0.3">
      <c r="A105" s="227"/>
      <c r="B105" s="224"/>
      <c r="C105" s="30"/>
      <c r="D105" s="30"/>
      <c r="E105" s="31"/>
      <c r="F105" s="25" t="s">
        <v>521</v>
      </c>
      <c r="G105" s="25" t="str">
        <f t="shared" si="1"/>
        <v/>
      </c>
      <c r="H105" s="29"/>
      <c r="I105" s="25"/>
      <c r="J105" s="138">
        <v>0</v>
      </c>
    </row>
    <row r="106" spans="1:10" ht="15.75" hidden="1" thickBot="1" x14ac:dyDescent="0.3">
      <c r="A106" s="220" t="s">
        <v>51</v>
      </c>
      <c r="B106" s="222" t="e">
        <f>INDEX(Orçamentária!A:B,MATCH(Composições!A106,Orçamentária!A:A,0),2)</f>
        <v>#N/A</v>
      </c>
      <c r="C106" s="35"/>
      <c r="D106" s="20" t="s">
        <v>20</v>
      </c>
      <c r="E106" s="21"/>
      <c r="F106" s="36" t="s">
        <v>521</v>
      </c>
      <c r="G106" s="22" t="str">
        <f t="shared" si="1"/>
        <v/>
      </c>
      <c r="H106" s="23"/>
      <c r="I106" s="24"/>
      <c r="J106" s="138">
        <v>0</v>
      </c>
    </row>
    <row r="107" spans="1:10" ht="15.75" hidden="1" thickBot="1" x14ac:dyDescent="0.3">
      <c r="A107" s="221"/>
      <c r="B107" s="223"/>
      <c r="C107" s="26"/>
      <c r="D107" s="26"/>
      <c r="E107" s="27"/>
      <c r="F107" s="37" t="s">
        <v>521</v>
      </c>
      <c r="G107" s="25" t="str">
        <f t="shared" si="1"/>
        <v/>
      </c>
      <c r="H107" s="29"/>
      <c r="I107" s="25"/>
      <c r="J107" s="138">
        <v>0</v>
      </c>
    </row>
    <row r="108" spans="1:10" ht="15.75" hidden="1" thickBot="1" x14ac:dyDescent="0.3">
      <c r="A108" s="221"/>
      <c r="B108" s="223"/>
      <c r="C108" s="30" t="s">
        <v>52</v>
      </c>
      <c r="D108" s="41" t="s">
        <v>12</v>
      </c>
      <c r="E108" s="31">
        <v>0.6</v>
      </c>
      <c r="F108" s="25">
        <v>21.184999999999999</v>
      </c>
      <c r="G108" s="25">
        <f t="shared" si="1"/>
        <v>12.710999999999999</v>
      </c>
      <c r="H108" s="33">
        <f>SUM(G108:G109)</f>
        <v>23.763300000000001</v>
      </c>
      <c r="I108" s="34"/>
      <c r="J108" s="138">
        <v>0</v>
      </c>
    </row>
    <row r="109" spans="1:10" ht="15.75" hidden="1" thickBot="1" x14ac:dyDescent="0.3">
      <c r="A109" s="221"/>
      <c r="B109" s="223"/>
      <c r="C109" s="30" t="s">
        <v>23</v>
      </c>
      <c r="D109" s="41" t="s">
        <v>12</v>
      </c>
      <c r="E109" s="31">
        <v>0.6</v>
      </c>
      <c r="F109" s="25">
        <v>18.420500000000001</v>
      </c>
      <c r="G109" s="25">
        <f t="shared" si="1"/>
        <v>11.052300000000001</v>
      </c>
      <c r="H109" s="29"/>
      <c r="I109" s="25"/>
      <c r="J109" s="138">
        <v>0</v>
      </c>
    </row>
    <row r="110" spans="1:10" ht="15.75" hidden="1" thickBot="1" x14ac:dyDescent="0.3">
      <c r="A110" s="227"/>
      <c r="B110" s="224"/>
      <c r="C110" s="30"/>
      <c r="D110" s="30"/>
      <c r="E110" s="31"/>
      <c r="F110" s="25" t="s">
        <v>521</v>
      </c>
      <c r="G110" s="25" t="str">
        <f t="shared" si="1"/>
        <v/>
      </c>
      <c r="H110" s="29"/>
      <c r="I110" s="25"/>
      <c r="J110" s="138">
        <v>0</v>
      </c>
    </row>
    <row r="111" spans="1:10" ht="15.75" hidden="1" thickBot="1" x14ac:dyDescent="0.3">
      <c r="A111" s="220" t="s">
        <v>53</v>
      </c>
      <c r="B111" s="222" t="e">
        <f>INDEX(Orçamentária!A:B,MATCH(Composições!A111,Orçamentária!A:A,0),2)</f>
        <v>#N/A</v>
      </c>
      <c r="C111" s="35"/>
      <c r="D111" s="20" t="s">
        <v>95</v>
      </c>
      <c r="E111" s="21"/>
      <c r="F111" s="36" t="s">
        <v>521</v>
      </c>
      <c r="G111" s="22" t="str">
        <f t="shared" si="1"/>
        <v/>
      </c>
      <c r="H111" s="23"/>
      <c r="I111" s="24"/>
      <c r="J111" s="138">
        <v>0</v>
      </c>
    </row>
    <row r="112" spans="1:10" ht="15.75" hidden="1" thickBot="1" x14ac:dyDescent="0.3">
      <c r="A112" s="221"/>
      <c r="B112" s="223"/>
      <c r="C112" s="26"/>
      <c r="D112" s="26"/>
      <c r="E112" s="27"/>
      <c r="F112" s="37" t="s">
        <v>521</v>
      </c>
      <c r="G112" s="25" t="str">
        <f t="shared" si="1"/>
        <v/>
      </c>
      <c r="H112" s="29"/>
      <c r="I112" s="25"/>
      <c r="J112" s="138">
        <v>0</v>
      </c>
    </row>
    <row r="113" spans="1:10" ht="15.75" hidden="1" thickBot="1" x14ac:dyDescent="0.3">
      <c r="A113" s="221"/>
      <c r="B113" s="223"/>
      <c r="C113" s="30" t="s">
        <v>54</v>
      </c>
      <c r="D113" s="30" t="s">
        <v>12</v>
      </c>
      <c r="E113" s="31">
        <v>0.6</v>
      </c>
      <c r="F113" s="25">
        <v>24.795000000000002</v>
      </c>
      <c r="G113" s="28">
        <f t="shared" si="1"/>
        <v>14.877000000000001</v>
      </c>
      <c r="H113" s="33">
        <f>SUM(G113:G114)</f>
        <v>36.9816</v>
      </c>
      <c r="I113" s="34"/>
      <c r="J113" s="138">
        <v>0</v>
      </c>
    </row>
    <row r="114" spans="1:10" ht="15.75" hidden="1" thickBot="1" x14ac:dyDescent="0.3">
      <c r="A114" s="221"/>
      <c r="B114" s="223"/>
      <c r="C114" s="30" t="s">
        <v>23</v>
      </c>
      <c r="D114" s="30" t="s">
        <v>12</v>
      </c>
      <c r="E114" s="31">
        <v>1.2</v>
      </c>
      <c r="F114" s="25">
        <v>18.420500000000001</v>
      </c>
      <c r="G114" s="28">
        <f t="shared" si="1"/>
        <v>22.104600000000001</v>
      </c>
      <c r="H114" s="29"/>
      <c r="I114" s="25"/>
      <c r="J114" s="138">
        <v>0</v>
      </c>
    </row>
    <row r="115" spans="1:10" ht="15.75" hidden="1" thickBot="1" x14ac:dyDescent="0.3">
      <c r="A115" s="227"/>
      <c r="B115" s="224"/>
      <c r="C115" s="30"/>
      <c r="D115" s="30"/>
      <c r="E115" s="31"/>
      <c r="F115" s="25" t="s">
        <v>521</v>
      </c>
      <c r="G115" s="25" t="str">
        <f t="shared" si="1"/>
        <v/>
      </c>
      <c r="H115" s="29"/>
      <c r="I115" s="25"/>
      <c r="J115" s="138">
        <v>0</v>
      </c>
    </row>
    <row r="116" spans="1:10" ht="15.75" hidden="1" thickBot="1" x14ac:dyDescent="0.3">
      <c r="A116" s="220" t="s">
        <v>55</v>
      </c>
      <c r="B116" s="222" t="e">
        <f>INDEX(Orçamentária!A:B,MATCH(Composições!A116,Orçamentária!A:A,0),2)</f>
        <v>#N/A</v>
      </c>
      <c r="C116" s="35"/>
      <c r="D116" s="20" t="s">
        <v>95</v>
      </c>
      <c r="E116" s="21"/>
      <c r="F116" s="36" t="s">
        <v>521</v>
      </c>
      <c r="G116" s="22" t="str">
        <f t="shared" si="1"/>
        <v/>
      </c>
      <c r="H116" s="23"/>
      <c r="I116" s="24"/>
      <c r="J116" s="138">
        <v>0</v>
      </c>
    </row>
    <row r="117" spans="1:10" ht="15.75" hidden="1" thickBot="1" x14ac:dyDescent="0.3">
      <c r="A117" s="221"/>
      <c r="B117" s="223"/>
      <c r="C117" s="26"/>
      <c r="D117" s="26"/>
      <c r="E117" s="27"/>
      <c r="F117" s="37" t="s">
        <v>521</v>
      </c>
      <c r="G117" s="25" t="str">
        <f t="shared" si="1"/>
        <v/>
      </c>
      <c r="H117" s="29"/>
      <c r="I117" s="25"/>
      <c r="J117" s="138">
        <v>0</v>
      </c>
    </row>
    <row r="118" spans="1:10" ht="15.75" hidden="1" thickBot="1" x14ac:dyDescent="0.3">
      <c r="A118" s="221"/>
      <c r="B118" s="223"/>
      <c r="C118" s="30" t="s">
        <v>27</v>
      </c>
      <c r="D118" s="41" t="s">
        <v>12</v>
      </c>
      <c r="E118" s="31">
        <v>0.1186</v>
      </c>
      <c r="F118" s="25">
        <v>18.933499999999999</v>
      </c>
      <c r="G118" s="25">
        <f t="shared" si="1"/>
        <v>2.2455130999999997</v>
      </c>
      <c r="H118" s="33">
        <f>SUM(G118:G119)</f>
        <v>6.5356475500000002</v>
      </c>
      <c r="I118" s="34"/>
      <c r="J118" s="138">
        <v>0</v>
      </c>
    </row>
    <row r="119" spans="1:10" ht="15.75" hidden="1" thickBot="1" x14ac:dyDescent="0.3">
      <c r="A119" s="221"/>
      <c r="B119" s="223"/>
      <c r="C119" s="30" t="s">
        <v>23</v>
      </c>
      <c r="D119" s="41" t="s">
        <v>12</v>
      </c>
      <c r="E119" s="31">
        <v>0.2329</v>
      </c>
      <c r="F119" s="25">
        <v>18.420500000000001</v>
      </c>
      <c r="G119" s="25">
        <f t="shared" si="1"/>
        <v>4.29013445</v>
      </c>
      <c r="H119" s="29"/>
      <c r="I119" s="25"/>
      <c r="J119" s="138">
        <v>0</v>
      </c>
    </row>
    <row r="120" spans="1:10" ht="15.75" hidden="1" thickBot="1" x14ac:dyDescent="0.3">
      <c r="A120" s="227"/>
      <c r="B120" s="224"/>
      <c r="C120" s="30"/>
      <c r="D120" s="30"/>
      <c r="E120" s="31"/>
      <c r="F120" s="25" t="s">
        <v>521</v>
      </c>
      <c r="G120" s="25" t="str">
        <f t="shared" si="1"/>
        <v/>
      </c>
      <c r="H120" s="29"/>
      <c r="I120" s="25"/>
      <c r="J120" s="138">
        <v>0</v>
      </c>
    </row>
    <row r="121" spans="1:10" ht="15.75" hidden="1" thickBot="1" x14ac:dyDescent="0.3">
      <c r="A121" s="220" t="s">
        <v>56</v>
      </c>
      <c r="B121" s="222" t="e">
        <f>INDEX(Orçamentária!A:B,MATCH(Composições!A121,Orçamentária!A:A,0),2)</f>
        <v>#N/A</v>
      </c>
      <c r="C121" s="35"/>
      <c r="D121" s="20" t="s">
        <v>93</v>
      </c>
      <c r="E121" s="21"/>
      <c r="F121" s="36" t="s">
        <v>521</v>
      </c>
      <c r="G121" s="22" t="str">
        <f t="shared" si="1"/>
        <v/>
      </c>
      <c r="H121" s="23"/>
      <c r="I121" s="24"/>
      <c r="J121" s="138">
        <v>0</v>
      </c>
    </row>
    <row r="122" spans="1:10" ht="15.75" hidden="1" thickBot="1" x14ac:dyDescent="0.3">
      <c r="A122" s="221"/>
      <c r="B122" s="223"/>
      <c r="C122" s="26"/>
      <c r="D122" s="26"/>
      <c r="E122" s="27"/>
      <c r="F122" s="37" t="s">
        <v>521</v>
      </c>
      <c r="G122" s="25" t="str">
        <f t="shared" si="1"/>
        <v/>
      </c>
      <c r="H122" s="29"/>
      <c r="I122" s="25"/>
      <c r="J122" s="138">
        <v>0</v>
      </c>
    </row>
    <row r="123" spans="1:10" ht="15.75" hidden="1" thickBot="1" x14ac:dyDescent="0.3">
      <c r="A123" s="221"/>
      <c r="B123" s="223"/>
      <c r="C123" s="30" t="s">
        <v>39</v>
      </c>
      <c r="D123" s="41" t="s">
        <v>12</v>
      </c>
      <c r="E123" s="31">
        <v>0.17499999999999999</v>
      </c>
      <c r="F123" s="25">
        <v>24.300999999999998</v>
      </c>
      <c r="G123" s="28">
        <f t="shared" si="1"/>
        <v>4.2526749999999991</v>
      </c>
      <c r="H123" s="33">
        <f>SUM(G123:G124)</f>
        <v>9.7788249999999994</v>
      </c>
      <c r="I123" s="34"/>
      <c r="J123" s="138">
        <v>0</v>
      </c>
    </row>
    <row r="124" spans="1:10" ht="15.75" hidden="1" thickBot="1" x14ac:dyDescent="0.3">
      <c r="A124" s="221"/>
      <c r="B124" s="223"/>
      <c r="C124" s="30" t="s">
        <v>23</v>
      </c>
      <c r="D124" s="41" t="s">
        <v>12</v>
      </c>
      <c r="E124" s="31">
        <v>0.3</v>
      </c>
      <c r="F124" s="25">
        <v>18.420500000000001</v>
      </c>
      <c r="G124" s="28">
        <f t="shared" si="1"/>
        <v>5.5261500000000003</v>
      </c>
      <c r="H124" s="29"/>
      <c r="I124" s="25"/>
      <c r="J124" s="138">
        <v>0</v>
      </c>
    </row>
    <row r="125" spans="1:10" ht="15.75" hidden="1" thickBot="1" x14ac:dyDescent="0.3">
      <c r="A125" s="227"/>
      <c r="B125" s="224"/>
      <c r="C125" s="30"/>
      <c r="D125" s="30"/>
      <c r="E125" s="31"/>
      <c r="F125" s="25" t="s">
        <v>521</v>
      </c>
      <c r="G125" s="25" t="str">
        <f t="shared" si="1"/>
        <v/>
      </c>
      <c r="H125" s="29"/>
      <c r="I125" s="25"/>
      <c r="J125" s="138">
        <v>0</v>
      </c>
    </row>
    <row r="126" spans="1:10" ht="15.75" hidden="1" thickBot="1" x14ac:dyDescent="0.3">
      <c r="A126" s="220" t="s">
        <v>57</v>
      </c>
      <c r="B126" s="222" t="e">
        <f>INDEX(Orçamentária!A:B,MATCH(Composições!A126,Orçamentária!A:A,0),2)</f>
        <v>#N/A</v>
      </c>
      <c r="C126" s="35"/>
      <c r="D126" s="20" t="s">
        <v>95</v>
      </c>
      <c r="E126" s="21"/>
      <c r="F126" s="36" t="s">
        <v>521</v>
      </c>
      <c r="G126" s="22" t="str">
        <f t="shared" si="1"/>
        <v/>
      </c>
      <c r="H126" s="23"/>
      <c r="I126" s="24"/>
      <c r="J126" s="138">
        <v>0</v>
      </c>
    </row>
    <row r="127" spans="1:10" ht="15.75" hidden="1" thickBot="1" x14ac:dyDescent="0.3">
      <c r="A127" s="221"/>
      <c r="B127" s="223"/>
      <c r="C127" s="26"/>
      <c r="D127" s="26"/>
      <c r="E127" s="27"/>
      <c r="F127" s="37" t="s">
        <v>521</v>
      </c>
      <c r="G127" s="25" t="str">
        <f t="shared" si="1"/>
        <v/>
      </c>
      <c r="H127" s="29"/>
      <c r="I127" s="25"/>
      <c r="J127" s="138">
        <v>0</v>
      </c>
    </row>
    <row r="128" spans="1:10" ht="15.75" hidden="1" thickBot="1" x14ac:dyDescent="0.3">
      <c r="A128" s="221"/>
      <c r="B128" s="223"/>
      <c r="C128" s="30" t="s">
        <v>22</v>
      </c>
      <c r="D128" s="30" t="s">
        <v>12</v>
      </c>
      <c r="E128" s="31">
        <v>0.05</v>
      </c>
      <c r="F128" s="25">
        <v>24.889999999999997</v>
      </c>
      <c r="G128" s="28">
        <f t="shared" si="1"/>
        <v>1.2444999999999999</v>
      </c>
      <c r="H128" s="33">
        <f>SUM(G128:G129)</f>
        <v>10.454750000000001</v>
      </c>
      <c r="I128" s="34"/>
      <c r="J128" s="138">
        <v>0</v>
      </c>
    </row>
    <row r="129" spans="1:10" ht="15.75" hidden="1" thickBot="1" x14ac:dyDescent="0.3">
      <c r="A129" s="221"/>
      <c r="B129" s="223"/>
      <c r="C129" s="30" t="s">
        <v>23</v>
      </c>
      <c r="D129" s="30" t="s">
        <v>12</v>
      </c>
      <c r="E129" s="31">
        <v>0.5</v>
      </c>
      <c r="F129" s="25">
        <v>18.420500000000001</v>
      </c>
      <c r="G129" s="28">
        <f t="shared" si="1"/>
        <v>9.2102500000000003</v>
      </c>
      <c r="H129" s="39"/>
      <c r="I129" s="40"/>
      <c r="J129" s="138">
        <v>0</v>
      </c>
    </row>
    <row r="130" spans="1:10" ht="15.75" hidden="1" thickBot="1" x14ac:dyDescent="0.3">
      <c r="A130" s="227"/>
      <c r="B130" s="224"/>
      <c r="C130" s="30"/>
      <c r="D130" s="30"/>
      <c r="E130" s="31"/>
      <c r="F130" s="25" t="s">
        <v>521</v>
      </c>
      <c r="G130" s="25" t="str">
        <f t="shared" si="1"/>
        <v/>
      </c>
      <c r="H130" s="29"/>
      <c r="I130" s="25"/>
      <c r="J130" s="138">
        <v>0</v>
      </c>
    </row>
    <row r="131" spans="1:10" ht="15.75" hidden="1" thickBot="1" x14ac:dyDescent="0.3">
      <c r="A131" s="220" t="s">
        <v>58</v>
      </c>
      <c r="B131" s="222" t="e">
        <f>INDEX(Orçamentária!A:B,MATCH(Composições!A131,Orçamentária!A:A,0),2)</f>
        <v>#N/A</v>
      </c>
      <c r="C131" s="35"/>
      <c r="D131" s="20" t="s">
        <v>20</v>
      </c>
      <c r="E131" s="21"/>
      <c r="F131" s="36" t="s">
        <v>521</v>
      </c>
      <c r="G131" s="22" t="str">
        <f t="shared" si="1"/>
        <v/>
      </c>
      <c r="H131" s="23"/>
      <c r="I131" s="24"/>
      <c r="J131" s="138">
        <v>0</v>
      </c>
    </row>
    <row r="132" spans="1:10" ht="15.75" hidden="1" thickBot="1" x14ac:dyDescent="0.3">
      <c r="A132" s="221"/>
      <c r="B132" s="223"/>
      <c r="C132" s="26"/>
      <c r="D132" s="26"/>
      <c r="E132" s="27"/>
      <c r="F132" s="37" t="s">
        <v>521</v>
      </c>
      <c r="G132" s="25" t="str">
        <f t="shared" si="1"/>
        <v/>
      </c>
      <c r="H132" s="29"/>
      <c r="I132" s="25"/>
      <c r="J132" s="138">
        <v>0</v>
      </c>
    </row>
    <row r="133" spans="1:10" ht="15.75" hidden="1" thickBot="1" x14ac:dyDescent="0.3">
      <c r="A133" s="221"/>
      <c r="B133" s="223"/>
      <c r="C133" s="30" t="s">
        <v>30</v>
      </c>
      <c r="D133" s="30" t="s">
        <v>12</v>
      </c>
      <c r="E133" s="31">
        <v>0.3</v>
      </c>
      <c r="F133" s="25">
        <v>25.146499999999996</v>
      </c>
      <c r="G133" s="25">
        <f t="shared" si="1"/>
        <v>7.5439499999999988</v>
      </c>
      <c r="H133" s="33">
        <f>SUM(G133:G133)</f>
        <v>7.5439499999999988</v>
      </c>
      <c r="I133" s="34"/>
      <c r="J133" s="138">
        <v>0</v>
      </c>
    </row>
    <row r="134" spans="1:10" ht="15.75" hidden="1" thickBot="1" x14ac:dyDescent="0.3">
      <c r="A134" s="227"/>
      <c r="B134" s="224"/>
      <c r="C134" s="30"/>
      <c r="D134" s="30"/>
      <c r="E134" s="31"/>
      <c r="F134" s="25" t="s">
        <v>521</v>
      </c>
      <c r="G134" s="25" t="str">
        <f t="shared" ref="G134:G197" si="2">IF(ISNUMBER(F134),E134*F134,"")</f>
        <v/>
      </c>
      <c r="H134" s="29"/>
      <c r="I134" s="25"/>
      <c r="J134" s="138">
        <v>0</v>
      </c>
    </row>
    <row r="135" spans="1:10" ht="15.75" hidden="1" thickBot="1" x14ac:dyDescent="0.3">
      <c r="A135" s="220" t="s">
        <v>59</v>
      </c>
      <c r="B135" s="222" t="e">
        <f>INDEX(Orçamentária!A:B,MATCH(Composições!A135,Orçamentária!A:A,0),2)</f>
        <v>#N/A</v>
      </c>
      <c r="C135" s="35"/>
      <c r="D135" s="20" t="s">
        <v>20</v>
      </c>
      <c r="E135" s="21"/>
      <c r="F135" s="36" t="s">
        <v>521</v>
      </c>
      <c r="G135" s="22" t="str">
        <f t="shared" si="2"/>
        <v/>
      </c>
      <c r="H135" s="23"/>
      <c r="I135" s="24"/>
      <c r="J135" s="138">
        <v>0</v>
      </c>
    </row>
    <row r="136" spans="1:10" ht="15.75" hidden="1" thickBot="1" x14ac:dyDescent="0.3">
      <c r="A136" s="221"/>
      <c r="B136" s="223"/>
      <c r="C136" s="26"/>
      <c r="D136" s="26"/>
      <c r="E136" s="27"/>
      <c r="F136" s="37" t="s">
        <v>521</v>
      </c>
      <c r="G136" s="25" t="str">
        <f t="shared" si="2"/>
        <v/>
      </c>
      <c r="H136" s="29"/>
      <c r="I136" s="25"/>
      <c r="J136" s="138">
        <v>0</v>
      </c>
    </row>
    <row r="137" spans="1:10" ht="15.75" hidden="1" thickBot="1" x14ac:dyDescent="0.3">
      <c r="A137" s="221"/>
      <c r="B137" s="223"/>
      <c r="C137" s="30" t="s">
        <v>44</v>
      </c>
      <c r="D137" s="30" t="s">
        <v>12</v>
      </c>
      <c r="E137" s="31">
        <f>0.25</f>
        <v>0.25</v>
      </c>
      <c r="F137" s="25">
        <v>23.616999999999997</v>
      </c>
      <c r="G137" s="28">
        <f t="shared" si="2"/>
        <v>5.9042499999999993</v>
      </c>
      <c r="H137" s="33">
        <f>SUM(G137:G137)</f>
        <v>5.9042499999999993</v>
      </c>
      <c r="I137" s="34"/>
      <c r="J137" s="138">
        <v>0</v>
      </c>
    </row>
    <row r="138" spans="1:10" ht="15.75" hidden="1" thickBot="1" x14ac:dyDescent="0.3">
      <c r="A138" s="221"/>
      <c r="B138" s="223"/>
      <c r="C138" s="30"/>
      <c r="D138" s="30"/>
      <c r="E138" s="31"/>
      <c r="F138" s="25" t="s">
        <v>521</v>
      </c>
      <c r="G138" s="25" t="str">
        <f t="shared" si="2"/>
        <v/>
      </c>
      <c r="H138" s="29"/>
      <c r="I138" s="25"/>
      <c r="J138" s="138">
        <v>0</v>
      </c>
    </row>
    <row r="139" spans="1:10" ht="15.75" hidden="1" thickBot="1" x14ac:dyDescent="0.3">
      <c r="A139" s="220" t="s">
        <v>60</v>
      </c>
      <c r="B139" s="222" t="e">
        <f>INDEX(Orçamentária!A:B,MATCH(Composições!A139,Orçamentária!A:A,0),2)</f>
        <v>#N/A</v>
      </c>
      <c r="C139" s="35"/>
      <c r="D139" s="20" t="s">
        <v>20</v>
      </c>
      <c r="E139" s="21"/>
      <c r="F139" s="36" t="s">
        <v>521</v>
      </c>
      <c r="G139" s="22" t="str">
        <f t="shared" si="2"/>
        <v/>
      </c>
      <c r="H139" s="23"/>
      <c r="I139" s="24"/>
      <c r="J139" s="138">
        <v>0</v>
      </c>
    </row>
    <row r="140" spans="1:10" ht="15.75" hidden="1" thickBot="1" x14ac:dyDescent="0.3">
      <c r="A140" s="221"/>
      <c r="B140" s="223"/>
      <c r="C140" s="26"/>
      <c r="D140" s="26"/>
      <c r="E140" s="27"/>
      <c r="F140" s="37" t="s">
        <v>521</v>
      </c>
      <c r="G140" s="25" t="str">
        <f t="shared" si="2"/>
        <v/>
      </c>
      <c r="H140" s="29"/>
      <c r="I140" s="25"/>
      <c r="J140" s="138">
        <v>0</v>
      </c>
    </row>
    <row r="141" spans="1:10" ht="15.75" hidden="1" thickBot="1" x14ac:dyDescent="0.3">
      <c r="A141" s="221"/>
      <c r="B141" s="223"/>
      <c r="C141" s="30" t="s">
        <v>22</v>
      </c>
      <c r="D141" s="30" t="s">
        <v>12</v>
      </c>
      <c r="E141" s="31">
        <v>0.13150000000000001</v>
      </c>
      <c r="F141" s="25">
        <v>24.889999999999997</v>
      </c>
      <c r="G141" s="28">
        <f t="shared" si="2"/>
        <v>3.2730349999999997</v>
      </c>
      <c r="H141" s="33">
        <f>SUM(G141:G142)</f>
        <v>8.0292081</v>
      </c>
      <c r="I141" s="34"/>
      <c r="J141" s="138">
        <v>0</v>
      </c>
    </row>
    <row r="142" spans="1:10" ht="15.75" hidden="1" thickBot="1" x14ac:dyDescent="0.3">
      <c r="A142" s="221"/>
      <c r="B142" s="223"/>
      <c r="C142" s="30" t="s">
        <v>23</v>
      </c>
      <c r="D142" s="41" t="s">
        <v>12</v>
      </c>
      <c r="E142" s="31">
        <v>0.25819999999999999</v>
      </c>
      <c r="F142" s="25">
        <v>18.420500000000001</v>
      </c>
      <c r="G142" s="28">
        <f t="shared" si="2"/>
        <v>4.7561730999999998</v>
      </c>
      <c r="H142" s="39"/>
      <c r="I142" s="40"/>
      <c r="J142" s="138">
        <v>0</v>
      </c>
    </row>
    <row r="143" spans="1:10" ht="15.75" hidden="1" thickBot="1" x14ac:dyDescent="0.3">
      <c r="A143" s="227"/>
      <c r="B143" s="224"/>
      <c r="C143" s="30"/>
      <c r="D143" s="30"/>
      <c r="E143" s="31"/>
      <c r="F143" s="25" t="s">
        <v>521</v>
      </c>
      <c r="G143" s="25" t="str">
        <f t="shared" si="2"/>
        <v/>
      </c>
      <c r="H143" s="29"/>
      <c r="I143" s="25"/>
      <c r="J143" s="138">
        <v>0</v>
      </c>
    </row>
    <row r="144" spans="1:10" ht="15.75" hidden="1" thickBot="1" x14ac:dyDescent="0.3">
      <c r="A144" s="220" t="s">
        <v>61</v>
      </c>
      <c r="B144" s="222" t="e">
        <f>INDEX(Orçamentária!A:B,MATCH(Composições!A144,Orçamentária!A:A,0),2)</f>
        <v>#N/A</v>
      </c>
      <c r="C144" s="35"/>
      <c r="D144" s="20" t="s">
        <v>95</v>
      </c>
      <c r="E144" s="21"/>
      <c r="F144" s="36" t="s">
        <v>521</v>
      </c>
      <c r="G144" s="22" t="str">
        <f t="shared" si="2"/>
        <v/>
      </c>
      <c r="H144" s="23"/>
      <c r="I144" s="24"/>
      <c r="J144" s="138">
        <v>0</v>
      </c>
    </row>
    <row r="145" spans="1:10" ht="15.75" hidden="1" thickBot="1" x14ac:dyDescent="0.3">
      <c r="A145" s="221"/>
      <c r="B145" s="223"/>
      <c r="C145" s="26"/>
      <c r="D145" s="26"/>
      <c r="E145" s="27"/>
      <c r="F145" s="37" t="s">
        <v>521</v>
      </c>
      <c r="G145" s="25" t="str">
        <f t="shared" si="2"/>
        <v/>
      </c>
      <c r="H145" s="29"/>
      <c r="I145" s="25"/>
      <c r="J145" s="138">
        <v>0</v>
      </c>
    </row>
    <row r="146" spans="1:10" ht="15.75" hidden="1" thickBot="1" x14ac:dyDescent="0.3">
      <c r="A146" s="221"/>
      <c r="B146" s="223"/>
      <c r="C146" s="30" t="s">
        <v>22</v>
      </c>
      <c r="D146" s="30" t="s">
        <v>12</v>
      </c>
      <c r="E146" s="31">
        <v>0.09</v>
      </c>
      <c r="F146" s="25">
        <v>24.889999999999997</v>
      </c>
      <c r="G146" s="28">
        <f t="shared" si="2"/>
        <v>2.2400999999999995</v>
      </c>
      <c r="H146" s="33">
        <f>SUM(G146:G147)</f>
        <v>18.818549999999998</v>
      </c>
      <c r="I146" s="34"/>
      <c r="J146" s="138">
        <v>0</v>
      </c>
    </row>
    <row r="147" spans="1:10" ht="15.75" hidden="1" thickBot="1" x14ac:dyDescent="0.3">
      <c r="A147" s="221"/>
      <c r="B147" s="223"/>
      <c r="C147" s="30" t="s">
        <v>23</v>
      </c>
      <c r="D147" s="30" t="s">
        <v>12</v>
      </c>
      <c r="E147" s="31">
        <v>0.9</v>
      </c>
      <c r="F147" s="25">
        <v>18.420500000000001</v>
      </c>
      <c r="G147" s="28">
        <f t="shared" si="2"/>
        <v>16.57845</v>
      </c>
      <c r="H147" s="29"/>
      <c r="I147" s="25"/>
      <c r="J147" s="138">
        <v>0</v>
      </c>
    </row>
    <row r="148" spans="1:10" ht="15.75" hidden="1" thickBot="1" x14ac:dyDescent="0.3">
      <c r="A148" s="227"/>
      <c r="B148" s="224"/>
      <c r="C148" s="30"/>
      <c r="D148" s="30"/>
      <c r="E148" s="31"/>
      <c r="F148" s="25" t="s">
        <v>521</v>
      </c>
      <c r="G148" s="25" t="str">
        <f t="shared" si="2"/>
        <v/>
      </c>
      <c r="H148" s="29"/>
      <c r="I148" s="25"/>
      <c r="J148" s="138">
        <v>0</v>
      </c>
    </row>
    <row r="149" spans="1:10" ht="15.75" hidden="1" thickBot="1" x14ac:dyDescent="0.3">
      <c r="A149" s="220" t="s">
        <v>62</v>
      </c>
      <c r="B149" s="222" t="e">
        <f>INDEX(Orçamentária!A:B,MATCH(Composições!A149,Orçamentária!A:A,0),2)</f>
        <v>#N/A</v>
      </c>
      <c r="C149" s="35"/>
      <c r="D149" s="20" t="s">
        <v>20</v>
      </c>
      <c r="E149" s="21"/>
      <c r="F149" s="36" t="s">
        <v>521</v>
      </c>
      <c r="G149" s="22" t="str">
        <f t="shared" si="2"/>
        <v/>
      </c>
      <c r="H149" s="23"/>
      <c r="I149" s="24"/>
      <c r="J149" s="138">
        <v>0</v>
      </c>
    </row>
    <row r="150" spans="1:10" ht="15.75" hidden="1" thickBot="1" x14ac:dyDescent="0.3">
      <c r="A150" s="221"/>
      <c r="B150" s="223"/>
      <c r="C150" s="26"/>
      <c r="D150" s="26"/>
      <c r="E150" s="27"/>
      <c r="F150" s="37" t="s">
        <v>521</v>
      </c>
      <c r="G150" s="25" t="str">
        <f t="shared" si="2"/>
        <v/>
      </c>
      <c r="H150" s="29"/>
      <c r="I150" s="25"/>
      <c r="J150" s="138">
        <v>0</v>
      </c>
    </row>
    <row r="151" spans="1:10" ht="15.75" hidden="1" thickBot="1" x14ac:dyDescent="0.3">
      <c r="A151" s="221"/>
      <c r="B151" s="223"/>
      <c r="C151" s="30" t="s">
        <v>39</v>
      </c>
      <c r="D151" s="41" t="s">
        <v>12</v>
      </c>
      <c r="E151" s="31">
        <v>0.17549999999999999</v>
      </c>
      <c r="F151" s="25">
        <v>24.300999999999998</v>
      </c>
      <c r="G151" s="28">
        <f t="shared" si="2"/>
        <v>4.2648254999999997</v>
      </c>
      <c r="H151" s="33">
        <f>SUM(G151:G152)</f>
        <v>10.6162139</v>
      </c>
      <c r="I151" s="34"/>
      <c r="J151" s="138">
        <v>0</v>
      </c>
    </row>
    <row r="152" spans="1:10" ht="15.75" hidden="1" thickBot="1" x14ac:dyDescent="0.3">
      <c r="A152" s="221"/>
      <c r="B152" s="223"/>
      <c r="C152" s="30" t="s">
        <v>23</v>
      </c>
      <c r="D152" s="30" t="s">
        <v>12</v>
      </c>
      <c r="E152" s="31">
        <v>0.3448</v>
      </c>
      <c r="F152" s="25">
        <v>18.420500000000001</v>
      </c>
      <c r="G152" s="28">
        <f t="shared" si="2"/>
        <v>6.3513884000000003</v>
      </c>
      <c r="H152" s="38"/>
      <c r="I152" s="34"/>
      <c r="J152" s="138">
        <v>0</v>
      </c>
    </row>
    <row r="153" spans="1:10" ht="15.75" hidden="1" thickBot="1" x14ac:dyDescent="0.3">
      <c r="A153" s="227"/>
      <c r="B153" s="224"/>
      <c r="C153" s="30"/>
      <c r="D153" s="30"/>
      <c r="E153" s="31"/>
      <c r="F153" s="25" t="s">
        <v>521</v>
      </c>
      <c r="G153" s="25" t="str">
        <f t="shared" si="2"/>
        <v/>
      </c>
      <c r="H153" s="29"/>
      <c r="I153" s="25"/>
      <c r="J153" s="138">
        <v>0</v>
      </c>
    </row>
    <row r="154" spans="1:10" ht="15.75" hidden="1" thickBot="1" x14ac:dyDescent="0.3">
      <c r="A154" s="220" t="s">
        <v>63</v>
      </c>
      <c r="B154" s="222" t="e">
        <f>INDEX(Orçamentária!A:B,MATCH(Composições!A154,Orçamentária!A:A,0),2)</f>
        <v>#N/A</v>
      </c>
      <c r="C154" s="35"/>
      <c r="D154" s="20" t="s">
        <v>20</v>
      </c>
      <c r="E154" s="21"/>
      <c r="F154" s="36" t="s">
        <v>521</v>
      </c>
      <c r="G154" s="22" t="str">
        <f t="shared" si="2"/>
        <v/>
      </c>
      <c r="H154" s="23"/>
      <c r="I154" s="24"/>
      <c r="J154" s="138">
        <v>0</v>
      </c>
    </row>
    <row r="155" spans="1:10" ht="15.75" hidden="1" thickBot="1" x14ac:dyDescent="0.3">
      <c r="A155" s="225"/>
      <c r="B155" s="223"/>
      <c r="C155" s="26"/>
      <c r="D155" s="26"/>
      <c r="E155" s="27"/>
      <c r="F155" s="37" t="s">
        <v>521</v>
      </c>
      <c r="G155" s="25" t="str">
        <f t="shared" si="2"/>
        <v/>
      </c>
      <c r="H155" s="29"/>
      <c r="I155" s="25"/>
      <c r="J155" s="138">
        <v>0</v>
      </c>
    </row>
    <row r="156" spans="1:10" ht="15.75" hidden="1" thickBot="1" x14ac:dyDescent="0.3">
      <c r="A156" s="225"/>
      <c r="B156" s="223"/>
      <c r="C156" s="30" t="s">
        <v>30</v>
      </c>
      <c r="D156" s="41" t="s">
        <v>12</v>
      </c>
      <c r="E156" s="31">
        <f>0.0183*5</f>
        <v>9.1499999999999998E-2</v>
      </c>
      <c r="F156" s="25">
        <v>25.146499999999996</v>
      </c>
      <c r="G156" s="28">
        <f t="shared" si="2"/>
        <v>2.3009047499999995</v>
      </c>
      <c r="H156" s="33">
        <f>SUM(G156:G157)</f>
        <v>5.6073844999999993</v>
      </c>
      <c r="I156" s="34"/>
      <c r="J156" s="138">
        <v>0</v>
      </c>
    </row>
    <row r="157" spans="1:10" ht="15.75" hidden="1" thickBot="1" x14ac:dyDescent="0.3">
      <c r="A157" s="225"/>
      <c r="B157" s="223"/>
      <c r="C157" s="30" t="s">
        <v>23</v>
      </c>
      <c r="D157" s="41" t="s">
        <v>12</v>
      </c>
      <c r="E157" s="31">
        <f>0.0359*5</f>
        <v>0.17949999999999999</v>
      </c>
      <c r="F157" s="25">
        <v>18.420500000000001</v>
      </c>
      <c r="G157" s="28">
        <f t="shared" si="2"/>
        <v>3.3064797499999998</v>
      </c>
      <c r="H157" s="39"/>
      <c r="I157" s="40"/>
      <c r="J157" s="138">
        <v>0</v>
      </c>
    </row>
    <row r="158" spans="1:10" ht="15.75" hidden="1" thickBot="1" x14ac:dyDescent="0.3">
      <c r="A158" s="225"/>
      <c r="B158" s="223"/>
      <c r="C158" s="30"/>
      <c r="D158" s="30"/>
      <c r="E158" s="31"/>
      <c r="F158" s="25" t="s">
        <v>521</v>
      </c>
      <c r="G158" s="25" t="str">
        <f t="shared" si="2"/>
        <v/>
      </c>
      <c r="H158" s="29"/>
      <c r="I158" s="25"/>
      <c r="J158" s="138">
        <v>0</v>
      </c>
    </row>
    <row r="159" spans="1:10" ht="15.75" hidden="1" thickBot="1" x14ac:dyDescent="0.3">
      <c r="A159" s="225"/>
      <c r="B159" s="223"/>
      <c r="C159" s="42" t="s">
        <v>64</v>
      </c>
      <c r="D159" s="30"/>
      <c r="E159" s="31"/>
      <c r="F159" s="25" t="s">
        <v>521</v>
      </c>
      <c r="G159" s="25" t="str">
        <f t="shared" si="2"/>
        <v/>
      </c>
      <c r="H159" s="29"/>
      <c r="I159" s="25"/>
      <c r="J159" s="138">
        <v>0</v>
      </c>
    </row>
    <row r="160" spans="1:10" ht="15.75" hidden="1" thickBot="1" x14ac:dyDescent="0.3">
      <c r="A160" s="226"/>
      <c r="B160" s="224"/>
      <c r="C160" s="30"/>
      <c r="D160" s="30"/>
      <c r="E160" s="31"/>
      <c r="F160" s="25" t="s">
        <v>521</v>
      </c>
      <c r="G160" s="25" t="str">
        <f t="shared" si="2"/>
        <v/>
      </c>
      <c r="H160" s="29"/>
      <c r="I160" s="25"/>
      <c r="J160" s="138">
        <v>0</v>
      </c>
    </row>
    <row r="161" spans="1:10" ht="15.75" hidden="1" thickBot="1" x14ac:dyDescent="0.3">
      <c r="A161" s="220" t="s">
        <v>65</v>
      </c>
      <c r="B161" s="222" t="e">
        <f>INDEX(Orçamentária!A:B,MATCH(Composições!A161,Orçamentária!A:A,0),2)</f>
        <v>#N/A</v>
      </c>
      <c r="C161" s="35"/>
      <c r="D161" s="20" t="s">
        <v>20</v>
      </c>
      <c r="E161" s="21"/>
      <c r="F161" s="36" t="s">
        <v>521</v>
      </c>
      <c r="G161" s="22" t="str">
        <f t="shared" si="2"/>
        <v/>
      </c>
      <c r="H161" s="23"/>
      <c r="I161" s="24"/>
      <c r="J161" s="138">
        <v>0</v>
      </c>
    </row>
    <row r="162" spans="1:10" ht="15.75" hidden="1" thickBot="1" x14ac:dyDescent="0.3">
      <c r="A162" s="221"/>
      <c r="B162" s="223"/>
      <c r="C162" s="26"/>
      <c r="D162" s="26"/>
      <c r="E162" s="27"/>
      <c r="F162" s="37" t="s">
        <v>521</v>
      </c>
      <c r="G162" s="25" t="str">
        <f t="shared" si="2"/>
        <v/>
      </c>
      <c r="H162" s="29"/>
      <c r="I162" s="25"/>
      <c r="J162" s="138">
        <v>0</v>
      </c>
    </row>
    <row r="163" spans="1:10" ht="15.75" hidden="1" thickBot="1" x14ac:dyDescent="0.3">
      <c r="A163" s="221"/>
      <c r="B163" s="223"/>
      <c r="C163" s="30" t="s">
        <v>39</v>
      </c>
      <c r="D163" s="41" t="s">
        <v>12</v>
      </c>
      <c r="E163" s="31">
        <v>0.128</v>
      </c>
      <c r="F163" s="25">
        <v>24.300999999999998</v>
      </c>
      <c r="G163" s="28">
        <f t="shared" si="2"/>
        <v>3.110528</v>
      </c>
      <c r="H163" s="33">
        <f>SUM(G163:G164)</f>
        <v>7.7414417000000011</v>
      </c>
      <c r="I163" s="34"/>
      <c r="J163" s="138">
        <v>0</v>
      </c>
    </row>
    <row r="164" spans="1:10" ht="15.75" hidden="1" thickBot="1" x14ac:dyDescent="0.3">
      <c r="A164" s="221"/>
      <c r="B164" s="223"/>
      <c r="C164" s="30" t="s">
        <v>23</v>
      </c>
      <c r="D164" s="30" t="s">
        <v>12</v>
      </c>
      <c r="E164" s="31">
        <v>0.25140000000000001</v>
      </c>
      <c r="F164" s="25">
        <v>18.420500000000001</v>
      </c>
      <c r="G164" s="28">
        <f t="shared" si="2"/>
        <v>4.6309137000000007</v>
      </c>
      <c r="H164" s="38"/>
      <c r="I164" s="34"/>
      <c r="J164" s="138">
        <v>0</v>
      </c>
    </row>
    <row r="165" spans="1:10" ht="15.75" hidden="1" thickBot="1" x14ac:dyDescent="0.3">
      <c r="A165" s="227"/>
      <c r="B165" s="224"/>
      <c r="C165" s="30"/>
      <c r="D165" s="30"/>
      <c r="E165" s="31"/>
      <c r="F165" s="25" t="s">
        <v>521</v>
      </c>
      <c r="G165" s="25" t="str">
        <f t="shared" si="2"/>
        <v/>
      </c>
      <c r="H165" s="29"/>
      <c r="I165" s="25"/>
      <c r="J165" s="138">
        <v>0</v>
      </c>
    </row>
    <row r="166" spans="1:10" ht="15.75" hidden="1" thickBot="1" x14ac:dyDescent="0.3">
      <c r="A166" s="220" t="s">
        <v>66</v>
      </c>
      <c r="B166" s="222" t="e">
        <f>INDEX(Orçamentária!A:B,MATCH(Composições!A166,Orçamentária!A:A,0),2)</f>
        <v>#N/A</v>
      </c>
      <c r="C166" s="35"/>
      <c r="D166" s="20" t="s">
        <v>95</v>
      </c>
      <c r="E166" s="21"/>
      <c r="F166" s="36" t="s">
        <v>521</v>
      </c>
      <c r="G166" s="22" t="str">
        <f t="shared" si="2"/>
        <v/>
      </c>
      <c r="H166" s="23"/>
      <c r="I166" s="24"/>
      <c r="J166" s="138">
        <v>0</v>
      </c>
    </row>
    <row r="167" spans="1:10" ht="15.75" hidden="1" thickBot="1" x14ac:dyDescent="0.3">
      <c r="A167" s="221"/>
      <c r="B167" s="223"/>
      <c r="C167" s="26"/>
      <c r="D167" s="26"/>
      <c r="E167" s="27"/>
      <c r="F167" s="37" t="s">
        <v>521</v>
      </c>
      <c r="G167" s="25" t="str">
        <f t="shared" si="2"/>
        <v/>
      </c>
      <c r="H167" s="29"/>
      <c r="I167" s="25"/>
      <c r="J167" s="138">
        <v>0</v>
      </c>
    </row>
    <row r="168" spans="1:10" ht="15.75" hidden="1" thickBot="1" x14ac:dyDescent="0.3">
      <c r="A168" s="221"/>
      <c r="B168" s="223"/>
      <c r="C168" s="30" t="s">
        <v>23</v>
      </c>
      <c r="D168" s="30" t="s">
        <v>12</v>
      </c>
      <c r="E168" s="31">
        <v>0.33800000000000002</v>
      </c>
      <c r="F168" s="25">
        <v>18.420500000000001</v>
      </c>
      <c r="G168" s="28">
        <f t="shared" si="2"/>
        <v>6.2261290000000002</v>
      </c>
      <c r="H168" s="33">
        <f>SUM(G168:G169)</f>
        <v>14.216730999999999</v>
      </c>
      <c r="I168" s="34"/>
      <c r="J168" s="138">
        <v>0</v>
      </c>
    </row>
    <row r="169" spans="1:10" ht="15.75" hidden="1" thickBot="1" x14ac:dyDescent="0.3">
      <c r="A169" s="221"/>
      <c r="B169" s="223"/>
      <c r="C169" s="30" t="s">
        <v>68</v>
      </c>
      <c r="D169" s="30" t="s">
        <v>12</v>
      </c>
      <c r="E169" s="31">
        <v>0.34799999999999998</v>
      </c>
      <c r="F169" s="25">
        <v>22.961500000000001</v>
      </c>
      <c r="G169" s="28">
        <f t="shared" si="2"/>
        <v>7.990602</v>
      </c>
      <c r="H169" s="29"/>
      <c r="I169" s="25"/>
      <c r="J169" s="138">
        <v>0</v>
      </c>
    </row>
    <row r="170" spans="1:10" ht="15.75" hidden="1" thickBot="1" x14ac:dyDescent="0.3">
      <c r="A170" s="227"/>
      <c r="B170" s="224"/>
      <c r="C170" s="30"/>
      <c r="D170" s="30"/>
      <c r="E170" s="31"/>
      <c r="F170" s="25" t="s">
        <v>521</v>
      </c>
      <c r="G170" s="25" t="str">
        <f t="shared" si="2"/>
        <v/>
      </c>
      <c r="H170" s="29"/>
      <c r="I170" s="25"/>
      <c r="J170" s="138">
        <v>0</v>
      </c>
    </row>
    <row r="171" spans="1:10" ht="15.75" hidden="1" thickBot="1" x14ac:dyDescent="0.3">
      <c r="A171" s="220" t="s">
        <v>67</v>
      </c>
      <c r="B171" s="222" t="e">
        <f>INDEX(Orçamentária!A:B,MATCH(Composições!A171,Orçamentária!A:A,0),2)</f>
        <v>#N/A</v>
      </c>
      <c r="C171" s="35"/>
      <c r="D171" s="20" t="s">
        <v>95</v>
      </c>
      <c r="E171" s="21"/>
      <c r="F171" s="36" t="s">
        <v>521</v>
      </c>
      <c r="G171" s="22" t="str">
        <f t="shared" si="2"/>
        <v/>
      </c>
      <c r="H171" s="23"/>
      <c r="I171" s="24"/>
      <c r="J171" s="138">
        <v>0</v>
      </c>
    </row>
    <row r="172" spans="1:10" ht="15.75" hidden="1" thickBot="1" x14ac:dyDescent="0.3">
      <c r="A172" s="221"/>
      <c r="B172" s="223"/>
      <c r="C172" s="26"/>
      <c r="D172" s="26"/>
      <c r="E172" s="27"/>
      <c r="F172" s="37" t="s">
        <v>521</v>
      </c>
      <c r="G172" s="25" t="str">
        <f t="shared" si="2"/>
        <v/>
      </c>
      <c r="H172" s="29"/>
      <c r="I172" s="25"/>
      <c r="J172" s="138">
        <v>0</v>
      </c>
    </row>
    <row r="173" spans="1:10" ht="15.75" hidden="1" thickBot="1" x14ac:dyDescent="0.3">
      <c r="A173" s="221"/>
      <c r="B173" s="223"/>
      <c r="C173" s="30" t="s">
        <v>68</v>
      </c>
      <c r="D173" s="30" t="s">
        <v>12</v>
      </c>
      <c r="E173" s="31">
        <v>0.4</v>
      </c>
      <c r="F173" s="25">
        <v>22.961500000000001</v>
      </c>
      <c r="G173" s="28">
        <f t="shared" si="2"/>
        <v>9.1846000000000014</v>
      </c>
      <c r="H173" s="33">
        <f>SUM(G173:G173)</f>
        <v>9.1846000000000014</v>
      </c>
      <c r="I173" s="34"/>
      <c r="J173" s="138">
        <v>0</v>
      </c>
    </row>
    <row r="174" spans="1:10" ht="15.75" hidden="1" thickBot="1" x14ac:dyDescent="0.3">
      <c r="A174" s="227"/>
      <c r="B174" s="224"/>
      <c r="C174" s="30"/>
      <c r="D174" s="30"/>
      <c r="E174" s="31"/>
      <c r="F174" s="25" t="s">
        <v>521</v>
      </c>
      <c r="G174" s="25" t="str">
        <f t="shared" si="2"/>
        <v/>
      </c>
      <c r="H174" s="29"/>
      <c r="I174" s="25"/>
      <c r="J174" s="138">
        <v>0</v>
      </c>
    </row>
    <row r="175" spans="1:10" ht="15.75" hidden="1" thickBot="1" x14ac:dyDescent="0.3">
      <c r="A175" s="220" t="s">
        <v>69</v>
      </c>
      <c r="B175" s="222" t="e">
        <f>INDEX(Orçamentária!A:B,MATCH(Composições!A175,Orçamentária!A:A,0),2)</f>
        <v>#N/A</v>
      </c>
      <c r="C175" s="35"/>
      <c r="D175" s="20" t="s">
        <v>93</v>
      </c>
      <c r="E175" s="21"/>
      <c r="F175" s="36" t="s">
        <v>521</v>
      </c>
      <c r="G175" s="22" t="str">
        <f t="shared" si="2"/>
        <v/>
      </c>
      <c r="H175" s="23"/>
      <c r="I175" s="24"/>
      <c r="J175" s="138">
        <v>0</v>
      </c>
    </row>
    <row r="176" spans="1:10" ht="15.75" hidden="1" thickBot="1" x14ac:dyDescent="0.3">
      <c r="A176" s="221"/>
      <c r="B176" s="223"/>
      <c r="C176" s="26"/>
      <c r="D176" s="26"/>
      <c r="E176" s="27"/>
      <c r="F176" s="37" t="s">
        <v>521</v>
      </c>
      <c r="G176" s="25" t="str">
        <f t="shared" si="2"/>
        <v/>
      </c>
      <c r="H176" s="29"/>
      <c r="I176" s="25"/>
      <c r="J176" s="138">
        <v>0</v>
      </c>
    </row>
    <row r="177" spans="1:10" ht="15.75" hidden="1" thickBot="1" x14ac:dyDescent="0.3">
      <c r="A177" s="221"/>
      <c r="B177" s="223"/>
      <c r="C177" s="30" t="s">
        <v>50</v>
      </c>
      <c r="D177" s="30" t="s">
        <v>12</v>
      </c>
      <c r="E177" s="31">
        <f>ROUND(1/6,4)</f>
        <v>0.16669999999999999</v>
      </c>
      <c r="F177" s="25">
        <v>19.474999999999998</v>
      </c>
      <c r="G177" s="28">
        <f t="shared" si="2"/>
        <v>3.2464824999999995</v>
      </c>
      <c r="H177" s="33">
        <f>SUM(G177:G177)</f>
        <v>3.2464824999999995</v>
      </c>
      <c r="I177" s="34"/>
      <c r="J177" s="138">
        <v>0</v>
      </c>
    </row>
    <row r="178" spans="1:10" ht="15.75" hidden="1" thickBot="1" x14ac:dyDescent="0.3">
      <c r="A178" s="227"/>
      <c r="B178" s="224"/>
      <c r="C178" s="30"/>
      <c r="D178" s="30"/>
      <c r="E178" s="31"/>
      <c r="F178" s="25" t="s">
        <v>521</v>
      </c>
      <c r="G178" s="25" t="str">
        <f t="shared" si="2"/>
        <v/>
      </c>
      <c r="H178" s="29"/>
      <c r="I178" s="25"/>
      <c r="J178" s="138">
        <v>0</v>
      </c>
    </row>
    <row r="179" spans="1:10" ht="15.75" hidden="1" thickBot="1" x14ac:dyDescent="0.3">
      <c r="A179" s="220" t="s">
        <v>70</v>
      </c>
      <c r="B179" s="222" t="e">
        <f>INDEX(Orçamentária!A:B,MATCH(Composições!A179,Orçamentária!A:A,0),2)</f>
        <v>#N/A</v>
      </c>
      <c r="C179" s="35"/>
      <c r="D179" s="20" t="s">
        <v>95</v>
      </c>
      <c r="E179" s="21"/>
      <c r="F179" s="36" t="s">
        <v>521</v>
      </c>
      <c r="G179" s="22" t="str">
        <f t="shared" si="2"/>
        <v/>
      </c>
      <c r="H179" s="23"/>
      <c r="I179" s="24"/>
      <c r="J179" s="138">
        <v>0</v>
      </c>
    </row>
    <row r="180" spans="1:10" ht="15.75" hidden="1" thickBot="1" x14ac:dyDescent="0.3">
      <c r="A180" s="221"/>
      <c r="B180" s="223"/>
      <c r="C180" s="26"/>
      <c r="D180" s="26"/>
      <c r="E180" s="27"/>
      <c r="F180" s="37" t="s">
        <v>521</v>
      </c>
      <c r="G180" s="25" t="str">
        <f t="shared" si="2"/>
        <v/>
      </c>
      <c r="H180" s="29"/>
      <c r="I180" s="25"/>
      <c r="J180" s="138">
        <v>0</v>
      </c>
    </row>
    <row r="181" spans="1:10" ht="15.75" hidden="1" thickBot="1" x14ac:dyDescent="0.3">
      <c r="A181" s="221"/>
      <c r="B181" s="223"/>
      <c r="C181" s="30" t="s">
        <v>23</v>
      </c>
      <c r="D181" s="30" t="s">
        <v>12</v>
      </c>
      <c r="E181" s="31">
        <v>0.4</v>
      </c>
      <c r="F181" s="25">
        <v>18.420500000000001</v>
      </c>
      <c r="G181" s="28">
        <f t="shared" si="2"/>
        <v>7.3682000000000007</v>
      </c>
      <c r="H181" s="33">
        <f>SUM(G181:G181)</f>
        <v>7.3682000000000007</v>
      </c>
      <c r="I181" s="34"/>
      <c r="J181" s="138">
        <v>0</v>
      </c>
    </row>
    <row r="182" spans="1:10" ht="15.75" hidden="1" thickBot="1" x14ac:dyDescent="0.3">
      <c r="A182" s="227"/>
      <c r="B182" s="224"/>
      <c r="C182" s="30"/>
      <c r="D182" s="30"/>
      <c r="E182" s="31"/>
      <c r="F182" s="25" t="s">
        <v>521</v>
      </c>
      <c r="G182" s="25" t="str">
        <f t="shared" si="2"/>
        <v/>
      </c>
      <c r="H182" s="29"/>
      <c r="I182" s="25"/>
      <c r="J182" s="138">
        <v>0</v>
      </c>
    </row>
    <row r="183" spans="1:10" ht="15.75" hidden="1" thickBot="1" x14ac:dyDescent="0.3">
      <c r="A183" s="220" t="s">
        <v>71</v>
      </c>
      <c r="B183" s="222" t="e">
        <f>INDEX(Orçamentária!A:B,MATCH(Composições!A183,Orçamentária!A:A,0),2)</f>
        <v>#N/A</v>
      </c>
      <c r="C183" s="35"/>
      <c r="D183" s="20" t="s">
        <v>95</v>
      </c>
      <c r="E183" s="21"/>
      <c r="F183" s="36" t="s">
        <v>521</v>
      </c>
      <c r="G183" s="22" t="str">
        <f t="shared" si="2"/>
        <v/>
      </c>
      <c r="H183" s="23"/>
      <c r="I183" s="24"/>
      <c r="J183" s="138">
        <v>0</v>
      </c>
    </row>
    <row r="184" spans="1:10" ht="15.75" hidden="1" thickBot="1" x14ac:dyDescent="0.3">
      <c r="A184" s="221"/>
      <c r="B184" s="223"/>
      <c r="C184" s="26"/>
      <c r="D184" s="26"/>
      <c r="E184" s="27"/>
      <c r="F184" s="37" t="s">
        <v>521</v>
      </c>
      <c r="G184" s="25" t="str">
        <f t="shared" si="2"/>
        <v/>
      </c>
      <c r="H184" s="29"/>
      <c r="I184" s="25"/>
      <c r="J184" s="138">
        <v>0</v>
      </c>
    </row>
    <row r="185" spans="1:10" ht="15.75" hidden="1" thickBot="1" x14ac:dyDescent="0.3">
      <c r="A185" s="221"/>
      <c r="B185" s="223"/>
      <c r="C185" s="30" t="s">
        <v>27</v>
      </c>
      <c r="D185" s="30" t="s">
        <v>12</v>
      </c>
      <c r="E185" s="31">
        <f>0.0258*3</f>
        <v>7.7399999999999997E-2</v>
      </c>
      <c r="F185" s="25">
        <v>18.933499999999999</v>
      </c>
      <c r="G185" s="28">
        <f t="shared" si="2"/>
        <v>1.4654528999999998</v>
      </c>
      <c r="H185" s="33">
        <f>SUM(G185:G186)</f>
        <v>4.2672109499999999</v>
      </c>
      <c r="I185" s="34"/>
      <c r="J185" s="138">
        <v>0</v>
      </c>
    </row>
    <row r="186" spans="1:10" ht="15.75" hidden="1" thickBot="1" x14ac:dyDescent="0.3">
      <c r="A186" s="221"/>
      <c r="B186" s="223"/>
      <c r="C186" s="30" t="s">
        <v>23</v>
      </c>
      <c r="D186" s="30" t="s">
        <v>12</v>
      </c>
      <c r="E186" s="31">
        <f>0.0507*3</f>
        <v>0.15210000000000001</v>
      </c>
      <c r="F186" s="25">
        <v>18.420500000000001</v>
      </c>
      <c r="G186" s="28">
        <f t="shared" si="2"/>
        <v>2.8017580500000001</v>
      </c>
      <c r="H186" s="29"/>
      <c r="I186" s="25"/>
      <c r="J186" s="138">
        <v>0</v>
      </c>
    </row>
    <row r="187" spans="1:10" ht="15.75" hidden="1" thickBot="1" x14ac:dyDescent="0.3">
      <c r="A187" s="221"/>
      <c r="B187" s="223"/>
      <c r="C187" s="30"/>
      <c r="D187" s="30"/>
      <c r="E187" s="31"/>
      <c r="F187" s="25" t="s">
        <v>521</v>
      </c>
      <c r="G187" s="28" t="str">
        <f t="shared" si="2"/>
        <v/>
      </c>
      <c r="H187" s="29"/>
      <c r="I187" s="25"/>
      <c r="J187" s="138">
        <v>0</v>
      </c>
    </row>
    <row r="188" spans="1:10" ht="15.75" hidden="1" thickBot="1" x14ac:dyDescent="0.3">
      <c r="A188" s="221"/>
      <c r="B188" s="223"/>
      <c r="C188" s="42" t="s">
        <v>72</v>
      </c>
      <c r="D188" s="30"/>
      <c r="E188" s="31"/>
      <c r="F188" s="25" t="s">
        <v>521</v>
      </c>
      <c r="G188" s="28" t="str">
        <f t="shared" si="2"/>
        <v/>
      </c>
      <c r="H188" s="29"/>
      <c r="I188" s="25"/>
      <c r="J188" s="138">
        <v>0</v>
      </c>
    </row>
    <row r="189" spans="1:10" ht="15.75" hidden="1" thickBot="1" x14ac:dyDescent="0.3">
      <c r="A189" s="227"/>
      <c r="B189" s="224"/>
      <c r="C189" s="30"/>
      <c r="D189" s="30"/>
      <c r="E189" s="31"/>
      <c r="F189" s="25" t="s">
        <v>521</v>
      </c>
      <c r="G189" s="25" t="str">
        <f t="shared" si="2"/>
        <v/>
      </c>
      <c r="H189" s="29"/>
      <c r="I189" s="25"/>
      <c r="J189" s="138">
        <v>0</v>
      </c>
    </row>
    <row r="190" spans="1:10" ht="15.75" hidden="1" thickBot="1" x14ac:dyDescent="0.3">
      <c r="A190" s="220" t="s">
        <v>73</v>
      </c>
      <c r="B190" s="222" t="e">
        <f>INDEX(Orçamentária!A:B,MATCH(Composições!A190,Orçamentária!A:A,0),2)</f>
        <v>#N/A</v>
      </c>
      <c r="C190" s="35"/>
      <c r="D190" s="20" t="s">
        <v>20</v>
      </c>
      <c r="E190" s="21"/>
      <c r="F190" s="36" t="s">
        <v>521</v>
      </c>
      <c r="G190" s="22" t="str">
        <f t="shared" si="2"/>
        <v/>
      </c>
      <c r="H190" s="23"/>
      <c r="I190" s="24"/>
      <c r="J190" s="138">
        <v>0</v>
      </c>
    </row>
    <row r="191" spans="1:10" ht="15.75" hidden="1" thickBot="1" x14ac:dyDescent="0.3">
      <c r="A191" s="221"/>
      <c r="B191" s="223"/>
      <c r="C191" s="26"/>
      <c r="D191" s="26"/>
      <c r="E191" s="27"/>
      <c r="F191" s="37" t="s">
        <v>521</v>
      </c>
      <c r="G191" s="25" t="str">
        <f t="shared" si="2"/>
        <v/>
      </c>
      <c r="H191" s="29"/>
      <c r="I191" s="25"/>
      <c r="J191" s="138">
        <v>0</v>
      </c>
    </row>
    <row r="192" spans="1:10" ht="15.75" hidden="1" thickBot="1" x14ac:dyDescent="0.3">
      <c r="A192" s="221"/>
      <c r="B192" s="223"/>
      <c r="C192" s="30" t="s">
        <v>74</v>
      </c>
      <c r="D192" s="30" t="s">
        <v>12</v>
      </c>
      <c r="E192" s="31">
        <v>0.5</v>
      </c>
      <c r="F192" s="25">
        <v>19.4085</v>
      </c>
      <c r="G192" s="28">
        <f t="shared" si="2"/>
        <v>9.70425</v>
      </c>
      <c r="H192" s="33">
        <f>SUM(G192:G195)</f>
        <v>65.587999999999994</v>
      </c>
      <c r="I192" s="34"/>
      <c r="J192" s="138">
        <v>0</v>
      </c>
    </row>
    <row r="193" spans="1:10" ht="15.75" hidden="1" thickBot="1" x14ac:dyDescent="0.3">
      <c r="A193" s="221"/>
      <c r="B193" s="223"/>
      <c r="C193" s="30" t="s">
        <v>30</v>
      </c>
      <c r="D193" s="30" t="s">
        <v>12</v>
      </c>
      <c r="E193" s="31">
        <v>0.5</v>
      </c>
      <c r="F193" s="25">
        <v>25.146499999999996</v>
      </c>
      <c r="G193" s="28">
        <f t="shared" si="2"/>
        <v>12.573249999999998</v>
      </c>
      <c r="H193" s="29"/>
      <c r="I193" s="25"/>
      <c r="J193" s="138">
        <v>0</v>
      </c>
    </row>
    <row r="194" spans="1:10" ht="15.75" hidden="1" thickBot="1" x14ac:dyDescent="0.3">
      <c r="A194" s="221"/>
      <c r="B194" s="223"/>
      <c r="C194" s="30" t="s">
        <v>22</v>
      </c>
      <c r="D194" s="30" t="s">
        <v>12</v>
      </c>
      <c r="E194" s="31">
        <v>1</v>
      </c>
      <c r="F194" s="25">
        <v>24.889999999999997</v>
      </c>
      <c r="G194" s="28">
        <f t="shared" si="2"/>
        <v>24.889999999999997</v>
      </c>
      <c r="H194" s="29"/>
      <c r="I194" s="25"/>
      <c r="J194" s="138">
        <v>0</v>
      </c>
    </row>
    <row r="195" spans="1:10" ht="15.75" hidden="1" thickBot="1" x14ac:dyDescent="0.3">
      <c r="A195" s="221"/>
      <c r="B195" s="223"/>
      <c r="C195" s="30" t="s">
        <v>23</v>
      </c>
      <c r="D195" s="30" t="s">
        <v>12</v>
      </c>
      <c r="E195" s="31">
        <v>1</v>
      </c>
      <c r="F195" s="25">
        <v>18.420500000000001</v>
      </c>
      <c r="G195" s="28">
        <f t="shared" si="2"/>
        <v>18.420500000000001</v>
      </c>
      <c r="H195" s="29"/>
      <c r="I195" s="25"/>
      <c r="J195" s="138">
        <v>0</v>
      </c>
    </row>
    <row r="196" spans="1:10" ht="15.75" hidden="1" thickBot="1" x14ac:dyDescent="0.3">
      <c r="A196" s="227"/>
      <c r="B196" s="224"/>
      <c r="C196" s="30"/>
      <c r="D196" s="30"/>
      <c r="E196" s="31"/>
      <c r="F196" s="25" t="s">
        <v>521</v>
      </c>
      <c r="G196" s="25" t="str">
        <f t="shared" si="2"/>
        <v/>
      </c>
      <c r="H196" s="29"/>
      <c r="I196" s="25"/>
      <c r="J196" s="138">
        <v>0</v>
      </c>
    </row>
    <row r="197" spans="1:10" ht="15.75" hidden="1" thickBot="1" x14ac:dyDescent="0.3">
      <c r="A197" s="220" t="s">
        <v>75</v>
      </c>
      <c r="B197" s="222" t="e">
        <f>INDEX(Orçamentária!A:B,MATCH(Composições!A197,Orçamentária!A:A,0),2)</f>
        <v>#N/A</v>
      </c>
      <c r="C197" s="35"/>
      <c r="D197" s="20" t="s">
        <v>95</v>
      </c>
      <c r="E197" s="21"/>
      <c r="F197" s="36" t="s">
        <v>521</v>
      </c>
      <c r="G197" s="22" t="str">
        <f t="shared" si="2"/>
        <v/>
      </c>
      <c r="H197" s="23"/>
      <c r="I197" s="24"/>
      <c r="J197" s="138">
        <v>0</v>
      </c>
    </row>
    <row r="198" spans="1:10" ht="15.75" hidden="1" thickBot="1" x14ac:dyDescent="0.3">
      <c r="A198" s="221"/>
      <c r="B198" s="223"/>
      <c r="C198" s="26"/>
      <c r="D198" s="26"/>
      <c r="E198" s="27"/>
      <c r="F198" s="37" t="s">
        <v>521</v>
      </c>
      <c r="G198" s="25" t="str">
        <f t="shared" ref="G198:G261" si="3">IF(ISNUMBER(F198),E198*F198,"")</f>
        <v/>
      </c>
      <c r="H198" s="29"/>
      <c r="I198" s="25"/>
      <c r="J198" s="138">
        <v>0</v>
      </c>
    </row>
    <row r="199" spans="1:10" ht="15.75" hidden="1" thickBot="1" x14ac:dyDescent="0.3">
      <c r="A199" s="221"/>
      <c r="B199" s="223"/>
      <c r="C199" s="30" t="s">
        <v>23</v>
      </c>
      <c r="D199" s="30" t="s">
        <v>12</v>
      </c>
      <c r="E199" s="31">
        <v>0.2</v>
      </c>
      <c r="F199" s="25">
        <v>18.420500000000001</v>
      </c>
      <c r="G199" s="28">
        <f t="shared" si="3"/>
        <v>3.6841000000000004</v>
      </c>
      <c r="H199" s="33">
        <f>SUM(G199:G199)</f>
        <v>3.6841000000000004</v>
      </c>
      <c r="I199" s="34"/>
      <c r="J199" s="138">
        <v>0</v>
      </c>
    </row>
    <row r="200" spans="1:10" ht="15.75" hidden="1" thickBot="1" x14ac:dyDescent="0.3">
      <c r="A200" s="227"/>
      <c r="B200" s="224"/>
      <c r="C200" s="30"/>
      <c r="D200" s="30"/>
      <c r="E200" s="31"/>
      <c r="F200" s="25" t="s">
        <v>521</v>
      </c>
      <c r="G200" s="25" t="str">
        <f t="shared" si="3"/>
        <v/>
      </c>
      <c r="H200" s="29"/>
      <c r="I200" s="25"/>
      <c r="J200" s="138">
        <v>0</v>
      </c>
    </row>
    <row r="201" spans="1:10" ht="15.75" hidden="1" thickBot="1" x14ac:dyDescent="0.3">
      <c r="A201" s="220" t="s">
        <v>76</v>
      </c>
      <c r="B201" s="222" t="e">
        <f>INDEX(Orçamentária!A:B,MATCH(Composições!A201,Orçamentária!A:A,0),2)</f>
        <v>#N/A</v>
      </c>
      <c r="C201" s="35"/>
      <c r="D201" s="20" t="s">
        <v>93</v>
      </c>
      <c r="E201" s="21"/>
      <c r="F201" s="36" t="s">
        <v>521</v>
      </c>
      <c r="G201" s="22" t="str">
        <f t="shared" si="3"/>
        <v/>
      </c>
      <c r="H201" s="23"/>
      <c r="I201" s="24"/>
      <c r="J201" s="138">
        <v>0</v>
      </c>
    </row>
    <row r="202" spans="1:10" ht="15.75" hidden="1" thickBot="1" x14ac:dyDescent="0.3">
      <c r="A202" s="221"/>
      <c r="B202" s="223"/>
      <c r="C202" s="26"/>
      <c r="D202" s="26"/>
      <c r="E202" s="27"/>
      <c r="F202" s="37" t="s">
        <v>521</v>
      </c>
      <c r="G202" s="25" t="str">
        <f t="shared" si="3"/>
        <v/>
      </c>
      <c r="H202" s="29"/>
      <c r="I202" s="25"/>
      <c r="J202" s="138">
        <v>0</v>
      </c>
    </row>
    <row r="203" spans="1:10" ht="15.75" hidden="1" thickBot="1" x14ac:dyDescent="0.3">
      <c r="A203" s="221"/>
      <c r="B203" s="223"/>
      <c r="C203" s="30" t="s">
        <v>23</v>
      </c>
      <c r="D203" s="30" t="s">
        <v>12</v>
      </c>
      <c r="E203" s="31">
        <f>0.437*0.2</f>
        <v>8.7400000000000005E-2</v>
      </c>
      <c r="F203" s="25">
        <v>18.420500000000001</v>
      </c>
      <c r="G203" s="28">
        <f t="shared" si="3"/>
        <v>1.6099517000000001</v>
      </c>
      <c r="H203" s="33">
        <f>SUM(G203:G203)</f>
        <v>1.6099517000000001</v>
      </c>
      <c r="I203" s="34"/>
      <c r="J203" s="138">
        <v>0</v>
      </c>
    </row>
    <row r="204" spans="1:10" ht="15.75" hidden="1" thickBot="1" x14ac:dyDescent="0.3">
      <c r="A204" s="221"/>
      <c r="B204" s="223"/>
      <c r="C204" s="30"/>
      <c r="D204" s="30"/>
      <c r="E204" s="31"/>
      <c r="F204" s="25" t="s">
        <v>521</v>
      </c>
      <c r="G204" s="28" t="str">
        <f t="shared" si="3"/>
        <v/>
      </c>
      <c r="H204" s="29"/>
      <c r="I204" s="25"/>
      <c r="J204" s="138">
        <v>0</v>
      </c>
    </row>
    <row r="205" spans="1:10" ht="15.75" hidden="1" thickBot="1" x14ac:dyDescent="0.3">
      <c r="A205" s="220" t="s">
        <v>77</v>
      </c>
      <c r="B205" s="222" t="e">
        <f>INDEX(Orçamentária!A:B,MATCH(Composições!A205,Orçamentária!A:A,0),2)</f>
        <v>#N/A</v>
      </c>
      <c r="C205" s="35"/>
      <c r="D205" s="20" t="s">
        <v>95</v>
      </c>
      <c r="E205" s="21"/>
      <c r="F205" s="36" t="s">
        <v>521</v>
      </c>
      <c r="G205" s="22" t="str">
        <f t="shared" si="3"/>
        <v/>
      </c>
      <c r="H205" s="23"/>
      <c r="I205" s="24"/>
      <c r="J205" s="138">
        <v>0</v>
      </c>
    </row>
    <row r="206" spans="1:10" ht="15.75" hidden="1" thickBot="1" x14ac:dyDescent="0.3">
      <c r="A206" s="221"/>
      <c r="B206" s="223"/>
      <c r="C206" s="26"/>
      <c r="D206" s="26"/>
      <c r="E206" s="27"/>
      <c r="F206" s="37" t="s">
        <v>521</v>
      </c>
      <c r="G206" s="25" t="str">
        <f t="shared" si="3"/>
        <v/>
      </c>
      <c r="H206" s="29"/>
      <c r="I206" s="25"/>
      <c r="J206" s="138">
        <v>0</v>
      </c>
    </row>
    <row r="207" spans="1:10" ht="15.75" hidden="1" thickBot="1" x14ac:dyDescent="0.3">
      <c r="A207" s="221"/>
      <c r="B207" s="223"/>
      <c r="C207" s="30" t="s">
        <v>78</v>
      </c>
      <c r="D207" s="30" t="s">
        <v>12</v>
      </c>
      <c r="E207" s="31">
        <v>0.25</v>
      </c>
      <c r="F207" s="25">
        <v>24.633499999999998</v>
      </c>
      <c r="G207" s="25">
        <f t="shared" si="3"/>
        <v>6.1583749999999995</v>
      </c>
      <c r="H207" s="33">
        <f>SUM(G207:G208)</f>
        <v>6.6188874999999996</v>
      </c>
      <c r="I207" s="34"/>
      <c r="J207" s="138">
        <v>0</v>
      </c>
    </row>
    <row r="208" spans="1:10" ht="15.75" hidden="1" thickBot="1" x14ac:dyDescent="0.3">
      <c r="A208" s="221"/>
      <c r="B208" s="223"/>
      <c r="C208" s="30" t="s">
        <v>23</v>
      </c>
      <c r="D208" s="41" t="s">
        <v>12</v>
      </c>
      <c r="E208" s="31">
        <v>2.5000000000000001E-2</v>
      </c>
      <c r="F208" s="25">
        <v>18.420500000000001</v>
      </c>
      <c r="G208" s="28">
        <f t="shared" si="3"/>
        <v>0.46051250000000005</v>
      </c>
      <c r="H208" s="29"/>
      <c r="I208" s="25"/>
      <c r="J208" s="138">
        <v>0</v>
      </c>
    </row>
    <row r="209" spans="1:10" ht="15.75" hidden="1" thickBot="1" x14ac:dyDescent="0.3">
      <c r="A209" s="227"/>
      <c r="B209" s="224"/>
      <c r="C209" s="30"/>
      <c r="D209" s="30"/>
      <c r="E209" s="31"/>
      <c r="F209" s="25" t="s">
        <v>521</v>
      </c>
      <c r="G209" s="25" t="str">
        <f t="shared" si="3"/>
        <v/>
      </c>
      <c r="H209" s="29"/>
      <c r="I209" s="25"/>
      <c r="J209" s="138">
        <v>0</v>
      </c>
    </row>
    <row r="210" spans="1:10" ht="15.75" hidden="1" thickBot="1" x14ac:dyDescent="0.3">
      <c r="A210" s="220" t="s">
        <v>79</v>
      </c>
      <c r="B210" s="222" t="e">
        <f>INDEX(Orçamentária!A:B,MATCH(Composições!A210,Orçamentária!A:A,0),2)</f>
        <v>#N/A</v>
      </c>
      <c r="C210" s="35"/>
      <c r="D210" s="20" t="s">
        <v>93</v>
      </c>
      <c r="E210" s="21"/>
      <c r="F210" s="36" t="s">
        <v>521</v>
      </c>
      <c r="G210" s="22" t="str">
        <f t="shared" si="3"/>
        <v/>
      </c>
      <c r="H210" s="23"/>
      <c r="I210" s="24"/>
      <c r="J210" s="138">
        <v>0</v>
      </c>
    </row>
    <row r="211" spans="1:10" ht="15.75" hidden="1" thickBot="1" x14ac:dyDescent="0.3">
      <c r="A211" s="221"/>
      <c r="B211" s="223"/>
      <c r="C211" s="26"/>
      <c r="D211" s="26"/>
      <c r="E211" s="27"/>
      <c r="F211" s="37" t="s">
        <v>521</v>
      </c>
      <c r="G211" s="25" t="str">
        <f t="shared" si="3"/>
        <v/>
      </c>
      <c r="H211" s="29"/>
      <c r="I211" s="25"/>
      <c r="J211" s="138">
        <v>0</v>
      </c>
    </row>
    <row r="212" spans="1:10" ht="15.75" hidden="1" thickBot="1" x14ac:dyDescent="0.3">
      <c r="A212" s="221"/>
      <c r="B212" s="223"/>
      <c r="C212" s="30" t="s">
        <v>23</v>
      </c>
      <c r="D212" s="30" t="s">
        <v>12</v>
      </c>
      <c r="E212" s="31">
        <v>0.55000000000000004</v>
      </c>
      <c r="F212" s="25">
        <v>18.420500000000001</v>
      </c>
      <c r="G212" s="28">
        <f t="shared" si="3"/>
        <v>10.131275</v>
      </c>
      <c r="H212" s="33">
        <f>SUM(G212:G212)</f>
        <v>10.131275</v>
      </c>
      <c r="I212" s="34"/>
      <c r="J212" s="138">
        <v>0</v>
      </c>
    </row>
    <row r="213" spans="1:10" ht="15.75" hidden="1" thickBot="1" x14ac:dyDescent="0.3">
      <c r="A213" s="227"/>
      <c r="B213" s="224"/>
      <c r="C213" s="30"/>
      <c r="D213" s="30"/>
      <c r="E213" s="31"/>
      <c r="F213" s="25" t="s">
        <v>521</v>
      </c>
      <c r="G213" s="25" t="str">
        <f t="shared" si="3"/>
        <v/>
      </c>
      <c r="H213" s="29"/>
      <c r="I213" s="25"/>
      <c r="J213" s="138">
        <v>0</v>
      </c>
    </row>
    <row r="214" spans="1:10" ht="15.75" hidden="1" thickBot="1" x14ac:dyDescent="0.3">
      <c r="A214" s="220" t="s">
        <v>80</v>
      </c>
      <c r="B214" s="222" t="e">
        <f>INDEX(Orçamentária!A:B,MATCH(Composições!A214,Orçamentária!A:A,0),2)</f>
        <v>#N/A</v>
      </c>
      <c r="C214" s="35"/>
      <c r="D214" s="20" t="s">
        <v>20</v>
      </c>
      <c r="E214" s="21"/>
      <c r="F214" s="36" t="s">
        <v>521</v>
      </c>
      <c r="G214" s="22" t="str">
        <f t="shared" si="3"/>
        <v/>
      </c>
      <c r="H214" s="23"/>
      <c r="I214" s="24"/>
      <c r="J214" s="138">
        <v>0</v>
      </c>
    </row>
    <row r="215" spans="1:10" ht="15.75" hidden="1" thickBot="1" x14ac:dyDescent="0.3">
      <c r="A215" s="221"/>
      <c r="B215" s="223"/>
      <c r="C215" s="26"/>
      <c r="D215" s="26"/>
      <c r="E215" s="27"/>
      <c r="F215" s="37" t="s">
        <v>521</v>
      </c>
      <c r="G215" s="25" t="str">
        <f t="shared" si="3"/>
        <v/>
      </c>
      <c r="H215" s="29"/>
      <c r="I215" s="25"/>
      <c r="J215" s="138">
        <v>0</v>
      </c>
    </row>
    <row r="216" spans="1:10" ht="15.75" hidden="1" thickBot="1" x14ac:dyDescent="0.3">
      <c r="A216" s="221"/>
      <c r="B216" s="223"/>
      <c r="C216" s="30" t="s">
        <v>81</v>
      </c>
      <c r="D216" s="41" t="s">
        <v>12</v>
      </c>
      <c r="E216" s="31">
        <v>1</v>
      </c>
      <c r="F216" s="25">
        <v>26.419499999999999</v>
      </c>
      <c r="G216" s="25">
        <f t="shared" si="3"/>
        <v>26.419499999999999</v>
      </c>
      <c r="H216" s="33">
        <f>SUM(G216:G217)</f>
        <v>47.604500000000002</v>
      </c>
      <c r="I216" s="34"/>
      <c r="J216" s="138">
        <v>0</v>
      </c>
    </row>
    <row r="217" spans="1:10" ht="15.75" hidden="1" thickBot="1" x14ac:dyDescent="0.3">
      <c r="A217" s="221"/>
      <c r="B217" s="223"/>
      <c r="C217" s="30" t="s">
        <v>52</v>
      </c>
      <c r="D217" s="41" t="s">
        <v>12</v>
      </c>
      <c r="E217" s="31">
        <v>1</v>
      </c>
      <c r="F217" s="25">
        <v>21.184999999999999</v>
      </c>
      <c r="G217" s="28">
        <f t="shared" si="3"/>
        <v>21.184999999999999</v>
      </c>
      <c r="H217" s="29"/>
      <c r="I217" s="25"/>
      <c r="J217" s="138">
        <v>0</v>
      </c>
    </row>
    <row r="218" spans="1:10" ht="15.75" hidden="1" thickBot="1" x14ac:dyDescent="0.3">
      <c r="A218" s="227"/>
      <c r="B218" s="224"/>
      <c r="C218" s="30"/>
      <c r="D218" s="30"/>
      <c r="E218" s="31"/>
      <c r="F218" s="25" t="s">
        <v>521</v>
      </c>
      <c r="G218" s="25" t="str">
        <f t="shared" si="3"/>
        <v/>
      </c>
      <c r="H218" s="29"/>
      <c r="I218" s="25"/>
      <c r="J218" s="138">
        <v>0</v>
      </c>
    </row>
    <row r="219" spans="1:10" ht="15.75" hidden="1" thickBot="1" x14ac:dyDescent="0.3">
      <c r="A219" s="220" t="s">
        <v>82</v>
      </c>
      <c r="B219" s="222" t="e">
        <f>INDEX(Orçamentária!A:B,MATCH(Composições!A219,Orçamentária!A:A,0),2)</f>
        <v>#N/A</v>
      </c>
      <c r="C219" s="35"/>
      <c r="D219" s="20" t="s">
        <v>95</v>
      </c>
      <c r="E219" s="21"/>
      <c r="F219" s="36" t="s">
        <v>521</v>
      </c>
      <c r="G219" s="22" t="str">
        <f t="shared" si="3"/>
        <v/>
      </c>
      <c r="H219" s="23"/>
      <c r="I219" s="24"/>
      <c r="J219" s="138">
        <v>0</v>
      </c>
    </row>
    <row r="220" spans="1:10" ht="15.75" hidden="1" thickBot="1" x14ac:dyDescent="0.3">
      <c r="A220" s="221"/>
      <c r="B220" s="223"/>
      <c r="C220" s="26"/>
      <c r="D220" s="26"/>
      <c r="E220" s="27"/>
      <c r="F220" s="37" t="s">
        <v>521</v>
      </c>
      <c r="G220" s="25" t="str">
        <f t="shared" si="3"/>
        <v/>
      </c>
      <c r="H220" s="29"/>
      <c r="I220" s="25"/>
      <c r="J220" s="138">
        <v>0</v>
      </c>
    </row>
    <row r="221" spans="1:10" ht="15.75" hidden="1" thickBot="1" x14ac:dyDescent="0.3">
      <c r="A221" s="221"/>
      <c r="B221" s="223"/>
      <c r="C221" s="30" t="s">
        <v>23</v>
      </c>
      <c r="D221" s="30" t="s">
        <v>12</v>
      </c>
      <c r="E221" s="31">
        <v>0.39</v>
      </c>
      <c r="F221" s="25">
        <v>18.420500000000001</v>
      </c>
      <c r="G221" s="28">
        <f t="shared" si="3"/>
        <v>7.1839950000000004</v>
      </c>
      <c r="H221" s="33">
        <f>SUM(G221:G222)</f>
        <v>16.3915565</v>
      </c>
      <c r="I221" s="34"/>
      <c r="J221" s="138">
        <v>0</v>
      </c>
    </row>
    <row r="222" spans="1:10" ht="15.75" hidden="1" thickBot="1" x14ac:dyDescent="0.3">
      <c r="A222" s="221"/>
      <c r="B222" s="223"/>
      <c r="C222" s="30" t="s">
        <v>68</v>
      </c>
      <c r="D222" s="30" t="s">
        <v>12</v>
      </c>
      <c r="E222" s="31">
        <v>0.40100000000000002</v>
      </c>
      <c r="F222" s="25">
        <v>22.961500000000001</v>
      </c>
      <c r="G222" s="28">
        <f t="shared" si="3"/>
        <v>9.2075615000000006</v>
      </c>
      <c r="H222" s="29"/>
      <c r="I222" s="25"/>
      <c r="J222" s="138">
        <v>0</v>
      </c>
    </row>
    <row r="223" spans="1:10" ht="15.75" hidden="1" thickBot="1" x14ac:dyDescent="0.3">
      <c r="A223" s="227"/>
      <c r="B223" s="224"/>
      <c r="C223" s="30"/>
      <c r="D223" s="30"/>
      <c r="E223" s="31"/>
      <c r="F223" s="25" t="s">
        <v>521</v>
      </c>
      <c r="G223" s="25" t="str">
        <f t="shared" si="3"/>
        <v/>
      </c>
      <c r="H223" s="29"/>
      <c r="I223" s="25"/>
      <c r="J223" s="138">
        <v>0</v>
      </c>
    </row>
    <row r="224" spans="1:10" ht="15.75" thickBot="1" x14ac:dyDescent="0.3">
      <c r="A224" s="236" t="s">
        <v>83</v>
      </c>
      <c r="B224" s="222" t="str">
        <f>INDEX(Orçamentária!A:B,MATCH(Composições!A224,Orçamentária!A:A,0),2)</f>
        <v>Retirada de entulhos</v>
      </c>
      <c r="C224" s="35"/>
      <c r="D224" s="20" t="s">
        <v>109</v>
      </c>
      <c r="E224" s="21"/>
      <c r="F224" s="36" t="s">
        <v>521</v>
      </c>
      <c r="G224" s="22" t="str">
        <f t="shared" si="3"/>
        <v/>
      </c>
      <c r="H224" s="23"/>
      <c r="I224" s="24"/>
      <c r="J224" s="138">
        <v>270</v>
      </c>
    </row>
    <row r="225" spans="1:10" x14ac:dyDescent="0.25">
      <c r="A225" s="237"/>
      <c r="B225" s="223"/>
      <c r="C225" s="26"/>
      <c r="D225" s="26"/>
      <c r="E225" s="27"/>
      <c r="F225" s="37" t="s">
        <v>521</v>
      </c>
      <c r="G225" s="25" t="str">
        <f t="shared" si="3"/>
        <v/>
      </c>
      <c r="H225" s="29"/>
      <c r="I225" s="25"/>
      <c r="J225" s="138">
        <v>270</v>
      </c>
    </row>
    <row r="226" spans="1:10" x14ac:dyDescent="0.25">
      <c r="A226" s="237"/>
      <c r="B226" s="223"/>
      <c r="C226" s="30" t="s">
        <v>23</v>
      </c>
      <c r="D226" s="30" t="s">
        <v>12</v>
      </c>
      <c r="E226" s="31">
        <v>1</v>
      </c>
      <c r="F226" s="25">
        <v>18.420500000000001</v>
      </c>
      <c r="G226" s="28">
        <f t="shared" si="3"/>
        <v>18.420500000000001</v>
      </c>
      <c r="H226" s="33">
        <f>SUM(G226:G226)</f>
        <v>18.420500000000001</v>
      </c>
      <c r="I226" s="34"/>
      <c r="J226" s="138">
        <v>270</v>
      </c>
    </row>
    <row r="227" spans="1:10" ht="15.75" thickBot="1" x14ac:dyDescent="0.3">
      <c r="A227" s="237"/>
      <c r="B227" s="223"/>
      <c r="C227" s="30"/>
      <c r="D227" s="30"/>
      <c r="E227" s="31"/>
      <c r="F227" s="25" t="s">
        <v>521</v>
      </c>
      <c r="G227" s="25" t="str">
        <f t="shared" si="3"/>
        <v/>
      </c>
      <c r="H227" s="29"/>
      <c r="I227" s="25"/>
      <c r="J227" s="138">
        <v>270</v>
      </c>
    </row>
    <row r="228" spans="1:10" ht="15.75" hidden="1" thickBot="1" x14ac:dyDescent="0.3">
      <c r="A228" s="236" t="s">
        <v>84</v>
      </c>
      <c r="B228" s="222" t="e">
        <f>INDEX(Orçamentária!A:B,MATCH(Composições!A228,Orçamentária!A:A,0),2)</f>
        <v>#N/A</v>
      </c>
      <c r="C228" s="35"/>
      <c r="D228" s="20" t="s">
        <v>1456</v>
      </c>
      <c r="E228" s="21"/>
      <c r="F228" s="36" t="s">
        <v>521</v>
      </c>
      <c r="G228" s="22" t="str">
        <f t="shared" si="3"/>
        <v/>
      </c>
      <c r="H228" s="23"/>
      <c r="I228" s="24"/>
      <c r="J228" s="138">
        <v>0</v>
      </c>
    </row>
    <row r="229" spans="1:10" ht="15.75" hidden="1" thickBot="1" x14ac:dyDescent="0.3">
      <c r="A229" s="237"/>
      <c r="B229" s="223"/>
      <c r="C229" s="26"/>
      <c r="D229" s="26"/>
      <c r="E229" s="27"/>
      <c r="F229" s="37" t="s">
        <v>521</v>
      </c>
      <c r="G229" s="25" t="str">
        <f t="shared" si="3"/>
        <v/>
      </c>
      <c r="H229" s="29"/>
      <c r="I229" s="25"/>
      <c r="J229" s="138">
        <v>0</v>
      </c>
    </row>
    <row r="230" spans="1:10" ht="39" hidden="1" thickBot="1" x14ac:dyDescent="0.3">
      <c r="A230" s="237"/>
      <c r="B230" s="223"/>
      <c r="C230" s="30" t="s">
        <v>85</v>
      </c>
      <c r="D230" s="30" t="s">
        <v>86</v>
      </c>
      <c r="E230" s="31">
        <v>1</v>
      </c>
      <c r="F230" s="25">
        <v>6.327</v>
      </c>
      <c r="G230" s="28">
        <f t="shared" si="3"/>
        <v>6.327</v>
      </c>
      <c r="H230" s="33">
        <f>SUM(G230:G230)</f>
        <v>6.327</v>
      </c>
      <c r="I230" s="34"/>
      <c r="J230" s="138">
        <v>0</v>
      </c>
    </row>
    <row r="231" spans="1:10" ht="15.75" hidden="1" thickBot="1" x14ac:dyDescent="0.3">
      <c r="A231" s="237"/>
      <c r="B231" s="223"/>
      <c r="C231" s="30"/>
      <c r="D231" s="30"/>
      <c r="E231" s="31"/>
      <c r="F231" s="25" t="s">
        <v>521</v>
      </c>
      <c r="G231" s="25" t="str">
        <f t="shared" si="3"/>
        <v/>
      </c>
      <c r="H231" s="29"/>
      <c r="I231" s="25"/>
      <c r="J231" s="138">
        <v>0</v>
      </c>
    </row>
    <row r="232" spans="1:10" ht="15.75" hidden="1" thickBot="1" x14ac:dyDescent="0.3">
      <c r="A232" s="220" t="s">
        <v>87</v>
      </c>
      <c r="B232" s="222" t="e">
        <f>INDEX(Orçamentária!A:B,MATCH(Composições!A232,Orçamentária!A:A,0),2)</f>
        <v>#N/A</v>
      </c>
      <c r="C232" s="35"/>
      <c r="D232" s="20" t="s">
        <v>1457</v>
      </c>
      <c r="E232" s="21"/>
      <c r="F232" s="36" t="s">
        <v>521</v>
      </c>
      <c r="G232" s="22" t="str">
        <f t="shared" si="3"/>
        <v/>
      </c>
      <c r="H232" s="23"/>
      <c r="I232" s="24"/>
      <c r="J232" s="138">
        <v>0</v>
      </c>
    </row>
    <row r="233" spans="1:10" ht="15.75" hidden="1" thickBot="1" x14ac:dyDescent="0.3">
      <c r="A233" s="221"/>
      <c r="B233" s="223"/>
      <c r="C233" s="26"/>
      <c r="D233" s="26"/>
      <c r="E233" s="27"/>
      <c r="F233" s="37" t="s">
        <v>521</v>
      </c>
      <c r="G233" s="25" t="str">
        <f t="shared" si="3"/>
        <v/>
      </c>
      <c r="H233" s="29"/>
      <c r="I233" s="25"/>
      <c r="J233" s="138">
        <v>0</v>
      </c>
    </row>
    <row r="234" spans="1:10" ht="39" hidden="1" thickBot="1" x14ac:dyDescent="0.3">
      <c r="A234" s="221"/>
      <c r="B234" s="223"/>
      <c r="C234" s="30" t="s">
        <v>1942</v>
      </c>
      <c r="D234" s="41" t="s">
        <v>88</v>
      </c>
      <c r="E234" s="31">
        <v>1</v>
      </c>
      <c r="F234" s="25">
        <v>19</v>
      </c>
      <c r="G234" s="25">
        <f t="shared" si="3"/>
        <v>19</v>
      </c>
      <c r="H234" s="33">
        <f>SUM(G234:G234)</f>
        <v>19</v>
      </c>
      <c r="I234" s="34"/>
      <c r="J234" s="138">
        <v>0</v>
      </c>
    </row>
    <row r="235" spans="1:10" ht="15.75" hidden="1" thickBot="1" x14ac:dyDescent="0.3">
      <c r="A235" s="227"/>
      <c r="B235" s="224"/>
      <c r="C235" s="30"/>
      <c r="D235" s="30"/>
      <c r="E235" s="31"/>
      <c r="F235" s="25" t="s">
        <v>521</v>
      </c>
      <c r="G235" s="25" t="str">
        <f t="shared" si="3"/>
        <v/>
      </c>
      <c r="H235" s="29"/>
      <c r="I235" s="25"/>
      <c r="J235" s="138">
        <v>0</v>
      </c>
    </row>
    <row r="236" spans="1:10" ht="15.75" hidden="1" thickBot="1" x14ac:dyDescent="0.3">
      <c r="A236" s="236" t="s">
        <v>89</v>
      </c>
      <c r="B236" s="222" t="e">
        <f>INDEX(Orçamentária!A:B,MATCH(Composições!A236,Orçamentária!A:A,0),2)</f>
        <v>#N/A</v>
      </c>
      <c r="C236" s="35"/>
      <c r="D236" s="20" t="s">
        <v>93</v>
      </c>
      <c r="E236" s="21"/>
      <c r="F236" s="36" t="s">
        <v>521</v>
      </c>
      <c r="G236" s="22" t="str">
        <f t="shared" si="3"/>
        <v/>
      </c>
      <c r="H236" s="23"/>
      <c r="I236" s="24"/>
      <c r="J236" s="138">
        <v>0</v>
      </c>
    </row>
    <row r="237" spans="1:10" ht="15.75" hidden="1" thickBot="1" x14ac:dyDescent="0.3">
      <c r="A237" s="237"/>
      <c r="B237" s="223"/>
      <c r="C237" s="26"/>
      <c r="D237" s="26"/>
      <c r="E237" s="27"/>
      <c r="F237" s="37" t="s">
        <v>521</v>
      </c>
      <c r="G237" s="25" t="str">
        <f t="shared" si="3"/>
        <v/>
      </c>
      <c r="H237" s="29"/>
      <c r="I237" s="25"/>
      <c r="J237" s="138">
        <v>0</v>
      </c>
    </row>
    <row r="238" spans="1:10" ht="26.25" hidden="1" thickBot="1" x14ac:dyDescent="0.3">
      <c r="A238" s="237"/>
      <c r="B238" s="223"/>
      <c r="C238" s="30" t="s">
        <v>90</v>
      </c>
      <c r="D238" s="30" t="s">
        <v>91</v>
      </c>
      <c r="E238" s="31">
        <v>0.01</v>
      </c>
      <c r="F238" s="25">
        <v>606.60349999999994</v>
      </c>
      <c r="G238" s="28">
        <f t="shared" si="3"/>
        <v>6.0660349999999994</v>
      </c>
      <c r="H238" s="33">
        <f>SUM(G238:G238)</f>
        <v>6.0660349999999994</v>
      </c>
      <c r="I238" s="34"/>
      <c r="J238" s="138">
        <v>0</v>
      </c>
    </row>
    <row r="239" spans="1:10" ht="15.75" hidden="1" thickBot="1" x14ac:dyDescent="0.3">
      <c r="A239" s="237"/>
      <c r="B239" s="223"/>
      <c r="C239" s="30"/>
      <c r="D239" s="30"/>
      <c r="E239" s="31"/>
      <c r="F239" s="25" t="s">
        <v>521</v>
      </c>
      <c r="G239" s="25" t="str">
        <f t="shared" si="3"/>
        <v/>
      </c>
      <c r="H239" s="29"/>
      <c r="I239" s="25"/>
      <c r="J239" s="138">
        <v>0</v>
      </c>
    </row>
    <row r="240" spans="1:10" ht="15.75" hidden="1" thickBot="1" x14ac:dyDescent="0.3">
      <c r="A240" s="220" t="s">
        <v>92</v>
      </c>
      <c r="B240" s="222" t="e">
        <f>INDEX(Orçamentária!A:B,MATCH(Composições!A240,Orçamentária!A:A,0),2)</f>
        <v>#N/A</v>
      </c>
      <c r="C240" s="35"/>
      <c r="D240" s="20" t="s">
        <v>95</v>
      </c>
      <c r="E240" s="21"/>
      <c r="F240" s="43" t="s">
        <v>521</v>
      </c>
      <c r="G240" s="22" t="str">
        <f t="shared" si="3"/>
        <v/>
      </c>
      <c r="H240" s="23"/>
      <c r="I240" s="24"/>
      <c r="J240" s="138">
        <v>0</v>
      </c>
    </row>
    <row r="241" spans="1:10" ht="15.75" hidden="1" thickBot="1" x14ac:dyDescent="0.3">
      <c r="A241" s="221"/>
      <c r="B241" s="223"/>
      <c r="C241" s="26"/>
      <c r="D241" s="26"/>
      <c r="E241" s="27"/>
      <c r="F241" s="25" t="s">
        <v>521</v>
      </c>
      <c r="G241" s="25" t="str">
        <f t="shared" si="3"/>
        <v/>
      </c>
      <c r="H241" s="29"/>
      <c r="I241" s="25"/>
      <c r="J241" s="138">
        <v>0</v>
      </c>
    </row>
    <row r="242" spans="1:10" ht="15.75" hidden="1" thickBot="1" x14ac:dyDescent="0.3">
      <c r="A242" s="221"/>
      <c r="B242" s="223"/>
      <c r="C242" s="30" t="s">
        <v>23</v>
      </c>
      <c r="D242" s="30" t="s">
        <v>12</v>
      </c>
      <c r="E242" s="31">
        <v>0.15</v>
      </c>
      <c r="F242" s="25">
        <v>18.420500000000001</v>
      </c>
      <c r="G242" s="25">
        <f t="shared" si="3"/>
        <v>2.7630750000000002</v>
      </c>
      <c r="H242" s="33">
        <f>SUM(G242:G246)</f>
        <v>27.504874999999998</v>
      </c>
      <c r="I242" s="34"/>
      <c r="J242" s="138">
        <v>0</v>
      </c>
    </row>
    <row r="243" spans="1:10" ht="15.75" hidden="1" thickBot="1" x14ac:dyDescent="0.3">
      <c r="A243" s="221"/>
      <c r="B243" s="223"/>
      <c r="C243" s="30" t="s">
        <v>78</v>
      </c>
      <c r="D243" s="30" t="s">
        <v>12</v>
      </c>
      <c r="E243" s="31">
        <v>0.3</v>
      </c>
      <c r="F243" s="25">
        <v>24.633499999999998</v>
      </c>
      <c r="G243" s="25">
        <f t="shared" si="3"/>
        <v>7.3900499999999987</v>
      </c>
      <c r="H243" s="29"/>
      <c r="I243" s="25"/>
      <c r="J243" s="138">
        <v>0</v>
      </c>
    </row>
    <row r="244" spans="1:10" ht="26.25" hidden="1" thickBot="1" x14ac:dyDescent="0.3">
      <c r="A244" s="221"/>
      <c r="B244" s="223"/>
      <c r="C244" s="30" t="s">
        <v>1928</v>
      </c>
      <c r="D244" s="30" t="s">
        <v>93</v>
      </c>
      <c r="E244" s="31">
        <v>1.5</v>
      </c>
      <c r="F244" s="28">
        <v>8.0179999999999989</v>
      </c>
      <c r="G244" s="25">
        <f t="shared" si="3"/>
        <v>12.026999999999997</v>
      </c>
      <c r="H244" s="29"/>
      <c r="I244" s="25"/>
      <c r="J244" s="138">
        <v>0</v>
      </c>
    </row>
    <row r="245" spans="1:10" ht="15.75" hidden="1" thickBot="1" x14ac:dyDescent="0.3">
      <c r="A245" s="221"/>
      <c r="B245" s="223"/>
      <c r="C245" s="30" t="s">
        <v>94</v>
      </c>
      <c r="D245" s="30" t="s">
        <v>42</v>
      </c>
      <c r="E245" s="31">
        <v>0.1</v>
      </c>
      <c r="F245" s="28">
        <v>21.564999999999998</v>
      </c>
      <c r="G245" s="25">
        <f t="shared" si="3"/>
        <v>2.1564999999999999</v>
      </c>
      <c r="H245" s="29"/>
      <c r="I245" s="25"/>
      <c r="J245" s="138">
        <v>0</v>
      </c>
    </row>
    <row r="246" spans="1:10" ht="26.25" hidden="1" thickBot="1" x14ac:dyDescent="0.3">
      <c r="A246" s="221"/>
      <c r="B246" s="223"/>
      <c r="C246" s="30" t="s">
        <v>1740</v>
      </c>
      <c r="D246" s="30" t="s">
        <v>93</v>
      </c>
      <c r="E246" s="31">
        <v>1.1499999999999999</v>
      </c>
      <c r="F246" s="28">
        <v>2.7549999999999999</v>
      </c>
      <c r="G246" s="25">
        <f t="shared" si="3"/>
        <v>3.1682499999999996</v>
      </c>
      <c r="H246" s="29"/>
      <c r="I246" s="25"/>
      <c r="J246" s="138">
        <v>0</v>
      </c>
    </row>
    <row r="247" spans="1:10" ht="15.75" hidden="1" thickBot="1" x14ac:dyDescent="0.3">
      <c r="A247" s="227"/>
      <c r="B247" s="224"/>
      <c r="C247" s="30"/>
      <c r="D247" s="30"/>
      <c r="E247" s="31"/>
      <c r="F247" s="25" t="s">
        <v>521</v>
      </c>
      <c r="G247" s="25" t="str">
        <f t="shared" si="3"/>
        <v/>
      </c>
      <c r="H247" s="29"/>
      <c r="I247" s="25"/>
      <c r="J247" s="138">
        <v>0</v>
      </c>
    </row>
    <row r="248" spans="1:10" ht="15.75" hidden="1" thickBot="1" x14ac:dyDescent="0.3">
      <c r="A248" s="220" t="s">
        <v>96</v>
      </c>
      <c r="B248" s="222" t="e">
        <f>INDEX(Orçamentária!A:B,MATCH(Composições!A248,Orçamentária!A:A,0),2)</f>
        <v>#N/A</v>
      </c>
      <c r="C248" s="35"/>
      <c r="D248" s="20" t="s">
        <v>95</v>
      </c>
      <c r="E248" s="21"/>
      <c r="F248" s="36" t="s">
        <v>521</v>
      </c>
      <c r="G248" s="22" t="str">
        <f t="shared" si="3"/>
        <v/>
      </c>
      <c r="H248" s="23"/>
      <c r="I248" s="24"/>
      <c r="J248" s="138">
        <v>0</v>
      </c>
    </row>
    <row r="249" spans="1:10" ht="15.75" hidden="1" thickBot="1" x14ac:dyDescent="0.3">
      <c r="A249" s="221"/>
      <c r="B249" s="223"/>
      <c r="C249" s="26"/>
      <c r="D249" s="26"/>
      <c r="E249" s="27"/>
      <c r="F249" s="37" t="s">
        <v>521</v>
      </c>
      <c r="G249" s="25" t="str">
        <f t="shared" si="3"/>
        <v/>
      </c>
      <c r="H249" s="29"/>
      <c r="I249" s="25"/>
      <c r="J249" s="138">
        <v>0</v>
      </c>
    </row>
    <row r="250" spans="1:10" ht="15.75" hidden="1" thickBot="1" x14ac:dyDescent="0.3">
      <c r="A250" s="221"/>
      <c r="B250" s="223"/>
      <c r="C250" s="30" t="s">
        <v>78</v>
      </c>
      <c r="D250" s="30" t="s">
        <v>12</v>
      </c>
      <c r="E250" s="31">
        <v>0.4</v>
      </c>
      <c r="F250" s="25">
        <v>24.633499999999998</v>
      </c>
      <c r="G250" s="25">
        <f t="shared" si="3"/>
        <v>9.8534000000000006</v>
      </c>
      <c r="H250" s="33">
        <f>SUM(G250:G261)</f>
        <v>76.631925750000008</v>
      </c>
      <c r="I250" s="34"/>
      <c r="J250" s="138">
        <v>0</v>
      </c>
    </row>
    <row r="251" spans="1:10" ht="15.75" hidden="1" thickBot="1" x14ac:dyDescent="0.3">
      <c r="A251" s="221"/>
      <c r="B251" s="223"/>
      <c r="C251" s="30" t="s">
        <v>23</v>
      </c>
      <c r="D251" s="30" t="s">
        <v>12</v>
      </c>
      <c r="E251" s="31">
        <v>0.4</v>
      </c>
      <c r="F251" s="25">
        <v>18.420500000000001</v>
      </c>
      <c r="G251" s="25">
        <f t="shared" si="3"/>
        <v>7.3682000000000007</v>
      </c>
      <c r="H251" s="29"/>
      <c r="I251" s="25"/>
      <c r="J251" s="138">
        <v>0</v>
      </c>
    </row>
    <row r="252" spans="1:10" ht="15.75" hidden="1" thickBot="1" x14ac:dyDescent="0.3">
      <c r="A252" s="221"/>
      <c r="B252" s="223"/>
      <c r="C252" s="30" t="s">
        <v>97</v>
      </c>
      <c r="D252" s="30" t="s">
        <v>95</v>
      </c>
      <c r="E252" s="31">
        <v>1.1000000000000001</v>
      </c>
      <c r="F252" s="25">
        <v>0</v>
      </c>
      <c r="G252" s="25">
        <f t="shared" si="3"/>
        <v>0</v>
      </c>
      <c r="H252" s="29"/>
      <c r="I252" s="25"/>
      <c r="J252" s="138">
        <v>0</v>
      </c>
    </row>
    <row r="253" spans="1:10" ht="26.25" hidden="1" thickBot="1" x14ac:dyDescent="0.3">
      <c r="A253" s="221"/>
      <c r="B253" s="223"/>
      <c r="C253" s="30" t="s">
        <v>1928</v>
      </c>
      <c r="D253" s="30" t="s">
        <v>93</v>
      </c>
      <c r="E253" s="31">
        <v>1.6</v>
      </c>
      <c r="F253" s="28">
        <v>8.0179999999999989</v>
      </c>
      <c r="G253" s="25">
        <f t="shared" si="3"/>
        <v>12.828799999999999</v>
      </c>
      <c r="H253" s="29"/>
      <c r="I253" s="25"/>
      <c r="J253" s="138">
        <v>0</v>
      </c>
    </row>
    <row r="254" spans="1:10" ht="26.25" hidden="1" thickBot="1" x14ac:dyDescent="0.3">
      <c r="A254" s="221"/>
      <c r="B254" s="223"/>
      <c r="C254" s="30" t="s">
        <v>2256</v>
      </c>
      <c r="D254" s="30" t="s">
        <v>93</v>
      </c>
      <c r="E254" s="31">
        <v>1.65</v>
      </c>
      <c r="F254" s="28">
        <v>10.592499999999999</v>
      </c>
      <c r="G254" s="25">
        <f t="shared" si="3"/>
        <v>17.477625</v>
      </c>
      <c r="H254" s="29"/>
      <c r="I254" s="25"/>
      <c r="J254" s="138">
        <v>0</v>
      </c>
    </row>
    <row r="255" spans="1:10" ht="26.25" hidden="1" thickBot="1" x14ac:dyDescent="0.3">
      <c r="A255" s="221"/>
      <c r="B255" s="223"/>
      <c r="C255" s="30" t="s">
        <v>1955</v>
      </c>
      <c r="D255" s="30" t="s">
        <v>93</v>
      </c>
      <c r="E255" s="31">
        <v>0.5</v>
      </c>
      <c r="F255" s="28">
        <v>30.950999999999997</v>
      </c>
      <c r="G255" s="25">
        <f t="shared" si="3"/>
        <v>15.475499999999998</v>
      </c>
      <c r="H255" s="29"/>
      <c r="I255" s="25"/>
      <c r="J255" s="138">
        <v>0</v>
      </c>
    </row>
    <row r="256" spans="1:10" ht="15.75" hidden="1" thickBot="1" x14ac:dyDescent="0.3">
      <c r="A256" s="221"/>
      <c r="B256" s="223"/>
      <c r="C256" s="30" t="s">
        <v>98</v>
      </c>
      <c r="D256" s="30" t="s">
        <v>42</v>
      </c>
      <c r="E256" s="31">
        <v>0.1</v>
      </c>
      <c r="F256" s="28">
        <v>21.935499999999998</v>
      </c>
      <c r="G256" s="25">
        <f t="shared" si="3"/>
        <v>2.1935499999999997</v>
      </c>
      <c r="H256" s="29"/>
      <c r="I256" s="25"/>
      <c r="J256" s="138">
        <v>0</v>
      </c>
    </row>
    <row r="257" spans="1:10" ht="15.75" hidden="1" thickBot="1" x14ac:dyDescent="0.3">
      <c r="A257" s="221"/>
      <c r="B257" s="223"/>
      <c r="C257" s="30" t="s">
        <v>99</v>
      </c>
      <c r="D257" s="30" t="s">
        <v>702</v>
      </c>
      <c r="E257" s="31">
        <v>1.5E-3</v>
      </c>
      <c r="F257" s="28">
        <v>20.700499999999998</v>
      </c>
      <c r="G257" s="25">
        <f t="shared" si="3"/>
        <v>3.1050749999999998E-2</v>
      </c>
      <c r="H257" s="29"/>
      <c r="I257" s="25"/>
      <c r="J257" s="138">
        <v>0</v>
      </c>
    </row>
    <row r="258" spans="1:10" ht="15.75" hidden="1" thickBot="1" x14ac:dyDescent="0.3">
      <c r="A258" s="221"/>
      <c r="B258" s="223"/>
      <c r="C258" s="30" t="s">
        <v>100</v>
      </c>
      <c r="D258" s="30" t="s">
        <v>12</v>
      </c>
      <c r="E258" s="31">
        <v>0.4</v>
      </c>
      <c r="F258" s="28">
        <v>25.887499999999999</v>
      </c>
      <c r="G258" s="25">
        <f t="shared" si="3"/>
        <v>10.355</v>
      </c>
      <c r="H258" s="29"/>
      <c r="I258" s="25"/>
      <c r="J258" s="138">
        <v>0</v>
      </c>
    </row>
    <row r="259" spans="1:10" ht="15.75" hidden="1" thickBot="1" x14ac:dyDescent="0.3">
      <c r="A259" s="221"/>
      <c r="B259" s="223"/>
      <c r="C259" s="30" t="s">
        <v>101</v>
      </c>
      <c r="D259" s="30" t="s">
        <v>102</v>
      </c>
      <c r="E259" s="31">
        <v>2.2499999999999999E-2</v>
      </c>
      <c r="F259" s="28">
        <v>0</v>
      </c>
      <c r="G259" s="25">
        <f t="shared" si="3"/>
        <v>0</v>
      </c>
      <c r="H259" s="29"/>
      <c r="I259" s="25"/>
      <c r="J259" s="138">
        <v>0</v>
      </c>
    </row>
    <row r="260" spans="1:10" ht="15.75" hidden="1" thickBot="1" x14ac:dyDescent="0.3">
      <c r="A260" s="221"/>
      <c r="B260" s="223"/>
      <c r="C260" s="30" t="s">
        <v>103</v>
      </c>
      <c r="D260" s="30" t="s">
        <v>42</v>
      </c>
      <c r="E260" s="31">
        <v>0.6</v>
      </c>
      <c r="F260" s="28">
        <v>1.748</v>
      </c>
      <c r="G260" s="25">
        <f t="shared" si="3"/>
        <v>1.0488</v>
      </c>
      <c r="H260" s="29"/>
      <c r="I260" s="25"/>
      <c r="J260" s="138">
        <v>0</v>
      </c>
    </row>
    <row r="261" spans="1:10" ht="15.75" hidden="1" thickBot="1" x14ac:dyDescent="0.3">
      <c r="A261" s="221"/>
      <c r="B261" s="223"/>
      <c r="C261" s="30" t="s">
        <v>104</v>
      </c>
      <c r="D261" s="30" t="s">
        <v>42</v>
      </c>
      <c r="E261" s="31">
        <v>1.4999999999999999E-2</v>
      </c>
      <c r="F261" s="28">
        <v>0</v>
      </c>
      <c r="G261" s="25">
        <f t="shared" si="3"/>
        <v>0</v>
      </c>
      <c r="H261" s="29"/>
      <c r="I261" s="25"/>
      <c r="J261" s="138">
        <v>0</v>
      </c>
    </row>
    <row r="262" spans="1:10" ht="15.75" hidden="1" thickBot="1" x14ac:dyDescent="0.3">
      <c r="A262" s="227"/>
      <c r="B262" s="224"/>
      <c r="C262" s="30"/>
      <c r="D262" s="30"/>
      <c r="E262" s="31"/>
      <c r="F262" s="25" t="s">
        <v>521</v>
      </c>
      <c r="G262" s="25" t="str">
        <f t="shared" ref="G262:G325" si="4">IF(ISNUMBER(F262),E262*F262,"")</f>
        <v/>
      </c>
      <c r="H262" s="29"/>
      <c r="I262" s="25"/>
      <c r="J262" s="138">
        <v>0</v>
      </c>
    </row>
    <row r="263" spans="1:10" ht="15.75" hidden="1" thickBot="1" x14ac:dyDescent="0.3">
      <c r="A263" s="220" t="s">
        <v>105</v>
      </c>
      <c r="B263" s="222" t="e">
        <f>INDEX(Orçamentária!A:B,MATCH(Composições!A263,Orçamentária!A:A,0),2)</f>
        <v>#N/A</v>
      </c>
      <c r="C263" s="35"/>
      <c r="D263" s="20" t="s">
        <v>95</v>
      </c>
      <c r="E263" s="21"/>
      <c r="F263" s="36" t="s">
        <v>521</v>
      </c>
      <c r="G263" s="22" t="str">
        <f t="shared" si="4"/>
        <v/>
      </c>
      <c r="H263" s="23"/>
      <c r="I263" s="24"/>
      <c r="J263" s="138">
        <v>0</v>
      </c>
    </row>
    <row r="264" spans="1:10" ht="15.75" hidden="1" thickBot="1" x14ac:dyDescent="0.3">
      <c r="A264" s="221"/>
      <c r="B264" s="223"/>
      <c r="C264" s="26"/>
      <c r="D264" s="26"/>
      <c r="E264" s="27"/>
      <c r="F264" s="37" t="s">
        <v>521</v>
      </c>
      <c r="G264" s="25" t="str">
        <f t="shared" si="4"/>
        <v/>
      </c>
      <c r="H264" s="29"/>
      <c r="I264" s="25"/>
      <c r="J264" s="138">
        <v>0</v>
      </c>
    </row>
    <row r="265" spans="1:10" ht="15.75" hidden="1" thickBot="1" x14ac:dyDescent="0.3">
      <c r="A265" s="221"/>
      <c r="B265" s="223"/>
      <c r="C265" s="30" t="s">
        <v>23</v>
      </c>
      <c r="D265" s="44" t="s">
        <v>12</v>
      </c>
      <c r="E265" s="31">
        <v>2.5000000000000001E-2</v>
      </c>
      <c r="F265" s="25">
        <v>18.420500000000001</v>
      </c>
      <c r="G265" s="25">
        <f t="shared" si="4"/>
        <v>0.46051250000000005</v>
      </c>
      <c r="H265" s="33">
        <f>SUM(G265:G266)</f>
        <v>2.2473010000000002</v>
      </c>
      <c r="I265" s="34"/>
      <c r="J265" s="138">
        <v>0</v>
      </c>
    </row>
    <row r="266" spans="1:10" ht="15.75" hidden="1" thickBot="1" x14ac:dyDescent="0.3">
      <c r="A266" s="221"/>
      <c r="B266" s="223"/>
      <c r="C266" s="30" t="s">
        <v>23</v>
      </c>
      <c r="D266" s="44" t="s">
        <v>12</v>
      </c>
      <c r="E266" s="31">
        <v>9.7000000000000003E-2</v>
      </c>
      <c r="F266" s="25">
        <v>18.420500000000001</v>
      </c>
      <c r="G266" s="25">
        <f t="shared" si="4"/>
        <v>1.7867885000000001</v>
      </c>
      <c r="H266" s="29"/>
      <c r="I266" s="34"/>
      <c r="J266" s="138">
        <v>0</v>
      </c>
    </row>
    <row r="267" spans="1:10" ht="15.75" hidden="1" thickBot="1" x14ac:dyDescent="0.3">
      <c r="A267" s="227"/>
      <c r="B267" s="224"/>
      <c r="C267" s="30"/>
      <c r="D267" s="30"/>
      <c r="E267" s="31"/>
      <c r="F267" s="25" t="s">
        <v>521</v>
      </c>
      <c r="G267" s="25" t="str">
        <f t="shared" si="4"/>
        <v/>
      </c>
      <c r="H267" s="29"/>
      <c r="I267" s="25"/>
      <c r="J267" s="138">
        <v>0</v>
      </c>
    </row>
    <row r="268" spans="1:10" ht="15.75" hidden="1" thickBot="1" x14ac:dyDescent="0.3">
      <c r="A268" s="220" t="s">
        <v>106</v>
      </c>
      <c r="B268" s="222" t="e">
        <f>INDEX(Orçamentária!A:B,MATCH(Composições!A268,Orçamentária!A:A,0),2)</f>
        <v>#N/A</v>
      </c>
      <c r="C268" s="35"/>
      <c r="D268" s="20" t="s">
        <v>93</v>
      </c>
      <c r="E268" s="21"/>
      <c r="F268" s="36" t="s">
        <v>521</v>
      </c>
      <c r="G268" s="22" t="str">
        <f t="shared" si="4"/>
        <v/>
      </c>
      <c r="H268" s="23"/>
      <c r="I268" s="24"/>
      <c r="J268" s="138">
        <v>0</v>
      </c>
    </row>
    <row r="269" spans="1:10" ht="15.75" hidden="1" thickBot="1" x14ac:dyDescent="0.3">
      <c r="A269" s="221"/>
      <c r="B269" s="223"/>
      <c r="C269" s="26"/>
      <c r="D269" s="26"/>
      <c r="E269" s="27"/>
      <c r="F269" s="37" t="s">
        <v>521</v>
      </c>
      <c r="G269" s="25" t="str">
        <f t="shared" si="4"/>
        <v/>
      </c>
      <c r="H269" s="29"/>
      <c r="I269" s="25"/>
      <c r="J269" s="138">
        <v>0</v>
      </c>
    </row>
    <row r="270" spans="1:10" ht="15.75" hidden="1" thickBot="1" x14ac:dyDescent="0.3">
      <c r="A270" s="221"/>
      <c r="B270" s="223"/>
      <c r="C270" s="30" t="s">
        <v>74</v>
      </c>
      <c r="D270" s="30" t="s">
        <v>12</v>
      </c>
      <c r="E270" s="31">
        <v>3.4000000000000002E-2</v>
      </c>
      <c r="F270" s="25">
        <v>19.4085</v>
      </c>
      <c r="G270" s="25">
        <f t="shared" si="4"/>
        <v>0.65988900000000006</v>
      </c>
      <c r="H270" s="33">
        <f>SUM(G270:G274)</f>
        <v>18.849061027905996</v>
      </c>
      <c r="I270" s="34"/>
      <c r="J270" s="138">
        <v>0</v>
      </c>
    </row>
    <row r="271" spans="1:10" ht="15.75" hidden="1" thickBot="1" x14ac:dyDescent="0.3">
      <c r="A271" s="221"/>
      <c r="B271" s="223"/>
      <c r="C271" s="30" t="s">
        <v>30</v>
      </c>
      <c r="D271" s="30" t="s">
        <v>12</v>
      </c>
      <c r="E271" s="31">
        <v>0.216</v>
      </c>
      <c r="F271" s="25">
        <v>25.146499999999996</v>
      </c>
      <c r="G271" s="25">
        <f t="shared" si="4"/>
        <v>5.4316439999999995</v>
      </c>
      <c r="H271" s="29"/>
      <c r="I271" s="25"/>
      <c r="J271" s="138">
        <v>0</v>
      </c>
    </row>
    <row r="272" spans="1:10" ht="26.25" hidden="1" thickBot="1" x14ac:dyDescent="0.3">
      <c r="A272" s="221"/>
      <c r="B272" s="223"/>
      <c r="C272" s="30" t="s">
        <v>107</v>
      </c>
      <c r="D272" s="30" t="s">
        <v>12</v>
      </c>
      <c r="E272" s="31">
        <v>5.5E-2</v>
      </c>
      <c r="F272" s="25">
        <v>19.094999999999999</v>
      </c>
      <c r="G272" s="25">
        <f t="shared" si="4"/>
        <v>1.050225</v>
      </c>
      <c r="H272" s="29"/>
      <c r="I272" s="25"/>
      <c r="J272" s="138">
        <v>0</v>
      </c>
    </row>
    <row r="273" spans="1:10" ht="15.75" hidden="1" thickBot="1" x14ac:dyDescent="0.3">
      <c r="A273" s="221"/>
      <c r="B273" s="223"/>
      <c r="C273" s="30" t="s">
        <v>39</v>
      </c>
      <c r="D273" s="41" t="s">
        <v>12</v>
      </c>
      <c r="E273" s="31">
        <v>0.39100000000000001</v>
      </c>
      <c r="F273" s="25">
        <v>24.300999999999998</v>
      </c>
      <c r="G273" s="25">
        <f t="shared" si="4"/>
        <v>9.5016909999999992</v>
      </c>
      <c r="H273" s="29"/>
      <c r="I273" s="25"/>
      <c r="J273" s="138">
        <v>0</v>
      </c>
    </row>
    <row r="274" spans="1:10" ht="26.25" hidden="1" thickBot="1" x14ac:dyDescent="0.3">
      <c r="A274" s="221"/>
      <c r="B274" s="223"/>
      <c r="C274" s="30" t="s">
        <v>108</v>
      </c>
      <c r="D274" s="30" t="s">
        <v>109</v>
      </c>
      <c r="E274" s="31">
        <v>3.0000000000000001E-3</v>
      </c>
      <c r="F274" s="28">
        <v>735.20400930200003</v>
      </c>
      <c r="G274" s="28">
        <f t="shared" si="4"/>
        <v>2.2056120279060001</v>
      </c>
      <c r="H274" s="29"/>
      <c r="I274" s="25"/>
      <c r="J274" s="138">
        <v>0</v>
      </c>
    </row>
    <row r="275" spans="1:10" ht="15.75" hidden="1" thickBot="1" x14ac:dyDescent="0.3">
      <c r="A275" s="227"/>
      <c r="B275" s="224"/>
      <c r="C275" s="30"/>
      <c r="D275" s="30"/>
      <c r="E275" s="31"/>
      <c r="F275" s="25" t="s">
        <v>521</v>
      </c>
      <c r="G275" s="25" t="str">
        <f t="shared" si="4"/>
        <v/>
      </c>
      <c r="H275" s="29"/>
      <c r="I275" s="25"/>
      <c r="J275" s="138">
        <v>0</v>
      </c>
    </row>
    <row r="276" spans="1:10" ht="15.75" hidden="1" thickBot="1" x14ac:dyDescent="0.3">
      <c r="A276" s="220" t="s">
        <v>110</v>
      </c>
      <c r="B276" s="222" t="e">
        <f>INDEX(Orçamentária!A:B,MATCH(Composições!A276,Orçamentária!A:A,0),2)</f>
        <v>#N/A</v>
      </c>
      <c r="C276" s="35"/>
      <c r="D276" s="20" t="s">
        <v>20</v>
      </c>
      <c r="E276" s="21"/>
      <c r="F276" s="36" t="s">
        <v>521</v>
      </c>
      <c r="G276" s="22" t="str">
        <f t="shared" si="4"/>
        <v/>
      </c>
      <c r="H276" s="23"/>
      <c r="I276" s="24"/>
      <c r="J276" s="138">
        <v>0</v>
      </c>
    </row>
    <row r="277" spans="1:10" ht="15.75" hidden="1" thickBot="1" x14ac:dyDescent="0.3">
      <c r="A277" s="221"/>
      <c r="B277" s="223"/>
      <c r="C277" s="26"/>
      <c r="D277" s="26"/>
      <c r="E277" s="27"/>
      <c r="F277" s="37" t="s">
        <v>521</v>
      </c>
      <c r="G277" s="25" t="str">
        <f t="shared" si="4"/>
        <v/>
      </c>
      <c r="H277" s="29"/>
      <c r="I277" s="25"/>
      <c r="J277" s="138">
        <v>0</v>
      </c>
    </row>
    <row r="278" spans="1:10" ht="26.25" hidden="1" thickBot="1" x14ac:dyDescent="0.3">
      <c r="A278" s="221"/>
      <c r="B278" s="223"/>
      <c r="C278" s="30" t="s">
        <v>32</v>
      </c>
      <c r="D278" s="30" t="s">
        <v>33</v>
      </c>
      <c r="E278" s="31">
        <v>0.58699999999999997</v>
      </c>
      <c r="F278" s="28">
        <v>22.001999999999999</v>
      </c>
      <c r="G278" s="28">
        <f t="shared" si="4"/>
        <v>12.915173999999999</v>
      </c>
      <c r="H278" s="33">
        <f>SUM(G278:G281)</f>
        <v>90.949180999999982</v>
      </c>
      <c r="I278" s="34"/>
      <c r="J278" s="138">
        <v>0</v>
      </c>
    </row>
    <row r="279" spans="1:10" ht="26.25" hidden="1" thickBot="1" x14ac:dyDescent="0.3">
      <c r="A279" s="221"/>
      <c r="B279" s="223"/>
      <c r="C279" s="30" t="s">
        <v>34</v>
      </c>
      <c r="D279" s="30" t="s">
        <v>35</v>
      </c>
      <c r="E279" s="31">
        <v>1.29</v>
      </c>
      <c r="F279" s="28">
        <v>20.795500000000001</v>
      </c>
      <c r="G279" s="28">
        <f t="shared" si="4"/>
        <v>26.826195000000002</v>
      </c>
      <c r="H279" s="29"/>
      <c r="I279" s="25"/>
      <c r="J279" s="138">
        <v>0</v>
      </c>
    </row>
    <row r="280" spans="1:10" ht="26.25" hidden="1" thickBot="1" x14ac:dyDescent="0.3">
      <c r="A280" s="221"/>
      <c r="B280" s="223"/>
      <c r="C280" s="30" t="s">
        <v>107</v>
      </c>
      <c r="D280" s="30" t="s">
        <v>12</v>
      </c>
      <c r="E280" s="31">
        <v>0.29299999999999998</v>
      </c>
      <c r="F280" s="25">
        <v>19.094999999999999</v>
      </c>
      <c r="G280" s="28">
        <f t="shared" si="4"/>
        <v>5.5948349999999989</v>
      </c>
      <c r="H280" s="29"/>
      <c r="I280" s="25"/>
      <c r="J280" s="138">
        <v>0</v>
      </c>
    </row>
    <row r="281" spans="1:10" ht="15.75" hidden="1" thickBot="1" x14ac:dyDescent="0.3">
      <c r="A281" s="221"/>
      <c r="B281" s="223"/>
      <c r="C281" s="30" t="s">
        <v>39</v>
      </c>
      <c r="D281" s="41" t="s">
        <v>12</v>
      </c>
      <c r="E281" s="31">
        <v>1.877</v>
      </c>
      <c r="F281" s="25">
        <v>24.300999999999998</v>
      </c>
      <c r="G281" s="28">
        <f t="shared" si="4"/>
        <v>45.612976999999994</v>
      </c>
      <c r="H281" s="29"/>
      <c r="I281" s="25"/>
      <c r="J281" s="138">
        <v>0</v>
      </c>
    </row>
    <row r="282" spans="1:10" ht="15.75" hidden="1" thickBot="1" x14ac:dyDescent="0.3">
      <c r="A282" s="227"/>
      <c r="B282" s="224"/>
      <c r="C282" s="30"/>
      <c r="D282" s="30"/>
      <c r="E282" s="31"/>
      <c r="F282" s="25" t="s">
        <v>521</v>
      </c>
      <c r="G282" s="25" t="str">
        <f t="shared" si="4"/>
        <v/>
      </c>
      <c r="H282" s="29"/>
      <c r="I282" s="25"/>
      <c r="J282" s="138">
        <v>0</v>
      </c>
    </row>
    <row r="283" spans="1:10" ht="15.75" hidden="1" thickBot="1" x14ac:dyDescent="0.3">
      <c r="A283" s="220" t="s">
        <v>111</v>
      </c>
      <c r="B283" s="222" t="e">
        <f>INDEX(Orçamentária!A:B,MATCH(Composições!A283,Orçamentária!A:A,0),2)</f>
        <v>#N/A</v>
      </c>
      <c r="C283" s="35"/>
      <c r="D283" s="20" t="s">
        <v>20</v>
      </c>
      <c r="E283" s="21"/>
      <c r="F283" s="36" t="s">
        <v>521</v>
      </c>
      <c r="G283" s="22" t="str">
        <f t="shared" si="4"/>
        <v/>
      </c>
      <c r="H283" s="23"/>
      <c r="I283" s="24"/>
      <c r="J283" s="138">
        <v>0</v>
      </c>
    </row>
    <row r="284" spans="1:10" ht="15.75" hidden="1" thickBot="1" x14ac:dyDescent="0.3">
      <c r="A284" s="221"/>
      <c r="B284" s="223"/>
      <c r="C284" s="26"/>
      <c r="D284" s="26"/>
      <c r="E284" s="27"/>
      <c r="F284" s="37" t="s">
        <v>521</v>
      </c>
      <c r="G284" s="25" t="str">
        <f t="shared" si="4"/>
        <v/>
      </c>
      <c r="H284" s="29"/>
      <c r="I284" s="25"/>
      <c r="J284" s="138">
        <v>0</v>
      </c>
    </row>
    <row r="285" spans="1:10" ht="26.25" hidden="1" thickBot="1" x14ac:dyDescent="0.3">
      <c r="A285" s="221"/>
      <c r="B285" s="223"/>
      <c r="C285" s="30" t="s">
        <v>32</v>
      </c>
      <c r="D285" s="30" t="s">
        <v>33</v>
      </c>
      <c r="E285" s="31">
        <v>0.75</v>
      </c>
      <c r="F285" s="28">
        <v>22.001999999999999</v>
      </c>
      <c r="G285" s="28">
        <f t="shared" si="4"/>
        <v>16.5015</v>
      </c>
      <c r="H285" s="33">
        <f>SUM(G285:G288)</f>
        <v>116.16181049999999</v>
      </c>
      <c r="I285" s="34"/>
      <c r="J285" s="138">
        <v>0</v>
      </c>
    </row>
    <row r="286" spans="1:10" ht="26.25" hidden="1" thickBot="1" x14ac:dyDescent="0.3">
      <c r="A286" s="221"/>
      <c r="B286" s="223"/>
      <c r="C286" s="30" t="s">
        <v>34</v>
      </c>
      <c r="D286" s="30" t="s">
        <v>35</v>
      </c>
      <c r="E286" s="31">
        <v>1.647</v>
      </c>
      <c r="F286" s="28">
        <v>20.795500000000001</v>
      </c>
      <c r="G286" s="28">
        <f t="shared" si="4"/>
        <v>34.2501885</v>
      </c>
      <c r="H286" s="29"/>
      <c r="I286" s="25"/>
      <c r="J286" s="138">
        <v>0</v>
      </c>
    </row>
    <row r="287" spans="1:10" ht="26.25" hidden="1" thickBot="1" x14ac:dyDescent="0.3">
      <c r="A287" s="221"/>
      <c r="B287" s="223"/>
      <c r="C287" s="30" t="s">
        <v>107</v>
      </c>
      <c r="D287" s="30" t="s">
        <v>12</v>
      </c>
      <c r="E287" s="31">
        <v>0.375</v>
      </c>
      <c r="F287" s="25">
        <v>19.094999999999999</v>
      </c>
      <c r="G287" s="28">
        <f t="shared" si="4"/>
        <v>7.1606249999999996</v>
      </c>
      <c r="H287" s="29"/>
      <c r="I287" s="25"/>
      <c r="J287" s="138">
        <v>0</v>
      </c>
    </row>
    <row r="288" spans="1:10" ht="15.75" hidden="1" thickBot="1" x14ac:dyDescent="0.3">
      <c r="A288" s="221"/>
      <c r="B288" s="223"/>
      <c r="C288" s="30" t="s">
        <v>39</v>
      </c>
      <c r="D288" s="41" t="s">
        <v>12</v>
      </c>
      <c r="E288" s="31">
        <v>2.3969999999999998</v>
      </c>
      <c r="F288" s="25">
        <v>24.300999999999998</v>
      </c>
      <c r="G288" s="28">
        <f t="shared" si="4"/>
        <v>58.249496999999991</v>
      </c>
      <c r="H288" s="29"/>
      <c r="I288" s="25"/>
      <c r="J288" s="138">
        <v>0</v>
      </c>
    </row>
    <row r="289" spans="1:10" ht="15.75" hidden="1" thickBot="1" x14ac:dyDescent="0.3">
      <c r="A289" s="227"/>
      <c r="B289" s="224"/>
      <c r="C289" s="30"/>
      <c r="D289" s="30"/>
      <c r="E289" s="31"/>
      <c r="F289" s="25" t="s">
        <v>521</v>
      </c>
      <c r="G289" s="25" t="str">
        <f t="shared" si="4"/>
        <v/>
      </c>
      <c r="H289" s="29"/>
      <c r="I289" s="25"/>
      <c r="J289" s="138">
        <v>0</v>
      </c>
    </row>
    <row r="290" spans="1:10" ht="15.75" hidden="1" thickBot="1" x14ac:dyDescent="0.3">
      <c r="A290" s="220" t="s">
        <v>112</v>
      </c>
      <c r="B290" s="222" t="e">
        <f>INDEX(Orçamentária!A:B,MATCH(Composições!A290,Orçamentária!A:A,0),2)</f>
        <v>#N/A</v>
      </c>
      <c r="C290" s="35"/>
      <c r="D290" s="20" t="s">
        <v>109</v>
      </c>
      <c r="E290" s="21"/>
      <c r="F290" s="36" t="s">
        <v>521</v>
      </c>
      <c r="G290" s="22" t="str">
        <f t="shared" si="4"/>
        <v/>
      </c>
      <c r="H290" s="23"/>
      <c r="I290" s="24"/>
      <c r="J290" s="138">
        <v>0</v>
      </c>
    </row>
    <row r="291" spans="1:10" ht="15.75" hidden="1" thickBot="1" x14ac:dyDescent="0.3">
      <c r="A291" s="221"/>
      <c r="B291" s="223"/>
      <c r="C291" s="26"/>
      <c r="D291" s="26"/>
      <c r="E291" s="27"/>
      <c r="F291" s="37" t="s">
        <v>521</v>
      </c>
      <c r="G291" s="25" t="str">
        <f t="shared" si="4"/>
        <v/>
      </c>
      <c r="H291" s="29"/>
      <c r="I291" s="25"/>
      <c r="J291" s="138">
        <v>0</v>
      </c>
    </row>
    <row r="292" spans="1:10" ht="26.25" hidden="1" thickBot="1" x14ac:dyDescent="0.3">
      <c r="A292" s="221"/>
      <c r="B292" s="223"/>
      <c r="C292" s="30" t="s">
        <v>2713</v>
      </c>
      <c r="D292" s="41" t="s">
        <v>109</v>
      </c>
      <c r="E292" s="31">
        <v>1</v>
      </c>
      <c r="F292" s="25">
        <v>259.64763500000004</v>
      </c>
      <c r="G292" s="28">
        <f t="shared" si="4"/>
        <v>259.64763500000004</v>
      </c>
      <c r="H292" s="33">
        <f>SUM(G292:G301)</f>
        <v>828.57910711076011</v>
      </c>
      <c r="I292" s="34"/>
      <c r="J292" s="138">
        <v>0</v>
      </c>
    </row>
    <row r="293" spans="1:10" ht="15.75" hidden="1" thickBot="1" x14ac:dyDescent="0.3">
      <c r="A293" s="221"/>
      <c r="B293" s="223"/>
      <c r="C293" s="30" t="s">
        <v>113</v>
      </c>
      <c r="D293" s="41" t="s">
        <v>109</v>
      </c>
      <c r="E293" s="31">
        <v>0.80459999999999998</v>
      </c>
      <c r="F293" s="28">
        <v>186.16200000000001</v>
      </c>
      <c r="G293" s="28">
        <f t="shared" si="4"/>
        <v>149.78594520000001</v>
      </c>
      <c r="H293" s="29"/>
      <c r="I293" s="25"/>
      <c r="J293" s="138">
        <v>0</v>
      </c>
    </row>
    <row r="294" spans="1:10" ht="15.75" hidden="1" thickBot="1" x14ac:dyDescent="0.3">
      <c r="A294" s="221"/>
      <c r="B294" s="223"/>
      <c r="C294" s="30" t="s">
        <v>114</v>
      </c>
      <c r="D294" s="41" t="s">
        <v>42</v>
      </c>
      <c r="E294" s="31">
        <v>273.06299999999999</v>
      </c>
      <c r="F294" s="28">
        <v>0.64600000000000002</v>
      </c>
      <c r="G294" s="28">
        <f t="shared" si="4"/>
        <v>176.398698</v>
      </c>
      <c r="H294" s="29"/>
      <c r="I294" s="25"/>
      <c r="J294" s="138">
        <v>0</v>
      </c>
    </row>
    <row r="295" spans="1:10" ht="15.75" hidden="1" thickBot="1" x14ac:dyDescent="0.3">
      <c r="A295" s="221"/>
      <c r="B295" s="223"/>
      <c r="C295" s="30" t="s">
        <v>115</v>
      </c>
      <c r="D295" s="41" t="s">
        <v>109</v>
      </c>
      <c r="E295" s="31">
        <v>0.57199999999999995</v>
      </c>
      <c r="F295" s="28">
        <v>151.202</v>
      </c>
      <c r="G295" s="28">
        <f t="shared" si="4"/>
        <v>86.487543999999986</v>
      </c>
      <c r="H295" s="29"/>
      <c r="I295" s="25"/>
      <c r="J295" s="138">
        <v>0</v>
      </c>
    </row>
    <row r="296" spans="1:10" ht="26.25" hidden="1" thickBot="1" x14ac:dyDescent="0.3">
      <c r="A296" s="221"/>
      <c r="B296" s="223"/>
      <c r="C296" s="30" t="s">
        <v>116</v>
      </c>
      <c r="D296" s="41" t="s">
        <v>12</v>
      </c>
      <c r="E296" s="31">
        <v>1.4695</v>
      </c>
      <c r="F296" s="25">
        <v>18.534500000000001</v>
      </c>
      <c r="G296" s="28">
        <f t="shared" si="4"/>
        <v>27.236447750000004</v>
      </c>
      <c r="H296" s="29"/>
      <c r="I296" s="25"/>
      <c r="J296" s="138">
        <v>0</v>
      </c>
    </row>
    <row r="297" spans="1:10" ht="15.75" hidden="1" thickBot="1" x14ac:dyDescent="0.3">
      <c r="A297" s="221"/>
      <c r="B297" s="223"/>
      <c r="C297" s="30" t="s">
        <v>23</v>
      </c>
      <c r="D297" s="30" t="s">
        <v>12</v>
      </c>
      <c r="E297" s="31">
        <v>2.3275000000000001</v>
      </c>
      <c r="F297" s="25">
        <v>18.420500000000001</v>
      </c>
      <c r="G297" s="28">
        <f t="shared" si="4"/>
        <v>42.87371375</v>
      </c>
      <c r="H297" s="29"/>
      <c r="I297" s="25"/>
      <c r="J297" s="138">
        <v>0</v>
      </c>
    </row>
    <row r="298" spans="1:10" ht="39" hidden="1" thickBot="1" x14ac:dyDescent="0.3">
      <c r="A298" s="221"/>
      <c r="B298" s="223"/>
      <c r="C298" s="30" t="s">
        <v>117</v>
      </c>
      <c r="D298" s="41" t="s">
        <v>33</v>
      </c>
      <c r="E298" s="31">
        <v>0.75629999999999997</v>
      </c>
      <c r="F298" s="28">
        <v>1.3964999999999999</v>
      </c>
      <c r="G298" s="28">
        <f t="shared" si="4"/>
        <v>1.0561729499999999</v>
      </c>
      <c r="H298" s="29"/>
      <c r="I298" s="25"/>
      <c r="J298" s="138">
        <v>0</v>
      </c>
    </row>
    <row r="299" spans="1:10" ht="39" hidden="1" thickBot="1" x14ac:dyDescent="0.3">
      <c r="A299" s="221"/>
      <c r="B299" s="223"/>
      <c r="C299" s="30" t="s">
        <v>118</v>
      </c>
      <c r="D299" s="41" t="s">
        <v>35</v>
      </c>
      <c r="E299" s="31">
        <v>0.71309999999999996</v>
      </c>
      <c r="F299" s="28">
        <v>0.3705</v>
      </c>
      <c r="G299" s="28">
        <f t="shared" si="4"/>
        <v>0.26420354999999995</v>
      </c>
      <c r="H299" s="29"/>
      <c r="I299" s="25"/>
      <c r="J299" s="138">
        <v>0</v>
      </c>
    </row>
    <row r="300" spans="1:10" ht="51.75" hidden="1" thickBot="1" x14ac:dyDescent="0.3">
      <c r="A300" s="221"/>
      <c r="B300" s="223"/>
      <c r="C300" s="30" t="s">
        <v>1826</v>
      </c>
      <c r="D300" s="30" t="s">
        <v>120</v>
      </c>
      <c r="E300" s="31">
        <f>1*(E293+E295)</f>
        <v>1.3765999999999998</v>
      </c>
      <c r="F300" s="28">
        <v>7.8564315999999996</v>
      </c>
      <c r="G300" s="28">
        <f t="shared" si="4"/>
        <v>10.815163740559997</v>
      </c>
      <c r="H300" s="29"/>
      <c r="I300" s="25"/>
      <c r="J300" s="138">
        <v>0</v>
      </c>
    </row>
    <row r="301" spans="1:10" ht="39" hidden="1" thickBot="1" x14ac:dyDescent="0.3">
      <c r="A301" s="221"/>
      <c r="B301" s="223"/>
      <c r="C301" s="30" t="s">
        <v>121</v>
      </c>
      <c r="D301" s="41" t="s">
        <v>122</v>
      </c>
      <c r="E301" s="31">
        <f>(E293+E295)*20</f>
        <v>27.531999999999996</v>
      </c>
      <c r="F301" s="28">
        <v>2.6882748499999995</v>
      </c>
      <c r="G301" s="28">
        <f t="shared" si="4"/>
        <v>74.013583170199979</v>
      </c>
      <c r="H301" s="29"/>
      <c r="I301" s="25"/>
      <c r="J301" s="138">
        <v>0</v>
      </c>
    </row>
    <row r="302" spans="1:10" ht="15.75" hidden="1" thickBot="1" x14ac:dyDescent="0.3">
      <c r="A302" s="221"/>
      <c r="B302" s="223"/>
      <c r="C302" s="45"/>
      <c r="D302" s="41"/>
      <c r="E302" s="31"/>
      <c r="F302" s="28" t="s">
        <v>521</v>
      </c>
      <c r="G302" s="28" t="str">
        <f t="shared" si="4"/>
        <v/>
      </c>
      <c r="H302" s="29"/>
      <c r="I302" s="25"/>
      <c r="J302" s="138">
        <v>0</v>
      </c>
    </row>
    <row r="303" spans="1:10" ht="26.25" hidden="1" thickBot="1" x14ac:dyDescent="0.3">
      <c r="A303" s="221"/>
      <c r="B303" s="223"/>
      <c r="C303" s="42" t="s">
        <v>123</v>
      </c>
      <c r="D303" s="41"/>
      <c r="E303" s="31"/>
      <c r="F303" s="28" t="s">
        <v>521</v>
      </c>
      <c r="G303" s="28" t="str">
        <f t="shared" si="4"/>
        <v/>
      </c>
      <c r="H303" s="29"/>
      <c r="I303" s="25"/>
      <c r="J303" s="138">
        <v>0</v>
      </c>
    </row>
    <row r="304" spans="1:10" ht="15.75" hidden="1" thickBot="1" x14ac:dyDescent="0.3">
      <c r="A304" s="227"/>
      <c r="B304" s="224"/>
      <c r="C304" s="30"/>
      <c r="D304" s="30"/>
      <c r="E304" s="31"/>
      <c r="F304" s="25" t="s">
        <v>521</v>
      </c>
      <c r="G304" s="25" t="str">
        <f t="shared" si="4"/>
        <v/>
      </c>
      <c r="H304" s="29"/>
      <c r="I304" s="25"/>
      <c r="J304" s="138">
        <v>0</v>
      </c>
    </row>
    <row r="305" spans="1:10" ht="15.75" hidden="1" thickBot="1" x14ac:dyDescent="0.3">
      <c r="A305" s="220" t="s">
        <v>124</v>
      </c>
      <c r="B305" s="222" t="e">
        <f>INDEX(Orçamentária!A:B,MATCH(Composições!A305,Orçamentária!A:A,0),2)</f>
        <v>#N/A</v>
      </c>
      <c r="C305" s="35"/>
      <c r="D305" s="20" t="s">
        <v>109</v>
      </c>
      <c r="E305" s="21"/>
      <c r="F305" s="36" t="s">
        <v>521</v>
      </c>
      <c r="G305" s="22" t="str">
        <f t="shared" si="4"/>
        <v/>
      </c>
      <c r="H305" s="23"/>
      <c r="I305" s="24"/>
      <c r="J305" s="138">
        <v>0</v>
      </c>
    </row>
    <row r="306" spans="1:10" ht="15.75" hidden="1" thickBot="1" x14ac:dyDescent="0.3">
      <c r="A306" s="221"/>
      <c r="B306" s="223"/>
      <c r="C306" s="26"/>
      <c r="D306" s="26"/>
      <c r="E306" s="27"/>
      <c r="F306" s="37" t="s">
        <v>521</v>
      </c>
      <c r="G306" s="25" t="str">
        <f t="shared" si="4"/>
        <v/>
      </c>
      <c r="H306" s="29"/>
      <c r="I306" s="25"/>
      <c r="J306" s="138">
        <v>0</v>
      </c>
    </row>
    <row r="307" spans="1:10" ht="26.25" hidden="1" thickBot="1" x14ac:dyDescent="0.3">
      <c r="A307" s="221"/>
      <c r="B307" s="223"/>
      <c r="C307" s="30" t="s">
        <v>2713</v>
      </c>
      <c r="D307" s="41" t="s">
        <v>109</v>
      </c>
      <c r="E307" s="31">
        <v>1</v>
      </c>
      <c r="F307" s="25">
        <v>259.64763500000004</v>
      </c>
      <c r="G307" s="28">
        <f t="shared" si="4"/>
        <v>259.64763500000004</v>
      </c>
      <c r="H307" s="33">
        <f>SUM(G307:G316)</f>
        <v>870.36426636618</v>
      </c>
      <c r="I307" s="34"/>
      <c r="J307" s="138">
        <v>0</v>
      </c>
    </row>
    <row r="308" spans="1:10" ht="15.75" hidden="1" thickBot="1" x14ac:dyDescent="0.3">
      <c r="A308" s="221"/>
      <c r="B308" s="223"/>
      <c r="C308" s="30" t="s">
        <v>113</v>
      </c>
      <c r="D308" s="41" t="s">
        <v>109</v>
      </c>
      <c r="E308" s="31">
        <v>0.72289999999999999</v>
      </c>
      <c r="F308" s="28">
        <v>186.16200000000001</v>
      </c>
      <c r="G308" s="25">
        <f t="shared" si="4"/>
        <v>134.5765098</v>
      </c>
      <c r="H308" s="29"/>
      <c r="I308" s="25"/>
      <c r="J308" s="138">
        <v>0</v>
      </c>
    </row>
    <row r="309" spans="1:10" ht="15.75" hidden="1" thickBot="1" x14ac:dyDescent="0.3">
      <c r="A309" s="221"/>
      <c r="B309" s="223"/>
      <c r="C309" s="30" t="s">
        <v>114</v>
      </c>
      <c r="D309" s="41" t="s">
        <v>42</v>
      </c>
      <c r="E309" s="31">
        <v>362.65789999999998</v>
      </c>
      <c r="F309" s="28">
        <v>0.64600000000000002</v>
      </c>
      <c r="G309" s="25">
        <f t="shared" si="4"/>
        <v>234.27700339999998</v>
      </c>
      <c r="H309" s="29"/>
      <c r="I309" s="25"/>
      <c r="J309" s="138">
        <v>0</v>
      </c>
    </row>
    <row r="310" spans="1:10" ht="15.75" hidden="1" thickBot="1" x14ac:dyDescent="0.3">
      <c r="A310" s="221"/>
      <c r="B310" s="223"/>
      <c r="C310" s="30" t="s">
        <v>115</v>
      </c>
      <c r="D310" s="41" t="s">
        <v>109</v>
      </c>
      <c r="E310" s="31">
        <v>0.59340000000000004</v>
      </c>
      <c r="F310" s="28">
        <v>151.202</v>
      </c>
      <c r="G310" s="25">
        <f t="shared" si="4"/>
        <v>89.723266800000005</v>
      </c>
      <c r="H310" s="29"/>
      <c r="I310" s="25"/>
      <c r="J310" s="138">
        <v>0</v>
      </c>
    </row>
    <row r="311" spans="1:10" ht="15.75" hidden="1" thickBot="1" x14ac:dyDescent="0.3">
      <c r="A311" s="221"/>
      <c r="B311" s="223"/>
      <c r="C311" s="30" t="s">
        <v>23</v>
      </c>
      <c r="D311" s="41" t="s">
        <v>12</v>
      </c>
      <c r="E311" s="31">
        <v>2.3117000000000001</v>
      </c>
      <c r="F311" s="25">
        <v>18.420500000000001</v>
      </c>
      <c r="G311" s="25">
        <f t="shared" si="4"/>
        <v>42.582669850000002</v>
      </c>
      <c r="H311" s="29"/>
      <c r="I311" s="25"/>
      <c r="J311" s="138">
        <v>0</v>
      </c>
    </row>
    <row r="312" spans="1:10" ht="26.25" hidden="1" thickBot="1" x14ac:dyDescent="0.3">
      <c r="A312" s="221"/>
      <c r="B312" s="223"/>
      <c r="C312" s="30" t="s">
        <v>116</v>
      </c>
      <c r="D312" s="41" t="s">
        <v>12</v>
      </c>
      <c r="E312" s="31">
        <v>1.4637</v>
      </c>
      <c r="F312" s="25">
        <v>18.534500000000001</v>
      </c>
      <c r="G312" s="25">
        <f t="shared" si="4"/>
        <v>27.128947650000001</v>
      </c>
      <c r="H312" s="29"/>
      <c r="I312" s="25"/>
      <c r="J312" s="138">
        <v>0</v>
      </c>
    </row>
    <row r="313" spans="1:10" ht="39" hidden="1" thickBot="1" x14ac:dyDescent="0.3">
      <c r="A313" s="221"/>
      <c r="B313" s="223"/>
      <c r="C313" s="30" t="s">
        <v>117</v>
      </c>
      <c r="D313" s="41" t="s">
        <v>33</v>
      </c>
      <c r="E313" s="31">
        <v>0.75339999999999996</v>
      </c>
      <c r="F313" s="28">
        <v>1.3964999999999999</v>
      </c>
      <c r="G313" s="25">
        <f t="shared" si="4"/>
        <v>1.0521230999999998</v>
      </c>
      <c r="H313" s="29"/>
      <c r="I313" s="25"/>
      <c r="J313" s="138">
        <v>0</v>
      </c>
    </row>
    <row r="314" spans="1:10" ht="39" hidden="1" thickBot="1" x14ac:dyDescent="0.3">
      <c r="A314" s="221"/>
      <c r="B314" s="223"/>
      <c r="C314" s="30" t="s">
        <v>118</v>
      </c>
      <c r="D314" s="30" t="s">
        <v>35</v>
      </c>
      <c r="E314" s="31">
        <v>0.71030000000000004</v>
      </c>
      <c r="F314" s="28">
        <v>0.3705</v>
      </c>
      <c r="G314" s="25">
        <f t="shared" si="4"/>
        <v>0.26316614999999999</v>
      </c>
      <c r="H314" s="29"/>
      <c r="I314" s="25"/>
      <c r="J314" s="138">
        <v>0</v>
      </c>
    </row>
    <row r="315" spans="1:10" ht="51.75" hidden="1" thickBot="1" x14ac:dyDescent="0.3">
      <c r="A315" s="221"/>
      <c r="B315" s="223"/>
      <c r="C315" s="30" t="s">
        <v>1826</v>
      </c>
      <c r="D315" s="30" t="s">
        <v>120</v>
      </c>
      <c r="E315" s="31">
        <f>1*(E308+E310)</f>
        <v>1.3163</v>
      </c>
      <c r="F315" s="28">
        <v>7.8564315999999996</v>
      </c>
      <c r="G315" s="28">
        <f t="shared" si="4"/>
        <v>10.34142091508</v>
      </c>
      <c r="H315" s="29"/>
      <c r="I315" s="25"/>
      <c r="J315" s="138">
        <v>0</v>
      </c>
    </row>
    <row r="316" spans="1:10" ht="39" hidden="1" thickBot="1" x14ac:dyDescent="0.3">
      <c r="A316" s="221"/>
      <c r="B316" s="223"/>
      <c r="C316" s="30" t="s">
        <v>121</v>
      </c>
      <c r="D316" s="41" t="s">
        <v>122</v>
      </c>
      <c r="E316" s="31">
        <f>(E308+E310)*20</f>
        <v>26.326000000000001</v>
      </c>
      <c r="F316" s="28">
        <v>2.6882748499999995</v>
      </c>
      <c r="G316" s="28">
        <f t="shared" si="4"/>
        <v>70.771523701099994</v>
      </c>
      <c r="H316" s="29"/>
      <c r="I316" s="25"/>
      <c r="J316" s="138">
        <v>0</v>
      </c>
    </row>
    <row r="317" spans="1:10" ht="15.75" hidden="1" thickBot="1" x14ac:dyDescent="0.3">
      <c r="A317" s="221"/>
      <c r="B317" s="223"/>
      <c r="C317" s="45"/>
      <c r="D317" s="41"/>
      <c r="E317" s="31"/>
      <c r="F317" s="28" t="s">
        <v>521</v>
      </c>
      <c r="G317" s="28" t="str">
        <f t="shared" si="4"/>
        <v/>
      </c>
      <c r="H317" s="29"/>
      <c r="I317" s="25"/>
      <c r="J317" s="138">
        <v>0</v>
      </c>
    </row>
    <row r="318" spans="1:10" ht="26.25" hidden="1" thickBot="1" x14ac:dyDescent="0.3">
      <c r="A318" s="221"/>
      <c r="B318" s="223"/>
      <c r="C318" s="42" t="s">
        <v>123</v>
      </c>
      <c r="D318" s="41"/>
      <c r="E318" s="31"/>
      <c r="F318" s="28" t="s">
        <v>521</v>
      </c>
      <c r="G318" s="28" t="str">
        <f t="shared" si="4"/>
        <v/>
      </c>
      <c r="H318" s="29"/>
      <c r="I318" s="25"/>
      <c r="J318" s="138">
        <v>0</v>
      </c>
    </row>
    <row r="319" spans="1:10" ht="15.75" hidden="1" thickBot="1" x14ac:dyDescent="0.3">
      <c r="A319" s="227"/>
      <c r="B319" s="224"/>
      <c r="C319" s="30"/>
      <c r="D319" s="30"/>
      <c r="E319" s="31"/>
      <c r="F319" s="25" t="s">
        <v>521</v>
      </c>
      <c r="G319" s="25" t="str">
        <f t="shared" si="4"/>
        <v/>
      </c>
      <c r="H319" s="29"/>
      <c r="I319" s="25"/>
      <c r="J319" s="138">
        <v>0</v>
      </c>
    </row>
    <row r="320" spans="1:10" ht="15.75" hidden="1" thickBot="1" x14ac:dyDescent="0.3">
      <c r="A320" s="220" t="s">
        <v>125</v>
      </c>
      <c r="B320" s="222" t="e">
        <f>INDEX(Orçamentária!A:B,MATCH(Composições!A320,Orçamentária!A:A,0),2)</f>
        <v>#N/A</v>
      </c>
      <c r="C320" s="35"/>
      <c r="D320" s="20" t="s">
        <v>1456</v>
      </c>
      <c r="E320" s="21"/>
      <c r="F320" s="36" t="s">
        <v>521</v>
      </c>
      <c r="G320" s="22" t="str">
        <f t="shared" si="4"/>
        <v/>
      </c>
      <c r="H320" s="23"/>
      <c r="I320" s="24"/>
      <c r="J320" s="138">
        <v>0</v>
      </c>
    </row>
    <row r="321" spans="1:10" ht="15.75" hidden="1" thickBot="1" x14ac:dyDescent="0.3">
      <c r="A321" s="221"/>
      <c r="B321" s="223"/>
      <c r="C321" s="26"/>
      <c r="D321" s="26"/>
      <c r="E321" s="27"/>
      <c r="F321" s="25" t="s">
        <v>521</v>
      </c>
      <c r="G321" s="25" t="str">
        <f t="shared" si="4"/>
        <v/>
      </c>
      <c r="H321" s="29"/>
      <c r="I321" s="25"/>
      <c r="J321" s="138">
        <v>0</v>
      </c>
    </row>
    <row r="322" spans="1:10" ht="39" hidden="1" thickBot="1" x14ac:dyDescent="0.3">
      <c r="A322" s="221"/>
      <c r="B322" s="223"/>
      <c r="C322" s="30" t="s">
        <v>126</v>
      </c>
      <c r="D322" s="41" t="s">
        <v>127</v>
      </c>
      <c r="E322" s="31">
        <v>0.85</v>
      </c>
      <c r="F322" s="25">
        <v>8.702</v>
      </c>
      <c r="G322" s="25">
        <f t="shared" si="4"/>
        <v>7.3967000000000001</v>
      </c>
      <c r="H322" s="33">
        <f>SUM(G322:G324)</f>
        <v>20.115299999999998</v>
      </c>
      <c r="I322" s="34"/>
      <c r="J322" s="138">
        <v>0</v>
      </c>
    </row>
    <row r="323" spans="1:10" ht="15.75" hidden="1" thickBot="1" x14ac:dyDescent="0.3">
      <c r="A323" s="221"/>
      <c r="B323" s="223"/>
      <c r="C323" s="30" t="s">
        <v>128</v>
      </c>
      <c r="D323" s="41" t="s">
        <v>12</v>
      </c>
      <c r="E323" s="31">
        <v>0.2</v>
      </c>
      <c r="F323" s="25">
        <v>19.494</v>
      </c>
      <c r="G323" s="25">
        <f t="shared" si="4"/>
        <v>3.8988</v>
      </c>
      <c r="H323" s="29"/>
      <c r="I323" s="25"/>
      <c r="J323" s="138">
        <v>0</v>
      </c>
    </row>
    <row r="324" spans="1:10" ht="26.25" hidden="1" thickBot="1" x14ac:dyDescent="0.3">
      <c r="A324" s="221"/>
      <c r="B324" s="223"/>
      <c r="C324" s="30" t="s">
        <v>1928</v>
      </c>
      <c r="D324" s="41" t="s">
        <v>93</v>
      </c>
      <c r="E324" s="31">
        <v>1.1000000000000001</v>
      </c>
      <c r="F324" s="25">
        <v>8.0179999999999989</v>
      </c>
      <c r="G324" s="25">
        <f t="shared" si="4"/>
        <v>8.819799999999999</v>
      </c>
      <c r="H324" s="29"/>
      <c r="I324" s="25"/>
      <c r="J324" s="138">
        <v>0</v>
      </c>
    </row>
    <row r="325" spans="1:10" ht="15.75" hidden="1" thickBot="1" x14ac:dyDescent="0.3">
      <c r="A325" s="221"/>
      <c r="B325" s="223"/>
      <c r="C325" s="30"/>
      <c r="D325" s="30"/>
      <c r="E325" s="31"/>
      <c r="F325" s="25" t="s">
        <v>521</v>
      </c>
      <c r="G325" s="25" t="str">
        <f t="shared" si="4"/>
        <v/>
      </c>
      <c r="H325" s="29"/>
      <c r="I325" s="25"/>
      <c r="J325" s="138">
        <v>0</v>
      </c>
    </row>
    <row r="326" spans="1:10" ht="15.75" hidden="1" thickBot="1" x14ac:dyDescent="0.3">
      <c r="A326" s="220" t="s">
        <v>129</v>
      </c>
      <c r="B326" s="222" t="e">
        <f>INDEX(Orçamentária!A:B,MATCH(Composições!A326,Orçamentária!A:A,0),2)</f>
        <v>#N/A</v>
      </c>
      <c r="C326" s="35"/>
      <c r="D326" s="20" t="s">
        <v>42</v>
      </c>
      <c r="E326" s="21"/>
      <c r="F326" s="36" t="s">
        <v>521</v>
      </c>
      <c r="G326" s="22" t="str">
        <f t="shared" ref="G326:G389" si="5">IF(ISNUMBER(F326),E326*F326,"")</f>
        <v/>
      </c>
      <c r="H326" s="23"/>
      <c r="I326" s="24"/>
      <c r="J326" s="138">
        <v>0</v>
      </c>
    </row>
    <row r="327" spans="1:10" ht="15.75" hidden="1" thickBot="1" x14ac:dyDescent="0.3">
      <c r="A327" s="221"/>
      <c r="B327" s="223"/>
      <c r="C327" s="26"/>
      <c r="D327" s="26"/>
      <c r="E327" s="27"/>
      <c r="F327" s="37" t="s">
        <v>521</v>
      </c>
      <c r="G327" s="25" t="str">
        <f t="shared" si="5"/>
        <v/>
      </c>
      <c r="H327" s="29"/>
      <c r="I327" s="25"/>
      <c r="J327" s="138">
        <v>0</v>
      </c>
    </row>
    <row r="328" spans="1:10" ht="39" hidden="1" thickBot="1" x14ac:dyDescent="0.3">
      <c r="A328" s="221"/>
      <c r="B328" s="223"/>
      <c r="C328" s="30" t="s">
        <v>2706</v>
      </c>
      <c r="D328" s="41" t="s">
        <v>42</v>
      </c>
      <c r="E328" s="31">
        <v>0.01</v>
      </c>
      <c r="F328" s="28">
        <v>58.1875</v>
      </c>
      <c r="G328" s="28">
        <f t="shared" si="5"/>
        <v>0.58187500000000003</v>
      </c>
      <c r="H328" s="33">
        <f>SUM(G328:G339)</f>
        <v>15.088660000000001</v>
      </c>
      <c r="I328" s="34"/>
      <c r="J328" s="138">
        <v>0</v>
      </c>
    </row>
    <row r="329" spans="1:10" ht="26.25" hidden="1" thickBot="1" x14ac:dyDescent="0.3">
      <c r="A329" s="221"/>
      <c r="B329" s="223"/>
      <c r="C329" s="30" t="s">
        <v>130</v>
      </c>
      <c r="D329" s="41" t="s">
        <v>42</v>
      </c>
      <c r="E329" s="31">
        <v>0.27</v>
      </c>
      <c r="F329" s="28">
        <v>13.337999999999999</v>
      </c>
      <c r="G329" s="28">
        <f t="shared" si="5"/>
        <v>3.6012599999999999</v>
      </c>
      <c r="H329" s="29"/>
      <c r="I329" s="25"/>
      <c r="J329" s="138">
        <v>0</v>
      </c>
    </row>
    <row r="330" spans="1:10" ht="15.75" hidden="1" thickBot="1" x14ac:dyDescent="0.3">
      <c r="A330" s="221"/>
      <c r="B330" s="223"/>
      <c r="C330" s="30" t="s">
        <v>131</v>
      </c>
      <c r="D330" s="41" t="s">
        <v>42</v>
      </c>
      <c r="E330" s="31">
        <v>0.33</v>
      </c>
      <c r="F330" s="28">
        <v>0</v>
      </c>
      <c r="G330" s="28">
        <f t="shared" si="5"/>
        <v>0</v>
      </c>
      <c r="H330" s="29"/>
      <c r="I330" s="25"/>
      <c r="J330" s="138">
        <v>0</v>
      </c>
    </row>
    <row r="331" spans="1:10" ht="15.75" hidden="1" thickBot="1" x14ac:dyDescent="0.3">
      <c r="A331" s="221"/>
      <c r="B331" s="223"/>
      <c r="C331" s="30" t="s">
        <v>132</v>
      </c>
      <c r="D331" s="41" t="s">
        <v>42</v>
      </c>
      <c r="E331" s="31">
        <v>2.5000000000000001E-2</v>
      </c>
      <c r="F331" s="28">
        <v>34.104999999999997</v>
      </c>
      <c r="G331" s="28">
        <f t="shared" si="5"/>
        <v>0.85262499999999997</v>
      </c>
      <c r="H331" s="29"/>
      <c r="I331" s="25"/>
      <c r="J331" s="138">
        <v>0</v>
      </c>
    </row>
    <row r="332" spans="1:10" ht="26.25" hidden="1" thickBot="1" x14ac:dyDescent="0.3">
      <c r="A332" s="221"/>
      <c r="B332" s="223"/>
      <c r="C332" s="30" t="s">
        <v>133</v>
      </c>
      <c r="D332" s="41" t="s">
        <v>109</v>
      </c>
      <c r="E332" s="31">
        <v>0.05</v>
      </c>
      <c r="F332" s="28">
        <v>12.748999999999999</v>
      </c>
      <c r="G332" s="28">
        <f t="shared" si="5"/>
        <v>0.63744999999999996</v>
      </c>
      <c r="H332" s="29"/>
      <c r="I332" s="25"/>
      <c r="J332" s="138">
        <v>0</v>
      </c>
    </row>
    <row r="333" spans="1:10" ht="15.75" hidden="1" thickBot="1" x14ac:dyDescent="0.3">
      <c r="A333" s="221"/>
      <c r="B333" s="223"/>
      <c r="C333" s="30" t="s">
        <v>134</v>
      </c>
      <c r="D333" s="41" t="s">
        <v>42</v>
      </c>
      <c r="E333" s="31">
        <v>0.4</v>
      </c>
      <c r="F333" s="28">
        <v>0</v>
      </c>
      <c r="G333" s="28">
        <f t="shared" si="5"/>
        <v>0</v>
      </c>
      <c r="H333" s="29"/>
      <c r="I333" s="25"/>
      <c r="J333" s="138">
        <v>0</v>
      </c>
    </row>
    <row r="334" spans="1:10" ht="15.75" hidden="1" thickBot="1" x14ac:dyDescent="0.3">
      <c r="A334" s="221"/>
      <c r="B334" s="223"/>
      <c r="C334" s="30" t="s">
        <v>27</v>
      </c>
      <c r="D334" s="41" t="s">
        <v>12</v>
      </c>
      <c r="E334" s="31">
        <f>0.2+0.2</f>
        <v>0.4</v>
      </c>
      <c r="F334" s="25">
        <v>18.933499999999999</v>
      </c>
      <c r="G334" s="28">
        <f t="shared" si="5"/>
        <v>7.5733999999999995</v>
      </c>
      <c r="H334" s="29"/>
      <c r="I334" s="25"/>
      <c r="J334" s="138">
        <v>0</v>
      </c>
    </row>
    <row r="335" spans="1:10" ht="15.75" hidden="1" thickBot="1" x14ac:dyDescent="0.3">
      <c r="A335" s="221"/>
      <c r="B335" s="223"/>
      <c r="C335" s="30" t="s">
        <v>23</v>
      </c>
      <c r="D335" s="41" t="s">
        <v>12</v>
      </c>
      <c r="E335" s="31">
        <v>0.1</v>
      </c>
      <c r="F335" s="25">
        <v>18.420500000000001</v>
      </c>
      <c r="G335" s="28">
        <f t="shared" si="5"/>
        <v>1.8420500000000002</v>
      </c>
      <c r="H335" s="29"/>
      <c r="I335" s="25"/>
      <c r="J335" s="138">
        <v>0</v>
      </c>
    </row>
    <row r="336" spans="1:10" ht="26.25" hidden="1" thickBot="1" x14ac:dyDescent="0.3">
      <c r="A336" s="221"/>
      <c r="B336" s="223"/>
      <c r="C336" s="30" t="s">
        <v>135</v>
      </c>
      <c r="D336" s="41" t="s">
        <v>42</v>
      </c>
      <c r="E336" s="31">
        <v>0.05</v>
      </c>
      <c r="F336" s="28">
        <v>0</v>
      </c>
      <c r="G336" s="28">
        <f t="shared" si="5"/>
        <v>0</v>
      </c>
      <c r="H336" s="29"/>
      <c r="I336" s="25"/>
      <c r="J336" s="138">
        <v>0</v>
      </c>
    </row>
    <row r="337" spans="1:10" ht="39" hidden="1" thickBot="1" x14ac:dyDescent="0.3">
      <c r="A337" s="221"/>
      <c r="B337" s="223"/>
      <c r="C337" s="30" t="s">
        <v>136</v>
      </c>
      <c r="D337" s="41" t="s">
        <v>95</v>
      </c>
      <c r="E337" s="31">
        <v>0.05</v>
      </c>
      <c r="F337" s="28">
        <v>0</v>
      </c>
      <c r="G337" s="28">
        <f t="shared" si="5"/>
        <v>0</v>
      </c>
      <c r="H337" s="29"/>
      <c r="I337" s="25"/>
      <c r="J337" s="138">
        <v>0</v>
      </c>
    </row>
    <row r="338" spans="1:10" ht="15.75" hidden="1" thickBot="1" x14ac:dyDescent="0.3">
      <c r="A338" s="221"/>
      <c r="B338" s="223"/>
      <c r="C338" s="30" t="s">
        <v>137</v>
      </c>
      <c r="D338" s="41" t="s">
        <v>12</v>
      </c>
      <c r="E338" s="31">
        <v>2.5000000000000001E-2</v>
      </c>
      <c r="F338" s="28">
        <v>0</v>
      </c>
      <c r="G338" s="28">
        <f t="shared" si="5"/>
        <v>0</v>
      </c>
      <c r="H338" s="29"/>
      <c r="I338" s="25"/>
      <c r="J338" s="138">
        <v>0</v>
      </c>
    </row>
    <row r="339" spans="1:10" ht="51.75" hidden="1" thickBot="1" x14ac:dyDescent="0.3">
      <c r="A339" s="221"/>
      <c r="B339" s="223"/>
      <c r="C339" s="30" t="s">
        <v>138</v>
      </c>
      <c r="D339" s="41" t="s">
        <v>12</v>
      </c>
      <c r="E339" s="31">
        <v>0.5</v>
      </c>
      <c r="F339" s="28">
        <v>0</v>
      </c>
      <c r="G339" s="28">
        <f t="shared" si="5"/>
        <v>0</v>
      </c>
      <c r="H339" s="29"/>
      <c r="I339" s="25"/>
      <c r="J339" s="138">
        <v>0</v>
      </c>
    </row>
    <row r="340" spans="1:10" ht="15.75" hidden="1" thickBot="1" x14ac:dyDescent="0.3">
      <c r="A340" s="227"/>
      <c r="B340" s="224"/>
      <c r="C340" s="30"/>
      <c r="D340" s="30"/>
      <c r="E340" s="31"/>
      <c r="F340" s="25" t="s">
        <v>521</v>
      </c>
      <c r="G340" s="25" t="str">
        <f t="shared" si="5"/>
        <v/>
      </c>
      <c r="H340" s="29"/>
      <c r="I340" s="25"/>
      <c r="J340" s="138">
        <v>0</v>
      </c>
    </row>
    <row r="341" spans="1:10" ht="15.75" hidden="1" thickBot="1" x14ac:dyDescent="0.3">
      <c r="A341" s="220" t="s">
        <v>139</v>
      </c>
      <c r="B341" s="222" t="e">
        <f>INDEX(Orçamentária!A:B,MATCH(Composições!A341,Orçamentária!A:A,0),2)</f>
        <v>#N/A</v>
      </c>
      <c r="C341" s="35"/>
      <c r="D341" s="20" t="s">
        <v>95</v>
      </c>
      <c r="E341" s="21"/>
      <c r="F341" s="36" t="s">
        <v>521</v>
      </c>
      <c r="G341" s="22" t="str">
        <f t="shared" si="5"/>
        <v/>
      </c>
      <c r="H341" s="23"/>
      <c r="I341" s="24"/>
      <c r="J341" s="138">
        <v>0</v>
      </c>
    </row>
    <row r="342" spans="1:10" ht="15.75" hidden="1" thickBot="1" x14ac:dyDescent="0.3">
      <c r="A342" s="221"/>
      <c r="B342" s="223"/>
      <c r="C342" s="26"/>
      <c r="D342" s="26"/>
      <c r="E342" s="27"/>
      <c r="F342" s="37" t="s">
        <v>521</v>
      </c>
      <c r="G342" s="25" t="str">
        <f t="shared" si="5"/>
        <v/>
      </c>
      <c r="H342" s="29"/>
      <c r="I342" s="25"/>
      <c r="J342" s="138">
        <v>0</v>
      </c>
    </row>
    <row r="343" spans="1:10" ht="26.25" hidden="1" thickBot="1" x14ac:dyDescent="0.3">
      <c r="A343" s="221"/>
      <c r="B343" s="223"/>
      <c r="C343" s="30" t="s">
        <v>1148</v>
      </c>
      <c r="D343" s="44" t="s">
        <v>102</v>
      </c>
      <c r="E343" s="31">
        <v>0.01</v>
      </c>
      <c r="F343" s="28">
        <v>7.0964999999999998</v>
      </c>
      <c r="G343" s="28">
        <f t="shared" si="5"/>
        <v>7.0965E-2</v>
      </c>
      <c r="H343" s="33">
        <f>SUM(G343:G349)</f>
        <v>188.0340110905</v>
      </c>
      <c r="I343" s="34"/>
      <c r="J343" s="138">
        <v>0</v>
      </c>
    </row>
    <row r="344" spans="1:10" ht="26.25" hidden="1" thickBot="1" x14ac:dyDescent="0.3">
      <c r="A344" s="221"/>
      <c r="B344" s="223"/>
      <c r="C344" s="30" t="s">
        <v>2257</v>
      </c>
      <c r="D344" s="30" t="s">
        <v>479</v>
      </c>
      <c r="E344" s="31">
        <v>0.47399999999999998</v>
      </c>
      <c r="F344" s="28">
        <v>21.213499999999996</v>
      </c>
      <c r="G344" s="28">
        <f t="shared" si="5"/>
        <v>10.055198999999998</v>
      </c>
      <c r="H344" s="29"/>
      <c r="I344" s="25"/>
      <c r="J344" s="138">
        <v>0</v>
      </c>
    </row>
    <row r="345" spans="1:10" ht="15.75" hidden="1" thickBot="1" x14ac:dyDescent="0.3">
      <c r="A345" s="221"/>
      <c r="B345" s="223"/>
      <c r="C345" s="30" t="s">
        <v>1719</v>
      </c>
      <c r="D345" s="30" t="s">
        <v>897</v>
      </c>
      <c r="E345" s="31">
        <v>4.9000000000000002E-2</v>
      </c>
      <c r="F345" s="28">
        <v>27.074999999999999</v>
      </c>
      <c r="G345" s="28">
        <f t="shared" si="5"/>
        <v>1.326675</v>
      </c>
      <c r="H345" s="29"/>
      <c r="I345" s="25"/>
      <c r="J345" s="138">
        <v>0</v>
      </c>
    </row>
    <row r="346" spans="1:10" ht="15.75" hidden="1" thickBot="1" x14ac:dyDescent="0.3">
      <c r="A346" s="221"/>
      <c r="B346" s="223"/>
      <c r="C346" s="30" t="s">
        <v>785</v>
      </c>
      <c r="D346" s="30" t="s">
        <v>702</v>
      </c>
      <c r="E346" s="31">
        <v>0.20499999999999999</v>
      </c>
      <c r="F346" s="25">
        <v>19.494</v>
      </c>
      <c r="G346" s="28">
        <f t="shared" si="5"/>
        <v>3.9962699999999995</v>
      </c>
      <c r="H346" s="29"/>
      <c r="I346" s="25"/>
      <c r="J346" s="138">
        <v>0</v>
      </c>
    </row>
    <row r="347" spans="1:10" ht="15.75" hidden="1" thickBot="1" x14ac:dyDescent="0.3">
      <c r="A347" s="221"/>
      <c r="B347" s="223"/>
      <c r="C347" s="30" t="s">
        <v>989</v>
      </c>
      <c r="D347" s="30" t="s">
        <v>702</v>
      </c>
      <c r="E347" s="31">
        <v>1.1200000000000001</v>
      </c>
      <c r="F347" s="25">
        <v>24.633499999999998</v>
      </c>
      <c r="G347" s="28">
        <f t="shared" si="5"/>
        <v>27.58952</v>
      </c>
      <c r="H347" s="29"/>
      <c r="I347" s="25"/>
      <c r="J347" s="138">
        <v>0</v>
      </c>
    </row>
    <row r="348" spans="1:10" ht="26.25" hidden="1" thickBot="1" x14ac:dyDescent="0.3">
      <c r="A348" s="221"/>
      <c r="B348" s="223"/>
      <c r="C348" s="30" t="s">
        <v>1912</v>
      </c>
      <c r="D348" s="30" t="s">
        <v>988</v>
      </c>
      <c r="E348" s="31">
        <v>0.621</v>
      </c>
      <c r="F348" s="28">
        <v>123.50481649999999</v>
      </c>
      <c r="G348" s="28">
        <f t="shared" si="5"/>
        <v>76.6964910465</v>
      </c>
      <c r="H348" s="29"/>
      <c r="I348" s="25"/>
      <c r="J348" s="138">
        <v>0</v>
      </c>
    </row>
    <row r="349" spans="1:10" ht="26.25" hidden="1" thickBot="1" x14ac:dyDescent="0.3">
      <c r="A349" s="221"/>
      <c r="B349" s="223"/>
      <c r="C349" s="30" t="s">
        <v>1914</v>
      </c>
      <c r="D349" s="30" t="s">
        <v>479</v>
      </c>
      <c r="E349" s="31">
        <v>1.8160000000000001</v>
      </c>
      <c r="F349" s="28">
        <v>37.6095215</v>
      </c>
      <c r="G349" s="28">
        <f t="shared" si="5"/>
        <v>68.298891044000001</v>
      </c>
      <c r="H349" s="29"/>
      <c r="I349" s="25"/>
      <c r="J349" s="138">
        <v>0</v>
      </c>
    </row>
    <row r="350" spans="1:10" ht="15.75" hidden="1" thickBot="1" x14ac:dyDescent="0.3">
      <c r="A350" s="227"/>
      <c r="B350" s="224"/>
      <c r="C350" s="30"/>
      <c r="D350" s="30"/>
      <c r="E350" s="31"/>
      <c r="F350" s="25" t="s">
        <v>521</v>
      </c>
      <c r="G350" s="25" t="str">
        <f t="shared" si="5"/>
        <v/>
      </c>
      <c r="H350" s="29"/>
      <c r="I350" s="25"/>
      <c r="J350" s="138">
        <v>0</v>
      </c>
    </row>
    <row r="351" spans="1:10" ht="15.75" hidden="1" thickBot="1" x14ac:dyDescent="0.3">
      <c r="A351" s="220" t="s">
        <v>140</v>
      </c>
      <c r="B351" s="222" t="e">
        <f>INDEX(Orçamentária!A:B,MATCH(Composições!A351,Orçamentária!A:A,0),2)</f>
        <v>#N/A</v>
      </c>
      <c r="C351" s="35"/>
      <c r="D351" s="20" t="s">
        <v>93</v>
      </c>
      <c r="E351" s="21"/>
      <c r="F351" s="36" t="s">
        <v>521</v>
      </c>
      <c r="G351" s="22" t="str">
        <f t="shared" si="5"/>
        <v/>
      </c>
      <c r="H351" s="23"/>
      <c r="I351" s="24"/>
      <c r="J351" s="138">
        <v>0</v>
      </c>
    </row>
    <row r="352" spans="1:10" ht="15.75" hidden="1" thickBot="1" x14ac:dyDescent="0.3">
      <c r="A352" s="225"/>
      <c r="B352" s="223"/>
      <c r="C352" s="26"/>
      <c r="D352" s="26"/>
      <c r="E352" s="27"/>
      <c r="F352" s="37" t="s">
        <v>521</v>
      </c>
      <c r="G352" s="25" t="str">
        <f t="shared" si="5"/>
        <v/>
      </c>
      <c r="H352" s="29"/>
      <c r="I352" s="25"/>
      <c r="J352" s="138">
        <v>0</v>
      </c>
    </row>
    <row r="353" spans="1:10" ht="15.75" hidden="1" thickBot="1" x14ac:dyDescent="0.3">
      <c r="A353" s="225"/>
      <c r="B353" s="223"/>
      <c r="C353" s="30" t="s">
        <v>23</v>
      </c>
      <c r="D353" s="41" t="s">
        <v>12</v>
      </c>
      <c r="E353" s="31">
        <v>0.4</v>
      </c>
      <c r="F353" s="25">
        <v>18.420500000000001</v>
      </c>
      <c r="G353" s="28">
        <f t="shared" si="5"/>
        <v>7.3682000000000007</v>
      </c>
      <c r="H353" s="33">
        <f>SUM(G353:G361)</f>
        <v>28.138718571999995</v>
      </c>
      <c r="I353" s="34"/>
      <c r="J353" s="138">
        <v>0</v>
      </c>
    </row>
    <row r="354" spans="1:10" ht="15.75" hidden="1" thickBot="1" x14ac:dyDescent="0.3">
      <c r="A354" s="225"/>
      <c r="B354" s="223"/>
      <c r="C354" s="30" t="s">
        <v>141</v>
      </c>
      <c r="D354" s="41" t="s">
        <v>12</v>
      </c>
      <c r="E354" s="31">
        <v>0.3</v>
      </c>
      <c r="F354" s="25">
        <v>24.889999999999997</v>
      </c>
      <c r="G354" s="28">
        <f t="shared" si="5"/>
        <v>7.4669999999999987</v>
      </c>
      <c r="H354" s="29"/>
      <c r="I354" s="25"/>
      <c r="J354" s="138">
        <v>0</v>
      </c>
    </row>
    <row r="355" spans="1:10" ht="15.75" hidden="1" thickBot="1" x14ac:dyDescent="0.3">
      <c r="A355" s="225"/>
      <c r="B355" s="223"/>
      <c r="C355" s="30" t="s">
        <v>113</v>
      </c>
      <c r="D355" s="30" t="s">
        <v>109</v>
      </c>
      <c r="E355" s="31">
        <v>0.01</v>
      </c>
      <c r="F355" s="28">
        <v>186.16200000000001</v>
      </c>
      <c r="G355" s="28">
        <f t="shared" si="5"/>
        <v>1.8616200000000001</v>
      </c>
      <c r="H355" s="29"/>
      <c r="I355" s="25"/>
      <c r="J355" s="138">
        <v>0</v>
      </c>
    </row>
    <row r="356" spans="1:10" ht="15.75" hidden="1" thickBot="1" x14ac:dyDescent="0.3">
      <c r="A356" s="225"/>
      <c r="B356" s="223"/>
      <c r="C356" s="30" t="s">
        <v>142</v>
      </c>
      <c r="D356" s="30" t="s">
        <v>109</v>
      </c>
      <c r="E356" s="31">
        <v>0.01</v>
      </c>
      <c r="F356" s="28">
        <v>152</v>
      </c>
      <c r="G356" s="28">
        <f t="shared" si="5"/>
        <v>1.52</v>
      </c>
      <c r="H356" s="29"/>
      <c r="I356" s="25"/>
      <c r="J356" s="138">
        <v>0</v>
      </c>
    </row>
    <row r="357" spans="1:10" ht="15.75" hidden="1" thickBot="1" x14ac:dyDescent="0.3">
      <c r="A357" s="225"/>
      <c r="B357" s="223"/>
      <c r="C357" s="30" t="s">
        <v>114</v>
      </c>
      <c r="D357" s="41" t="s">
        <v>42</v>
      </c>
      <c r="E357" s="31">
        <v>2.0099999999999998</v>
      </c>
      <c r="F357" s="28">
        <v>0.64600000000000002</v>
      </c>
      <c r="G357" s="28">
        <f t="shared" si="5"/>
        <v>1.2984599999999999</v>
      </c>
      <c r="H357" s="29"/>
      <c r="I357" s="25"/>
      <c r="J357" s="138">
        <v>0</v>
      </c>
    </row>
    <row r="358" spans="1:10" ht="15.75" hidden="1" thickBot="1" x14ac:dyDescent="0.3">
      <c r="A358" s="225"/>
      <c r="B358" s="223"/>
      <c r="C358" s="30" t="s">
        <v>143</v>
      </c>
      <c r="D358" s="41" t="s">
        <v>144</v>
      </c>
      <c r="E358" s="31">
        <v>2.5</v>
      </c>
      <c r="F358" s="25">
        <v>0.95</v>
      </c>
      <c r="G358" s="28">
        <f t="shared" si="5"/>
        <v>2.375</v>
      </c>
      <c r="H358" s="29"/>
      <c r="I358" s="25"/>
      <c r="J358" s="138">
        <v>0</v>
      </c>
    </row>
    <row r="359" spans="1:10" ht="15.75" hidden="1" thickBot="1" x14ac:dyDescent="0.3">
      <c r="A359" s="225"/>
      <c r="B359" s="223"/>
      <c r="C359" s="30" t="s">
        <v>145</v>
      </c>
      <c r="D359" s="41" t="s">
        <v>42</v>
      </c>
      <c r="E359" s="31">
        <v>0.5</v>
      </c>
      <c r="F359" s="28">
        <v>10.032</v>
      </c>
      <c r="G359" s="28">
        <f t="shared" si="5"/>
        <v>5.016</v>
      </c>
      <c r="H359" s="29"/>
      <c r="I359" s="25"/>
      <c r="J359" s="138">
        <v>0</v>
      </c>
    </row>
    <row r="360" spans="1:10" ht="51.75" hidden="1" thickBot="1" x14ac:dyDescent="0.3">
      <c r="A360" s="225"/>
      <c r="B360" s="223"/>
      <c r="C360" s="30" t="s">
        <v>1826</v>
      </c>
      <c r="D360" s="30" t="s">
        <v>120</v>
      </c>
      <c r="E360" s="31">
        <f>1*(E355+E356)</f>
        <v>0.02</v>
      </c>
      <c r="F360" s="28">
        <v>7.8564315999999996</v>
      </c>
      <c r="G360" s="28">
        <f t="shared" si="5"/>
        <v>0.15712863199999999</v>
      </c>
      <c r="H360" s="29"/>
      <c r="I360" s="25"/>
      <c r="J360" s="138">
        <v>0</v>
      </c>
    </row>
    <row r="361" spans="1:10" ht="39" hidden="1" thickBot="1" x14ac:dyDescent="0.3">
      <c r="A361" s="225"/>
      <c r="B361" s="223"/>
      <c r="C361" s="30" t="s">
        <v>121</v>
      </c>
      <c r="D361" s="41" t="s">
        <v>122</v>
      </c>
      <c r="E361" s="31">
        <f>(E355+E356)*20</f>
        <v>0.4</v>
      </c>
      <c r="F361" s="28">
        <v>2.6882748499999995</v>
      </c>
      <c r="G361" s="28">
        <f t="shared" si="5"/>
        <v>1.0753099399999999</v>
      </c>
      <c r="H361" s="29"/>
      <c r="I361" s="25"/>
      <c r="J361" s="138">
        <v>0</v>
      </c>
    </row>
    <row r="362" spans="1:10" ht="15.75" hidden="1" thickBot="1" x14ac:dyDescent="0.3">
      <c r="A362" s="225"/>
      <c r="B362" s="223"/>
      <c r="C362" s="45"/>
      <c r="D362" s="41"/>
      <c r="E362" s="31"/>
      <c r="F362" s="28" t="s">
        <v>521</v>
      </c>
      <c r="G362" s="28" t="str">
        <f t="shared" si="5"/>
        <v/>
      </c>
      <c r="H362" s="29"/>
      <c r="I362" s="25"/>
      <c r="J362" s="138">
        <v>0</v>
      </c>
    </row>
    <row r="363" spans="1:10" ht="26.25" hidden="1" thickBot="1" x14ac:dyDescent="0.3">
      <c r="A363" s="225"/>
      <c r="B363" s="223"/>
      <c r="C363" s="42" t="s">
        <v>123</v>
      </c>
      <c r="D363" s="41"/>
      <c r="E363" s="31"/>
      <c r="F363" s="28" t="s">
        <v>521</v>
      </c>
      <c r="G363" s="28" t="str">
        <f t="shared" si="5"/>
        <v/>
      </c>
      <c r="H363" s="29"/>
      <c r="I363" s="25"/>
      <c r="J363" s="138">
        <v>0</v>
      </c>
    </row>
    <row r="364" spans="1:10" ht="15.75" hidden="1" thickBot="1" x14ac:dyDescent="0.3">
      <c r="A364" s="226"/>
      <c r="B364" s="224"/>
      <c r="C364" s="30"/>
      <c r="D364" s="30"/>
      <c r="E364" s="31"/>
      <c r="F364" s="25" t="s">
        <v>521</v>
      </c>
      <c r="G364" s="25" t="str">
        <f t="shared" si="5"/>
        <v/>
      </c>
      <c r="H364" s="29"/>
      <c r="I364" s="25"/>
      <c r="J364" s="138">
        <v>0</v>
      </c>
    </row>
    <row r="365" spans="1:10" ht="15.75" hidden="1" thickBot="1" x14ac:dyDescent="0.3">
      <c r="A365" s="220" t="s">
        <v>146</v>
      </c>
      <c r="B365" s="222" t="e">
        <f>INDEX(Orçamentária!A:B,MATCH(Composições!A365,Orçamentária!A:A,0),2)</f>
        <v>#N/A</v>
      </c>
      <c r="C365" s="35"/>
      <c r="D365" s="20" t="s">
        <v>95</v>
      </c>
      <c r="E365" s="21"/>
      <c r="F365" s="36" t="s">
        <v>521</v>
      </c>
      <c r="G365" s="22" t="str">
        <f t="shared" si="5"/>
        <v/>
      </c>
      <c r="H365" s="23"/>
      <c r="I365" s="24"/>
      <c r="J365" s="138">
        <v>0</v>
      </c>
    </row>
    <row r="366" spans="1:10" ht="15.75" hidden="1" thickBot="1" x14ac:dyDescent="0.3">
      <c r="A366" s="221"/>
      <c r="B366" s="223"/>
      <c r="C366" s="26"/>
      <c r="D366" s="26"/>
      <c r="E366" s="27"/>
      <c r="F366" s="37" t="s">
        <v>521</v>
      </c>
      <c r="G366" s="25" t="str">
        <f t="shared" si="5"/>
        <v/>
      </c>
      <c r="H366" s="29"/>
      <c r="I366" s="25"/>
      <c r="J366" s="138">
        <v>0</v>
      </c>
    </row>
    <row r="367" spans="1:10" ht="26.25" hidden="1" thickBot="1" x14ac:dyDescent="0.3">
      <c r="A367" s="221"/>
      <c r="B367" s="223"/>
      <c r="C367" s="30" t="s">
        <v>147</v>
      </c>
      <c r="D367" s="30" t="s">
        <v>42</v>
      </c>
      <c r="E367" s="31">
        <v>3.2</v>
      </c>
      <c r="F367" s="28">
        <v>3.3914999999999997</v>
      </c>
      <c r="G367" s="25">
        <f t="shared" si="5"/>
        <v>10.8528</v>
      </c>
      <c r="H367" s="33">
        <f>SUM(G367:G369)</f>
        <v>26.197579999999999</v>
      </c>
      <c r="I367" s="34"/>
      <c r="J367" s="138">
        <v>0</v>
      </c>
    </row>
    <row r="368" spans="1:10" ht="15.75" hidden="1" thickBot="1" x14ac:dyDescent="0.3">
      <c r="A368" s="221"/>
      <c r="B368" s="223"/>
      <c r="C368" s="30" t="s">
        <v>50</v>
      </c>
      <c r="D368" s="44" t="s">
        <v>12</v>
      </c>
      <c r="E368" s="31">
        <v>0.108</v>
      </c>
      <c r="F368" s="25">
        <v>19.474999999999998</v>
      </c>
      <c r="G368" s="25">
        <f t="shared" si="5"/>
        <v>2.1032999999999999</v>
      </c>
      <c r="H368" s="29"/>
      <c r="I368" s="25"/>
      <c r="J368" s="138">
        <v>0</v>
      </c>
    </row>
    <row r="369" spans="1:10" ht="15.75" hidden="1" thickBot="1" x14ac:dyDescent="0.3">
      <c r="A369" s="221"/>
      <c r="B369" s="223"/>
      <c r="C369" s="30" t="s">
        <v>148</v>
      </c>
      <c r="D369" s="44" t="s">
        <v>12</v>
      </c>
      <c r="E369" s="31">
        <v>0.53200000000000003</v>
      </c>
      <c r="F369" s="25">
        <v>24.889999999999997</v>
      </c>
      <c r="G369" s="25">
        <f t="shared" si="5"/>
        <v>13.241479999999999</v>
      </c>
      <c r="H369" s="29"/>
      <c r="I369" s="25"/>
      <c r="J369" s="138">
        <v>0</v>
      </c>
    </row>
    <row r="370" spans="1:10" ht="15.75" hidden="1" thickBot="1" x14ac:dyDescent="0.3">
      <c r="A370" s="227"/>
      <c r="B370" s="224"/>
      <c r="C370" s="30"/>
      <c r="D370" s="30"/>
      <c r="E370" s="31"/>
      <c r="F370" s="25" t="s">
        <v>521</v>
      </c>
      <c r="G370" s="25" t="str">
        <f t="shared" si="5"/>
        <v/>
      </c>
      <c r="H370" s="29"/>
      <c r="I370" s="25"/>
      <c r="J370" s="138">
        <v>0</v>
      </c>
    </row>
    <row r="371" spans="1:10" ht="15.75" hidden="1" thickBot="1" x14ac:dyDescent="0.3">
      <c r="A371" s="220" t="s">
        <v>149</v>
      </c>
      <c r="B371" s="222" t="e">
        <f>INDEX(Orçamentária!A:B,MATCH(Composições!A371,Orçamentária!A:A,0),2)</f>
        <v>#N/A</v>
      </c>
      <c r="C371" s="35"/>
      <c r="D371" s="20" t="s">
        <v>95</v>
      </c>
      <c r="E371" s="21"/>
      <c r="F371" s="36" t="s">
        <v>521</v>
      </c>
      <c r="G371" s="22" t="str">
        <f t="shared" si="5"/>
        <v/>
      </c>
      <c r="H371" s="23"/>
      <c r="I371" s="24"/>
      <c r="J371" s="138">
        <v>0</v>
      </c>
    </row>
    <row r="372" spans="1:10" ht="15.75" hidden="1" thickBot="1" x14ac:dyDescent="0.3">
      <c r="A372" s="221"/>
      <c r="B372" s="223"/>
      <c r="C372" s="26"/>
      <c r="D372" s="26"/>
      <c r="E372" s="27"/>
      <c r="F372" s="37" t="s">
        <v>521</v>
      </c>
      <c r="G372" s="25" t="str">
        <f t="shared" si="5"/>
        <v/>
      </c>
      <c r="H372" s="29"/>
      <c r="I372" s="25"/>
      <c r="J372" s="138">
        <v>0</v>
      </c>
    </row>
    <row r="373" spans="1:10" ht="26.25" hidden="1" thickBot="1" x14ac:dyDescent="0.3">
      <c r="A373" s="221"/>
      <c r="B373" s="223"/>
      <c r="C373" s="30" t="s">
        <v>2358</v>
      </c>
      <c r="D373" s="30" t="s">
        <v>20</v>
      </c>
      <c r="E373" s="31">
        <v>28.31</v>
      </c>
      <c r="F373" s="28">
        <v>0.79799999999999993</v>
      </c>
      <c r="G373" s="28">
        <f t="shared" si="5"/>
        <v>22.591379999999997</v>
      </c>
      <c r="H373" s="33">
        <f>SUM(G373:G378)</f>
        <v>85.20179096186159</v>
      </c>
      <c r="I373" s="34"/>
      <c r="J373" s="138">
        <v>0</v>
      </c>
    </row>
    <row r="374" spans="1:10" ht="26.25" hidden="1" thickBot="1" x14ac:dyDescent="0.3">
      <c r="A374" s="221"/>
      <c r="B374" s="223"/>
      <c r="C374" s="30" t="s">
        <v>150</v>
      </c>
      <c r="D374" s="41" t="s">
        <v>93</v>
      </c>
      <c r="E374" s="31">
        <v>0.42</v>
      </c>
      <c r="F374" s="28">
        <v>3.1159999999999997</v>
      </c>
      <c r="G374" s="28">
        <f t="shared" si="5"/>
        <v>1.3087199999999999</v>
      </c>
      <c r="H374" s="29"/>
      <c r="I374" s="25"/>
      <c r="J374" s="138">
        <v>0</v>
      </c>
    </row>
    <row r="375" spans="1:10" ht="15.75" hidden="1" thickBot="1" x14ac:dyDescent="0.3">
      <c r="A375" s="221"/>
      <c r="B375" s="223"/>
      <c r="C375" s="30" t="s">
        <v>151</v>
      </c>
      <c r="D375" s="41" t="s">
        <v>152</v>
      </c>
      <c r="E375" s="31">
        <v>5.0000000000000001E-3</v>
      </c>
      <c r="F375" s="28">
        <v>38.313499999999998</v>
      </c>
      <c r="G375" s="28">
        <f t="shared" si="5"/>
        <v>0.1915675</v>
      </c>
      <c r="H375" s="29"/>
      <c r="I375" s="25"/>
      <c r="J375" s="138">
        <v>0</v>
      </c>
    </row>
    <row r="376" spans="1:10" ht="51.75" hidden="1" thickBot="1" x14ac:dyDescent="0.3">
      <c r="A376" s="221"/>
      <c r="B376" s="223"/>
      <c r="C376" s="30" t="s">
        <v>153</v>
      </c>
      <c r="D376" s="41" t="s">
        <v>109</v>
      </c>
      <c r="E376" s="31">
        <v>9.1000000000000004E-3</v>
      </c>
      <c r="F376" s="28">
        <v>682.27702877599995</v>
      </c>
      <c r="G376" s="28">
        <f t="shared" si="5"/>
        <v>6.2087209618615997</v>
      </c>
      <c r="H376" s="29"/>
      <c r="I376" s="25"/>
      <c r="J376" s="138">
        <v>0</v>
      </c>
    </row>
    <row r="377" spans="1:10" ht="15.75" hidden="1" thickBot="1" x14ac:dyDescent="0.3">
      <c r="A377" s="221"/>
      <c r="B377" s="223"/>
      <c r="C377" s="30" t="s">
        <v>22</v>
      </c>
      <c r="D377" s="41" t="s">
        <v>12</v>
      </c>
      <c r="E377" s="31">
        <v>1.61</v>
      </c>
      <c r="F377" s="25">
        <v>24.889999999999997</v>
      </c>
      <c r="G377" s="25">
        <f t="shared" si="5"/>
        <v>40.072899999999997</v>
      </c>
      <c r="H377" s="29"/>
      <c r="I377" s="25"/>
      <c r="J377" s="138">
        <v>0</v>
      </c>
    </row>
    <row r="378" spans="1:10" ht="15.75" hidden="1" thickBot="1" x14ac:dyDescent="0.3">
      <c r="A378" s="221"/>
      <c r="B378" s="223"/>
      <c r="C378" s="30" t="s">
        <v>23</v>
      </c>
      <c r="D378" s="41" t="s">
        <v>12</v>
      </c>
      <c r="E378" s="31">
        <v>0.80500000000000005</v>
      </c>
      <c r="F378" s="25">
        <v>18.420500000000001</v>
      </c>
      <c r="G378" s="25">
        <f t="shared" si="5"/>
        <v>14.828502500000001</v>
      </c>
      <c r="H378" s="29"/>
      <c r="I378" s="25"/>
      <c r="J378" s="138">
        <v>0</v>
      </c>
    </row>
    <row r="379" spans="1:10" ht="15.75" hidden="1" thickBot="1" x14ac:dyDescent="0.3">
      <c r="A379" s="227"/>
      <c r="B379" s="224"/>
      <c r="C379" s="30"/>
      <c r="D379" s="30"/>
      <c r="E379" s="31"/>
      <c r="F379" s="25" t="s">
        <v>521</v>
      </c>
      <c r="G379" s="25" t="str">
        <f t="shared" si="5"/>
        <v/>
      </c>
      <c r="H379" s="29"/>
      <c r="I379" s="25"/>
      <c r="J379" s="138">
        <v>0</v>
      </c>
    </row>
    <row r="380" spans="1:10" ht="15.75" hidden="1" thickBot="1" x14ac:dyDescent="0.3">
      <c r="A380" s="220" t="s">
        <v>154</v>
      </c>
      <c r="B380" s="222" t="e">
        <f>INDEX(Orçamentária!A:B,MATCH(Composições!A380,Orçamentária!A:A,0),2)</f>
        <v>#N/A</v>
      </c>
      <c r="C380" s="35"/>
      <c r="D380" s="20" t="s">
        <v>95</v>
      </c>
      <c r="E380" s="21"/>
      <c r="F380" s="36" t="s">
        <v>521</v>
      </c>
      <c r="G380" s="22" t="str">
        <f t="shared" si="5"/>
        <v/>
      </c>
      <c r="H380" s="23"/>
      <c r="I380" s="24"/>
      <c r="J380" s="138">
        <v>0</v>
      </c>
    </row>
    <row r="381" spans="1:10" ht="15.75" hidden="1" thickBot="1" x14ac:dyDescent="0.3">
      <c r="A381" s="221"/>
      <c r="B381" s="223"/>
      <c r="C381" s="26"/>
      <c r="D381" s="26"/>
      <c r="E381" s="27"/>
      <c r="F381" s="37" t="s">
        <v>521</v>
      </c>
      <c r="G381" s="25" t="str">
        <f t="shared" si="5"/>
        <v/>
      </c>
      <c r="H381" s="29"/>
      <c r="I381" s="25"/>
      <c r="J381" s="138">
        <v>0</v>
      </c>
    </row>
    <row r="382" spans="1:10" ht="26.25" hidden="1" thickBot="1" x14ac:dyDescent="0.3">
      <c r="A382" s="221"/>
      <c r="B382" s="223"/>
      <c r="C382" s="30" t="s">
        <v>155</v>
      </c>
      <c r="D382" s="30" t="s">
        <v>152</v>
      </c>
      <c r="E382" s="31">
        <v>2.4299999999999999E-2</v>
      </c>
      <c r="F382" s="28">
        <v>44.564499999999995</v>
      </c>
      <c r="G382" s="28">
        <f t="shared" si="5"/>
        <v>1.0829173499999998</v>
      </c>
      <c r="H382" s="33">
        <f>SUM(G382:G392)</f>
        <v>56.164482599999999</v>
      </c>
      <c r="I382" s="34"/>
      <c r="J382" s="138">
        <v>0</v>
      </c>
    </row>
    <row r="383" spans="1:10" ht="26.25" hidden="1" thickBot="1" x14ac:dyDescent="0.3">
      <c r="A383" s="221"/>
      <c r="B383" s="223"/>
      <c r="C383" s="30" t="s">
        <v>1926</v>
      </c>
      <c r="D383" s="30" t="s">
        <v>95</v>
      </c>
      <c r="E383" s="31">
        <v>1.0529999999999999</v>
      </c>
      <c r="F383" s="28">
        <v>17.3565</v>
      </c>
      <c r="G383" s="28">
        <f t="shared" si="5"/>
        <v>18.276394499999999</v>
      </c>
      <c r="H383" s="39"/>
      <c r="I383" s="40"/>
      <c r="J383" s="138">
        <v>0</v>
      </c>
    </row>
    <row r="384" spans="1:10" ht="26.25" hidden="1" thickBot="1" x14ac:dyDescent="0.3">
      <c r="A384" s="221"/>
      <c r="B384" s="223"/>
      <c r="C384" s="30" t="s">
        <v>156</v>
      </c>
      <c r="D384" s="30" t="s">
        <v>93</v>
      </c>
      <c r="E384" s="31">
        <v>0.76039999999999996</v>
      </c>
      <c r="F384" s="28">
        <v>7.7995000000000001</v>
      </c>
      <c r="G384" s="28">
        <f t="shared" si="5"/>
        <v>5.9307397999999996</v>
      </c>
      <c r="H384" s="39"/>
      <c r="I384" s="40"/>
      <c r="J384" s="138">
        <v>0</v>
      </c>
    </row>
    <row r="385" spans="1:10" ht="26.25" hidden="1" thickBot="1" x14ac:dyDescent="0.3">
      <c r="A385" s="221"/>
      <c r="B385" s="223"/>
      <c r="C385" s="30" t="s">
        <v>157</v>
      </c>
      <c r="D385" s="30" t="s">
        <v>93</v>
      </c>
      <c r="E385" s="31">
        <v>1.9910000000000001</v>
      </c>
      <c r="F385" s="28">
        <v>8.8539999999999992</v>
      </c>
      <c r="G385" s="28">
        <f t="shared" si="5"/>
        <v>17.628314</v>
      </c>
      <c r="H385" s="39"/>
      <c r="I385" s="40"/>
      <c r="J385" s="138">
        <v>0</v>
      </c>
    </row>
    <row r="386" spans="1:10" ht="26.25" hidden="1" thickBot="1" x14ac:dyDescent="0.3">
      <c r="A386" s="221"/>
      <c r="B386" s="223"/>
      <c r="C386" s="30" t="s">
        <v>158</v>
      </c>
      <c r="D386" s="30" t="s">
        <v>93</v>
      </c>
      <c r="E386" s="31">
        <v>1.2513000000000001</v>
      </c>
      <c r="F386" s="28">
        <v>0.26600000000000001</v>
      </c>
      <c r="G386" s="28">
        <f t="shared" si="5"/>
        <v>0.33284580000000002</v>
      </c>
      <c r="H386" s="39"/>
      <c r="I386" s="40"/>
      <c r="J386" s="138">
        <v>0</v>
      </c>
    </row>
    <row r="387" spans="1:10" ht="26.25" hidden="1" thickBot="1" x14ac:dyDescent="0.3">
      <c r="A387" s="221"/>
      <c r="B387" s="223"/>
      <c r="C387" s="30" t="s">
        <v>159</v>
      </c>
      <c r="D387" s="30" t="s">
        <v>93</v>
      </c>
      <c r="E387" s="31">
        <v>0.74070000000000003</v>
      </c>
      <c r="F387" s="28">
        <v>2.4034999999999997</v>
      </c>
      <c r="G387" s="28">
        <f t="shared" si="5"/>
        <v>1.7802724499999998</v>
      </c>
      <c r="H387" s="39"/>
      <c r="I387" s="40"/>
      <c r="J387" s="138">
        <v>0</v>
      </c>
    </row>
    <row r="388" spans="1:10" ht="39" hidden="1" thickBot="1" x14ac:dyDescent="0.3">
      <c r="A388" s="221"/>
      <c r="B388" s="223"/>
      <c r="C388" s="30" t="s">
        <v>1924</v>
      </c>
      <c r="D388" s="30" t="s">
        <v>42</v>
      </c>
      <c r="E388" s="31">
        <v>0.51639999999999997</v>
      </c>
      <c r="F388" s="28">
        <v>3.0019999999999998</v>
      </c>
      <c r="G388" s="28">
        <f t="shared" si="5"/>
        <v>1.5502327999999999</v>
      </c>
      <c r="H388" s="39"/>
      <c r="I388" s="40"/>
      <c r="J388" s="138">
        <v>0</v>
      </c>
    </row>
    <row r="389" spans="1:10" ht="26.25" hidden="1" thickBot="1" x14ac:dyDescent="0.3">
      <c r="A389" s="221"/>
      <c r="B389" s="223"/>
      <c r="C389" s="30" t="s">
        <v>160</v>
      </c>
      <c r="D389" s="30" t="s">
        <v>20</v>
      </c>
      <c r="E389" s="31">
        <v>10.0039</v>
      </c>
      <c r="F389" s="28">
        <v>8.5499999999999993E-2</v>
      </c>
      <c r="G389" s="28">
        <f t="shared" si="5"/>
        <v>0.85533344999999994</v>
      </c>
      <c r="H389" s="39"/>
      <c r="I389" s="40"/>
      <c r="J389" s="138">
        <v>0</v>
      </c>
    </row>
    <row r="390" spans="1:10" ht="26.25" hidden="1" thickBot="1" x14ac:dyDescent="0.3">
      <c r="A390" s="221"/>
      <c r="B390" s="223"/>
      <c r="C390" s="30" t="s">
        <v>161</v>
      </c>
      <c r="D390" s="30" t="s">
        <v>20</v>
      </c>
      <c r="E390" s="31">
        <v>0.80759999999999998</v>
      </c>
      <c r="F390" s="28">
        <v>0.20899999999999999</v>
      </c>
      <c r="G390" s="28">
        <f t="shared" ref="G390:G453" si="6">IF(ISNUMBER(F390),E390*F390,"")</f>
        <v>0.16878839999999998</v>
      </c>
      <c r="H390" s="39"/>
      <c r="I390" s="40"/>
      <c r="J390" s="138">
        <v>0</v>
      </c>
    </row>
    <row r="391" spans="1:10" ht="15.75" hidden="1" thickBot="1" x14ac:dyDescent="0.3">
      <c r="A391" s="221"/>
      <c r="B391" s="223"/>
      <c r="C391" s="30" t="s">
        <v>27</v>
      </c>
      <c r="D391" s="30" t="s">
        <v>12</v>
      </c>
      <c r="E391" s="31">
        <v>0.36359999999999998</v>
      </c>
      <c r="F391" s="25">
        <v>18.933499999999999</v>
      </c>
      <c r="G391" s="28">
        <f t="shared" si="6"/>
        <v>6.884220599999999</v>
      </c>
      <c r="H391" s="39"/>
      <c r="I391" s="40"/>
      <c r="J391" s="138">
        <v>0</v>
      </c>
    </row>
    <row r="392" spans="1:10" ht="15.75" hidden="1" thickBot="1" x14ac:dyDescent="0.3">
      <c r="A392" s="221"/>
      <c r="B392" s="223"/>
      <c r="C392" s="30" t="s">
        <v>23</v>
      </c>
      <c r="D392" s="30" t="s">
        <v>12</v>
      </c>
      <c r="E392" s="31">
        <v>9.0899999999999995E-2</v>
      </c>
      <c r="F392" s="25">
        <v>18.420500000000001</v>
      </c>
      <c r="G392" s="28">
        <f t="shared" si="6"/>
        <v>1.6744234499999999</v>
      </c>
      <c r="H392" s="39"/>
      <c r="I392" s="40"/>
      <c r="J392" s="138">
        <v>0</v>
      </c>
    </row>
    <row r="393" spans="1:10" ht="15.75" hidden="1" thickBot="1" x14ac:dyDescent="0.3">
      <c r="A393" s="227"/>
      <c r="B393" s="224"/>
      <c r="C393" s="30"/>
      <c r="D393" s="30"/>
      <c r="E393" s="31"/>
      <c r="F393" s="25" t="s">
        <v>521</v>
      </c>
      <c r="G393" s="25" t="str">
        <f t="shared" si="6"/>
        <v/>
      </c>
      <c r="H393" s="29"/>
      <c r="I393" s="25"/>
      <c r="J393" s="138">
        <v>0</v>
      </c>
    </row>
    <row r="394" spans="1:10" ht="15.75" hidden="1" thickBot="1" x14ac:dyDescent="0.3">
      <c r="A394" s="220" t="s">
        <v>162</v>
      </c>
      <c r="B394" s="222" t="e">
        <f>INDEX(Orçamentária!A:B,MATCH(Composições!A394,Orçamentária!A:A,0),2)</f>
        <v>#N/A</v>
      </c>
      <c r="C394" s="35"/>
      <c r="D394" s="20" t="s">
        <v>93</v>
      </c>
      <c r="E394" s="21"/>
      <c r="F394" s="36" t="s">
        <v>521</v>
      </c>
      <c r="G394" s="22" t="str">
        <f t="shared" si="6"/>
        <v/>
      </c>
      <c r="H394" s="23"/>
      <c r="I394" s="24"/>
      <c r="J394" s="138">
        <v>0</v>
      </c>
    </row>
    <row r="395" spans="1:10" ht="15.75" hidden="1" thickBot="1" x14ac:dyDescent="0.3">
      <c r="A395" s="221"/>
      <c r="B395" s="223"/>
      <c r="C395" s="26"/>
      <c r="D395" s="26"/>
      <c r="E395" s="27"/>
      <c r="F395" s="37" t="s">
        <v>521</v>
      </c>
      <c r="G395" s="25" t="str">
        <f t="shared" si="6"/>
        <v/>
      </c>
      <c r="H395" s="29"/>
      <c r="I395" s="25"/>
      <c r="J395" s="138">
        <v>0</v>
      </c>
    </row>
    <row r="396" spans="1:10" ht="15.75" hidden="1" thickBot="1" x14ac:dyDescent="0.3">
      <c r="A396" s="221"/>
      <c r="B396" s="223"/>
      <c r="C396" s="30" t="s">
        <v>1817</v>
      </c>
      <c r="D396" s="41" t="s">
        <v>20</v>
      </c>
      <c r="E396" s="31">
        <v>11.2</v>
      </c>
      <c r="F396" s="28">
        <v>0.68399999999999994</v>
      </c>
      <c r="G396" s="25">
        <f t="shared" si="6"/>
        <v>7.6607999999999992</v>
      </c>
      <c r="H396" s="33">
        <f>SUM(G396:G399)</f>
        <v>26.220908145249599</v>
      </c>
      <c r="I396" s="34"/>
      <c r="J396" s="138">
        <v>0</v>
      </c>
    </row>
    <row r="397" spans="1:10" ht="51.75" hidden="1" thickBot="1" x14ac:dyDescent="0.3">
      <c r="A397" s="221"/>
      <c r="B397" s="223"/>
      <c r="C397" s="30" t="s">
        <v>163</v>
      </c>
      <c r="D397" s="41" t="s">
        <v>109</v>
      </c>
      <c r="E397" s="31">
        <v>5.1999999999999998E-3</v>
      </c>
      <c r="F397" s="28">
        <v>661.67791254799988</v>
      </c>
      <c r="G397" s="25">
        <f t="shared" si="6"/>
        <v>3.440725145249599</v>
      </c>
      <c r="H397" s="39"/>
      <c r="I397" s="40"/>
      <c r="J397" s="138">
        <v>0</v>
      </c>
    </row>
    <row r="398" spans="1:10" ht="15.75" hidden="1" thickBot="1" x14ac:dyDescent="0.3">
      <c r="A398" s="221"/>
      <c r="B398" s="223"/>
      <c r="C398" s="30" t="s">
        <v>22</v>
      </c>
      <c r="D398" s="41" t="s">
        <v>12</v>
      </c>
      <c r="E398" s="31">
        <v>0.52900000000000003</v>
      </c>
      <c r="F398" s="25">
        <v>24.889999999999997</v>
      </c>
      <c r="G398" s="25">
        <f t="shared" si="6"/>
        <v>13.16681</v>
      </c>
      <c r="H398" s="39"/>
      <c r="I398" s="40"/>
      <c r="J398" s="138">
        <v>0</v>
      </c>
    </row>
    <row r="399" spans="1:10" ht="15.75" hidden="1" thickBot="1" x14ac:dyDescent="0.3">
      <c r="A399" s="221"/>
      <c r="B399" s="223"/>
      <c r="C399" s="30" t="s">
        <v>23</v>
      </c>
      <c r="D399" s="41" t="s">
        <v>12</v>
      </c>
      <c r="E399" s="31">
        <v>0.106</v>
      </c>
      <c r="F399" s="25">
        <v>18.420500000000001</v>
      </c>
      <c r="G399" s="25">
        <f t="shared" si="6"/>
        <v>1.9525729999999999</v>
      </c>
      <c r="H399" s="39"/>
      <c r="I399" s="40"/>
      <c r="J399" s="138">
        <v>0</v>
      </c>
    </row>
    <row r="400" spans="1:10" ht="15.75" hidden="1" thickBot="1" x14ac:dyDescent="0.3">
      <c r="A400" s="221"/>
      <c r="B400" s="223"/>
      <c r="C400" s="30"/>
      <c r="D400" s="41"/>
      <c r="E400" s="31"/>
      <c r="F400" s="28" t="s">
        <v>521</v>
      </c>
      <c r="G400" s="28" t="str">
        <f t="shared" si="6"/>
        <v/>
      </c>
      <c r="H400" s="39"/>
      <c r="I400" s="40"/>
      <c r="J400" s="138">
        <v>0</v>
      </c>
    </row>
    <row r="401" spans="1:10" ht="15.75" hidden="1" thickBot="1" x14ac:dyDescent="0.3">
      <c r="A401" s="220" t="s">
        <v>164</v>
      </c>
      <c r="B401" s="222" t="e">
        <f>INDEX(Orçamentária!A:B,MATCH(Composições!A401,Orçamentária!A:A,0),2)</f>
        <v>#N/A</v>
      </c>
      <c r="C401" s="35"/>
      <c r="D401" s="20" t="s">
        <v>95</v>
      </c>
      <c r="E401" s="21"/>
      <c r="F401" s="36" t="s">
        <v>521</v>
      </c>
      <c r="G401" s="22" t="str">
        <f t="shared" si="6"/>
        <v/>
      </c>
      <c r="H401" s="23"/>
      <c r="I401" s="24"/>
      <c r="J401" s="138">
        <v>0</v>
      </c>
    </row>
    <row r="402" spans="1:10" ht="15.75" hidden="1" thickBot="1" x14ac:dyDescent="0.3">
      <c r="A402" s="221"/>
      <c r="B402" s="223"/>
      <c r="C402" s="26"/>
      <c r="D402" s="26"/>
      <c r="E402" s="27"/>
      <c r="F402" s="37" t="s">
        <v>521</v>
      </c>
      <c r="G402" s="25" t="str">
        <f t="shared" si="6"/>
        <v/>
      </c>
      <c r="H402" s="29"/>
      <c r="I402" s="25"/>
      <c r="J402" s="138">
        <v>0</v>
      </c>
    </row>
    <row r="403" spans="1:10" ht="26.25" hidden="1" thickBot="1" x14ac:dyDescent="0.3">
      <c r="A403" s="221"/>
      <c r="B403" s="223"/>
      <c r="C403" s="30" t="s">
        <v>165</v>
      </c>
      <c r="D403" s="41" t="s">
        <v>152</v>
      </c>
      <c r="E403" s="31">
        <v>2.4299999999999999E-2</v>
      </c>
      <c r="F403" s="28">
        <v>44.564499999999995</v>
      </c>
      <c r="G403" s="25">
        <f t="shared" si="6"/>
        <v>1.0829173499999998</v>
      </c>
      <c r="H403" s="33">
        <f>SUM(G403:G413)</f>
        <v>81.446099199999992</v>
      </c>
      <c r="I403" s="34"/>
      <c r="J403" s="138">
        <v>0</v>
      </c>
    </row>
    <row r="404" spans="1:10" ht="26.25" hidden="1" thickBot="1" x14ac:dyDescent="0.3">
      <c r="A404" s="221"/>
      <c r="B404" s="223"/>
      <c r="C404" s="30" t="s">
        <v>1926</v>
      </c>
      <c r="D404" s="41" t="s">
        <v>95</v>
      </c>
      <c r="E404" s="31">
        <v>2.1059999999999999</v>
      </c>
      <c r="F404" s="28">
        <v>17.3565</v>
      </c>
      <c r="G404" s="25">
        <f t="shared" si="6"/>
        <v>36.552788999999997</v>
      </c>
      <c r="H404" s="29"/>
      <c r="I404" s="25"/>
      <c r="J404" s="138">
        <v>0</v>
      </c>
    </row>
    <row r="405" spans="1:10" ht="26.25" hidden="1" thickBot="1" x14ac:dyDescent="0.3">
      <c r="A405" s="221"/>
      <c r="B405" s="223"/>
      <c r="C405" s="30" t="s">
        <v>166</v>
      </c>
      <c r="D405" s="41" t="s">
        <v>93</v>
      </c>
      <c r="E405" s="31">
        <v>0.76039999999999996</v>
      </c>
      <c r="F405" s="28">
        <v>7.7995000000000001</v>
      </c>
      <c r="G405" s="25">
        <f t="shared" si="6"/>
        <v>5.9307397999999996</v>
      </c>
      <c r="H405" s="29"/>
      <c r="I405" s="25"/>
      <c r="J405" s="138">
        <v>0</v>
      </c>
    </row>
    <row r="406" spans="1:10" ht="26.25" hidden="1" thickBot="1" x14ac:dyDescent="0.3">
      <c r="A406" s="221"/>
      <c r="B406" s="223"/>
      <c r="C406" s="30" t="s">
        <v>167</v>
      </c>
      <c r="D406" s="41" t="s">
        <v>93</v>
      </c>
      <c r="E406" s="31">
        <v>1.9910000000000001</v>
      </c>
      <c r="F406" s="28">
        <v>8.8539999999999992</v>
      </c>
      <c r="G406" s="25">
        <f t="shared" si="6"/>
        <v>17.628314</v>
      </c>
      <c r="H406" s="29"/>
      <c r="I406" s="25"/>
      <c r="J406" s="138">
        <v>0</v>
      </c>
    </row>
    <row r="407" spans="1:10" ht="26.25" hidden="1" thickBot="1" x14ac:dyDescent="0.3">
      <c r="A407" s="221"/>
      <c r="B407" s="223"/>
      <c r="C407" s="30" t="s">
        <v>168</v>
      </c>
      <c r="D407" s="41" t="s">
        <v>93</v>
      </c>
      <c r="E407" s="31">
        <v>2.5026999999999999</v>
      </c>
      <c r="F407" s="28">
        <v>0.26600000000000001</v>
      </c>
      <c r="G407" s="25">
        <f t="shared" si="6"/>
        <v>0.66571820000000004</v>
      </c>
      <c r="H407" s="29"/>
      <c r="I407" s="25"/>
      <c r="J407" s="138">
        <v>0</v>
      </c>
    </row>
    <row r="408" spans="1:10" ht="26.25" hidden="1" thickBot="1" x14ac:dyDescent="0.3">
      <c r="A408" s="221"/>
      <c r="B408" s="223"/>
      <c r="C408" s="30" t="s">
        <v>169</v>
      </c>
      <c r="D408" s="41" t="s">
        <v>93</v>
      </c>
      <c r="E408" s="31">
        <v>0.74070000000000003</v>
      </c>
      <c r="F408" s="28">
        <v>2.4034999999999997</v>
      </c>
      <c r="G408" s="25">
        <f t="shared" si="6"/>
        <v>1.7802724499999998</v>
      </c>
      <c r="H408" s="29"/>
      <c r="I408" s="25"/>
      <c r="J408" s="138">
        <v>0</v>
      </c>
    </row>
    <row r="409" spans="1:10" ht="39" hidden="1" thickBot="1" x14ac:dyDescent="0.3">
      <c r="A409" s="221"/>
      <c r="B409" s="223"/>
      <c r="C409" s="30" t="s">
        <v>1924</v>
      </c>
      <c r="D409" s="41" t="s">
        <v>42</v>
      </c>
      <c r="E409" s="31">
        <v>1.0327</v>
      </c>
      <c r="F409" s="28">
        <v>3.0019999999999998</v>
      </c>
      <c r="G409" s="25">
        <f t="shared" si="6"/>
        <v>3.1001653999999994</v>
      </c>
      <c r="H409" s="29"/>
      <c r="I409" s="25"/>
      <c r="J409" s="138">
        <v>0</v>
      </c>
    </row>
    <row r="410" spans="1:10" ht="26.25" hidden="1" thickBot="1" x14ac:dyDescent="0.3">
      <c r="A410" s="221"/>
      <c r="B410" s="223"/>
      <c r="C410" s="30" t="s">
        <v>170</v>
      </c>
      <c r="D410" s="41" t="s">
        <v>20</v>
      </c>
      <c r="E410" s="31">
        <v>20.0077</v>
      </c>
      <c r="F410" s="28">
        <v>8.5499999999999993E-2</v>
      </c>
      <c r="G410" s="25">
        <f t="shared" si="6"/>
        <v>1.7106583499999999</v>
      </c>
      <c r="H410" s="29"/>
      <c r="I410" s="25"/>
      <c r="J410" s="138">
        <v>0</v>
      </c>
    </row>
    <row r="411" spans="1:10" ht="26.25" hidden="1" thickBot="1" x14ac:dyDescent="0.3">
      <c r="A411" s="221"/>
      <c r="B411" s="223"/>
      <c r="C411" s="30" t="s">
        <v>171</v>
      </c>
      <c r="D411" s="41" t="s">
        <v>20</v>
      </c>
      <c r="E411" s="31">
        <v>0.80759999999999998</v>
      </c>
      <c r="F411" s="28">
        <v>0.20899999999999999</v>
      </c>
      <c r="G411" s="25">
        <f t="shared" si="6"/>
        <v>0.16878839999999998</v>
      </c>
      <c r="H411" s="29"/>
      <c r="I411" s="25"/>
      <c r="J411" s="138">
        <v>0</v>
      </c>
    </row>
    <row r="412" spans="1:10" ht="15.75" hidden="1" thickBot="1" x14ac:dyDescent="0.3">
      <c r="A412" s="221"/>
      <c r="B412" s="223"/>
      <c r="C412" s="30" t="s">
        <v>27</v>
      </c>
      <c r="D412" s="41" t="s">
        <v>12</v>
      </c>
      <c r="E412" s="31">
        <v>0.54490000000000005</v>
      </c>
      <c r="F412" s="25">
        <v>18.933499999999999</v>
      </c>
      <c r="G412" s="25">
        <f t="shared" si="6"/>
        <v>10.316864150000001</v>
      </c>
      <c r="H412" s="29"/>
      <c r="I412" s="25"/>
      <c r="J412" s="138">
        <v>0</v>
      </c>
    </row>
    <row r="413" spans="1:10" ht="15.75" hidden="1" thickBot="1" x14ac:dyDescent="0.3">
      <c r="A413" s="221"/>
      <c r="B413" s="223"/>
      <c r="C413" s="30" t="s">
        <v>23</v>
      </c>
      <c r="D413" s="41" t="s">
        <v>12</v>
      </c>
      <c r="E413" s="31">
        <v>0.13619999999999999</v>
      </c>
      <c r="F413" s="25">
        <v>18.420500000000001</v>
      </c>
      <c r="G413" s="25">
        <f t="shared" si="6"/>
        <v>2.5088721</v>
      </c>
      <c r="H413" s="29"/>
      <c r="I413" s="25"/>
      <c r="J413" s="138">
        <v>0</v>
      </c>
    </row>
    <row r="414" spans="1:10" ht="15.75" hidden="1" thickBot="1" x14ac:dyDescent="0.3">
      <c r="A414" s="227"/>
      <c r="B414" s="224"/>
      <c r="C414" s="30"/>
      <c r="D414" s="30"/>
      <c r="E414" s="31"/>
      <c r="F414" s="25" t="s">
        <v>521</v>
      </c>
      <c r="G414" s="25" t="str">
        <f t="shared" si="6"/>
        <v/>
      </c>
      <c r="H414" s="29"/>
      <c r="I414" s="25"/>
      <c r="J414" s="138">
        <v>0</v>
      </c>
    </row>
    <row r="415" spans="1:10" ht="15.75" hidden="1" thickBot="1" x14ac:dyDescent="0.3">
      <c r="A415" s="220" t="s">
        <v>172</v>
      </c>
      <c r="B415" s="222" t="e">
        <f>INDEX(Orçamentária!A:B,MATCH(Composições!A415,Orçamentária!A:A,0),2)</f>
        <v>#N/A</v>
      </c>
      <c r="C415" s="35"/>
      <c r="D415" s="20" t="s">
        <v>95</v>
      </c>
      <c r="E415" s="21"/>
      <c r="F415" s="36" t="s">
        <v>521</v>
      </c>
      <c r="G415" s="22" t="str">
        <f t="shared" si="6"/>
        <v/>
      </c>
      <c r="H415" s="23"/>
      <c r="I415" s="24"/>
      <c r="J415" s="138">
        <v>0</v>
      </c>
    </row>
    <row r="416" spans="1:10" ht="15.75" hidden="1" thickBot="1" x14ac:dyDescent="0.3">
      <c r="A416" s="221"/>
      <c r="B416" s="223"/>
      <c r="C416" s="26"/>
      <c r="D416" s="26"/>
      <c r="E416" s="27"/>
      <c r="F416" s="37" t="s">
        <v>521</v>
      </c>
      <c r="G416" s="25" t="str">
        <f t="shared" si="6"/>
        <v/>
      </c>
      <c r="H416" s="29"/>
      <c r="I416" s="25"/>
      <c r="J416" s="138">
        <v>0</v>
      </c>
    </row>
    <row r="417" spans="1:10" ht="26.25" hidden="1" thickBot="1" x14ac:dyDescent="0.3">
      <c r="A417" s="221"/>
      <c r="B417" s="223"/>
      <c r="C417" s="30" t="s">
        <v>168</v>
      </c>
      <c r="D417" s="41" t="s">
        <v>93</v>
      </c>
      <c r="E417" s="31">
        <v>1.2513000000000001</v>
      </c>
      <c r="F417" s="28">
        <v>0.26600000000000001</v>
      </c>
      <c r="G417" s="25">
        <f t="shared" si="6"/>
        <v>0.33284580000000002</v>
      </c>
      <c r="H417" s="33">
        <f>SUM(G417:G420)</f>
        <v>5.3493626000000001</v>
      </c>
      <c r="I417" s="34"/>
      <c r="J417" s="138">
        <v>0</v>
      </c>
    </row>
    <row r="418" spans="1:10" ht="39" hidden="1" thickBot="1" x14ac:dyDescent="0.3">
      <c r="A418" s="221"/>
      <c r="B418" s="223"/>
      <c r="C418" s="30" t="s">
        <v>1924</v>
      </c>
      <c r="D418" s="41" t="s">
        <v>42</v>
      </c>
      <c r="E418" s="31">
        <v>0.51639999999999997</v>
      </c>
      <c r="F418" s="28">
        <v>3.0019999999999998</v>
      </c>
      <c r="G418" s="25">
        <f t="shared" si="6"/>
        <v>1.5502327999999999</v>
      </c>
      <c r="H418" s="39"/>
      <c r="I418" s="40"/>
      <c r="J418" s="138">
        <v>0</v>
      </c>
    </row>
    <row r="419" spans="1:10" ht="15.75" hidden="1" thickBot="1" x14ac:dyDescent="0.3">
      <c r="A419" s="221"/>
      <c r="B419" s="223"/>
      <c r="C419" s="30" t="s">
        <v>27</v>
      </c>
      <c r="D419" s="41" t="s">
        <v>12</v>
      </c>
      <c r="E419" s="31">
        <f>0.3636/3</f>
        <v>0.12119999999999999</v>
      </c>
      <c r="F419" s="25">
        <v>18.933499999999999</v>
      </c>
      <c r="G419" s="25">
        <f t="shared" si="6"/>
        <v>2.2947401999999997</v>
      </c>
      <c r="H419" s="39"/>
      <c r="I419" s="40"/>
      <c r="J419" s="138">
        <v>0</v>
      </c>
    </row>
    <row r="420" spans="1:10" ht="15.75" hidden="1" thickBot="1" x14ac:dyDescent="0.3">
      <c r="A420" s="221"/>
      <c r="B420" s="223"/>
      <c r="C420" s="30" t="s">
        <v>23</v>
      </c>
      <c r="D420" s="41" t="s">
        <v>12</v>
      </c>
      <c r="E420" s="31">
        <f>ROUND(0.0909*0.7,4)</f>
        <v>6.3600000000000004E-2</v>
      </c>
      <c r="F420" s="25">
        <v>18.420500000000001</v>
      </c>
      <c r="G420" s="25">
        <f t="shared" si="6"/>
        <v>1.1715438</v>
      </c>
      <c r="H420" s="39"/>
      <c r="I420" s="40"/>
      <c r="J420" s="138">
        <v>0</v>
      </c>
    </row>
    <row r="421" spans="1:10" ht="15.75" hidden="1" thickBot="1" x14ac:dyDescent="0.3">
      <c r="A421" s="221"/>
      <c r="B421" s="223"/>
      <c r="C421" s="30"/>
      <c r="D421" s="41"/>
      <c r="E421" s="31"/>
      <c r="F421" s="28" t="s">
        <v>521</v>
      </c>
      <c r="G421" s="28" t="str">
        <f t="shared" si="6"/>
        <v/>
      </c>
      <c r="H421" s="39"/>
      <c r="I421" s="40"/>
      <c r="J421" s="138">
        <v>0</v>
      </c>
    </row>
    <row r="422" spans="1:10" ht="15.75" hidden="1" thickBot="1" x14ac:dyDescent="0.3">
      <c r="A422" s="220" t="s">
        <v>173</v>
      </c>
      <c r="B422" s="222" t="e">
        <f>INDEX(Orçamentária!A:B,MATCH(Composições!A422,Orçamentária!A:A,0),2)</f>
        <v>#N/A</v>
      </c>
      <c r="C422" s="35"/>
      <c r="D422" s="20" t="s">
        <v>95</v>
      </c>
      <c r="E422" s="21"/>
      <c r="F422" s="36" t="s">
        <v>521</v>
      </c>
      <c r="G422" s="22" t="str">
        <f t="shared" si="6"/>
        <v/>
      </c>
      <c r="H422" s="23"/>
      <c r="I422" s="24"/>
      <c r="J422" s="138">
        <v>0</v>
      </c>
    </row>
    <row r="423" spans="1:10" ht="15.75" hidden="1" thickBot="1" x14ac:dyDescent="0.3">
      <c r="A423" s="221"/>
      <c r="B423" s="223"/>
      <c r="C423" s="26"/>
      <c r="D423" s="26"/>
      <c r="E423" s="27"/>
      <c r="F423" s="37" t="s">
        <v>521</v>
      </c>
      <c r="G423" s="25" t="str">
        <f t="shared" si="6"/>
        <v/>
      </c>
      <c r="H423" s="29"/>
      <c r="I423" s="25"/>
      <c r="J423" s="138">
        <v>0</v>
      </c>
    </row>
    <row r="424" spans="1:10" ht="26.25" hidden="1" thickBot="1" x14ac:dyDescent="0.3">
      <c r="A424" s="221"/>
      <c r="B424" s="223"/>
      <c r="C424" s="30" t="s">
        <v>1737</v>
      </c>
      <c r="D424" s="41" t="s">
        <v>479</v>
      </c>
      <c r="E424" s="31">
        <v>0.42</v>
      </c>
      <c r="F424" s="28">
        <v>3.1159999999999997</v>
      </c>
      <c r="G424" s="28">
        <f t="shared" si="6"/>
        <v>1.3087199999999999</v>
      </c>
      <c r="H424" s="33">
        <f>SUM(G424:G432)</f>
        <v>85.809640312199178</v>
      </c>
      <c r="I424" s="34"/>
      <c r="J424" s="138">
        <v>0</v>
      </c>
    </row>
    <row r="425" spans="1:10" ht="15.75" hidden="1" thickBot="1" x14ac:dyDescent="0.3">
      <c r="A425" s="221"/>
      <c r="B425" s="223"/>
      <c r="C425" s="30" t="s">
        <v>1716</v>
      </c>
      <c r="D425" s="41" t="s">
        <v>1245</v>
      </c>
      <c r="E425" s="31">
        <v>5.0000000000000001E-3</v>
      </c>
      <c r="F425" s="28">
        <v>38.313499999999998</v>
      </c>
      <c r="G425" s="28">
        <f t="shared" si="6"/>
        <v>0.1915675</v>
      </c>
      <c r="H425" s="29"/>
      <c r="I425" s="25"/>
      <c r="J425" s="138">
        <v>0</v>
      </c>
    </row>
    <row r="426" spans="1:10" ht="26.25" hidden="1" thickBot="1" x14ac:dyDescent="0.3">
      <c r="A426" s="221"/>
      <c r="B426" s="223"/>
      <c r="C426" s="30" t="s">
        <v>2357</v>
      </c>
      <c r="D426" s="41" t="s">
        <v>279</v>
      </c>
      <c r="E426" s="31">
        <v>13.6</v>
      </c>
      <c r="F426" s="28">
        <v>2.0614999999999997</v>
      </c>
      <c r="G426" s="28">
        <f t="shared" si="6"/>
        <v>28.036399999999993</v>
      </c>
      <c r="H426" s="29"/>
      <c r="I426" s="25"/>
      <c r="J426" s="138">
        <v>0</v>
      </c>
    </row>
    <row r="427" spans="1:10" ht="51.75" hidden="1" thickBot="1" x14ac:dyDescent="0.3">
      <c r="A427" s="221"/>
      <c r="B427" s="223"/>
      <c r="C427" s="30" t="s">
        <v>153</v>
      </c>
      <c r="D427" s="41" t="s">
        <v>120</v>
      </c>
      <c r="E427" s="31">
        <v>1.04E-2</v>
      </c>
      <c r="F427" s="28">
        <v>682.27702877599995</v>
      </c>
      <c r="G427" s="28">
        <f t="shared" si="6"/>
        <v>7.0956810992703989</v>
      </c>
      <c r="H427" s="29"/>
      <c r="I427" s="25"/>
      <c r="J427" s="138">
        <v>0</v>
      </c>
    </row>
    <row r="428" spans="1:10" ht="15.75" hidden="1" thickBot="1" x14ac:dyDescent="0.3">
      <c r="A428" s="221"/>
      <c r="B428" s="223"/>
      <c r="C428" s="30" t="s">
        <v>710</v>
      </c>
      <c r="D428" s="41" t="s">
        <v>702</v>
      </c>
      <c r="E428" s="31">
        <v>0.59</v>
      </c>
      <c r="F428" s="25">
        <v>24.889999999999997</v>
      </c>
      <c r="G428" s="28">
        <f t="shared" si="6"/>
        <v>14.685099999999997</v>
      </c>
      <c r="H428" s="29"/>
      <c r="I428" s="25"/>
      <c r="J428" s="138">
        <v>0</v>
      </c>
    </row>
    <row r="429" spans="1:10" ht="15.75" hidden="1" thickBot="1" x14ac:dyDescent="0.3">
      <c r="A429" s="221"/>
      <c r="B429" s="223"/>
      <c r="C429" s="30" t="s">
        <v>703</v>
      </c>
      <c r="D429" s="41" t="s">
        <v>702</v>
      </c>
      <c r="E429" s="31">
        <v>0.29499999999999998</v>
      </c>
      <c r="F429" s="25">
        <v>18.420500000000001</v>
      </c>
      <c r="G429" s="28">
        <f t="shared" si="6"/>
        <v>5.4340475000000001</v>
      </c>
      <c r="H429" s="29"/>
      <c r="I429" s="25"/>
      <c r="J429" s="138">
        <v>0</v>
      </c>
    </row>
    <row r="430" spans="1:10" ht="51.75" hidden="1" thickBot="1" x14ac:dyDescent="0.3">
      <c r="A430" s="221"/>
      <c r="B430" s="223"/>
      <c r="C430" s="30" t="s">
        <v>153</v>
      </c>
      <c r="D430" s="41" t="s">
        <v>109</v>
      </c>
      <c r="E430" s="31">
        <v>2.1299999999999999E-2</v>
      </c>
      <c r="F430" s="28">
        <v>682.27702877599995</v>
      </c>
      <c r="G430" s="28">
        <f t="shared" si="6"/>
        <v>14.532500712928799</v>
      </c>
      <c r="H430" s="29"/>
      <c r="I430" s="25"/>
      <c r="J430" s="138">
        <v>0</v>
      </c>
    </row>
    <row r="431" spans="1:10" ht="15.75" hidden="1" thickBot="1" x14ac:dyDescent="0.3">
      <c r="A431" s="221"/>
      <c r="B431" s="223"/>
      <c r="C431" s="30" t="s">
        <v>22</v>
      </c>
      <c r="D431" s="41" t="s">
        <v>12</v>
      </c>
      <c r="E431" s="31">
        <v>0.46</v>
      </c>
      <c r="F431" s="25">
        <v>24.889999999999997</v>
      </c>
      <c r="G431" s="28">
        <f t="shared" si="6"/>
        <v>11.449399999999999</v>
      </c>
      <c r="H431" s="29"/>
      <c r="I431" s="25"/>
      <c r="J431" s="138">
        <v>0</v>
      </c>
    </row>
    <row r="432" spans="1:10" ht="15.75" hidden="1" thickBot="1" x14ac:dyDescent="0.3">
      <c r="A432" s="221"/>
      <c r="B432" s="223"/>
      <c r="C432" s="30" t="s">
        <v>23</v>
      </c>
      <c r="D432" s="41" t="s">
        <v>12</v>
      </c>
      <c r="E432" s="31">
        <v>0.16700000000000001</v>
      </c>
      <c r="F432" s="25">
        <v>18.420500000000001</v>
      </c>
      <c r="G432" s="28">
        <f t="shared" si="6"/>
        <v>3.0762235000000002</v>
      </c>
      <c r="H432" s="29"/>
      <c r="I432" s="25"/>
      <c r="J432" s="138">
        <v>0</v>
      </c>
    </row>
    <row r="433" spans="1:10" ht="15.75" hidden="1" thickBot="1" x14ac:dyDescent="0.3">
      <c r="A433" s="227"/>
      <c r="B433" s="224"/>
      <c r="C433" s="30"/>
      <c r="D433" s="30"/>
      <c r="E433" s="31"/>
      <c r="F433" s="25" t="s">
        <v>521</v>
      </c>
      <c r="G433" s="25" t="str">
        <f t="shared" si="6"/>
        <v/>
      </c>
      <c r="H433" s="29"/>
      <c r="I433" s="25"/>
      <c r="J433" s="138">
        <v>0</v>
      </c>
    </row>
    <row r="434" spans="1:10" ht="15.75" hidden="1" thickBot="1" x14ac:dyDescent="0.3">
      <c r="A434" s="220" t="s">
        <v>174</v>
      </c>
      <c r="B434" s="222" t="e">
        <f>INDEX(Orçamentária!A:B,MATCH(Composições!A434,Orçamentária!A:A,0),2)</f>
        <v>#N/A</v>
      </c>
      <c r="C434" s="35"/>
      <c r="D434" s="20" t="s">
        <v>95</v>
      </c>
      <c r="E434" s="21"/>
      <c r="F434" s="36" t="s">
        <v>521</v>
      </c>
      <c r="G434" s="22" t="str">
        <f t="shared" si="6"/>
        <v/>
      </c>
      <c r="H434" s="23"/>
      <c r="I434" s="24"/>
      <c r="J434" s="138">
        <v>0</v>
      </c>
    </row>
    <row r="435" spans="1:10" ht="15.75" hidden="1" thickBot="1" x14ac:dyDescent="0.3">
      <c r="A435" s="221"/>
      <c r="B435" s="223"/>
      <c r="C435" s="26"/>
      <c r="D435" s="26"/>
      <c r="E435" s="27"/>
      <c r="F435" s="37" t="s">
        <v>521</v>
      </c>
      <c r="G435" s="25" t="str">
        <f t="shared" si="6"/>
        <v/>
      </c>
      <c r="H435" s="29"/>
      <c r="I435" s="25"/>
      <c r="J435" s="138">
        <v>0</v>
      </c>
    </row>
    <row r="436" spans="1:10" ht="39" hidden="1" thickBot="1" x14ac:dyDescent="0.3">
      <c r="A436" s="221"/>
      <c r="B436" s="223"/>
      <c r="C436" s="30" t="s">
        <v>175</v>
      </c>
      <c r="D436" s="30" t="s">
        <v>109</v>
      </c>
      <c r="E436" s="31">
        <v>3.2000000000000002E-3</v>
      </c>
      <c r="F436" s="28">
        <v>2203.0591199999999</v>
      </c>
      <c r="G436" s="28">
        <f t="shared" si="6"/>
        <v>7.0497891839999998</v>
      </c>
      <c r="H436" s="33">
        <f>SUM(G436:G438)</f>
        <v>10.819008234</v>
      </c>
      <c r="I436" s="34"/>
      <c r="J436" s="138">
        <v>0</v>
      </c>
    </row>
    <row r="437" spans="1:10" ht="15.75" hidden="1" thickBot="1" x14ac:dyDescent="0.3">
      <c r="A437" s="221"/>
      <c r="B437" s="223"/>
      <c r="C437" s="30" t="s">
        <v>22</v>
      </c>
      <c r="D437" s="30" t="s">
        <v>12</v>
      </c>
      <c r="E437" s="31">
        <v>0.14099999999999999</v>
      </c>
      <c r="F437" s="25">
        <v>24.889999999999997</v>
      </c>
      <c r="G437" s="28">
        <f t="shared" si="6"/>
        <v>3.5094899999999991</v>
      </c>
      <c r="H437" s="29"/>
      <c r="I437" s="25"/>
      <c r="J437" s="138">
        <v>0</v>
      </c>
    </row>
    <row r="438" spans="1:10" ht="15.75" hidden="1" thickBot="1" x14ac:dyDescent="0.3">
      <c r="A438" s="221"/>
      <c r="B438" s="223"/>
      <c r="C438" s="30" t="s">
        <v>23</v>
      </c>
      <c r="D438" s="30" t="s">
        <v>12</v>
      </c>
      <c r="E438" s="31">
        <v>1.41E-2</v>
      </c>
      <c r="F438" s="25">
        <v>18.420500000000001</v>
      </c>
      <c r="G438" s="28">
        <f t="shared" si="6"/>
        <v>0.25972905000000002</v>
      </c>
      <c r="H438" s="29"/>
      <c r="I438" s="25"/>
      <c r="J438" s="138">
        <v>0</v>
      </c>
    </row>
    <row r="439" spans="1:10" ht="15.75" hidden="1" thickBot="1" x14ac:dyDescent="0.3">
      <c r="A439" s="227"/>
      <c r="B439" s="224"/>
      <c r="C439" s="30"/>
      <c r="D439" s="30"/>
      <c r="E439" s="31"/>
      <c r="F439" s="25" t="s">
        <v>521</v>
      </c>
      <c r="G439" s="25" t="str">
        <f t="shared" si="6"/>
        <v/>
      </c>
      <c r="H439" s="29"/>
      <c r="I439" s="25"/>
      <c r="J439" s="138">
        <v>0</v>
      </c>
    </row>
    <row r="440" spans="1:10" ht="15.75" hidden="1" thickBot="1" x14ac:dyDescent="0.3">
      <c r="A440" s="220" t="s">
        <v>176</v>
      </c>
      <c r="B440" s="222" t="e">
        <f>INDEX(Orçamentária!A:B,MATCH(Composições!A440,Orçamentária!A:A,0),2)</f>
        <v>#N/A</v>
      </c>
      <c r="C440" s="35"/>
      <c r="D440" s="20" t="s">
        <v>95</v>
      </c>
      <c r="E440" s="21"/>
      <c r="F440" s="36" t="s">
        <v>521</v>
      </c>
      <c r="G440" s="22" t="str">
        <f t="shared" si="6"/>
        <v/>
      </c>
      <c r="H440" s="23"/>
      <c r="I440" s="24"/>
      <c r="J440" s="138">
        <v>0</v>
      </c>
    </row>
    <row r="441" spans="1:10" ht="15.75" hidden="1" thickBot="1" x14ac:dyDescent="0.3">
      <c r="A441" s="221"/>
      <c r="B441" s="223"/>
      <c r="C441" s="26"/>
      <c r="D441" s="26"/>
      <c r="E441" s="27"/>
      <c r="F441" s="37" t="s">
        <v>521</v>
      </c>
      <c r="G441" s="25" t="str">
        <f t="shared" si="6"/>
        <v/>
      </c>
      <c r="H441" s="29"/>
      <c r="I441" s="25"/>
      <c r="J441" s="138">
        <v>0</v>
      </c>
    </row>
    <row r="442" spans="1:10" ht="39" hidden="1" thickBot="1" x14ac:dyDescent="0.3">
      <c r="A442" s="221"/>
      <c r="B442" s="223"/>
      <c r="C442" s="30" t="s">
        <v>177</v>
      </c>
      <c r="D442" s="30" t="s">
        <v>109</v>
      </c>
      <c r="E442" s="31">
        <v>4.1999999999999997E-3</v>
      </c>
      <c r="F442" s="28">
        <v>711.408572284</v>
      </c>
      <c r="G442" s="28">
        <f t="shared" si="6"/>
        <v>2.9879160035927996</v>
      </c>
      <c r="H442" s="33">
        <f>SUM(G442:G444)</f>
        <v>4.8591595035927995</v>
      </c>
      <c r="I442" s="34"/>
      <c r="J442" s="138">
        <v>0</v>
      </c>
    </row>
    <row r="443" spans="1:10" ht="15.75" hidden="1" thickBot="1" x14ac:dyDescent="0.3">
      <c r="A443" s="221"/>
      <c r="B443" s="223"/>
      <c r="C443" s="30" t="s">
        <v>22</v>
      </c>
      <c r="D443" s="30" t="s">
        <v>12</v>
      </c>
      <c r="E443" s="31">
        <v>7.0000000000000007E-2</v>
      </c>
      <c r="F443" s="25">
        <v>24.889999999999997</v>
      </c>
      <c r="G443" s="25">
        <f t="shared" si="6"/>
        <v>1.7423</v>
      </c>
      <c r="H443" s="29"/>
      <c r="I443" s="25"/>
      <c r="J443" s="138">
        <v>0</v>
      </c>
    </row>
    <row r="444" spans="1:10" ht="15.75" hidden="1" thickBot="1" x14ac:dyDescent="0.3">
      <c r="A444" s="221"/>
      <c r="B444" s="223"/>
      <c r="C444" s="30" t="s">
        <v>23</v>
      </c>
      <c r="D444" s="30" t="s">
        <v>12</v>
      </c>
      <c r="E444" s="31">
        <v>7.0000000000000001E-3</v>
      </c>
      <c r="F444" s="25">
        <v>18.420500000000001</v>
      </c>
      <c r="G444" s="25">
        <f t="shared" si="6"/>
        <v>0.12894350000000002</v>
      </c>
      <c r="H444" s="29"/>
      <c r="I444" s="25"/>
      <c r="J444" s="138">
        <v>0</v>
      </c>
    </row>
    <row r="445" spans="1:10" ht="15.75" hidden="1" thickBot="1" x14ac:dyDescent="0.3">
      <c r="A445" s="227"/>
      <c r="B445" s="224"/>
      <c r="C445" s="30"/>
      <c r="D445" s="30"/>
      <c r="E445" s="31"/>
      <c r="F445" s="25" t="s">
        <v>521</v>
      </c>
      <c r="G445" s="25" t="str">
        <f t="shared" si="6"/>
        <v/>
      </c>
      <c r="H445" s="29"/>
      <c r="I445" s="25"/>
      <c r="J445" s="138">
        <v>0</v>
      </c>
    </row>
    <row r="446" spans="1:10" ht="15.75" hidden="1" thickBot="1" x14ac:dyDescent="0.3">
      <c r="A446" s="220" t="s">
        <v>178</v>
      </c>
      <c r="B446" s="222" t="e">
        <f>INDEX(Orçamentária!A:B,MATCH(Composições!A446,Orçamentária!A:A,0),2)</f>
        <v>#N/A</v>
      </c>
      <c r="C446" s="35"/>
      <c r="D446" s="20" t="s">
        <v>95</v>
      </c>
      <c r="E446" s="21"/>
      <c r="F446" s="36" t="s">
        <v>521</v>
      </c>
      <c r="G446" s="22" t="str">
        <f t="shared" si="6"/>
        <v/>
      </c>
      <c r="H446" s="23"/>
      <c r="I446" s="24"/>
      <c r="J446" s="138">
        <v>0</v>
      </c>
    </row>
    <row r="447" spans="1:10" ht="15.75" hidden="1" thickBot="1" x14ac:dyDescent="0.3">
      <c r="A447" s="225"/>
      <c r="B447" s="223"/>
      <c r="C447" s="26"/>
      <c r="D447" s="26"/>
      <c r="E447" s="27"/>
      <c r="F447" s="37" t="s">
        <v>521</v>
      </c>
      <c r="G447" s="25" t="str">
        <f t="shared" si="6"/>
        <v/>
      </c>
      <c r="H447" s="29"/>
      <c r="I447" s="25"/>
      <c r="J447" s="138">
        <v>0</v>
      </c>
    </row>
    <row r="448" spans="1:10" ht="15.75" hidden="1" thickBot="1" x14ac:dyDescent="0.3">
      <c r="A448" s="225"/>
      <c r="B448" s="223"/>
      <c r="C448" s="30" t="s">
        <v>179</v>
      </c>
      <c r="D448" s="30" t="s">
        <v>12</v>
      </c>
      <c r="E448" s="31">
        <v>0.4</v>
      </c>
      <c r="F448" s="25">
        <v>24.747499999999999</v>
      </c>
      <c r="G448" s="25">
        <f t="shared" si="6"/>
        <v>9.8990000000000009</v>
      </c>
      <c r="H448" s="33">
        <f>SUM(G448:G450)</f>
        <v>11.372640000000001</v>
      </c>
      <c r="I448" s="34"/>
      <c r="J448" s="138">
        <v>0</v>
      </c>
    </row>
    <row r="449" spans="1:10" ht="15.75" hidden="1" thickBot="1" x14ac:dyDescent="0.3">
      <c r="A449" s="225"/>
      <c r="B449" s="223"/>
      <c r="C449" s="30" t="s">
        <v>23</v>
      </c>
      <c r="D449" s="30" t="s">
        <v>12</v>
      </c>
      <c r="E449" s="31">
        <v>0.08</v>
      </c>
      <c r="F449" s="25">
        <v>18.420500000000001</v>
      </c>
      <c r="G449" s="25">
        <f t="shared" si="6"/>
        <v>1.4736400000000001</v>
      </c>
      <c r="H449" s="29"/>
      <c r="I449" s="25"/>
      <c r="J449" s="138">
        <v>0</v>
      </c>
    </row>
    <row r="450" spans="1:10" ht="15.75" hidden="1" thickBot="1" x14ac:dyDescent="0.3">
      <c r="A450" s="225"/>
      <c r="B450" s="223"/>
      <c r="C450" s="30" t="s">
        <v>180</v>
      </c>
      <c r="D450" s="30" t="s">
        <v>42</v>
      </c>
      <c r="E450" s="31">
        <v>0.75</v>
      </c>
      <c r="F450" s="25" t="s">
        <v>521</v>
      </c>
      <c r="G450" s="25" t="str">
        <f t="shared" si="6"/>
        <v/>
      </c>
      <c r="H450" s="29"/>
      <c r="I450" s="25"/>
      <c r="J450" s="138">
        <v>0</v>
      </c>
    </row>
    <row r="451" spans="1:10" ht="15.75" hidden="1" thickBot="1" x14ac:dyDescent="0.3">
      <c r="A451" s="225"/>
      <c r="B451" s="223"/>
      <c r="C451" s="30"/>
      <c r="D451" s="30"/>
      <c r="E451" s="31"/>
      <c r="F451" s="25" t="s">
        <v>521</v>
      </c>
      <c r="G451" s="25" t="str">
        <f t="shared" si="6"/>
        <v/>
      </c>
      <c r="H451" s="29"/>
      <c r="I451" s="25"/>
      <c r="J451" s="138">
        <v>0</v>
      </c>
    </row>
    <row r="452" spans="1:10" ht="26.25" hidden="1" thickBot="1" x14ac:dyDescent="0.3">
      <c r="A452" s="225"/>
      <c r="B452" s="223"/>
      <c r="C452" s="46" t="s">
        <v>181</v>
      </c>
      <c r="D452" s="46"/>
      <c r="E452" s="47"/>
      <c r="F452" s="28" t="s">
        <v>521</v>
      </c>
      <c r="G452" s="25" t="str">
        <f t="shared" si="6"/>
        <v/>
      </c>
      <c r="H452" s="29"/>
      <c r="I452" s="25"/>
      <c r="J452" s="138">
        <v>0</v>
      </c>
    </row>
    <row r="453" spans="1:10" ht="15.75" hidden="1" thickBot="1" x14ac:dyDescent="0.3">
      <c r="A453" s="226"/>
      <c r="B453" s="224"/>
      <c r="C453" s="30"/>
      <c r="D453" s="30"/>
      <c r="E453" s="31"/>
      <c r="F453" s="25" t="s">
        <v>521</v>
      </c>
      <c r="G453" s="25" t="str">
        <f t="shared" si="6"/>
        <v/>
      </c>
      <c r="H453" s="29"/>
      <c r="I453" s="25"/>
      <c r="J453" s="138">
        <v>0</v>
      </c>
    </row>
    <row r="454" spans="1:10" ht="15.75" hidden="1" thickBot="1" x14ac:dyDescent="0.3">
      <c r="A454" s="220" t="s">
        <v>182</v>
      </c>
      <c r="B454" s="222" t="e">
        <f>INDEX(Orçamentária!A:B,MATCH(Composições!A454,Orçamentária!A:A,0),2)</f>
        <v>#N/A</v>
      </c>
      <c r="C454" s="35"/>
      <c r="D454" s="20" t="s">
        <v>95</v>
      </c>
      <c r="E454" s="21"/>
      <c r="F454" s="36" t="s">
        <v>521</v>
      </c>
      <c r="G454" s="22" t="str">
        <f t="shared" ref="G454:G517" si="7">IF(ISNUMBER(F454),E454*F454,"")</f>
        <v/>
      </c>
      <c r="H454" s="23"/>
      <c r="I454" s="24"/>
      <c r="J454" s="138">
        <v>0</v>
      </c>
    </row>
    <row r="455" spans="1:10" ht="15.75" hidden="1" thickBot="1" x14ac:dyDescent="0.3">
      <c r="A455" s="221"/>
      <c r="B455" s="223"/>
      <c r="C455" s="26"/>
      <c r="D455" s="26"/>
      <c r="E455" s="27"/>
      <c r="F455" s="37" t="s">
        <v>521</v>
      </c>
      <c r="G455" s="25" t="str">
        <f t="shared" si="7"/>
        <v/>
      </c>
      <c r="H455" s="29"/>
      <c r="I455" s="25"/>
      <c r="J455" s="138">
        <v>0</v>
      </c>
    </row>
    <row r="456" spans="1:10" ht="26.25" hidden="1" thickBot="1" x14ac:dyDescent="0.3">
      <c r="A456" s="221"/>
      <c r="B456" s="223"/>
      <c r="C456" s="30" t="s">
        <v>183</v>
      </c>
      <c r="D456" s="30" t="s">
        <v>42</v>
      </c>
      <c r="E456" s="31">
        <f>1890*0.02</f>
        <v>37.800000000000004</v>
      </c>
      <c r="F456" s="28">
        <v>0.56999999999999995</v>
      </c>
      <c r="G456" s="25">
        <f t="shared" si="7"/>
        <v>21.545999999999999</v>
      </c>
      <c r="H456" s="33">
        <f>SUM(G456:G459)</f>
        <v>39.797420900000006</v>
      </c>
      <c r="I456" s="34"/>
      <c r="J456" s="138">
        <v>0</v>
      </c>
    </row>
    <row r="457" spans="1:10" ht="15.75" hidden="1" thickBot="1" x14ac:dyDescent="0.3">
      <c r="A457" s="221"/>
      <c r="B457" s="223"/>
      <c r="C457" s="30" t="s">
        <v>23</v>
      </c>
      <c r="D457" s="30" t="s">
        <v>12</v>
      </c>
      <c r="E457" s="31">
        <f>12.59*0.02</f>
        <v>0.25180000000000002</v>
      </c>
      <c r="F457" s="25">
        <v>18.420500000000001</v>
      </c>
      <c r="G457" s="25">
        <f t="shared" si="7"/>
        <v>4.6382819000000008</v>
      </c>
      <c r="H457" s="39"/>
      <c r="I457" s="40"/>
      <c r="J457" s="138">
        <v>0</v>
      </c>
    </row>
    <row r="458" spans="1:10" ht="15.75" hidden="1" thickBot="1" x14ac:dyDescent="0.3">
      <c r="A458" s="221"/>
      <c r="B458" s="223"/>
      <c r="C458" s="30" t="s">
        <v>22</v>
      </c>
      <c r="D458" s="30" t="s">
        <v>12</v>
      </c>
      <c r="E458" s="31">
        <v>0.43</v>
      </c>
      <c r="F458" s="25">
        <v>24.889999999999997</v>
      </c>
      <c r="G458" s="25">
        <f t="shared" si="7"/>
        <v>10.702699999999998</v>
      </c>
      <c r="H458" s="29"/>
      <c r="I458" s="25"/>
      <c r="J458" s="138">
        <v>0</v>
      </c>
    </row>
    <row r="459" spans="1:10" ht="15.75" hidden="1" thickBot="1" x14ac:dyDescent="0.3">
      <c r="A459" s="221"/>
      <c r="B459" s="223"/>
      <c r="C459" s="30" t="s">
        <v>23</v>
      </c>
      <c r="D459" s="30" t="s">
        <v>12</v>
      </c>
      <c r="E459" s="31">
        <f>0.158</f>
        <v>0.158</v>
      </c>
      <c r="F459" s="25">
        <v>18.420500000000001</v>
      </c>
      <c r="G459" s="25">
        <f t="shared" si="7"/>
        <v>2.9104390000000002</v>
      </c>
      <c r="H459" s="29"/>
      <c r="I459" s="25"/>
      <c r="J459" s="138">
        <v>0</v>
      </c>
    </row>
    <row r="460" spans="1:10" ht="15.75" hidden="1" thickBot="1" x14ac:dyDescent="0.3">
      <c r="A460" s="221"/>
      <c r="B460" s="223"/>
      <c r="C460" s="30"/>
      <c r="D460" s="30"/>
      <c r="E460" s="31"/>
      <c r="F460" s="25" t="s">
        <v>521</v>
      </c>
      <c r="G460" s="25" t="str">
        <f t="shared" si="7"/>
        <v/>
      </c>
      <c r="H460" s="29"/>
      <c r="I460" s="25"/>
      <c r="J460" s="138">
        <v>0</v>
      </c>
    </row>
    <row r="461" spans="1:10" ht="39" hidden="1" thickBot="1" x14ac:dyDescent="0.3">
      <c r="A461" s="221"/>
      <c r="B461" s="223"/>
      <c r="C461" s="46" t="s">
        <v>184</v>
      </c>
      <c r="D461" s="30"/>
      <c r="E461" s="31"/>
      <c r="F461" s="25" t="s">
        <v>521</v>
      </c>
      <c r="G461" s="25" t="str">
        <f t="shared" si="7"/>
        <v/>
      </c>
      <c r="H461" s="29"/>
      <c r="I461" s="25"/>
      <c r="J461" s="138">
        <v>0</v>
      </c>
    </row>
    <row r="462" spans="1:10" ht="30.75" hidden="1" thickBot="1" x14ac:dyDescent="0.3">
      <c r="A462" s="221"/>
      <c r="B462" s="223"/>
      <c r="C462" s="129" t="s">
        <v>185</v>
      </c>
      <c r="D462" s="30"/>
      <c r="E462" s="31"/>
      <c r="F462" s="25" t="s">
        <v>521</v>
      </c>
      <c r="G462" s="25" t="str">
        <f t="shared" si="7"/>
        <v/>
      </c>
      <c r="H462" s="29"/>
      <c r="I462" s="25"/>
      <c r="J462" s="138">
        <v>0</v>
      </c>
    </row>
    <row r="463" spans="1:10" ht="15.75" hidden="1" thickBot="1" x14ac:dyDescent="0.3">
      <c r="A463" s="227"/>
      <c r="B463" s="224"/>
      <c r="C463" s="30"/>
      <c r="D463" s="30"/>
      <c r="E463" s="31"/>
      <c r="F463" s="25" t="s">
        <v>521</v>
      </c>
      <c r="G463" s="25" t="str">
        <f t="shared" si="7"/>
        <v/>
      </c>
      <c r="H463" s="29"/>
      <c r="I463" s="25"/>
      <c r="J463" s="138">
        <v>0</v>
      </c>
    </row>
    <row r="464" spans="1:10" ht="15.75" hidden="1" thickBot="1" x14ac:dyDescent="0.3">
      <c r="A464" s="220" t="s">
        <v>186</v>
      </c>
      <c r="B464" s="222" t="e">
        <f>INDEX(Orçamentária!A:B,MATCH(Composições!A464,Orçamentária!A:A,0),2)</f>
        <v>#N/A</v>
      </c>
      <c r="C464" s="35"/>
      <c r="D464" s="20" t="s">
        <v>95</v>
      </c>
      <c r="E464" s="21"/>
      <c r="F464" s="36" t="s">
        <v>521</v>
      </c>
      <c r="G464" s="22" t="str">
        <f t="shared" si="7"/>
        <v/>
      </c>
      <c r="H464" s="23"/>
      <c r="I464" s="24"/>
      <c r="J464" s="138">
        <v>0</v>
      </c>
    </row>
    <row r="465" spans="1:10" ht="15.75" hidden="1" thickBot="1" x14ac:dyDescent="0.3">
      <c r="A465" s="221"/>
      <c r="B465" s="223"/>
      <c r="C465" s="26"/>
      <c r="D465" s="26"/>
      <c r="E465" s="27"/>
      <c r="F465" s="37" t="s">
        <v>521</v>
      </c>
      <c r="G465" s="25" t="str">
        <f t="shared" si="7"/>
        <v/>
      </c>
      <c r="H465" s="29"/>
      <c r="I465" s="25"/>
      <c r="J465" s="138">
        <v>0</v>
      </c>
    </row>
    <row r="466" spans="1:10" ht="26.25" hidden="1" thickBot="1" x14ac:dyDescent="0.3">
      <c r="A466" s="221"/>
      <c r="B466" s="223"/>
      <c r="C466" s="30" t="s">
        <v>183</v>
      </c>
      <c r="D466" s="30" t="s">
        <v>42</v>
      </c>
      <c r="E466" s="31">
        <f>1890*0.005</f>
        <v>9.4500000000000011</v>
      </c>
      <c r="F466" s="28">
        <v>0.56999999999999995</v>
      </c>
      <c r="G466" s="25">
        <f t="shared" si="7"/>
        <v>5.3864999999999998</v>
      </c>
      <c r="H466" s="33">
        <f>SUM(G466:G469)</f>
        <v>13.417156374999999</v>
      </c>
      <c r="I466" s="34"/>
      <c r="J466" s="138">
        <v>0</v>
      </c>
    </row>
    <row r="467" spans="1:10" ht="15.75" hidden="1" thickBot="1" x14ac:dyDescent="0.3">
      <c r="A467" s="221"/>
      <c r="B467" s="223"/>
      <c r="C467" s="30" t="s">
        <v>23</v>
      </c>
      <c r="D467" s="30" t="s">
        <v>12</v>
      </c>
      <c r="E467" s="31">
        <f>12.59*0.005</f>
        <v>6.2950000000000006E-2</v>
      </c>
      <c r="F467" s="25">
        <v>18.420500000000001</v>
      </c>
      <c r="G467" s="25">
        <f t="shared" si="7"/>
        <v>1.1595704750000002</v>
      </c>
      <c r="H467" s="29"/>
      <c r="I467" s="25"/>
      <c r="J467" s="138">
        <v>0</v>
      </c>
    </row>
    <row r="468" spans="1:10" ht="15.75" hidden="1" thickBot="1" x14ac:dyDescent="0.3">
      <c r="A468" s="221"/>
      <c r="B468" s="223"/>
      <c r="C468" s="30" t="s">
        <v>22</v>
      </c>
      <c r="D468" s="30" t="s">
        <v>12</v>
      </c>
      <c r="E468" s="31">
        <f>0.31*0.7</f>
        <v>0.217</v>
      </c>
      <c r="F468" s="25">
        <v>24.889999999999997</v>
      </c>
      <c r="G468" s="25">
        <f t="shared" si="7"/>
        <v>5.4011299999999993</v>
      </c>
      <c r="H468" s="29"/>
      <c r="I468" s="25"/>
      <c r="J468" s="138">
        <v>0</v>
      </c>
    </row>
    <row r="469" spans="1:10" ht="15.75" hidden="1" thickBot="1" x14ac:dyDescent="0.3">
      <c r="A469" s="221"/>
      <c r="B469" s="223"/>
      <c r="C469" s="30" t="s">
        <v>23</v>
      </c>
      <c r="D469" s="30" t="s">
        <v>12</v>
      </c>
      <c r="E469" s="31">
        <f>0.114*0.7</f>
        <v>7.9799999999999996E-2</v>
      </c>
      <c r="F469" s="25">
        <v>18.420500000000001</v>
      </c>
      <c r="G469" s="25">
        <f t="shared" si="7"/>
        <v>1.4699559</v>
      </c>
      <c r="H469" s="29"/>
      <c r="I469" s="25"/>
      <c r="J469" s="138">
        <v>0</v>
      </c>
    </row>
    <row r="470" spans="1:10" ht="15.75" hidden="1" thickBot="1" x14ac:dyDescent="0.3">
      <c r="A470" s="227"/>
      <c r="B470" s="224"/>
      <c r="C470" s="30"/>
      <c r="D470" s="30"/>
      <c r="E470" s="31"/>
      <c r="F470" s="25" t="s">
        <v>521</v>
      </c>
      <c r="G470" s="25" t="str">
        <f t="shared" si="7"/>
        <v/>
      </c>
      <c r="H470" s="29"/>
      <c r="I470" s="25"/>
      <c r="J470" s="138">
        <v>0</v>
      </c>
    </row>
    <row r="471" spans="1:10" ht="15.75" hidden="1" thickBot="1" x14ac:dyDescent="0.3">
      <c r="A471" s="220" t="s">
        <v>187</v>
      </c>
      <c r="B471" s="222" t="e">
        <f>INDEX(Orçamentária!A:B,MATCH(Composições!A471,Orçamentária!A:A,0),2)</f>
        <v>#N/A</v>
      </c>
      <c r="C471" s="35"/>
      <c r="D471" s="20" t="s">
        <v>93</v>
      </c>
      <c r="E471" s="21"/>
      <c r="F471" s="36" t="s">
        <v>521</v>
      </c>
      <c r="G471" s="22" t="str">
        <f t="shared" si="7"/>
        <v/>
      </c>
      <c r="H471" s="23"/>
      <c r="I471" s="24"/>
      <c r="J471" s="138">
        <v>0</v>
      </c>
    </row>
    <row r="472" spans="1:10" ht="15.75" hidden="1" thickBot="1" x14ac:dyDescent="0.3">
      <c r="A472" s="221"/>
      <c r="B472" s="223"/>
      <c r="C472" s="26"/>
      <c r="D472" s="26"/>
      <c r="E472" s="27"/>
      <c r="F472" s="37" t="s">
        <v>521</v>
      </c>
      <c r="G472" s="25" t="str">
        <f t="shared" si="7"/>
        <v/>
      </c>
      <c r="H472" s="29"/>
      <c r="I472" s="25"/>
      <c r="J472" s="138">
        <v>0</v>
      </c>
    </row>
    <row r="473" spans="1:10" ht="15.75" hidden="1" thickBot="1" x14ac:dyDescent="0.3">
      <c r="A473" s="221"/>
      <c r="B473" s="223"/>
      <c r="C473" s="30" t="s">
        <v>23</v>
      </c>
      <c r="D473" s="41" t="s">
        <v>12</v>
      </c>
      <c r="E473" s="31">
        <v>0.6</v>
      </c>
      <c r="F473" s="25">
        <v>18.420500000000001</v>
      </c>
      <c r="G473" s="28">
        <f t="shared" si="7"/>
        <v>11.052300000000001</v>
      </c>
      <c r="H473" s="33">
        <f>SUM(G473:G477)</f>
        <v>15.322964199999999</v>
      </c>
      <c r="I473" s="34"/>
      <c r="J473" s="138">
        <v>0</v>
      </c>
    </row>
    <row r="474" spans="1:10" ht="15.75" hidden="1" thickBot="1" x14ac:dyDescent="0.3">
      <c r="A474" s="221"/>
      <c r="B474" s="223"/>
      <c r="C474" s="30" t="s">
        <v>22</v>
      </c>
      <c r="D474" s="41" t="s">
        <v>12</v>
      </c>
      <c r="E474" s="31">
        <v>0.155</v>
      </c>
      <c r="F474" s="25">
        <v>24.889999999999997</v>
      </c>
      <c r="G474" s="28">
        <f t="shared" si="7"/>
        <v>3.8579499999999993</v>
      </c>
      <c r="H474" s="29"/>
      <c r="I474" s="25"/>
      <c r="J474" s="138">
        <v>0</v>
      </c>
    </row>
    <row r="475" spans="1:10" ht="15.75" hidden="1" thickBot="1" x14ac:dyDescent="0.3">
      <c r="A475" s="221"/>
      <c r="B475" s="223"/>
      <c r="C475" s="30" t="s">
        <v>188</v>
      </c>
      <c r="D475" s="41" t="s">
        <v>93</v>
      </c>
      <c r="E475" s="31">
        <v>1.05</v>
      </c>
      <c r="F475" s="28">
        <v>0</v>
      </c>
      <c r="G475" s="28">
        <f t="shared" si="7"/>
        <v>0</v>
      </c>
      <c r="H475" s="29"/>
      <c r="I475" s="25"/>
      <c r="J475" s="138">
        <v>0</v>
      </c>
    </row>
    <row r="476" spans="1:10" ht="15.75" hidden="1" thickBot="1" x14ac:dyDescent="0.3">
      <c r="A476" s="221"/>
      <c r="B476" s="223"/>
      <c r="C476" s="30" t="s">
        <v>2364</v>
      </c>
      <c r="D476" s="44" t="s">
        <v>102</v>
      </c>
      <c r="E476" s="31">
        <f>ROUND(1*0.15/(165/18),4)</f>
        <v>1.6400000000000001E-2</v>
      </c>
      <c r="F476" s="28">
        <v>25.165499999999998</v>
      </c>
      <c r="G476" s="28">
        <f t="shared" si="7"/>
        <v>0.41271419999999998</v>
      </c>
      <c r="H476" s="29"/>
      <c r="I476" s="25"/>
      <c r="J476" s="138">
        <v>0</v>
      </c>
    </row>
    <row r="477" spans="1:10" ht="15.75" hidden="1" thickBot="1" x14ac:dyDescent="0.3">
      <c r="A477" s="221"/>
      <c r="B477" s="223"/>
      <c r="C477" s="30" t="s">
        <v>189</v>
      </c>
      <c r="D477" s="41" t="s">
        <v>2327</v>
      </c>
      <c r="E477" s="31">
        <v>0.4</v>
      </c>
      <c r="F477" s="28" t="s">
        <v>521</v>
      </c>
      <c r="G477" s="28" t="str">
        <f t="shared" si="7"/>
        <v/>
      </c>
      <c r="H477" s="29"/>
      <c r="I477" s="25"/>
      <c r="J477" s="138">
        <v>0</v>
      </c>
    </row>
    <row r="478" spans="1:10" ht="15.75" hidden="1" thickBot="1" x14ac:dyDescent="0.3">
      <c r="A478" s="221"/>
      <c r="B478" s="223"/>
      <c r="C478" s="30"/>
      <c r="D478" s="41"/>
      <c r="E478" s="31"/>
      <c r="F478" s="28" t="s">
        <v>521</v>
      </c>
      <c r="G478" s="28" t="str">
        <f t="shared" si="7"/>
        <v/>
      </c>
      <c r="H478" s="29"/>
      <c r="I478" s="25"/>
      <c r="J478" s="138">
        <v>0</v>
      </c>
    </row>
    <row r="479" spans="1:10" ht="51.75" hidden="1" thickBot="1" x14ac:dyDescent="0.3">
      <c r="A479" s="221"/>
      <c r="B479" s="223"/>
      <c r="C479" s="46" t="s">
        <v>2328</v>
      </c>
      <c r="D479" s="41"/>
      <c r="E479" s="31"/>
      <c r="F479" s="28" t="s">
        <v>521</v>
      </c>
      <c r="G479" s="28" t="str">
        <f t="shared" si="7"/>
        <v/>
      </c>
      <c r="H479" s="29"/>
      <c r="I479" s="25"/>
      <c r="J479" s="138">
        <v>0</v>
      </c>
    </row>
    <row r="480" spans="1:10" ht="30.75" hidden="1" thickBot="1" x14ac:dyDescent="0.3">
      <c r="A480" s="221"/>
      <c r="B480" s="223"/>
      <c r="C480" s="130" t="s">
        <v>2329</v>
      </c>
      <c r="D480" s="41"/>
      <c r="E480" s="31"/>
      <c r="F480" s="28" t="s">
        <v>521</v>
      </c>
      <c r="G480" s="28" t="str">
        <f t="shared" si="7"/>
        <v/>
      </c>
      <c r="H480" s="29"/>
      <c r="I480" s="25"/>
      <c r="J480" s="138">
        <v>0</v>
      </c>
    </row>
    <row r="481" spans="1:10" ht="30.75" hidden="1" thickBot="1" x14ac:dyDescent="0.3">
      <c r="A481" s="221"/>
      <c r="B481" s="223"/>
      <c r="C481" s="130" t="s">
        <v>190</v>
      </c>
      <c r="D481" s="41"/>
      <c r="E481" s="31"/>
      <c r="F481" s="28" t="s">
        <v>521</v>
      </c>
      <c r="G481" s="28" t="str">
        <f t="shared" si="7"/>
        <v/>
      </c>
      <c r="H481" s="29"/>
      <c r="I481" s="25"/>
      <c r="J481" s="138">
        <v>0</v>
      </c>
    </row>
    <row r="482" spans="1:10" ht="15.75" hidden="1" thickBot="1" x14ac:dyDescent="0.3">
      <c r="A482" s="227"/>
      <c r="B482" s="224"/>
      <c r="C482" s="30"/>
      <c r="D482" s="30"/>
      <c r="E482" s="31"/>
      <c r="F482" s="25" t="s">
        <v>521</v>
      </c>
      <c r="G482" s="25" t="str">
        <f t="shared" si="7"/>
        <v/>
      </c>
      <c r="H482" s="29"/>
      <c r="I482" s="25"/>
      <c r="J482" s="138">
        <v>0</v>
      </c>
    </row>
    <row r="483" spans="1:10" ht="15.75" hidden="1" thickBot="1" x14ac:dyDescent="0.3">
      <c r="A483" s="220" t="s">
        <v>191</v>
      </c>
      <c r="B483" s="222" t="e">
        <f>INDEX(Orçamentária!A:B,MATCH(Composições!A483,Orçamentária!A:A,0),2)</f>
        <v>#N/A</v>
      </c>
      <c r="C483" s="35"/>
      <c r="D483" s="20" t="s">
        <v>95</v>
      </c>
      <c r="E483" s="21"/>
      <c r="F483" s="36" t="s">
        <v>521</v>
      </c>
      <c r="G483" s="22" t="str">
        <f t="shared" si="7"/>
        <v/>
      </c>
      <c r="H483" s="23"/>
      <c r="I483" s="24"/>
      <c r="J483" s="138">
        <v>0</v>
      </c>
    </row>
    <row r="484" spans="1:10" ht="15.75" hidden="1" thickBot="1" x14ac:dyDescent="0.3">
      <c r="A484" s="221"/>
      <c r="B484" s="223"/>
      <c r="C484" s="26"/>
      <c r="D484" s="26"/>
      <c r="E484" s="27"/>
      <c r="F484" s="37" t="s">
        <v>521</v>
      </c>
      <c r="G484" s="25" t="str">
        <f t="shared" si="7"/>
        <v/>
      </c>
      <c r="H484" s="29"/>
      <c r="I484" s="25"/>
      <c r="J484" s="138">
        <v>0</v>
      </c>
    </row>
    <row r="485" spans="1:10" ht="15.75" hidden="1" thickBot="1" x14ac:dyDescent="0.3">
      <c r="A485" s="221"/>
      <c r="B485" s="223"/>
      <c r="C485" s="30" t="s">
        <v>100</v>
      </c>
      <c r="D485" s="41" t="s">
        <v>12</v>
      </c>
      <c r="E485" s="31">
        <v>0.106</v>
      </c>
      <c r="F485" s="25">
        <v>25.887499999999999</v>
      </c>
      <c r="G485" s="28">
        <f t="shared" si="7"/>
        <v>2.744075</v>
      </c>
      <c r="H485" s="33">
        <f>SUM(G485:G487)</f>
        <v>3.2414285</v>
      </c>
      <c r="I485" s="34"/>
      <c r="J485" s="138">
        <v>0</v>
      </c>
    </row>
    <row r="486" spans="1:10" ht="15.75" hidden="1" thickBot="1" x14ac:dyDescent="0.3">
      <c r="A486" s="221"/>
      <c r="B486" s="223"/>
      <c r="C486" s="30" t="s">
        <v>23</v>
      </c>
      <c r="D486" s="41" t="s">
        <v>12</v>
      </c>
      <c r="E486" s="31">
        <v>2.7E-2</v>
      </c>
      <c r="F486" s="25">
        <v>18.420500000000001</v>
      </c>
      <c r="G486" s="28">
        <f t="shared" si="7"/>
        <v>0.4973535</v>
      </c>
      <c r="H486" s="29"/>
      <c r="I486" s="25"/>
      <c r="J486" s="138">
        <v>0</v>
      </c>
    </row>
    <row r="487" spans="1:10" ht="15.75" hidden="1" thickBot="1" x14ac:dyDescent="0.3">
      <c r="A487" s="221"/>
      <c r="B487" s="223"/>
      <c r="C487" s="30" t="s">
        <v>192</v>
      </c>
      <c r="D487" s="44" t="s">
        <v>102</v>
      </c>
      <c r="E487" s="31">
        <v>0.16</v>
      </c>
      <c r="F487" s="28" t="s">
        <v>521</v>
      </c>
      <c r="G487" s="28" t="str">
        <f t="shared" si="7"/>
        <v/>
      </c>
      <c r="H487" s="29"/>
      <c r="I487" s="25"/>
      <c r="J487" s="138">
        <v>0</v>
      </c>
    </row>
    <row r="488" spans="1:10" ht="15.75" hidden="1" thickBot="1" x14ac:dyDescent="0.3">
      <c r="A488" s="227"/>
      <c r="B488" s="224"/>
      <c r="C488" s="30"/>
      <c r="D488" s="30"/>
      <c r="E488" s="31"/>
      <c r="F488" s="25" t="s">
        <v>521</v>
      </c>
      <c r="G488" s="25" t="str">
        <f t="shared" si="7"/>
        <v/>
      </c>
      <c r="H488" s="29"/>
      <c r="I488" s="25"/>
      <c r="J488" s="138">
        <v>0</v>
      </c>
    </row>
    <row r="489" spans="1:10" ht="15.75" hidden="1" thickBot="1" x14ac:dyDescent="0.3">
      <c r="A489" s="220" t="s">
        <v>193</v>
      </c>
      <c r="B489" s="222" t="e">
        <f>INDEX(Orçamentária!A:B,MATCH(Composições!A489,Orçamentária!A:A,0),2)</f>
        <v>#N/A</v>
      </c>
      <c r="C489" s="35"/>
      <c r="D489" s="20" t="s">
        <v>95</v>
      </c>
      <c r="E489" s="21"/>
      <c r="F489" s="36" t="s">
        <v>521</v>
      </c>
      <c r="G489" s="22" t="str">
        <f t="shared" si="7"/>
        <v/>
      </c>
      <c r="H489" s="23"/>
      <c r="I489" s="24"/>
      <c r="J489" s="138">
        <v>0</v>
      </c>
    </row>
    <row r="490" spans="1:10" ht="15.75" hidden="1" thickBot="1" x14ac:dyDescent="0.3">
      <c r="A490" s="221"/>
      <c r="B490" s="223"/>
      <c r="C490" s="26"/>
      <c r="D490" s="26"/>
      <c r="E490" s="27"/>
      <c r="F490" s="37" t="s">
        <v>521</v>
      </c>
      <c r="G490" s="25" t="str">
        <f t="shared" si="7"/>
        <v/>
      </c>
      <c r="H490" s="29"/>
      <c r="I490" s="25"/>
      <c r="J490" s="138">
        <v>0</v>
      </c>
    </row>
    <row r="491" spans="1:10" ht="15.75" hidden="1" thickBot="1" x14ac:dyDescent="0.3">
      <c r="A491" s="221"/>
      <c r="B491" s="223"/>
      <c r="C491" s="30" t="s">
        <v>100</v>
      </c>
      <c r="D491" s="41" t="s">
        <v>12</v>
      </c>
      <c r="E491" s="31">
        <f>2*0.2149</f>
        <v>0.42980000000000002</v>
      </c>
      <c r="F491" s="25">
        <v>25.887499999999999</v>
      </c>
      <c r="G491" s="28">
        <f t="shared" si="7"/>
        <v>11.126447499999999</v>
      </c>
      <c r="H491" s="33">
        <f>SUM(G491:G492)</f>
        <v>11.126447499999999</v>
      </c>
      <c r="I491" s="34"/>
      <c r="J491" s="138">
        <v>0</v>
      </c>
    </row>
    <row r="492" spans="1:10" ht="15.75" hidden="1" thickBot="1" x14ac:dyDescent="0.3">
      <c r="A492" s="221"/>
      <c r="B492" s="223"/>
      <c r="C492" s="30" t="s">
        <v>194</v>
      </c>
      <c r="D492" s="44" t="s">
        <v>102</v>
      </c>
      <c r="E492" s="31">
        <f>2*(3.6/45)</f>
        <v>0.16</v>
      </c>
      <c r="F492" s="28" t="s">
        <v>521</v>
      </c>
      <c r="G492" s="28" t="str">
        <f t="shared" si="7"/>
        <v/>
      </c>
      <c r="H492" s="29"/>
      <c r="I492" s="25"/>
      <c r="J492" s="138">
        <v>0</v>
      </c>
    </row>
    <row r="493" spans="1:10" ht="15.75" hidden="1" thickBot="1" x14ac:dyDescent="0.3">
      <c r="A493" s="221"/>
      <c r="B493" s="223"/>
      <c r="C493" s="30"/>
      <c r="D493" s="41"/>
      <c r="E493" s="31"/>
      <c r="F493" s="28" t="s">
        <v>521</v>
      </c>
      <c r="G493" s="28" t="str">
        <f t="shared" si="7"/>
        <v/>
      </c>
      <c r="H493" s="29"/>
      <c r="I493" s="25"/>
      <c r="J493" s="138">
        <v>0</v>
      </c>
    </row>
    <row r="494" spans="1:10" ht="26.25" hidden="1" thickBot="1" x14ac:dyDescent="0.3">
      <c r="A494" s="221"/>
      <c r="B494" s="223"/>
      <c r="C494" s="46" t="s">
        <v>195</v>
      </c>
      <c r="D494" s="41"/>
      <c r="E494" s="31"/>
      <c r="F494" s="28" t="s">
        <v>521</v>
      </c>
      <c r="G494" s="28" t="str">
        <f t="shared" si="7"/>
        <v/>
      </c>
      <c r="H494" s="29"/>
      <c r="I494" s="25"/>
      <c r="J494" s="138">
        <v>0</v>
      </c>
    </row>
    <row r="495" spans="1:10" ht="30.75" hidden="1" thickBot="1" x14ac:dyDescent="0.3">
      <c r="A495" s="221"/>
      <c r="B495" s="223"/>
      <c r="C495" s="130" t="s">
        <v>196</v>
      </c>
      <c r="D495" s="41"/>
      <c r="E495" s="31"/>
      <c r="F495" s="28" t="s">
        <v>521</v>
      </c>
      <c r="G495" s="28" t="str">
        <f t="shared" si="7"/>
        <v/>
      </c>
      <c r="H495" s="29"/>
      <c r="I495" s="25"/>
      <c r="J495" s="138">
        <v>0</v>
      </c>
    </row>
    <row r="496" spans="1:10" ht="30.75" hidden="1" thickBot="1" x14ac:dyDescent="0.3">
      <c r="A496" s="227"/>
      <c r="B496" s="224"/>
      <c r="C496" s="130" t="s">
        <v>197</v>
      </c>
      <c r="D496" s="30"/>
      <c r="E496" s="31"/>
      <c r="F496" s="25" t="s">
        <v>521</v>
      </c>
      <c r="G496" s="25" t="str">
        <f t="shared" si="7"/>
        <v/>
      </c>
      <c r="H496" s="29"/>
      <c r="I496" s="25"/>
      <c r="J496" s="138">
        <v>0</v>
      </c>
    </row>
    <row r="497" spans="1:10" ht="15.75" hidden="1" thickBot="1" x14ac:dyDescent="0.3">
      <c r="A497" s="220" t="s">
        <v>198</v>
      </c>
      <c r="B497" s="222" t="e">
        <f>INDEX(Orçamentária!A:B,MATCH(Composições!A497,Orçamentária!A:A,0),2)</f>
        <v>#N/A</v>
      </c>
      <c r="C497" s="35"/>
      <c r="D497" s="20" t="s">
        <v>95</v>
      </c>
      <c r="E497" s="21"/>
      <c r="F497" s="36" t="s">
        <v>521</v>
      </c>
      <c r="G497" s="22" t="str">
        <f t="shared" si="7"/>
        <v/>
      </c>
      <c r="H497" s="23"/>
      <c r="I497" s="24"/>
      <c r="J497" s="138">
        <v>0</v>
      </c>
    </row>
    <row r="498" spans="1:10" ht="15.75" hidden="1" thickBot="1" x14ac:dyDescent="0.3">
      <c r="A498" s="221"/>
      <c r="B498" s="223"/>
      <c r="C498" s="26"/>
      <c r="D498" s="26"/>
      <c r="E498" s="27"/>
      <c r="F498" s="37" t="s">
        <v>521</v>
      </c>
      <c r="G498" s="25" t="str">
        <f t="shared" si="7"/>
        <v/>
      </c>
      <c r="H498" s="29"/>
      <c r="I498" s="25"/>
      <c r="J498" s="138">
        <v>0</v>
      </c>
    </row>
    <row r="499" spans="1:10" ht="26.25" hidden="1" thickBot="1" x14ac:dyDescent="0.3">
      <c r="A499" s="221"/>
      <c r="B499" s="223"/>
      <c r="C499" s="30" t="s">
        <v>2368</v>
      </c>
      <c r="D499" s="41" t="s">
        <v>20</v>
      </c>
      <c r="E499" s="31">
        <v>0.1</v>
      </c>
      <c r="F499" s="28">
        <v>1.349</v>
      </c>
      <c r="G499" s="28">
        <f t="shared" si="7"/>
        <v>0.13489999999999999</v>
      </c>
      <c r="H499" s="33">
        <f>SUM(G499:G502)</f>
        <v>21.470283859999999</v>
      </c>
      <c r="I499" s="34"/>
      <c r="J499" s="138">
        <v>0</v>
      </c>
    </row>
    <row r="500" spans="1:10" ht="15.75" hidden="1" thickBot="1" x14ac:dyDescent="0.3">
      <c r="A500" s="221"/>
      <c r="B500" s="223"/>
      <c r="C500" s="30" t="s">
        <v>2369</v>
      </c>
      <c r="D500" s="41" t="s">
        <v>42</v>
      </c>
      <c r="E500" s="31">
        <v>1.5518400000000001</v>
      </c>
      <c r="F500" s="28">
        <v>7.1914999999999996</v>
      </c>
      <c r="G500" s="28">
        <f t="shared" si="7"/>
        <v>11.16005736</v>
      </c>
      <c r="H500" s="29"/>
      <c r="I500" s="25"/>
      <c r="J500" s="138">
        <v>0</v>
      </c>
    </row>
    <row r="501" spans="1:10" ht="15.75" hidden="1" thickBot="1" x14ac:dyDescent="0.3">
      <c r="A501" s="221"/>
      <c r="B501" s="223"/>
      <c r="C501" s="30" t="s">
        <v>100</v>
      </c>
      <c r="D501" s="41" t="s">
        <v>12</v>
      </c>
      <c r="E501" s="31">
        <v>0.33400000000000002</v>
      </c>
      <c r="F501" s="25">
        <v>25.887499999999999</v>
      </c>
      <c r="G501" s="28">
        <f t="shared" si="7"/>
        <v>8.6464250000000007</v>
      </c>
      <c r="H501" s="29"/>
      <c r="I501" s="25"/>
      <c r="J501" s="138">
        <v>0</v>
      </c>
    </row>
    <row r="502" spans="1:10" ht="15.75" hidden="1" thickBot="1" x14ac:dyDescent="0.3">
      <c r="A502" s="221"/>
      <c r="B502" s="223"/>
      <c r="C502" s="30" t="s">
        <v>23</v>
      </c>
      <c r="D502" s="41" t="s">
        <v>12</v>
      </c>
      <c r="E502" s="31">
        <v>8.3000000000000004E-2</v>
      </c>
      <c r="F502" s="25">
        <v>18.420500000000001</v>
      </c>
      <c r="G502" s="28">
        <f t="shared" si="7"/>
        <v>1.5289015000000001</v>
      </c>
      <c r="H502" s="29"/>
      <c r="I502" s="25"/>
      <c r="J502" s="138">
        <v>0</v>
      </c>
    </row>
    <row r="503" spans="1:10" ht="15.75" hidden="1" thickBot="1" x14ac:dyDescent="0.3">
      <c r="A503" s="227"/>
      <c r="B503" s="224"/>
      <c r="C503" s="30"/>
      <c r="D503" s="30"/>
      <c r="E503" s="31"/>
      <c r="F503" s="25" t="s">
        <v>521</v>
      </c>
      <c r="G503" s="25" t="str">
        <f t="shared" si="7"/>
        <v/>
      </c>
      <c r="H503" s="29"/>
      <c r="I503" s="25"/>
      <c r="J503" s="138">
        <v>0</v>
      </c>
    </row>
    <row r="504" spans="1:10" ht="15.75" hidden="1" thickBot="1" x14ac:dyDescent="0.3">
      <c r="A504" s="220" t="s">
        <v>199</v>
      </c>
      <c r="B504" s="222" t="e">
        <f>INDEX(Orçamentária!A:B,MATCH(Composições!A504,Orçamentária!A:A,0),2)</f>
        <v>#N/A</v>
      </c>
      <c r="C504" s="35"/>
      <c r="D504" s="20" t="s">
        <v>95</v>
      </c>
      <c r="E504" s="21"/>
      <c r="F504" s="36" t="s">
        <v>521</v>
      </c>
      <c r="G504" s="22" t="str">
        <f t="shared" si="7"/>
        <v/>
      </c>
      <c r="H504" s="23"/>
      <c r="I504" s="24"/>
      <c r="J504" s="138">
        <v>0</v>
      </c>
    </row>
    <row r="505" spans="1:10" ht="15.75" hidden="1" thickBot="1" x14ac:dyDescent="0.3">
      <c r="A505" s="221"/>
      <c r="B505" s="223"/>
      <c r="C505" s="26"/>
      <c r="D505" s="26"/>
      <c r="E505" s="27"/>
      <c r="F505" s="37" t="s">
        <v>521</v>
      </c>
      <c r="G505" s="25" t="str">
        <f t="shared" si="7"/>
        <v/>
      </c>
      <c r="H505" s="29"/>
      <c r="I505" s="25"/>
      <c r="J505" s="138">
        <v>0</v>
      </c>
    </row>
    <row r="506" spans="1:10" ht="26.25" hidden="1" thickBot="1" x14ac:dyDescent="0.3">
      <c r="A506" s="221"/>
      <c r="B506" s="223"/>
      <c r="C506" s="30" t="s">
        <v>2368</v>
      </c>
      <c r="D506" s="41" t="s">
        <v>20</v>
      </c>
      <c r="E506" s="31">
        <v>0.1</v>
      </c>
      <c r="F506" s="28">
        <v>1.349</v>
      </c>
      <c r="G506" s="28">
        <f t="shared" si="7"/>
        <v>0.13489999999999999</v>
      </c>
      <c r="H506" s="33">
        <f>SUM(G506:G509)</f>
        <v>16.531039490000001</v>
      </c>
      <c r="I506" s="34"/>
      <c r="J506" s="138">
        <v>0</v>
      </c>
    </row>
    <row r="507" spans="1:10" ht="15.75" hidden="1" thickBot="1" x14ac:dyDescent="0.3">
      <c r="A507" s="221"/>
      <c r="B507" s="223"/>
      <c r="C507" s="30" t="s">
        <v>2370</v>
      </c>
      <c r="D507" s="41" t="s">
        <v>897</v>
      </c>
      <c r="E507" s="31">
        <v>1.5550200000000001</v>
      </c>
      <c r="F507" s="28">
        <v>3.9994999999999998</v>
      </c>
      <c r="G507" s="28">
        <f t="shared" si="7"/>
        <v>6.2193024899999996</v>
      </c>
      <c r="H507" s="29"/>
      <c r="I507" s="25"/>
      <c r="J507" s="138">
        <v>0</v>
      </c>
    </row>
    <row r="508" spans="1:10" ht="15.75" hidden="1" thickBot="1" x14ac:dyDescent="0.3">
      <c r="A508" s="221"/>
      <c r="B508" s="223"/>
      <c r="C508" s="30" t="s">
        <v>100</v>
      </c>
      <c r="D508" s="41" t="s">
        <v>12</v>
      </c>
      <c r="E508" s="31">
        <v>0.312</v>
      </c>
      <c r="F508" s="25">
        <v>25.887499999999999</v>
      </c>
      <c r="G508" s="28">
        <f t="shared" si="7"/>
        <v>8.0769000000000002</v>
      </c>
      <c r="H508" s="29"/>
      <c r="I508" s="25"/>
      <c r="J508" s="138">
        <v>0</v>
      </c>
    </row>
    <row r="509" spans="1:10" ht="15.75" hidden="1" thickBot="1" x14ac:dyDescent="0.3">
      <c r="A509" s="221"/>
      <c r="B509" s="223"/>
      <c r="C509" s="30" t="s">
        <v>23</v>
      </c>
      <c r="D509" s="41" t="s">
        <v>12</v>
      </c>
      <c r="E509" s="31">
        <v>0.114</v>
      </c>
      <c r="F509" s="25">
        <v>18.420500000000001</v>
      </c>
      <c r="G509" s="28">
        <f t="shared" si="7"/>
        <v>2.0999370000000002</v>
      </c>
      <c r="H509" s="29"/>
      <c r="I509" s="25"/>
      <c r="J509" s="138">
        <v>0</v>
      </c>
    </row>
    <row r="510" spans="1:10" ht="15.75" hidden="1" thickBot="1" x14ac:dyDescent="0.3">
      <c r="A510" s="227"/>
      <c r="B510" s="224"/>
      <c r="C510" s="30"/>
      <c r="D510" s="30"/>
      <c r="E510" s="31"/>
      <c r="F510" s="25" t="s">
        <v>521</v>
      </c>
      <c r="G510" s="25" t="str">
        <f t="shared" si="7"/>
        <v/>
      </c>
      <c r="H510" s="29"/>
      <c r="I510" s="25"/>
      <c r="J510" s="138">
        <v>0</v>
      </c>
    </row>
    <row r="511" spans="1:10" ht="15.75" hidden="1" thickBot="1" x14ac:dyDescent="0.3">
      <c r="A511" s="220" t="s">
        <v>200</v>
      </c>
      <c r="B511" s="222" t="e">
        <f>INDEX(Orçamentária!A:B,MATCH(Composições!A511,Orçamentária!A:A,0),2)</f>
        <v>#N/A</v>
      </c>
      <c r="C511" s="35"/>
      <c r="D511" s="20" t="s">
        <v>95</v>
      </c>
      <c r="E511" s="21"/>
      <c r="F511" s="36" t="s">
        <v>521</v>
      </c>
      <c r="G511" s="22" t="str">
        <f t="shared" si="7"/>
        <v/>
      </c>
      <c r="H511" s="23"/>
      <c r="I511" s="24"/>
      <c r="J511" s="138">
        <v>0</v>
      </c>
    </row>
    <row r="512" spans="1:10" ht="15.75" hidden="1" thickBot="1" x14ac:dyDescent="0.3">
      <c r="A512" s="221"/>
      <c r="B512" s="223"/>
      <c r="C512" s="26"/>
      <c r="D512" s="26"/>
      <c r="E512" s="27"/>
      <c r="F512" s="37" t="s">
        <v>521</v>
      </c>
      <c r="G512" s="25" t="str">
        <f t="shared" si="7"/>
        <v/>
      </c>
      <c r="H512" s="29"/>
      <c r="I512" s="25"/>
      <c r="J512" s="138">
        <v>0</v>
      </c>
    </row>
    <row r="513" spans="1:10" ht="15.75" hidden="1" thickBot="1" x14ac:dyDescent="0.3">
      <c r="A513" s="221"/>
      <c r="B513" s="223"/>
      <c r="C513" s="30" t="s">
        <v>100</v>
      </c>
      <c r="D513" s="41" t="s">
        <v>12</v>
      </c>
      <c r="E513" s="31">
        <v>0.187</v>
      </c>
      <c r="F513" s="25">
        <v>25.887499999999999</v>
      </c>
      <c r="G513" s="28">
        <f t="shared" si="7"/>
        <v>4.8409624999999998</v>
      </c>
      <c r="H513" s="33">
        <f>SUM(G513:G515)</f>
        <v>13.607761999999999</v>
      </c>
      <c r="I513" s="34"/>
      <c r="J513" s="138">
        <v>0</v>
      </c>
    </row>
    <row r="514" spans="1:10" ht="15.75" hidden="1" thickBot="1" x14ac:dyDescent="0.3">
      <c r="A514" s="221"/>
      <c r="B514" s="223"/>
      <c r="C514" s="30" t="s">
        <v>23</v>
      </c>
      <c r="D514" s="41" t="s">
        <v>12</v>
      </c>
      <c r="E514" s="31">
        <v>6.9000000000000006E-2</v>
      </c>
      <c r="F514" s="25">
        <v>18.420500000000001</v>
      </c>
      <c r="G514" s="28">
        <f t="shared" si="7"/>
        <v>1.2710145000000002</v>
      </c>
      <c r="H514" s="29"/>
      <c r="I514" s="25"/>
      <c r="J514" s="138">
        <v>0</v>
      </c>
    </row>
    <row r="515" spans="1:10" ht="15.75" hidden="1" thickBot="1" x14ac:dyDescent="0.3">
      <c r="A515" s="221"/>
      <c r="B515" s="223"/>
      <c r="C515" s="30" t="s">
        <v>2365</v>
      </c>
      <c r="D515" s="44" t="s">
        <v>102</v>
      </c>
      <c r="E515" s="31">
        <v>0.33</v>
      </c>
      <c r="F515" s="28">
        <v>22.714499999999997</v>
      </c>
      <c r="G515" s="28">
        <f t="shared" si="7"/>
        <v>7.4957849999999997</v>
      </c>
      <c r="H515" s="29"/>
      <c r="I515" s="25"/>
      <c r="J515" s="138">
        <v>0</v>
      </c>
    </row>
    <row r="516" spans="1:10" ht="15.75" hidden="1" thickBot="1" x14ac:dyDescent="0.3">
      <c r="A516" s="227"/>
      <c r="B516" s="224"/>
      <c r="C516" s="30"/>
      <c r="D516" s="30"/>
      <c r="E516" s="31"/>
      <c r="F516" s="25" t="s">
        <v>521</v>
      </c>
      <c r="G516" s="25" t="str">
        <f t="shared" si="7"/>
        <v/>
      </c>
      <c r="H516" s="29"/>
      <c r="I516" s="25"/>
      <c r="J516" s="138">
        <v>0</v>
      </c>
    </row>
    <row r="517" spans="1:10" ht="15.75" hidden="1" thickBot="1" x14ac:dyDescent="0.3">
      <c r="A517" s="220" t="s">
        <v>201</v>
      </c>
      <c r="B517" s="222" t="e">
        <f>INDEX(Orçamentária!A:B,MATCH(Composições!A517,Orçamentária!A:A,0),2)</f>
        <v>#N/A</v>
      </c>
      <c r="C517" s="35"/>
      <c r="D517" s="20" t="s">
        <v>95</v>
      </c>
      <c r="E517" s="21"/>
      <c r="F517" s="36" t="s">
        <v>521</v>
      </c>
      <c r="G517" s="22" t="str">
        <f t="shared" si="7"/>
        <v/>
      </c>
      <c r="H517" s="23"/>
      <c r="I517" s="24"/>
      <c r="J517" s="138">
        <v>0</v>
      </c>
    </row>
    <row r="518" spans="1:10" ht="15.75" hidden="1" thickBot="1" x14ac:dyDescent="0.3">
      <c r="A518" s="221"/>
      <c r="B518" s="223"/>
      <c r="C518" s="26"/>
      <c r="D518" s="26"/>
      <c r="E518" s="27"/>
      <c r="F518" s="37" t="s">
        <v>521</v>
      </c>
      <c r="G518" s="25" t="str">
        <f t="shared" ref="G518:G581" si="8">IF(ISNUMBER(F518),E518*F518,"")</f>
        <v/>
      </c>
      <c r="H518" s="29"/>
      <c r="I518" s="25"/>
      <c r="J518" s="138">
        <v>0</v>
      </c>
    </row>
    <row r="519" spans="1:10" ht="15.75" hidden="1" thickBot="1" x14ac:dyDescent="0.3">
      <c r="A519" s="221"/>
      <c r="B519" s="223"/>
      <c r="C519" s="30" t="s">
        <v>202</v>
      </c>
      <c r="D519" s="44" t="s">
        <v>102</v>
      </c>
      <c r="E519" s="31">
        <f>ROUND(3*3.6/100,4)</f>
        <v>0.108</v>
      </c>
      <c r="F519" s="28" t="s">
        <v>521</v>
      </c>
      <c r="G519" s="25" t="str">
        <f t="shared" si="8"/>
        <v/>
      </c>
      <c r="H519" s="33">
        <f>SUM(G519:G520)</f>
        <v>18.317995</v>
      </c>
      <c r="I519" s="34"/>
      <c r="J519" s="138">
        <v>0</v>
      </c>
    </row>
    <row r="520" spans="1:10" ht="15.75" hidden="1" thickBot="1" x14ac:dyDescent="0.3">
      <c r="A520" s="221"/>
      <c r="B520" s="223"/>
      <c r="C520" s="30" t="s">
        <v>100</v>
      </c>
      <c r="D520" s="30" t="s">
        <v>12</v>
      </c>
      <c r="E520" s="31">
        <v>0.70760000000000001</v>
      </c>
      <c r="F520" s="25">
        <v>25.887499999999999</v>
      </c>
      <c r="G520" s="25">
        <f t="shared" si="8"/>
        <v>18.317995</v>
      </c>
      <c r="H520" s="29"/>
      <c r="I520" s="25"/>
      <c r="J520" s="138">
        <v>0</v>
      </c>
    </row>
    <row r="521" spans="1:10" ht="15.75" hidden="1" thickBot="1" x14ac:dyDescent="0.3">
      <c r="A521" s="221"/>
      <c r="B521" s="223"/>
      <c r="C521" s="30"/>
      <c r="D521" s="30"/>
      <c r="E521" s="31"/>
      <c r="F521" s="25" t="s">
        <v>521</v>
      </c>
      <c r="G521" s="25"/>
      <c r="H521" s="29"/>
      <c r="I521" s="25"/>
      <c r="J521" s="138">
        <v>0</v>
      </c>
    </row>
    <row r="522" spans="1:10" ht="39" hidden="1" thickBot="1" x14ac:dyDescent="0.3">
      <c r="A522" s="221"/>
      <c r="B522" s="223"/>
      <c r="C522" s="46" t="s">
        <v>1761</v>
      </c>
      <c r="D522" s="30"/>
      <c r="E522" s="31"/>
      <c r="F522" s="25" t="s">
        <v>521</v>
      </c>
      <c r="G522" s="25"/>
      <c r="H522" s="29"/>
      <c r="I522" s="25"/>
      <c r="J522" s="138">
        <v>0</v>
      </c>
    </row>
    <row r="523" spans="1:10" ht="15.75" hidden="1" thickBot="1" x14ac:dyDescent="0.3">
      <c r="A523" s="227"/>
      <c r="B523" s="224"/>
      <c r="C523" s="30"/>
      <c r="D523" s="30"/>
      <c r="E523" s="31"/>
      <c r="F523" s="25" t="s">
        <v>521</v>
      </c>
      <c r="G523" s="25" t="str">
        <f>IF(ISNUMBER(F523),E523*F523,"")</f>
        <v/>
      </c>
      <c r="H523" s="29"/>
      <c r="I523" s="25"/>
      <c r="J523" s="138">
        <v>0</v>
      </c>
    </row>
    <row r="524" spans="1:10" ht="15.75" hidden="1" thickBot="1" x14ac:dyDescent="0.3">
      <c r="A524" s="220" t="s">
        <v>203</v>
      </c>
      <c r="B524" s="222" t="e">
        <f>INDEX(Orçamentária!A:B,MATCH(Composições!A524,Orçamentária!A:A,0),2)</f>
        <v>#N/A</v>
      </c>
      <c r="C524" s="35"/>
      <c r="D524" s="20" t="s">
        <v>95</v>
      </c>
      <c r="E524" s="21"/>
      <c r="F524" s="36" t="s">
        <v>521</v>
      </c>
      <c r="G524" s="22" t="str">
        <f>IF(ISNUMBER(F524),E524*F524,"")</f>
        <v/>
      </c>
      <c r="H524" s="23"/>
      <c r="I524" s="24"/>
      <c r="J524" s="138">
        <v>0</v>
      </c>
    </row>
    <row r="525" spans="1:10" ht="15.75" hidden="1" thickBot="1" x14ac:dyDescent="0.3">
      <c r="A525" s="221"/>
      <c r="B525" s="223"/>
      <c r="C525" s="26"/>
      <c r="D525" s="26"/>
      <c r="E525" s="27"/>
      <c r="F525" s="37" t="s">
        <v>521</v>
      </c>
      <c r="G525" s="25" t="str">
        <f>IF(ISNUMBER(F525),E525*F525,"")</f>
        <v/>
      </c>
      <c r="H525" s="29"/>
      <c r="I525" s="25"/>
      <c r="J525" s="138">
        <v>0</v>
      </c>
    </row>
    <row r="526" spans="1:10" ht="15.75" hidden="1" thickBot="1" x14ac:dyDescent="0.3">
      <c r="A526" s="221"/>
      <c r="B526" s="223"/>
      <c r="C526" s="30" t="s">
        <v>100</v>
      </c>
      <c r="D526" s="30" t="s">
        <v>702</v>
      </c>
      <c r="E526" s="31">
        <v>0.57079999999999997</v>
      </c>
      <c r="F526" s="25">
        <v>25.887499999999999</v>
      </c>
      <c r="G526" s="28">
        <f>IF(ISNUMBER(F526),E526*F526,"")</f>
        <v>14.776584999999999</v>
      </c>
      <c r="H526" s="33">
        <f>SUM(G526:G527)</f>
        <v>14.776584999999999</v>
      </c>
      <c r="I526" s="34"/>
      <c r="J526" s="138">
        <v>0</v>
      </c>
    </row>
    <row r="527" spans="1:10" ht="15.75" hidden="1" thickBot="1" x14ac:dyDescent="0.3">
      <c r="A527" s="221"/>
      <c r="B527" s="223"/>
      <c r="C527" s="30" t="s">
        <v>204</v>
      </c>
      <c r="D527" s="44" t="s">
        <v>102</v>
      </c>
      <c r="E527" s="31">
        <f>ROUND(3*3.6/75,4)</f>
        <v>0.14399999999999999</v>
      </c>
      <c r="F527" s="28" t="s">
        <v>521</v>
      </c>
      <c r="G527" s="28" t="str">
        <f>IF(ISNUMBER(F527),E527*F527,"")</f>
        <v/>
      </c>
      <c r="H527" s="29"/>
      <c r="I527" s="25"/>
      <c r="J527" s="138">
        <v>0</v>
      </c>
    </row>
    <row r="528" spans="1:10" ht="15.75" hidden="1" thickBot="1" x14ac:dyDescent="0.3">
      <c r="A528" s="221"/>
      <c r="B528" s="223"/>
      <c r="C528" s="30"/>
      <c r="D528" s="44"/>
      <c r="E528" s="31"/>
      <c r="F528" s="28" t="s">
        <v>521</v>
      </c>
      <c r="G528" s="28"/>
      <c r="H528" s="29"/>
      <c r="I528" s="25"/>
      <c r="J528" s="138">
        <v>0</v>
      </c>
    </row>
    <row r="529" spans="1:10" ht="39" hidden="1" thickBot="1" x14ac:dyDescent="0.3">
      <c r="A529" s="221"/>
      <c r="B529" s="223"/>
      <c r="C529" s="46" t="s">
        <v>1760</v>
      </c>
      <c r="D529" s="44"/>
      <c r="E529" s="31"/>
      <c r="F529" s="28" t="s">
        <v>521</v>
      </c>
      <c r="G529" s="28"/>
      <c r="H529" s="29"/>
      <c r="I529" s="25"/>
      <c r="J529" s="138">
        <v>0</v>
      </c>
    </row>
    <row r="530" spans="1:10" ht="15.75" hidden="1" thickBot="1" x14ac:dyDescent="0.3">
      <c r="A530" s="227"/>
      <c r="B530" s="224"/>
      <c r="C530" s="30"/>
      <c r="D530" s="30"/>
      <c r="E530" s="31"/>
      <c r="F530" s="25" t="s">
        <v>521</v>
      </c>
      <c r="G530" s="25" t="str">
        <f t="shared" ref="G530:G593" si="9">IF(ISNUMBER(F530),E530*F530,"")</f>
        <v/>
      </c>
      <c r="H530" s="29"/>
      <c r="I530" s="25"/>
      <c r="J530" s="138">
        <v>0</v>
      </c>
    </row>
    <row r="531" spans="1:10" ht="15.75" hidden="1" thickBot="1" x14ac:dyDescent="0.3">
      <c r="A531" s="220" t="s">
        <v>205</v>
      </c>
      <c r="B531" s="222" t="e">
        <f>INDEX(Orçamentária!A:B,MATCH(Composições!A531,Orçamentária!A:A,0),2)</f>
        <v>#N/A</v>
      </c>
      <c r="C531" s="35"/>
      <c r="D531" s="20" t="s">
        <v>95</v>
      </c>
      <c r="E531" s="21"/>
      <c r="F531" s="36" t="s">
        <v>521</v>
      </c>
      <c r="G531" s="22" t="str">
        <f t="shared" si="9"/>
        <v/>
      </c>
      <c r="H531" s="23"/>
      <c r="I531" s="24"/>
      <c r="J531" s="138">
        <v>0</v>
      </c>
    </row>
    <row r="532" spans="1:10" ht="15.75" hidden="1" thickBot="1" x14ac:dyDescent="0.3">
      <c r="A532" s="221"/>
      <c r="B532" s="223"/>
      <c r="C532" s="26"/>
      <c r="D532" s="26"/>
      <c r="E532" s="27"/>
      <c r="F532" s="37" t="s">
        <v>521</v>
      </c>
      <c r="G532" s="25" t="str">
        <f t="shared" si="9"/>
        <v/>
      </c>
      <c r="H532" s="29"/>
      <c r="I532" s="25"/>
      <c r="J532" s="138">
        <v>0</v>
      </c>
    </row>
    <row r="533" spans="1:10" ht="15.75" hidden="1" thickBot="1" x14ac:dyDescent="0.3">
      <c r="A533" s="221"/>
      <c r="B533" s="223"/>
      <c r="C533" s="30" t="s">
        <v>100</v>
      </c>
      <c r="D533" s="30" t="s">
        <v>702</v>
      </c>
      <c r="E533" s="31">
        <v>0.24399999999999999</v>
      </c>
      <c r="F533" s="25">
        <v>25.887499999999999</v>
      </c>
      <c r="G533" s="28">
        <f t="shared" si="9"/>
        <v>6.3165499999999994</v>
      </c>
      <c r="H533" s="33">
        <f>SUM(G533:G535)</f>
        <v>15.4517595</v>
      </c>
      <c r="I533" s="34"/>
      <c r="J533" s="138">
        <v>0</v>
      </c>
    </row>
    <row r="534" spans="1:10" ht="15.75" hidden="1" thickBot="1" x14ac:dyDescent="0.3">
      <c r="A534" s="221"/>
      <c r="B534" s="223"/>
      <c r="C534" s="30" t="s">
        <v>23</v>
      </c>
      <c r="D534" s="30" t="s">
        <v>702</v>
      </c>
      <c r="E534" s="31">
        <v>8.8999999999999996E-2</v>
      </c>
      <c r="F534" s="25">
        <v>18.420500000000001</v>
      </c>
      <c r="G534" s="28">
        <f t="shared" si="9"/>
        <v>1.6394245000000001</v>
      </c>
      <c r="H534" s="29"/>
      <c r="I534" s="25"/>
      <c r="J534" s="138">
        <v>0</v>
      </c>
    </row>
    <row r="535" spans="1:10" ht="15.75" hidden="1" thickBot="1" x14ac:dyDescent="0.3">
      <c r="A535" s="221"/>
      <c r="B535" s="223"/>
      <c r="C535" s="30" t="s">
        <v>2365</v>
      </c>
      <c r="D535" s="44" t="s">
        <v>102</v>
      </c>
      <c r="E535" s="31">
        <v>0.33</v>
      </c>
      <c r="F535" s="28">
        <v>22.714499999999997</v>
      </c>
      <c r="G535" s="28">
        <f t="shared" si="9"/>
        <v>7.4957849999999997</v>
      </c>
      <c r="H535" s="29"/>
      <c r="I535" s="25"/>
      <c r="J535" s="138">
        <v>0</v>
      </c>
    </row>
    <row r="536" spans="1:10" ht="15.75" hidden="1" thickBot="1" x14ac:dyDescent="0.3">
      <c r="A536" s="227"/>
      <c r="B536" s="224"/>
      <c r="C536" s="30"/>
      <c r="D536" s="30"/>
      <c r="E536" s="31"/>
      <c r="F536" s="25" t="s">
        <v>521</v>
      </c>
      <c r="G536" s="25" t="str">
        <f t="shared" si="9"/>
        <v/>
      </c>
      <c r="H536" s="29"/>
      <c r="I536" s="25"/>
      <c r="J536" s="138">
        <v>0</v>
      </c>
    </row>
    <row r="537" spans="1:10" ht="15.75" hidden="1" thickBot="1" x14ac:dyDescent="0.3">
      <c r="A537" s="220" t="s">
        <v>206</v>
      </c>
      <c r="B537" s="222" t="e">
        <f>INDEX(Orçamentária!A:B,MATCH(Composições!A537,Orçamentária!A:A,0),2)</f>
        <v>#N/A</v>
      </c>
      <c r="C537" s="35"/>
      <c r="D537" s="20" t="s">
        <v>95</v>
      </c>
      <c r="E537" s="21"/>
      <c r="F537" s="36" t="s">
        <v>521</v>
      </c>
      <c r="G537" s="22" t="str">
        <f t="shared" si="9"/>
        <v/>
      </c>
      <c r="H537" s="23"/>
      <c r="I537" s="24"/>
      <c r="J537" s="138">
        <v>0</v>
      </c>
    </row>
    <row r="538" spans="1:10" ht="15.75" hidden="1" thickBot="1" x14ac:dyDescent="0.3">
      <c r="A538" s="221"/>
      <c r="B538" s="223"/>
      <c r="C538" s="26"/>
      <c r="D538" s="26"/>
      <c r="E538" s="27"/>
      <c r="F538" s="37" t="s">
        <v>521</v>
      </c>
      <c r="G538" s="25" t="str">
        <f t="shared" si="9"/>
        <v/>
      </c>
      <c r="H538" s="29"/>
      <c r="I538" s="25"/>
      <c r="J538" s="138">
        <v>0</v>
      </c>
    </row>
    <row r="539" spans="1:10" ht="26.25" hidden="1" thickBot="1" x14ac:dyDescent="0.3">
      <c r="A539" s="221"/>
      <c r="B539" s="223"/>
      <c r="C539" s="30" t="s">
        <v>207</v>
      </c>
      <c r="D539" s="30" t="s">
        <v>95</v>
      </c>
      <c r="E539" s="31">
        <v>1.08</v>
      </c>
      <c r="F539" s="28">
        <v>40.355999999999995</v>
      </c>
      <c r="G539" s="28">
        <f t="shared" si="9"/>
        <v>43.584479999999999</v>
      </c>
      <c r="H539" s="33">
        <f>SUM(G539:G543)</f>
        <v>73.20320000000001</v>
      </c>
      <c r="I539" s="34"/>
      <c r="J539" s="138">
        <v>0</v>
      </c>
    </row>
    <row r="540" spans="1:10" ht="15.75" hidden="1" thickBot="1" x14ac:dyDescent="0.3">
      <c r="A540" s="221"/>
      <c r="B540" s="223"/>
      <c r="C540" s="30" t="s">
        <v>1832</v>
      </c>
      <c r="D540" s="30" t="s">
        <v>42</v>
      </c>
      <c r="E540" s="31">
        <v>6.14</v>
      </c>
      <c r="F540" s="28">
        <v>0.96899999999999997</v>
      </c>
      <c r="G540" s="28">
        <f t="shared" si="9"/>
        <v>5.9496599999999997</v>
      </c>
      <c r="H540" s="29"/>
      <c r="I540" s="25"/>
      <c r="J540" s="138">
        <v>0</v>
      </c>
    </row>
    <row r="541" spans="1:10" ht="15.75" hidden="1" thickBot="1" x14ac:dyDescent="0.3">
      <c r="A541" s="221"/>
      <c r="B541" s="223"/>
      <c r="C541" s="30" t="s">
        <v>1830</v>
      </c>
      <c r="D541" s="30" t="s">
        <v>42</v>
      </c>
      <c r="E541" s="31">
        <v>0.22</v>
      </c>
      <c r="F541" s="28">
        <v>3.0590000000000002</v>
      </c>
      <c r="G541" s="28">
        <f t="shared" si="9"/>
        <v>0.67298000000000002</v>
      </c>
      <c r="H541" s="29"/>
      <c r="I541" s="25"/>
      <c r="J541" s="138">
        <v>0</v>
      </c>
    </row>
    <row r="542" spans="1:10" ht="15.75" hidden="1" thickBot="1" x14ac:dyDescent="0.3">
      <c r="A542" s="221"/>
      <c r="B542" s="223"/>
      <c r="C542" s="30" t="s">
        <v>36</v>
      </c>
      <c r="D542" s="30" t="s">
        <v>12</v>
      </c>
      <c r="E542" s="31">
        <v>0.66</v>
      </c>
      <c r="F542" s="25">
        <v>24.795000000000002</v>
      </c>
      <c r="G542" s="28">
        <f t="shared" si="9"/>
        <v>16.364700000000003</v>
      </c>
      <c r="H542" s="29"/>
      <c r="I542" s="25"/>
      <c r="J542" s="138">
        <v>0</v>
      </c>
    </row>
    <row r="543" spans="1:10" ht="15.75" hidden="1" thickBot="1" x14ac:dyDescent="0.3">
      <c r="A543" s="221"/>
      <c r="B543" s="223"/>
      <c r="C543" s="30" t="s">
        <v>23</v>
      </c>
      <c r="D543" s="30" t="s">
        <v>12</v>
      </c>
      <c r="E543" s="31">
        <v>0.36</v>
      </c>
      <c r="F543" s="25">
        <v>18.420500000000001</v>
      </c>
      <c r="G543" s="28">
        <f t="shared" si="9"/>
        <v>6.6313800000000001</v>
      </c>
      <c r="H543" s="29"/>
      <c r="I543" s="25"/>
      <c r="J543" s="138">
        <v>0</v>
      </c>
    </row>
    <row r="544" spans="1:10" ht="15.75" hidden="1" thickBot="1" x14ac:dyDescent="0.3">
      <c r="A544" s="227"/>
      <c r="B544" s="224"/>
      <c r="C544" s="30"/>
      <c r="D544" s="30"/>
      <c r="E544" s="31"/>
      <c r="F544" s="25" t="s">
        <v>521</v>
      </c>
      <c r="G544" s="25" t="str">
        <f t="shared" si="9"/>
        <v/>
      </c>
      <c r="H544" s="29"/>
      <c r="I544" s="25"/>
      <c r="J544" s="138">
        <v>0</v>
      </c>
    </row>
    <row r="545" spans="1:10" ht="15.75" hidden="1" thickBot="1" x14ac:dyDescent="0.3">
      <c r="A545" s="220" t="s">
        <v>208</v>
      </c>
      <c r="B545" s="222" t="e">
        <f>INDEX(Orçamentária!A:B,MATCH(Composições!A545,Orçamentária!A:A,0),2)</f>
        <v>#N/A</v>
      </c>
      <c r="C545" s="35"/>
      <c r="D545" s="20" t="s">
        <v>95</v>
      </c>
      <c r="E545" s="21"/>
      <c r="F545" s="36" t="s">
        <v>521</v>
      </c>
      <c r="G545" s="22" t="str">
        <f t="shared" si="9"/>
        <v/>
      </c>
      <c r="H545" s="23"/>
      <c r="I545" s="24"/>
      <c r="J545" s="138">
        <v>0</v>
      </c>
    </row>
    <row r="546" spans="1:10" ht="15.75" hidden="1" thickBot="1" x14ac:dyDescent="0.3">
      <c r="A546" s="221"/>
      <c r="B546" s="223"/>
      <c r="C546" s="26"/>
      <c r="D546" s="26"/>
      <c r="E546" s="27"/>
      <c r="F546" s="37" t="s">
        <v>521</v>
      </c>
      <c r="G546" s="25" t="str">
        <f t="shared" si="9"/>
        <v/>
      </c>
      <c r="H546" s="29"/>
      <c r="I546" s="25"/>
      <c r="J546" s="138">
        <v>0</v>
      </c>
    </row>
    <row r="547" spans="1:10" ht="26.25" hidden="1" thickBot="1" x14ac:dyDescent="0.3">
      <c r="A547" s="221"/>
      <c r="B547" s="223"/>
      <c r="C547" s="30" t="s">
        <v>209</v>
      </c>
      <c r="D547" s="30" t="s">
        <v>109</v>
      </c>
      <c r="E547" s="31">
        <v>5.2999999999999999E-2</v>
      </c>
      <c r="F547" s="28">
        <v>831.4376571099998</v>
      </c>
      <c r="G547" s="28">
        <f t="shared" si="9"/>
        <v>44.06619582682999</v>
      </c>
      <c r="H547" s="33">
        <f>SUM(G547:G551)</f>
        <v>57.013118826829995</v>
      </c>
      <c r="I547" s="34"/>
      <c r="J547" s="138">
        <v>0</v>
      </c>
    </row>
    <row r="548" spans="1:10" ht="15.75" hidden="1" thickBot="1" x14ac:dyDescent="0.3">
      <c r="A548" s="221"/>
      <c r="B548" s="223"/>
      <c r="C548" s="30" t="s">
        <v>22</v>
      </c>
      <c r="D548" s="30" t="s">
        <v>12</v>
      </c>
      <c r="E548" s="31">
        <v>0.27100000000000002</v>
      </c>
      <c r="F548" s="25">
        <v>24.889999999999997</v>
      </c>
      <c r="G548" s="28">
        <f t="shared" si="9"/>
        <v>6.74519</v>
      </c>
      <c r="H548" s="29"/>
      <c r="I548" s="25"/>
      <c r="J548" s="138">
        <v>0</v>
      </c>
    </row>
    <row r="549" spans="1:10" ht="15.75" hidden="1" thickBot="1" x14ac:dyDescent="0.3">
      <c r="A549" s="221"/>
      <c r="B549" s="223"/>
      <c r="C549" s="30" t="s">
        <v>23</v>
      </c>
      <c r="D549" s="30" t="s">
        <v>12</v>
      </c>
      <c r="E549" s="31">
        <v>0.13600000000000001</v>
      </c>
      <c r="F549" s="25">
        <v>18.420500000000001</v>
      </c>
      <c r="G549" s="28">
        <f t="shared" si="9"/>
        <v>2.5051880000000004</v>
      </c>
      <c r="H549" s="29"/>
      <c r="I549" s="25"/>
      <c r="J549" s="138">
        <v>0</v>
      </c>
    </row>
    <row r="550" spans="1:10" ht="15.75" hidden="1" thickBot="1" x14ac:dyDescent="0.3">
      <c r="A550" s="221"/>
      <c r="B550" s="223"/>
      <c r="C550" s="30" t="s">
        <v>114</v>
      </c>
      <c r="D550" s="41" t="s">
        <v>42</v>
      </c>
      <c r="E550" s="31">
        <v>0.5</v>
      </c>
      <c r="F550" s="28">
        <v>0.64600000000000002</v>
      </c>
      <c r="G550" s="28">
        <f t="shared" si="9"/>
        <v>0.32300000000000001</v>
      </c>
      <c r="H550" s="29"/>
      <c r="I550" s="25"/>
      <c r="J550" s="138">
        <v>0</v>
      </c>
    </row>
    <row r="551" spans="1:10" ht="15.75" hidden="1" thickBot="1" x14ac:dyDescent="0.3">
      <c r="A551" s="221"/>
      <c r="B551" s="223"/>
      <c r="C551" s="30" t="s">
        <v>210</v>
      </c>
      <c r="D551" s="44" t="s">
        <v>102</v>
      </c>
      <c r="E551" s="31">
        <v>0.21</v>
      </c>
      <c r="F551" s="28">
        <v>16.064499999999999</v>
      </c>
      <c r="G551" s="28">
        <f t="shared" si="9"/>
        <v>3.3735449999999996</v>
      </c>
      <c r="H551" s="29"/>
      <c r="I551" s="25"/>
      <c r="J551" s="138">
        <v>0</v>
      </c>
    </row>
    <row r="552" spans="1:10" ht="15.75" hidden="1" thickBot="1" x14ac:dyDescent="0.3">
      <c r="A552" s="227"/>
      <c r="B552" s="224"/>
      <c r="C552" s="30"/>
      <c r="D552" s="30"/>
      <c r="E552" s="31"/>
      <c r="F552" s="25" t="s">
        <v>521</v>
      </c>
      <c r="G552" s="25" t="str">
        <f t="shared" si="9"/>
        <v/>
      </c>
      <c r="H552" s="29"/>
      <c r="I552" s="25"/>
      <c r="J552" s="138">
        <v>0</v>
      </c>
    </row>
    <row r="553" spans="1:10" ht="15.75" hidden="1" thickBot="1" x14ac:dyDescent="0.3">
      <c r="A553" s="220" t="s">
        <v>211</v>
      </c>
      <c r="B553" s="222" t="e">
        <f>INDEX(Orçamentária!A:B,MATCH(Composições!A553,Orçamentária!A:A,0),2)</f>
        <v>#N/A</v>
      </c>
      <c r="C553" s="35"/>
      <c r="D553" s="20" t="s">
        <v>95</v>
      </c>
      <c r="E553" s="21"/>
      <c r="F553" s="36" t="s">
        <v>521</v>
      </c>
      <c r="G553" s="22" t="str">
        <f t="shared" si="9"/>
        <v/>
      </c>
      <c r="H553" s="23"/>
      <c r="I553" s="24"/>
      <c r="J553" s="138">
        <v>0</v>
      </c>
    </row>
    <row r="554" spans="1:10" ht="15.75" hidden="1" thickBot="1" x14ac:dyDescent="0.3">
      <c r="A554" s="221"/>
      <c r="B554" s="223"/>
      <c r="C554" s="26"/>
      <c r="D554" s="26"/>
      <c r="E554" s="27"/>
      <c r="F554" s="37" t="s">
        <v>521</v>
      </c>
      <c r="G554" s="25" t="str">
        <f t="shared" si="9"/>
        <v/>
      </c>
      <c r="H554" s="29"/>
      <c r="I554" s="25"/>
      <c r="J554" s="138">
        <v>0</v>
      </c>
    </row>
    <row r="555" spans="1:10" ht="15.75" hidden="1" thickBot="1" x14ac:dyDescent="0.3">
      <c r="A555" s="221"/>
      <c r="B555" s="223"/>
      <c r="C555" s="30" t="s">
        <v>114</v>
      </c>
      <c r="D555" s="30" t="s">
        <v>42</v>
      </c>
      <c r="E555" s="31">
        <v>0.5</v>
      </c>
      <c r="F555" s="28">
        <v>0.64600000000000002</v>
      </c>
      <c r="G555" s="28">
        <f t="shared" si="9"/>
        <v>0.32300000000000001</v>
      </c>
      <c r="H555" s="33">
        <f>SUM(G555:G559)</f>
        <v>36.768565870409994</v>
      </c>
      <c r="I555" s="34"/>
      <c r="J555" s="138">
        <v>0</v>
      </c>
    </row>
    <row r="556" spans="1:10" ht="15.75" hidden="1" thickBot="1" x14ac:dyDescent="0.3">
      <c r="A556" s="221"/>
      <c r="B556" s="223"/>
      <c r="C556" s="30" t="s">
        <v>210</v>
      </c>
      <c r="D556" s="44" t="s">
        <v>102</v>
      </c>
      <c r="E556" s="31">
        <v>0.21</v>
      </c>
      <c r="F556" s="28">
        <v>16.064499999999999</v>
      </c>
      <c r="G556" s="28">
        <f t="shared" si="9"/>
        <v>3.3735449999999996</v>
      </c>
      <c r="H556" s="29"/>
      <c r="I556" s="25"/>
      <c r="J556" s="138">
        <v>0</v>
      </c>
    </row>
    <row r="557" spans="1:10" ht="26.25" hidden="1" thickBot="1" x14ac:dyDescent="0.3">
      <c r="A557" s="221"/>
      <c r="B557" s="223"/>
      <c r="C557" s="30" t="s">
        <v>209</v>
      </c>
      <c r="D557" s="30" t="s">
        <v>109</v>
      </c>
      <c r="E557" s="31">
        <v>3.1E-2</v>
      </c>
      <c r="F557" s="28">
        <v>831.4376571099998</v>
      </c>
      <c r="G557" s="28">
        <f t="shared" si="9"/>
        <v>25.774567370409994</v>
      </c>
      <c r="H557" s="29"/>
      <c r="I557" s="25"/>
      <c r="J557" s="138">
        <v>0</v>
      </c>
    </row>
    <row r="558" spans="1:10" ht="15.75" hidden="1" thickBot="1" x14ac:dyDescent="0.3">
      <c r="A558" s="221"/>
      <c r="B558" s="223"/>
      <c r="C558" s="30" t="s">
        <v>22</v>
      </c>
      <c r="D558" s="41" t="s">
        <v>12</v>
      </c>
      <c r="E558" s="31">
        <v>0.214</v>
      </c>
      <c r="F558" s="25">
        <v>24.889999999999997</v>
      </c>
      <c r="G558" s="28">
        <f t="shared" si="9"/>
        <v>5.3264599999999991</v>
      </c>
      <c r="H558" s="29"/>
      <c r="I558" s="25"/>
      <c r="J558" s="138">
        <v>0</v>
      </c>
    </row>
    <row r="559" spans="1:10" ht="15.75" hidden="1" thickBot="1" x14ac:dyDescent="0.3">
      <c r="A559" s="221"/>
      <c r="B559" s="223"/>
      <c r="C559" s="30" t="s">
        <v>23</v>
      </c>
      <c r="D559" s="41" t="s">
        <v>12</v>
      </c>
      <c r="E559" s="31">
        <v>0.107</v>
      </c>
      <c r="F559" s="25">
        <v>18.420500000000001</v>
      </c>
      <c r="G559" s="28">
        <f t="shared" si="9"/>
        <v>1.9709935000000001</v>
      </c>
      <c r="H559" s="29"/>
      <c r="I559" s="25"/>
      <c r="J559" s="138">
        <v>0</v>
      </c>
    </row>
    <row r="560" spans="1:10" ht="15.75" hidden="1" thickBot="1" x14ac:dyDescent="0.3">
      <c r="A560" s="227"/>
      <c r="B560" s="224"/>
      <c r="C560" s="30"/>
      <c r="D560" s="30"/>
      <c r="E560" s="31"/>
      <c r="F560" s="25" t="s">
        <v>521</v>
      </c>
      <c r="G560" s="25" t="str">
        <f t="shared" si="9"/>
        <v/>
      </c>
      <c r="H560" s="29"/>
      <c r="I560" s="25"/>
      <c r="J560" s="138">
        <v>0</v>
      </c>
    </row>
    <row r="561" spans="1:10" ht="15.75" hidden="1" thickBot="1" x14ac:dyDescent="0.3">
      <c r="A561" s="220" t="s">
        <v>212</v>
      </c>
      <c r="B561" s="222" t="e">
        <f>INDEX(Orçamentária!A:B,MATCH(Composições!A561,Orçamentária!A:A,0),2)</f>
        <v>#N/A</v>
      </c>
      <c r="C561" s="35"/>
      <c r="D561" s="20" t="s">
        <v>95</v>
      </c>
      <c r="E561" s="21"/>
      <c r="F561" s="36" t="s">
        <v>521</v>
      </c>
      <c r="G561" s="22" t="str">
        <f t="shared" si="9"/>
        <v/>
      </c>
      <c r="H561" s="23"/>
      <c r="I561" s="24"/>
      <c r="J561" s="138">
        <v>0</v>
      </c>
    </row>
    <row r="562" spans="1:10" ht="15.75" hidden="1" thickBot="1" x14ac:dyDescent="0.3">
      <c r="A562" s="221"/>
      <c r="B562" s="223"/>
      <c r="C562" s="26"/>
      <c r="D562" s="26"/>
      <c r="E562" s="27"/>
      <c r="F562" s="37" t="s">
        <v>521</v>
      </c>
      <c r="G562" s="25" t="str">
        <f t="shared" si="9"/>
        <v/>
      </c>
      <c r="H562" s="29"/>
      <c r="I562" s="25"/>
      <c r="J562" s="138">
        <v>0</v>
      </c>
    </row>
    <row r="563" spans="1:10" ht="15.75" hidden="1" thickBot="1" x14ac:dyDescent="0.3">
      <c r="A563" s="221"/>
      <c r="B563" s="223"/>
      <c r="C563" s="30" t="s">
        <v>1831</v>
      </c>
      <c r="D563" s="30" t="s">
        <v>42</v>
      </c>
      <c r="E563" s="31">
        <v>8.6199999999999992</v>
      </c>
      <c r="F563" s="28">
        <v>1.6054999999999999</v>
      </c>
      <c r="G563" s="28">
        <f t="shared" si="9"/>
        <v>13.839409999999997</v>
      </c>
      <c r="H563" s="33">
        <f>SUM(G563:G567)</f>
        <v>54.665906999999997</v>
      </c>
      <c r="I563" s="34"/>
      <c r="J563" s="138">
        <v>0</v>
      </c>
    </row>
    <row r="564" spans="1:10" ht="15.75" hidden="1" thickBot="1" x14ac:dyDescent="0.3">
      <c r="A564" s="221"/>
      <c r="B564" s="223"/>
      <c r="C564" s="30" t="s">
        <v>54</v>
      </c>
      <c r="D564" s="30" t="s">
        <v>12</v>
      </c>
      <c r="E564" s="31">
        <v>1.1879999999999999</v>
      </c>
      <c r="F564" s="25">
        <v>24.795000000000002</v>
      </c>
      <c r="G564" s="28">
        <f t="shared" si="9"/>
        <v>29.45646</v>
      </c>
      <c r="H564" s="29"/>
      <c r="I564" s="25"/>
      <c r="J564" s="138">
        <v>0</v>
      </c>
    </row>
    <row r="565" spans="1:10" ht="15.75" hidden="1" thickBot="1" x14ac:dyDescent="0.3">
      <c r="A565" s="221"/>
      <c r="B565" s="223"/>
      <c r="C565" s="30" t="s">
        <v>23</v>
      </c>
      <c r="D565" s="30" t="s">
        <v>12</v>
      </c>
      <c r="E565" s="31">
        <v>0.59399999999999997</v>
      </c>
      <c r="F565" s="25">
        <v>18.420500000000001</v>
      </c>
      <c r="G565" s="28">
        <f t="shared" si="9"/>
        <v>10.941777</v>
      </c>
      <c r="H565" s="29"/>
      <c r="I565" s="25"/>
      <c r="J565" s="138">
        <v>0</v>
      </c>
    </row>
    <row r="566" spans="1:10" ht="15.75" hidden="1" thickBot="1" x14ac:dyDescent="0.3">
      <c r="A566" s="221"/>
      <c r="B566" s="223"/>
      <c r="C566" s="30" t="s">
        <v>1830</v>
      </c>
      <c r="D566" s="30" t="s">
        <v>42</v>
      </c>
      <c r="E566" s="31">
        <v>0.14000000000000001</v>
      </c>
      <c r="F566" s="28">
        <v>3.0590000000000002</v>
      </c>
      <c r="G566" s="28">
        <f t="shared" si="9"/>
        <v>0.42826000000000009</v>
      </c>
      <c r="H566" s="29"/>
      <c r="I566" s="25"/>
      <c r="J566" s="138">
        <v>0</v>
      </c>
    </row>
    <row r="567" spans="1:10" ht="15.75" hidden="1" thickBot="1" x14ac:dyDescent="0.3">
      <c r="A567" s="221"/>
      <c r="B567" s="223"/>
      <c r="C567" s="30" t="s">
        <v>213</v>
      </c>
      <c r="D567" s="30" t="s">
        <v>95</v>
      </c>
      <c r="E567" s="31">
        <v>1.1599999999999999</v>
      </c>
      <c r="F567" s="28" t="s">
        <v>521</v>
      </c>
      <c r="G567" s="48" t="str">
        <f t="shared" si="9"/>
        <v/>
      </c>
      <c r="H567" s="29"/>
      <c r="I567" s="25"/>
      <c r="J567" s="138">
        <v>0</v>
      </c>
    </row>
    <row r="568" spans="1:10" ht="15.75" hidden="1" thickBot="1" x14ac:dyDescent="0.3">
      <c r="A568" s="227"/>
      <c r="B568" s="224"/>
      <c r="C568" s="30"/>
      <c r="D568" s="30"/>
      <c r="E568" s="31"/>
      <c r="F568" s="25" t="s">
        <v>521</v>
      </c>
      <c r="G568" s="25" t="str">
        <f t="shared" si="9"/>
        <v/>
      </c>
      <c r="H568" s="29"/>
      <c r="I568" s="25"/>
      <c r="J568" s="138">
        <v>0</v>
      </c>
    </row>
    <row r="569" spans="1:10" ht="15.75" hidden="1" thickBot="1" x14ac:dyDescent="0.3">
      <c r="A569" s="220" t="s">
        <v>214</v>
      </c>
      <c r="B569" s="222" t="e">
        <f>INDEX(Orçamentária!A:B,MATCH(Composições!A569,Orçamentária!A:A,0),2)</f>
        <v>#N/A</v>
      </c>
      <c r="C569" s="35"/>
      <c r="D569" s="20" t="s">
        <v>95</v>
      </c>
      <c r="E569" s="21"/>
      <c r="F569" s="36" t="s">
        <v>521</v>
      </c>
      <c r="G569" s="22" t="str">
        <f t="shared" si="9"/>
        <v/>
      </c>
      <c r="H569" s="23"/>
      <c r="I569" s="24"/>
      <c r="J569" s="138">
        <v>0</v>
      </c>
    </row>
    <row r="570" spans="1:10" ht="15.75" hidden="1" thickBot="1" x14ac:dyDescent="0.3">
      <c r="A570" s="221"/>
      <c r="B570" s="223"/>
      <c r="C570" s="26"/>
      <c r="D570" s="26"/>
      <c r="E570" s="27"/>
      <c r="F570" s="37" t="s">
        <v>521</v>
      </c>
      <c r="G570" s="25" t="str">
        <f t="shared" si="9"/>
        <v/>
      </c>
      <c r="H570" s="29"/>
      <c r="I570" s="25"/>
      <c r="J570" s="138">
        <v>0</v>
      </c>
    </row>
    <row r="571" spans="1:10" ht="26.25" hidden="1" thickBot="1" x14ac:dyDescent="0.3">
      <c r="A571" s="221"/>
      <c r="B571" s="223"/>
      <c r="C571" s="30" t="s">
        <v>215</v>
      </c>
      <c r="D571" s="30" t="s">
        <v>93</v>
      </c>
      <c r="E571" s="31">
        <f>ROUND(1.04/0.07,4)</f>
        <v>14.857100000000001</v>
      </c>
      <c r="F571" s="28" t="s">
        <v>521</v>
      </c>
      <c r="G571" s="28" t="str">
        <f t="shared" si="9"/>
        <v/>
      </c>
      <c r="H571" s="33">
        <f>SUM(G571:G575)</f>
        <v>119.26837699999999</v>
      </c>
      <c r="I571" s="34"/>
      <c r="J571" s="138">
        <v>0</v>
      </c>
    </row>
    <row r="572" spans="1:10" ht="15.75" hidden="1" thickBot="1" x14ac:dyDescent="0.3">
      <c r="A572" s="221"/>
      <c r="B572" s="223"/>
      <c r="C572" s="30" t="s">
        <v>1831</v>
      </c>
      <c r="D572" s="30" t="s">
        <v>42</v>
      </c>
      <c r="E572" s="31">
        <f>ROUND(0.8614/0.1,4)</f>
        <v>8.6140000000000008</v>
      </c>
      <c r="F572" s="28">
        <v>1.6054999999999999</v>
      </c>
      <c r="G572" s="28">
        <f t="shared" si="9"/>
        <v>13.829777</v>
      </c>
      <c r="H572" s="39"/>
      <c r="I572" s="40"/>
      <c r="J572" s="138">
        <v>0</v>
      </c>
    </row>
    <row r="573" spans="1:10" ht="15.75" hidden="1" thickBot="1" x14ac:dyDescent="0.3">
      <c r="A573" s="221"/>
      <c r="B573" s="223"/>
      <c r="C573" s="30" t="s">
        <v>54</v>
      </c>
      <c r="D573" s="30" t="s">
        <v>12</v>
      </c>
      <c r="E573" s="31">
        <f>0.299/0.1</f>
        <v>2.9899999999999998</v>
      </c>
      <c r="F573" s="25">
        <v>24.795000000000002</v>
      </c>
      <c r="G573" s="28">
        <f t="shared" si="9"/>
        <v>74.137050000000002</v>
      </c>
      <c r="H573" s="29"/>
      <c r="I573" s="25"/>
      <c r="J573" s="138">
        <v>0</v>
      </c>
    </row>
    <row r="574" spans="1:10" ht="15.75" hidden="1" thickBot="1" x14ac:dyDescent="0.3">
      <c r="A574" s="221"/>
      <c r="B574" s="223"/>
      <c r="C574" s="30" t="s">
        <v>23</v>
      </c>
      <c r="D574" s="30" t="s">
        <v>12</v>
      </c>
      <c r="E574" s="31">
        <f>0.15/0.1</f>
        <v>1.4999999999999998</v>
      </c>
      <c r="F574" s="25">
        <v>18.420500000000001</v>
      </c>
      <c r="G574" s="28">
        <f t="shared" si="9"/>
        <v>27.630749999999995</v>
      </c>
      <c r="H574" s="29"/>
      <c r="I574" s="25"/>
      <c r="J574" s="138">
        <v>0</v>
      </c>
    </row>
    <row r="575" spans="1:10" ht="15.75" hidden="1" thickBot="1" x14ac:dyDescent="0.3">
      <c r="A575" s="221"/>
      <c r="B575" s="223"/>
      <c r="C575" s="30" t="s">
        <v>1830</v>
      </c>
      <c r="D575" s="30" t="s">
        <v>42</v>
      </c>
      <c r="E575" s="31">
        <f>0.12/0.1</f>
        <v>1.2</v>
      </c>
      <c r="F575" s="28">
        <v>3.0590000000000002</v>
      </c>
      <c r="G575" s="28">
        <f t="shared" si="9"/>
        <v>3.6707999999999998</v>
      </c>
      <c r="H575" s="29"/>
      <c r="I575" s="25"/>
      <c r="J575" s="138">
        <v>0</v>
      </c>
    </row>
    <row r="576" spans="1:10" ht="15.75" hidden="1" thickBot="1" x14ac:dyDescent="0.3">
      <c r="A576" s="221"/>
      <c r="B576" s="223"/>
      <c r="C576" s="30"/>
      <c r="D576" s="30"/>
      <c r="E576" s="31"/>
      <c r="F576" s="28" t="s">
        <v>521</v>
      </c>
      <c r="G576" s="28" t="str">
        <f t="shared" si="9"/>
        <v/>
      </c>
      <c r="H576" s="29"/>
      <c r="I576" s="25"/>
      <c r="J576" s="138">
        <v>0</v>
      </c>
    </row>
    <row r="577" spans="1:10" ht="26.25" hidden="1" thickBot="1" x14ac:dyDescent="0.3">
      <c r="A577" s="221"/>
      <c r="B577" s="223"/>
      <c r="C577" s="42" t="s">
        <v>216</v>
      </c>
      <c r="D577" s="30"/>
      <c r="E577" s="31"/>
      <c r="F577" s="28" t="s">
        <v>521</v>
      </c>
      <c r="G577" s="28" t="str">
        <f t="shared" si="9"/>
        <v/>
      </c>
      <c r="H577" s="29"/>
      <c r="I577" s="25"/>
      <c r="J577" s="138">
        <v>0</v>
      </c>
    </row>
    <row r="578" spans="1:10" ht="15.75" hidden="1" thickBot="1" x14ac:dyDescent="0.3">
      <c r="A578" s="227"/>
      <c r="B578" s="224"/>
      <c r="C578" s="30"/>
      <c r="D578" s="30"/>
      <c r="E578" s="31"/>
      <c r="F578" s="25" t="s">
        <v>521</v>
      </c>
      <c r="G578" s="25" t="str">
        <f t="shared" si="9"/>
        <v/>
      </c>
      <c r="H578" s="29"/>
      <c r="I578" s="25"/>
      <c r="J578" s="138">
        <v>0</v>
      </c>
    </row>
    <row r="579" spans="1:10" ht="15.75" hidden="1" thickBot="1" x14ac:dyDescent="0.3">
      <c r="A579" s="220" t="s">
        <v>217</v>
      </c>
      <c r="B579" s="222" t="e">
        <f>INDEX(Orçamentária!A:B,MATCH(Composições!A579,Orçamentária!A:A,0),2)</f>
        <v>#N/A</v>
      </c>
      <c r="C579" s="35"/>
      <c r="D579" s="20" t="s">
        <v>95</v>
      </c>
      <c r="E579" s="21"/>
      <c r="F579" s="36" t="s">
        <v>521</v>
      </c>
      <c r="G579" s="22" t="str">
        <f t="shared" si="9"/>
        <v/>
      </c>
      <c r="H579" s="23"/>
      <c r="I579" s="24"/>
      <c r="J579" s="138">
        <v>0</v>
      </c>
    </row>
    <row r="580" spans="1:10" ht="15.75" hidden="1" thickBot="1" x14ac:dyDescent="0.3">
      <c r="A580" s="221"/>
      <c r="B580" s="223"/>
      <c r="C580" s="26"/>
      <c r="D580" s="26"/>
      <c r="E580" s="27"/>
      <c r="F580" s="37" t="s">
        <v>521</v>
      </c>
      <c r="G580" s="25" t="str">
        <f t="shared" si="9"/>
        <v/>
      </c>
      <c r="H580" s="29"/>
      <c r="I580" s="25"/>
      <c r="J580" s="138">
        <v>0</v>
      </c>
    </row>
    <row r="581" spans="1:10" ht="26.25" hidden="1" thickBot="1" x14ac:dyDescent="0.3">
      <c r="A581" s="221"/>
      <c r="B581" s="223"/>
      <c r="C581" s="30" t="s">
        <v>218</v>
      </c>
      <c r="D581" s="30" t="s">
        <v>93</v>
      </c>
      <c r="E581" s="31">
        <f>ROUND(1/0.15,4)</f>
        <v>6.6666999999999996</v>
      </c>
      <c r="F581" s="28" t="s">
        <v>521</v>
      </c>
      <c r="G581" s="28" t="str">
        <f t="shared" si="9"/>
        <v/>
      </c>
      <c r="H581" s="33">
        <f>SUM(G581:G584)</f>
        <v>137.75253650000002</v>
      </c>
      <c r="I581" s="34"/>
      <c r="J581" s="138">
        <v>0</v>
      </c>
    </row>
    <row r="582" spans="1:10" ht="15.75" hidden="1" thickBot="1" x14ac:dyDescent="0.3">
      <c r="A582" s="221"/>
      <c r="B582" s="223"/>
      <c r="C582" s="30" t="s">
        <v>1831</v>
      </c>
      <c r="D582" s="30" t="s">
        <v>42</v>
      </c>
      <c r="E582" s="31">
        <f>1.29/0.15</f>
        <v>8.6000000000000014</v>
      </c>
      <c r="F582" s="28">
        <v>1.6054999999999999</v>
      </c>
      <c r="G582" s="28">
        <f t="shared" si="9"/>
        <v>13.807300000000001</v>
      </c>
      <c r="H582" s="29"/>
      <c r="I582" s="25"/>
      <c r="J582" s="138">
        <v>0</v>
      </c>
    </row>
    <row r="583" spans="1:10" ht="15.75" hidden="1" thickBot="1" x14ac:dyDescent="0.3">
      <c r="A583" s="221"/>
      <c r="B583" s="223"/>
      <c r="C583" s="30" t="s">
        <v>54</v>
      </c>
      <c r="D583" s="30" t="s">
        <v>12</v>
      </c>
      <c r="E583" s="31">
        <f>ROUND(0.547/0.15,4)</f>
        <v>3.6467000000000001</v>
      </c>
      <c r="F583" s="25">
        <v>24.795000000000002</v>
      </c>
      <c r="G583" s="28">
        <f t="shared" si="9"/>
        <v>90.419926500000003</v>
      </c>
      <c r="H583" s="29"/>
      <c r="I583" s="25"/>
      <c r="J583" s="138">
        <v>0</v>
      </c>
    </row>
    <row r="584" spans="1:10" ht="15.75" hidden="1" thickBot="1" x14ac:dyDescent="0.3">
      <c r="A584" s="221"/>
      <c r="B584" s="223"/>
      <c r="C584" s="30" t="s">
        <v>23</v>
      </c>
      <c r="D584" s="30" t="s">
        <v>12</v>
      </c>
      <c r="E584" s="31">
        <f>ROUND(0.273/0.15,4)</f>
        <v>1.82</v>
      </c>
      <c r="F584" s="25">
        <v>18.420500000000001</v>
      </c>
      <c r="G584" s="28">
        <f t="shared" si="9"/>
        <v>33.525310000000005</v>
      </c>
      <c r="H584" s="29"/>
      <c r="I584" s="25"/>
      <c r="J584" s="138">
        <v>0</v>
      </c>
    </row>
    <row r="585" spans="1:10" ht="15.75" hidden="1" thickBot="1" x14ac:dyDescent="0.3">
      <c r="A585" s="221"/>
      <c r="B585" s="223"/>
      <c r="C585" s="30"/>
      <c r="D585" s="30"/>
      <c r="E585" s="31"/>
      <c r="F585" s="25" t="s">
        <v>521</v>
      </c>
      <c r="G585" s="28" t="str">
        <f t="shared" si="9"/>
        <v/>
      </c>
      <c r="H585" s="29"/>
      <c r="I585" s="25"/>
      <c r="J585" s="138">
        <v>0</v>
      </c>
    </row>
    <row r="586" spans="1:10" ht="26.25" hidden="1" thickBot="1" x14ac:dyDescent="0.3">
      <c r="A586" s="221"/>
      <c r="B586" s="223"/>
      <c r="C586" s="42" t="s">
        <v>219</v>
      </c>
      <c r="D586" s="30"/>
      <c r="E586" s="31"/>
      <c r="F586" s="25" t="s">
        <v>521</v>
      </c>
      <c r="G586" s="28" t="str">
        <f t="shared" si="9"/>
        <v/>
      </c>
      <c r="H586" s="29"/>
      <c r="I586" s="25"/>
      <c r="J586" s="138">
        <v>0</v>
      </c>
    </row>
    <row r="587" spans="1:10" ht="15.75" hidden="1" thickBot="1" x14ac:dyDescent="0.3">
      <c r="A587" s="227"/>
      <c r="B587" s="224"/>
      <c r="C587" s="30"/>
      <c r="D587" s="30"/>
      <c r="E587" s="31"/>
      <c r="F587" s="25" t="s">
        <v>521</v>
      </c>
      <c r="G587" s="25" t="str">
        <f t="shared" si="9"/>
        <v/>
      </c>
      <c r="H587" s="29"/>
      <c r="I587" s="25"/>
      <c r="J587" s="138">
        <v>0</v>
      </c>
    </row>
    <row r="588" spans="1:10" ht="15.75" hidden="1" thickBot="1" x14ac:dyDescent="0.3">
      <c r="A588" s="220" t="s">
        <v>220</v>
      </c>
      <c r="B588" s="222" t="e">
        <f>INDEX(Orçamentária!A:B,MATCH(Composições!A588,Orçamentária!A:A,0),2)</f>
        <v>#N/A</v>
      </c>
      <c r="C588" s="35"/>
      <c r="D588" s="20" t="s">
        <v>95</v>
      </c>
      <c r="E588" s="21"/>
      <c r="F588" s="36" t="s">
        <v>521</v>
      </c>
      <c r="G588" s="22" t="str">
        <f t="shared" si="9"/>
        <v/>
      </c>
      <c r="H588" s="23"/>
      <c r="I588" s="24"/>
      <c r="J588" s="138">
        <v>0</v>
      </c>
    </row>
    <row r="589" spans="1:10" ht="15.75" hidden="1" thickBot="1" x14ac:dyDescent="0.3">
      <c r="A589" s="221"/>
      <c r="B589" s="223"/>
      <c r="C589" s="26"/>
      <c r="D589" s="26"/>
      <c r="E589" s="27"/>
      <c r="F589" s="37" t="s">
        <v>521</v>
      </c>
      <c r="G589" s="25" t="str">
        <f t="shared" si="9"/>
        <v/>
      </c>
      <c r="H589" s="29"/>
      <c r="I589" s="25"/>
      <c r="J589" s="138">
        <v>0</v>
      </c>
    </row>
    <row r="590" spans="1:10" ht="15.75" hidden="1" thickBot="1" x14ac:dyDescent="0.3">
      <c r="A590" s="221"/>
      <c r="B590" s="223"/>
      <c r="C590" s="30" t="s">
        <v>1831</v>
      </c>
      <c r="D590" s="30" t="s">
        <v>42</v>
      </c>
      <c r="E590" s="31">
        <v>8.6199999999999992</v>
      </c>
      <c r="F590" s="28">
        <v>1.6054999999999999</v>
      </c>
      <c r="G590" s="28">
        <f t="shared" si="9"/>
        <v>13.839409999999997</v>
      </c>
      <c r="H590" s="33">
        <f>SUM(G590:G594)</f>
        <v>54.665906999999997</v>
      </c>
      <c r="I590" s="34"/>
      <c r="J590" s="138">
        <v>0</v>
      </c>
    </row>
    <row r="591" spans="1:10" ht="15.75" hidden="1" thickBot="1" x14ac:dyDescent="0.3">
      <c r="A591" s="221"/>
      <c r="B591" s="223"/>
      <c r="C591" s="30" t="s">
        <v>54</v>
      </c>
      <c r="D591" s="30" t="s">
        <v>12</v>
      </c>
      <c r="E591" s="31">
        <v>1.1879999999999999</v>
      </c>
      <c r="F591" s="25">
        <v>24.795000000000002</v>
      </c>
      <c r="G591" s="28">
        <f t="shared" si="9"/>
        <v>29.45646</v>
      </c>
      <c r="H591" s="29"/>
      <c r="I591" s="25"/>
      <c r="J591" s="138">
        <v>0</v>
      </c>
    </row>
    <row r="592" spans="1:10" ht="15.75" hidden="1" thickBot="1" x14ac:dyDescent="0.3">
      <c r="A592" s="221"/>
      <c r="B592" s="223"/>
      <c r="C592" s="30" t="s">
        <v>23</v>
      </c>
      <c r="D592" s="30" t="s">
        <v>12</v>
      </c>
      <c r="E592" s="31">
        <v>0.59399999999999997</v>
      </c>
      <c r="F592" s="25">
        <v>18.420500000000001</v>
      </c>
      <c r="G592" s="28">
        <f t="shared" si="9"/>
        <v>10.941777</v>
      </c>
      <c r="H592" s="29"/>
      <c r="I592" s="25"/>
      <c r="J592" s="138">
        <v>0</v>
      </c>
    </row>
    <row r="593" spans="1:10" ht="15.75" hidden="1" thickBot="1" x14ac:dyDescent="0.3">
      <c r="A593" s="221"/>
      <c r="B593" s="223"/>
      <c r="C593" s="30" t="s">
        <v>1830</v>
      </c>
      <c r="D593" s="30" t="s">
        <v>42</v>
      </c>
      <c r="E593" s="31">
        <v>0.14000000000000001</v>
      </c>
      <c r="F593" s="28">
        <v>3.0590000000000002</v>
      </c>
      <c r="G593" s="28">
        <f t="shared" si="9"/>
        <v>0.42826000000000009</v>
      </c>
      <c r="H593" s="29"/>
      <c r="I593" s="25"/>
      <c r="J593" s="138">
        <v>0</v>
      </c>
    </row>
    <row r="594" spans="1:10" ht="15.75" hidden="1" thickBot="1" x14ac:dyDescent="0.3">
      <c r="A594" s="221"/>
      <c r="B594" s="223"/>
      <c r="C594" s="30" t="s">
        <v>221</v>
      </c>
      <c r="D594" s="30" t="s">
        <v>95</v>
      </c>
      <c r="E594" s="31">
        <v>1.1599999999999999</v>
      </c>
      <c r="F594" s="28" t="s">
        <v>521</v>
      </c>
      <c r="G594" s="48" t="str">
        <f t="shared" ref="G594:G657" si="10">IF(ISNUMBER(F594),E594*F594,"")</f>
        <v/>
      </c>
      <c r="H594" s="29"/>
      <c r="I594" s="25"/>
      <c r="J594" s="138">
        <v>0</v>
      </c>
    </row>
    <row r="595" spans="1:10" ht="15.75" hidden="1" thickBot="1" x14ac:dyDescent="0.3">
      <c r="A595" s="227"/>
      <c r="B595" s="224"/>
      <c r="C595" s="30"/>
      <c r="D595" s="30"/>
      <c r="E595" s="31"/>
      <c r="F595" s="25" t="s">
        <v>521</v>
      </c>
      <c r="G595" s="25" t="str">
        <f t="shared" si="10"/>
        <v/>
      </c>
      <c r="H595" s="29"/>
      <c r="I595" s="25"/>
      <c r="J595" s="138">
        <v>0</v>
      </c>
    </row>
    <row r="596" spans="1:10" ht="15.75" hidden="1" thickBot="1" x14ac:dyDescent="0.3">
      <c r="A596" s="220" t="s">
        <v>222</v>
      </c>
      <c r="B596" s="222" t="e">
        <f>INDEX(Orçamentária!A:B,MATCH(Composições!A596,Orçamentária!A:A,0),2)</f>
        <v>#N/A</v>
      </c>
      <c r="C596" s="35"/>
      <c r="D596" s="20" t="s">
        <v>95</v>
      </c>
      <c r="E596" s="21"/>
      <c r="F596" s="36" t="s">
        <v>521</v>
      </c>
      <c r="G596" s="22" t="str">
        <f t="shared" si="10"/>
        <v/>
      </c>
      <c r="H596" s="23"/>
      <c r="I596" s="24"/>
      <c r="J596" s="138">
        <v>0</v>
      </c>
    </row>
    <row r="597" spans="1:10" ht="15.75" hidden="1" thickBot="1" x14ac:dyDescent="0.3">
      <c r="A597" s="221"/>
      <c r="B597" s="223"/>
      <c r="C597" s="26"/>
      <c r="D597" s="26"/>
      <c r="E597" s="27"/>
      <c r="F597" s="37" t="s">
        <v>521</v>
      </c>
      <c r="G597" s="25" t="str">
        <f t="shared" si="10"/>
        <v/>
      </c>
      <c r="H597" s="29"/>
      <c r="I597" s="25"/>
      <c r="J597" s="138">
        <v>0</v>
      </c>
    </row>
    <row r="598" spans="1:10" ht="26.25" hidden="1" thickBot="1" x14ac:dyDescent="0.3">
      <c r="A598" s="221"/>
      <c r="B598" s="223"/>
      <c r="C598" s="30" t="s">
        <v>223</v>
      </c>
      <c r="D598" s="30" t="s">
        <v>93</v>
      </c>
      <c r="E598" s="31">
        <f>ROUND(1.04/0.07,2)</f>
        <v>14.86</v>
      </c>
      <c r="F598" s="28" t="s">
        <v>521</v>
      </c>
      <c r="G598" s="28" t="str">
        <f t="shared" si="10"/>
        <v/>
      </c>
      <c r="H598" s="33">
        <f>SUM(G598:G602)</f>
        <v>119.26837699999999</v>
      </c>
      <c r="I598" s="34"/>
      <c r="J598" s="138">
        <v>0</v>
      </c>
    </row>
    <row r="599" spans="1:10" ht="15.75" hidden="1" thickBot="1" x14ac:dyDescent="0.3">
      <c r="A599" s="221"/>
      <c r="B599" s="223"/>
      <c r="C599" s="30" t="s">
        <v>1831</v>
      </c>
      <c r="D599" s="30" t="s">
        <v>42</v>
      </c>
      <c r="E599" s="31">
        <f>ROUND(0.8614/0.1,4)</f>
        <v>8.6140000000000008</v>
      </c>
      <c r="F599" s="28">
        <v>1.6054999999999999</v>
      </c>
      <c r="G599" s="28">
        <f t="shared" si="10"/>
        <v>13.829777</v>
      </c>
      <c r="H599" s="29"/>
      <c r="I599" s="25"/>
      <c r="J599" s="138">
        <v>0</v>
      </c>
    </row>
    <row r="600" spans="1:10" ht="15.75" hidden="1" thickBot="1" x14ac:dyDescent="0.3">
      <c r="A600" s="221"/>
      <c r="B600" s="223"/>
      <c r="C600" s="30" t="s">
        <v>54</v>
      </c>
      <c r="D600" s="30" t="s">
        <v>12</v>
      </c>
      <c r="E600" s="31">
        <f>0.299/0.1</f>
        <v>2.9899999999999998</v>
      </c>
      <c r="F600" s="25">
        <v>24.795000000000002</v>
      </c>
      <c r="G600" s="28">
        <f t="shared" si="10"/>
        <v>74.137050000000002</v>
      </c>
      <c r="H600" s="29"/>
      <c r="I600" s="25"/>
      <c r="J600" s="138">
        <v>0</v>
      </c>
    </row>
    <row r="601" spans="1:10" ht="15.75" hidden="1" thickBot="1" x14ac:dyDescent="0.3">
      <c r="A601" s="221"/>
      <c r="B601" s="223"/>
      <c r="C601" s="30" t="s">
        <v>23</v>
      </c>
      <c r="D601" s="30" t="s">
        <v>12</v>
      </c>
      <c r="E601" s="31">
        <f>0.15/0.1</f>
        <v>1.4999999999999998</v>
      </c>
      <c r="F601" s="25">
        <v>18.420500000000001</v>
      </c>
      <c r="G601" s="28">
        <f t="shared" si="10"/>
        <v>27.630749999999995</v>
      </c>
      <c r="H601" s="29"/>
      <c r="I601" s="25"/>
      <c r="J601" s="138">
        <v>0</v>
      </c>
    </row>
    <row r="602" spans="1:10" ht="15.75" hidden="1" thickBot="1" x14ac:dyDescent="0.3">
      <c r="A602" s="221"/>
      <c r="B602" s="223"/>
      <c r="C602" s="30" t="s">
        <v>1830</v>
      </c>
      <c r="D602" s="30" t="s">
        <v>42</v>
      </c>
      <c r="E602" s="31">
        <f>0.12/0.1</f>
        <v>1.2</v>
      </c>
      <c r="F602" s="28">
        <v>3.0590000000000002</v>
      </c>
      <c r="G602" s="28">
        <f t="shared" si="10"/>
        <v>3.6707999999999998</v>
      </c>
      <c r="H602" s="29"/>
      <c r="I602" s="25"/>
      <c r="J602" s="138">
        <v>0</v>
      </c>
    </row>
    <row r="603" spans="1:10" ht="15.75" hidden="1" thickBot="1" x14ac:dyDescent="0.3">
      <c r="A603" s="221"/>
      <c r="B603" s="223"/>
      <c r="C603" s="30"/>
      <c r="D603" s="30"/>
      <c r="E603" s="31"/>
      <c r="F603" s="28" t="s">
        <v>521</v>
      </c>
      <c r="G603" s="28" t="str">
        <f t="shared" si="10"/>
        <v/>
      </c>
      <c r="H603" s="29"/>
      <c r="I603" s="25"/>
      <c r="J603" s="138">
        <v>0</v>
      </c>
    </row>
    <row r="604" spans="1:10" ht="26.25" hidden="1" thickBot="1" x14ac:dyDescent="0.3">
      <c r="A604" s="221"/>
      <c r="B604" s="223"/>
      <c r="C604" s="42" t="s">
        <v>216</v>
      </c>
      <c r="D604" s="30"/>
      <c r="E604" s="31"/>
      <c r="F604" s="28" t="s">
        <v>521</v>
      </c>
      <c r="G604" s="28" t="str">
        <f t="shared" si="10"/>
        <v/>
      </c>
      <c r="H604" s="29"/>
      <c r="I604" s="25"/>
      <c r="J604" s="138">
        <v>0</v>
      </c>
    </row>
    <row r="605" spans="1:10" ht="15.75" hidden="1" thickBot="1" x14ac:dyDescent="0.3">
      <c r="A605" s="227"/>
      <c r="B605" s="224"/>
      <c r="C605" s="30"/>
      <c r="D605" s="30"/>
      <c r="E605" s="31"/>
      <c r="F605" s="25" t="s">
        <v>521</v>
      </c>
      <c r="G605" s="25" t="str">
        <f t="shared" si="10"/>
        <v/>
      </c>
      <c r="H605" s="29"/>
      <c r="I605" s="25"/>
      <c r="J605" s="138">
        <v>0</v>
      </c>
    </row>
    <row r="606" spans="1:10" ht="15.75" hidden="1" thickBot="1" x14ac:dyDescent="0.3">
      <c r="A606" s="220" t="s">
        <v>224</v>
      </c>
      <c r="B606" s="222" t="e">
        <f>INDEX(Orçamentária!A:B,MATCH(Composições!A606,Orçamentária!A:A,0),2)</f>
        <v>#N/A</v>
      </c>
      <c r="C606" s="35"/>
      <c r="D606" s="20" t="s">
        <v>95</v>
      </c>
      <c r="E606" s="21"/>
      <c r="F606" s="36" t="s">
        <v>521</v>
      </c>
      <c r="G606" s="22" t="str">
        <f t="shared" si="10"/>
        <v/>
      </c>
      <c r="H606" s="23"/>
      <c r="I606" s="24"/>
      <c r="J606" s="138">
        <v>0</v>
      </c>
    </row>
    <row r="607" spans="1:10" ht="15.75" hidden="1" thickBot="1" x14ac:dyDescent="0.3">
      <c r="A607" s="221"/>
      <c r="B607" s="223"/>
      <c r="C607" s="26"/>
      <c r="D607" s="26"/>
      <c r="E607" s="27"/>
      <c r="F607" s="37" t="s">
        <v>521</v>
      </c>
      <c r="G607" s="25" t="str">
        <f t="shared" si="10"/>
        <v/>
      </c>
      <c r="H607" s="29"/>
      <c r="I607" s="25"/>
      <c r="J607" s="138">
        <v>0</v>
      </c>
    </row>
    <row r="608" spans="1:10" ht="26.25" hidden="1" thickBot="1" x14ac:dyDescent="0.3">
      <c r="A608" s="221"/>
      <c r="B608" s="223"/>
      <c r="C608" s="30" t="s">
        <v>225</v>
      </c>
      <c r="D608" s="30" t="s">
        <v>93</v>
      </c>
      <c r="E608" s="31">
        <f>ROUND(1/0.15,4)</f>
        <v>6.6666999999999996</v>
      </c>
      <c r="F608" s="28" t="s">
        <v>521</v>
      </c>
      <c r="G608" s="28" t="str">
        <f t="shared" si="10"/>
        <v/>
      </c>
      <c r="H608" s="33">
        <f>SUM(G608:G611)</f>
        <v>137.75253650000002</v>
      </c>
      <c r="I608" s="34"/>
      <c r="J608" s="138">
        <v>0</v>
      </c>
    </row>
    <row r="609" spans="1:10" ht="15.75" hidden="1" thickBot="1" x14ac:dyDescent="0.3">
      <c r="A609" s="221"/>
      <c r="B609" s="223"/>
      <c r="C609" s="30" t="s">
        <v>1831</v>
      </c>
      <c r="D609" s="30" t="s">
        <v>42</v>
      </c>
      <c r="E609" s="31">
        <f>ROUND(1.29/0.15,4)</f>
        <v>8.6</v>
      </c>
      <c r="F609" s="28">
        <v>1.6054999999999999</v>
      </c>
      <c r="G609" s="28">
        <f t="shared" si="10"/>
        <v>13.8073</v>
      </c>
      <c r="H609" s="29"/>
      <c r="I609" s="25"/>
      <c r="J609" s="138">
        <v>0</v>
      </c>
    </row>
    <row r="610" spans="1:10" ht="15.75" hidden="1" thickBot="1" x14ac:dyDescent="0.3">
      <c r="A610" s="221"/>
      <c r="B610" s="223"/>
      <c r="C610" s="30" t="s">
        <v>54</v>
      </c>
      <c r="D610" s="30" t="s">
        <v>12</v>
      </c>
      <c r="E610" s="31">
        <f>ROUND(0.547/0.15,4)</f>
        <v>3.6467000000000001</v>
      </c>
      <c r="F610" s="25">
        <v>24.795000000000002</v>
      </c>
      <c r="G610" s="28">
        <f t="shared" si="10"/>
        <v>90.419926500000003</v>
      </c>
      <c r="H610" s="29"/>
      <c r="I610" s="25"/>
      <c r="J610" s="138">
        <v>0</v>
      </c>
    </row>
    <row r="611" spans="1:10" ht="15.75" hidden="1" thickBot="1" x14ac:dyDescent="0.3">
      <c r="A611" s="221"/>
      <c r="B611" s="223"/>
      <c r="C611" s="30" t="s">
        <v>23</v>
      </c>
      <c r="D611" s="30" t="s">
        <v>12</v>
      </c>
      <c r="E611" s="31">
        <f>ROUND(0.273/0.15,4)</f>
        <v>1.82</v>
      </c>
      <c r="F611" s="25">
        <v>18.420500000000001</v>
      </c>
      <c r="G611" s="28">
        <f t="shared" si="10"/>
        <v>33.525310000000005</v>
      </c>
      <c r="H611" s="29"/>
      <c r="I611" s="25"/>
      <c r="J611" s="138">
        <v>0</v>
      </c>
    </row>
    <row r="612" spans="1:10" ht="15.75" hidden="1" thickBot="1" x14ac:dyDescent="0.3">
      <c r="A612" s="221"/>
      <c r="B612" s="223"/>
      <c r="C612" s="30"/>
      <c r="D612" s="30"/>
      <c r="E612" s="31"/>
      <c r="F612" s="25" t="s">
        <v>521</v>
      </c>
      <c r="G612" s="28" t="str">
        <f t="shared" si="10"/>
        <v/>
      </c>
      <c r="H612" s="29"/>
      <c r="I612" s="25"/>
      <c r="J612" s="138">
        <v>0</v>
      </c>
    </row>
    <row r="613" spans="1:10" ht="26.25" hidden="1" thickBot="1" x14ac:dyDescent="0.3">
      <c r="A613" s="221"/>
      <c r="B613" s="223"/>
      <c r="C613" s="42" t="s">
        <v>219</v>
      </c>
      <c r="D613" s="30"/>
      <c r="E613" s="31"/>
      <c r="F613" s="25" t="s">
        <v>521</v>
      </c>
      <c r="G613" s="28" t="str">
        <f t="shared" si="10"/>
        <v/>
      </c>
      <c r="H613" s="29"/>
      <c r="I613" s="25"/>
      <c r="J613" s="138">
        <v>0</v>
      </c>
    </row>
    <row r="614" spans="1:10" ht="15.75" hidden="1" thickBot="1" x14ac:dyDescent="0.3">
      <c r="A614" s="227"/>
      <c r="B614" s="224"/>
      <c r="C614" s="30"/>
      <c r="D614" s="30"/>
      <c r="E614" s="31"/>
      <c r="F614" s="25" t="s">
        <v>521</v>
      </c>
      <c r="G614" s="25" t="str">
        <f t="shared" si="10"/>
        <v/>
      </c>
      <c r="H614" s="29"/>
      <c r="I614" s="25"/>
      <c r="J614" s="138">
        <v>0</v>
      </c>
    </row>
    <row r="615" spans="1:10" ht="15.75" hidden="1" thickBot="1" x14ac:dyDescent="0.3">
      <c r="A615" s="220" t="s">
        <v>226</v>
      </c>
      <c r="B615" s="222" t="e">
        <f>INDEX(Orçamentária!A:B,MATCH(Composições!A615,Orçamentária!A:A,0),2)</f>
        <v>#N/A</v>
      </c>
      <c r="C615" s="35"/>
      <c r="D615" s="20" t="s">
        <v>93</v>
      </c>
      <c r="E615" s="21"/>
      <c r="F615" s="36" t="s">
        <v>521</v>
      </c>
      <c r="G615" s="22" t="str">
        <f t="shared" si="10"/>
        <v/>
      </c>
      <c r="H615" s="23"/>
      <c r="I615" s="24"/>
      <c r="J615" s="138">
        <v>0</v>
      </c>
    </row>
    <row r="616" spans="1:10" ht="15.75" hidden="1" thickBot="1" x14ac:dyDescent="0.3">
      <c r="A616" s="221"/>
      <c r="B616" s="223"/>
      <c r="C616" s="26"/>
      <c r="D616" s="26"/>
      <c r="E616" s="27"/>
      <c r="F616" s="37" t="s">
        <v>521</v>
      </c>
      <c r="G616" s="25" t="str">
        <f t="shared" si="10"/>
        <v/>
      </c>
      <c r="H616" s="29"/>
      <c r="I616" s="25"/>
      <c r="J616" s="138">
        <v>0</v>
      </c>
    </row>
    <row r="617" spans="1:10" ht="15.75" hidden="1" thickBot="1" x14ac:dyDescent="0.3">
      <c r="A617" s="221"/>
      <c r="B617" s="223"/>
      <c r="C617" s="30" t="s">
        <v>1234</v>
      </c>
      <c r="D617" s="41" t="s">
        <v>42</v>
      </c>
      <c r="E617" s="31">
        <v>4.0300000000000002E-2</v>
      </c>
      <c r="F617" s="25">
        <v>39.282499999999999</v>
      </c>
      <c r="G617" s="28">
        <f t="shared" si="10"/>
        <v>1.58308475</v>
      </c>
      <c r="H617" s="33">
        <f>SUM(G617:G619)</f>
        <v>13.326225699999998</v>
      </c>
      <c r="I617" s="34"/>
      <c r="J617" s="138">
        <v>0</v>
      </c>
    </row>
    <row r="618" spans="1:10" ht="15.75" hidden="1" thickBot="1" x14ac:dyDescent="0.3">
      <c r="A618" s="221"/>
      <c r="B618" s="223"/>
      <c r="C618" s="30" t="s">
        <v>703</v>
      </c>
      <c r="D618" s="41" t="s">
        <v>702</v>
      </c>
      <c r="E618" s="31">
        <v>0.15140000000000001</v>
      </c>
      <c r="F618" s="28">
        <v>18.420500000000001</v>
      </c>
      <c r="G618" s="28">
        <f t="shared" si="10"/>
        <v>2.7888637000000003</v>
      </c>
      <c r="H618" s="29"/>
      <c r="I618" s="25"/>
      <c r="J618" s="138">
        <v>0</v>
      </c>
    </row>
    <row r="619" spans="1:10" ht="15.75" hidden="1" thickBot="1" x14ac:dyDescent="0.3">
      <c r="A619" s="221"/>
      <c r="B619" s="223"/>
      <c r="C619" s="30" t="s">
        <v>1213</v>
      </c>
      <c r="D619" s="41" t="s">
        <v>702</v>
      </c>
      <c r="E619" s="31">
        <v>0.36349999999999999</v>
      </c>
      <c r="F619" s="28">
        <v>24.633499999999998</v>
      </c>
      <c r="G619" s="28">
        <f t="shared" si="10"/>
        <v>8.9542772499999987</v>
      </c>
      <c r="H619" s="29"/>
      <c r="I619" s="25"/>
      <c r="J619" s="138">
        <v>0</v>
      </c>
    </row>
    <row r="620" spans="1:10" ht="15.75" hidden="1" thickBot="1" x14ac:dyDescent="0.3">
      <c r="A620" s="221"/>
      <c r="B620" s="223"/>
      <c r="C620" s="30"/>
      <c r="D620" s="30"/>
      <c r="E620" s="31"/>
      <c r="F620" s="25" t="s">
        <v>521</v>
      </c>
      <c r="G620" s="25" t="str">
        <f t="shared" si="10"/>
        <v/>
      </c>
      <c r="H620" s="29"/>
      <c r="I620" s="25"/>
      <c r="J620" s="138">
        <v>0</v>
      </c>
    </row>
    <row r="621" spans="1:10" ht="15.75" hidden="1" thickBot="1" x14ac:dyDescent="0.3">
      <c r="A621" s="220" t="s">
        <v>227</v>
      </c>
      <c r="B621" s="222" t="e">
        <f>INDEX(Orçamentária!A:B,MATCH(Composições!A621,Orçamentária!A:A,0),2)</f>
        <v>#N/A</v>
      </c>
      <c r="C621" s="35"/>
      <c r="D621" s="20" t="s">
        <v>95</v>
      </c>
      <c r="E621" s="21"/>
      <c r="F621" s="36" t="s">
        <v>521</v>
      </c>
      <c r="G621" s="22" t="str">
        <f t="shared" si="10"/>
        <v/>
      </c>
      <c r="H621" s="23"/>
      <c r="I621" s="24"/>
      <c r="J621" s="138">
        <v>0</v>
      </c>
    </row>
    <row r="622" spans="1:10" ht="15.75" hidden="1" thickBot="1" x14ac:dyDescent="0.3">
      <c r="A622" s="221"/>
      <c r="B622" s="223"/>
      <c r="C622" s="26"/>
      <c r="D622" s="26"/>
      <c r="E622" s="27"/>
      <c r="F622" s="37" t="s">
        <v>521</v>
      </c>
      <c r="G622" s="25" t="str">
        <f t="shared" si="10"/>
        <v/>
      </c>
      <c r="H622" s="29"/>
      <c r="I622" s="25"/>
      <c r="J622" s="138">
        <v>0</v>
      </c>
    </row>
    <row r="623" spans="1:10" ht="15.75" hidden="1" thickBot="1" x14ac:dyDescent="0.3">
      <c r="A623" s="221"/>
      <c r="B623" s="223"/>
      <c r="C623" s="30" t="s">
        <v>1831</v>
      </c>
      <c r="D623" s="30" t="s">
        <v>42</v>
      </c>
      <c r="E623" s="31">
        <v>8.6199999999999992</v>
      </c>
      <c r="F623" s="28">
        <v>1.6054999999999999</v>
      </c>
      <c r="G623" s="28">
        <f t="shared" si="10"/>
        <v>13.839409999999997</v>
      </c>
      <c r="H623" s="33">
        <f>SUM(G623:G627)</f>
        <v>54.665906999999997</v>
      </c>
      <c r="I623" s="34"/>
      <c r="J623" s="138">
        <v>0</v>
      </c>
    </row>
    <row r="624" spans="1:10" ht="15.75" hidden="1" thickBot="1" x14ac:dyDescent="0.3">
      <c r="A624" s="221"/>
      <c r="B624" s="223"/>
      <c r="C624" s="30" t="s">
        <v>54</v>
      </c>
      <c r="D624" s="30" t="s">
        <v>12</v>
      </c>
      <c r="E624" s="31">
        <v>1.1879999999999999</v>
      </c>
      <c r="F624" s="25">
        <v>24.795000000000002</v>
      </c>
      <c r="G624" s="28">
        <f t="shared" si="10"/>
        <v>29.45646</v>
      </c>
      <c r="H624" s="29"/>
      <c r="I624" s="25"/>
      <c r="J624" s="138">
        <v>0</v>
      </c>
    </row>
    <row r="625" spans="1:10" ht="15.75" hidden="1" thickBot="1" x14ac:dyDescent="0.3">
      <c r="A625" s="221"/>
      <c r="B625" s="223"/>
      <c r="C625" s="30" t="s">
        <v>23</v>
      </c>
      <c r="D625" s="30" t="s">
        <v>12</v>
      </c>
      <c r="E625" s="31">
        <v>0.59399999999999997</v>
      </c>
      <c r="F625" s="25">
        <v>18.420500000000001</v>
      </c>
      <c r="G625" s="28">
        <f t="shared" si="10"/>
        <v>10.941777</v>
      </c>
      <c r="H625" s="29"/>
      <c r="I625" s="25"/>
      <c r="J625" s="138">
        <v>0</v>
      </c>
    </row>
    <row r="626" spans="1:10" ht="15.75" hidden="1" thickBot="1" x14ac:dyDescent="0.3">
      <c r="A626" s="221"/>
      <c r="B626" s="223"/>
      <c r="C626" s="30" t="s">
        <v>1830</v>
      </c>
      <c r="D626" s="30" t="s">
        <v>42</v>
      </c>
      <c r="E626" s="31">
        <v>0.14000000000000001</v>
      </c>
      <c r="F626" s="28">
        <v>3.0590000000000002</v>
      </c>
      <c r="G626" s="28">
        <f t="shared" si="10"/>
        <v>0.42826000000000009</v>
      </c>
      <c r="H626" s="29"/>
      <c r="I626" s="25"/>
      <c r="J626" s="138">
        <v>0</v>
      </c>
    </row>
    <row r="627" spans="1:10" ht="15.75" hidden="1" thickBot="1" x14ac:dyDescent="0.3">
      <c r="A627" s="221"/>
      <c r="B627" s="223"/>
      <c r="C627" s="30" t="s">
        <v>228</v>
      </c>
      <c r="D627" s="30" t="s">
        <v>95</v>
      </c>
      <c r="E627" s="31">
        <v>1.1599999999999999</v>
      </c>
      <c r="F627" s="28" t="s">
        <v>521</v>
      </c>
      <c r="G627" s="48" t="str">
        <f t="shared" si="10"/>
        <v/>
      </c>
      <c r="H627" s="29"/>
      <c r="I627" s="25"/>
      <c r="J627" s="138">
        <v>0</v>
      </c>
    </row>
    <row r="628" spans="1:10" ht="15.75" hidden="1" thickBot="1" x14ac:dyDescent="0.3">
      <c r="A628" s="227"/>
      <c r="B628" s="224"/>
      <c r="C628" s="30"/>
      <c r="D628" s="30"/>
      <c r="E628" s="31"/>
      <c r="F628" s="25" t="s">
        <v>521</v>
      </c>
      <c r="G628" s="25" t="str">
        <f t="shared" si="10"/>
        <v/>
      </c>
      <c r="H628" s="29"/>
      <c r="I628" s="25"/>
      <c r="J628" s="138">
        <v>0</v>
      </c>
    </row>
    <row r="629" spans="1:10" ht="15.75" hidden="1" thickBot="1" x14ac:dyDescent="0.3">
      <c r="A629" s="220" t="s">
        <v>229</v>
      </c>
      <c r="B629" s="222" t="e">
        <f>INDEX(Orçamentária!A:B,MATCH(Composições!A629,Orçamentária!A:A,0),2)</f>
        <v>#N/A</v>
      </c>
      <c r="C629" s="35"/>
      <c r="D629" s="20" t="s">
        <v>95</v>
      </c>
      <c r="E629" s="21"/>
      <c r="F629" s="36" t="s">
        <v>521</v>
      </c>
      <c r="G629" s="22" t="str">
        <f t="shared" si="10"/>
        <v/>
      </c>
      <c r="H629" s="23"/>
      <c r="I629" s="24"/>
      <c r="J629" s="138">
        <v>0</v>
      </c>
    </row>
    <row r="630" spans="1:10" ht="15.75" hidden="1" thickBot="1" x14ac:dyDescent="0.3">
      <c r="A630" s="221"/>
      <c r="B630" s="223"/>
      <c r="C630" s="26"/>
      <c r="D630" s="26"/>
      <c r="E630" s="27"/>
      <c r="F630" s="37" t="s">
        <v>521</v>
      </c>
      <c r="G630" s="25" t="str">
        <f t="shared" si="10"/>
        <v/>
      </c>
      <c r="H630" s="29"/>
      <c r="I630" s="25"/>
      <c r="J630" s="138">
        <v>0</v>
      </c>
    </row>
    <row r="631" spans="1:10" ht="15.75" hidden="1" thickBot="1" x14ac:dyDescent="0.3">
      <c r="A631" s="221"/>
      <c r="B631" s="223"/>
      <c r="C631" s="30" t="s">
        <v>1831</v>
      </c>
      <c r="D631" s="30" t="s">
        <v>42</v>
      </c>
      <c r="E631" s="31">
        <v>8.6199999999999992</v>
      </c>
      <c r="F631" s="28">
        <v>1.6054999999999999</v>
      </c>
      <c r="G631" s="28">
        <f t="shared" si="10"/>
        <v>13.839409999999997</v>
      </c>
      <c r="H631" s="33">
        <f>SUM(G631:G635)</f>
        <v>54.665906999999997</v>
      </c>
      <c r="I631" s="34"/>
      <c r="J631" s="138">
        <v>0</v>
      </c>
    </row>
    <row r="632" spans="1:10" ht="15.75" hidden="1" thickBot="1" x14ac:dyDescent="0.3">
      <c r="A632" s="221"/>
      <c r="B632" s="223"/>
      <c r="C632" s="30" t="s">
        <v>54</v>
      </c>
      <c r="D632" s="30" t="s">
        <v>12</v>
      </c>
      <c r="E632" s="31">
        <v>1.1879999999999999</v>
      </c>
      <c r="F632" s="25">
        <v>24.795000000000002</v>
      </c>
      <c r="G632" s="28">
        <f t="shared" si="10"/>
        <v>29.45646</v>
      </c>
      <c r="H632" s="29"/>
      <c r="I632" s="25"/>
      <c r="J632" s="138">
        <v>0</v>
      </c>
    </row>
    <row r="633" spans="1:10" ht="15.75" hidden="1" thickBot="1" x14ac:dyDescent="0.3">
      <c r="A633" s="221"/>
      <c r="B633" s="223"/>
      <c r="C633" s="30" t="s">
        <v>23</v>
      </c>
      <c r="D633" s="30" t="s">
        <v>12</v>
      </c>
      <c r="E633" s="31">
        <v>0.59399999999999997</v>
      </c>
      <c r="F633" s="25">
        <v>18.420500000000001</v>
      </c>
      <c r="G633" s="28">
        <f t="shared" si="10"/>
        <v>10.941777</v>
      </c>
      <c r="H633" s="29"/>
      <c r="I633" s="25"/>
      <c r="J633" s="138">
        <v>0</v>
      </c>
    </row>
    <row r="634" spans="1:10" ht="15.75" hidden="1" thickBot="1" x14ac:dyDescent="0.3">
      <c r="A634" s="221"/>
      <c r="B634" s="223"/>
      <c r="C634" s="30" t="s">
        <v>1830</v>
      </c>
      <c r="D634" s="30" t="s">
        <v>42</v>
      </c>
      <c r="E634" s="31">
        <v>0.14000000000000001</v>
      </c>
      <c r="F634" s="28">
        <v>3.0590000000000002</v>
      </c>
      <c r="G634" s="28">
        <f t="shared" si="10"/>
        <v>0.42826000000000009</v>
      </c>
      <c r="H634" s="29"/>
      <c r="I634" s="25"/>
      <c r="J634" s="138">
        <v>0</v>
      </c>
    </row>
    <row r="635" spans="1:10" ht="15.75" hidden="1" thickBot="1" x14ac:dyDescent="0.3">
      <c r="A635" s="221"/>
      <c r="B635" s="223"/>
      <c r="C635" s="30" t="s">
        <v>230</v>
      </c>
      <c r="D635" s="30" t="s">
        <v>95</v>
      </c>
      <c r="E635" s="31">
        <v>1.1599999999999999</v>
      </c>
      <c r="F635" s="28" t="s">
        <v>521</v>
      </c>
      <c r="G635" s="48" t="str">
        <f t="shared" si="10"/>
        <v/>
      </c>
      <c r="H635" s="29"/>
      <c r="I635" s="25"/>
      <c r="J635" s="138">
        <v>0</v>
      </c>
    </row>
    <row r="636" spans="1:10" ht="15.75" hidden="1" thickBot="1" x14ac:dyDescent="0.3">
      <c r="A636" s="227"/>
      <c r="B636" s="224"/>
      <c r="C636" s="30"/>
      <c r="D636" s="30"/>
      <c r="E636" s="31"/>
      <c r="F636" s="25" t="s">
        <v>521</v>
      </c>
      <c r="G636" s="25" t="str">
        <f t="shared" si="10"/>
        <v/>
      </c>
      <c r="H636" s="29"/>
      <c r="I636" s="25"/>
      <c r="J636" s="138">
        <v>0</v>
      </c>
    </row>
    <row r="637" spans="1:10" ht="15.75" hidden="1" thickBot="1" x14ac:dyDescent="0.3">
      <c r="A637" s="220" t="s">
        <v>231</v>
      </c>
      <c r="B637" s="222" t="e">
        <f>INDEX(Orçamentária!A:B,MATCH(Composições!A637,Orçamentária!A:A,0),2)</f>
        <v>#N/A</v>
      </c>
      <c r="C637" s="35"/>
      <c r="D637" s="20" t="s">
        <v>93</v>
      </c>
      <c r="E637" s="21"/>
      <c r="F637" s="36" t="s">
        <v>521</v>
      </c>
      <c r="G637" s="22" t="str">
        <f t="shared" si="10"/>
        <v/>
      </c>
      <c r="H637" s="23"/>
      <c r="I637" s="24"/>
      <c r="J637" s="138">
        <v>0</v>
      </c>
    </row>
    <row r="638" spans="1:10" ht="15.75" hidden="1" thickBot="1" x14ac:dyDescent="0.3">
      <c r="A638" s="221"/>
      <c r="B638" s="223"/>
      <c r="C638" s="26"/>
      <c r="D638" s="26"/>
      <c r="E638" s="27"/>
      <c r="F638" s="37" t="s">
        <v>521</v>
      </c>
      <c r="G638" s="25" t="str">
        <f t="shared" si="10"/>
        <v/>
      </c>
      <c r="H638" s="29"/>
      <c r="I638" s="25"/>
      <c r="J638" s="138">
        <v>0</v>
      </c>
    </row>
    <row r="639" spans="1:10" ht="26.25" hidden="1" thickBot="1" x14ac:dyDescent="0.3">
      <c r="A639" s="221"/>
      <c r="B639" s="223"/>
      <c r="C639" s="30" t="s">
        <v>1728</v>
      </c>
      <c r="D639" s="41" t="s">
        <v>479</v>
      </c>
      <c r="E639" s="31">
        <v>1.0349999999999999</v>
      </c>
      <c r="F639" s="25">
        <v>16.491999999999997</v>
      </c>
      <c r="G639" s="28">
        <f t="shared" si="10"/>
        <v>17.069219999999994</v>
      </c>
      <c r="H639" s="33">
        <f>SUM(G639:G642)</f>
        <v>30.395445699999996</v>
      </c>
      <c r="I639" s="34"/>
      <c r="J639" s="138">
        <v>0</v>
      </c>
    </row>
    <row r="640" spans="1:10" ht="15.75" hidden="1" thickBot="1" x14ac:dyDescent="0.3">
      <c r="A640" s="221"/>
      <c r="B640" s="223"/>
      <c r="C640" s="30" t="s">
        <v>1234</v>
      </c>
      <c r="D640" s="30" t="s">
        <v>42</v>
      </c>
      <c r="E640" s="31">
        <v>4.0300000000000002E-2</v>
      </c>
      <c r="F640" s="25">
        <v>39.282499999999999</v>
      </c>
      <c r="G640" s="28">
        <f t="shared" si="10"/>
        <v>1.58308475</v>
      </c>
      <c r="H640" s="29"/>
      <c r="I640" s="25"/>
      <c r="J640" s="138">
        <v>0</v>
      </c>
    </row>
    <row r="641" spans="1:10" ht="15.75" hidden="1" thickBot="1" x14ac:dyDescent="0.3">
      <c r="A641" s="221"/>
      <c r="B641" s="223"/>
      <c r="C641" s="30" t="s">
        <v>703</v>
      </c>
      <c r="D641" s="41" t="s">
        <v>702</v>
      </c>
      <c r="E641" s="31">
        <v>0.15140000000000001</v>
      </c>
      <c r="F641" s="28">
        <v>18.420500000000001</v>
      </c>
      <c r="G641" s="28">
        <f t="shared" si="10"/>
        <v>2.7888637000000003</v>
      </c>
      <c r="H641" s="29"/>
      <c r="I641" s="25"/>
      <c r="J641" s="138">
        <v>0</v>
      </c>
    </row>
    <row r="642" spans="1:10" ht="15.75" hidden="1" thickBot="1" x14ac:dyDescent="0.3">
      <c r="A642" s="221"/>
      <c r="B642" s="223"/>
      <c r="C642" s="30" t="s">
        <v>1213</v>
      </c>
      <c r="D642" s="41" t="s">
        <v>702</v>
      </c>
      <c r="E642" s="31">
        <v>0.36349999999999999</v>
      </c>
      <c r="F642" s="28">
        <v>24.633499999999998</v>
      </c>
      <c r="G642" s="28">
        <f t="shared" si="10"/>
        <v>8.9542772499999987</v>
      </c>
      <c r="H642" s="29"/>
      <c r="I642" s="25"/>
      <c r="J642" s="138">
        <v>0</v>
      </c>
    </row>
    <row r="643" spans="1:10" ht="15.75" hidden="1" thickBot="1" x14ac:dyDescent="0.3">
      <c r="A643" s="227"/>
      <c r="B643" s="224"/>
      <c r="C643" s="30"/>
      <c r="D643" s="30"/>
      <c r="E643" s="31"/>
      <c r="F643" s="25" t="s">
        <v>521</v>
      </c>
      <c r="G643" s="25" t="str">
        <f t="shared" si="10"/>
        <v/>
      </c>
      <c r="H643" s="29"/>
      <c r="I643" s="25"/>
      <c r="J643" s="138">
        <v>0</v>
      </c>
    </row>
    <row r="644" spans="1:10" ht="15.75" hidden="1" thickBot="1" x14ac:dyDescent="0.3">
      <c r="A644" s="220" t="s">
        <v>233</v>
      </c>
      <c r="B644" s="222" t="e">
        <f>INDEX(Orçamentária!A:B,MATCH(Composições!A644,Orçamentária!A:A,0),2)</f>
        <v>#N/A</v>
      </c>
      <c r="C644" s="35"/>
      <c r="D644" s="20" t="s">
        <v>93</v>
      </c>
      <c r="E644" s="21"/>
      <c r="F644" s="36" t="s">
        <v>521</v>
      </c>
      <c r="G644" s="22" t="str">
        <f t="shared" si="10"/>
        <v/>
      </c>
      <c r="H644" s="23"/>
      <c r="I644" s="24"/>
      <c r="J644" s="138">
        <v>0</v>
      </c>
    </row>
    <row r="645" spans="1:10" ht="15.75" hidden="1" thickBot="1" x14ac:dyDescent="0.3">
      <c r="A645" s="221"/>
      <c r="B645" s="223"/>
      <c r="C645" s="26"/>
      <c r="D645" s="26"/>
      <c r="E645" s="27"/>
      <c r="F645" s="37" t="s">
        <v>521</v>
      </c>
      <c r="G645" s="25" t="str">
        <f t="shared" si="10"/>
        <v/>
      </c>
      <c r="H645" s="29"/>
      <c r="I645" s="25"/>
      <c r="J645" s="138">
        <v>0</v>
      </c>
    </row>
    <row r="646" spans="1:10" ht="15.75" hidden="1" thickBot="1" x14ac:dyDescent="0.3">
      <c r="A646" s="221"/>
      <c r="B646" s="223"/>
      <c r="C646" s="30" t="s">
        <v>54</v>
      </c>
      <c r="D646" s="41" t="s">
        <v>12</v>
      </c>
      <c r="E646" s="31">
        <v>2</v>
      </c>
      <c r="F646" s="25">
        <v>24.795000000000002</v>
      </c>
      <c r="G646" s="28">
        <f t="shared" si="10"/>
        <v>49.59</v>
      </c>
      <c r="H646" s="33">
        <f>SUM(G646:G646)</f>
        <v>49.59</v>
      </c>
      <c r="I646" s="34"/>
      <c r="J646" s="138">
        <v>0</v>
      </c>
    </row>
    <row r="647" spans="1:10" ht="15.75" hidden="1" thickBot="1" x14ac:dyDescent="0.3">
      <c r="A647" s="227"/>
      <c r="B647" s="224"/>
      <c r="C647" s="49"/>
      <c r="D647" s="30"/>
      <c r="E647" s="31"/>
      <c r="F647" s="25" t="s">
        <v>521</v>
      </c>
      <c r="G647" s="25" t="str">
        <f t="shared" si="10"/>
        <v/>
      </c>
      <c r="H647" s="29"/>
      <c r="I647" s="25"/>
      <c r="J647" s="138">
        <v>0</v>
      </c>
    </row>
    <row r="648" spans="1:10" ht="15.75" hidden="1" thickBot="1" x14ac:dyDescent="0.3">
      <c r="A648" s="220" t="s">
        <v>234</v>
      </c>
      <c r="B648" s="222" t="e">
        <f>INDEX(Orçamentária!A:B,MATCH(Composições!A648,Orçamentária!A:A,0),2)</f>
        <v>#N/A</v>
      </c>
      <c r="C648" s="35"/>
      <c r="D648" s="20" t="s">
        <v>93</v>
      </c>
      <c r="E648" s="21"/>
      <c r="F648" s="36" t="s">
        <v>521</v>
      </c>
      <c r="G648" s="22" t="str">
        <f t="shared" si="10"/>
        <v/>
      </c>
      <c r="H648" s="23"/>
      <c r="I648" s="24"/>
      <c r="J648" s="138">
        <v>0</v>
      </c>
    </row>
    <row r="649" spans="1:10" ht="15.75" hidden="1" thickBot="1" x14ac:dyDescent="0.3">
      <c r="A649" s="221"/>
      <c r="B649" s="223"/>
      <c r="C649" s="26"/>
      <c r="D649" s="26"/>
      <c r="E649" s="27"/>
      <c r="F649" s="37" t="s">
        <v>521</v>
      </c>
      <c r="G649" s="25" t="str">
        <f t="shared" si="10"/>
        <v/>
      </c>
      <c r="H649" s="29"/>
      <c r="I649" s="25"/>
      <c r="J649" s="138">
        <v>0</v>
      </c>
    </row>
    <row r="650" spans="1:10" ht="15.75" hidden="1" thickBot="1" x14ac:dyDescent="0.3">
      <c r="A650" s="221"/>
      <c r="B650" s="223"/>
      <c r="C650" s="30" t="s">
        <v>54</v>
      </c>
      <c r="D650" s="41" t="s">
        <v>12</v>
      </c>
      <c r="E650" s="31">
        <v>1.75</v>
      </c>
      <c r="F650" s="25">
        <v>24.795000000000002</v>
      </c>
      <c r="G650" s="28">
        <f t="shared" si="10"/>
        <v>43.391249999999999</v>
      </c>
      <c r="H650" s="33">
        <f>SUM(G650:G650)</f>
        <v>43.391249999999999</v>
      </c>
      <c r="I650" s="34"/>
      <c r="J650" s="138">
        <v>0</v>
      </c>
    </row>
    <row r="651" spans="1:10" ht="15.75" hidden="1" thickBot="1" x14ac:dyDescent="0.3">
      <c r="A651" s="227"/>
      <c r="B651" s="224"/>
      <c r="C651" s="49"/>
      <c r="D651" s="30"/>
      <c r="E651" s="31"/>
      <c r="F651" s="25" t="s">
        <v>521</v>
      </c>
      <c r="G651" s="25" t="str">
        <f t="shared" si="10"/>
        <v/>
      </c>
      <c r="H651" s="29"/>
      <c r="I651" s="25"/>
      <c r="J651" s="138">
        <v>0</v>
      </c>
    </row>
    <row r="652" spans="1:10" ht="15.75" hidden="1" thickBot="1" x14ac:dyDescent="0.3">
      <c r="A652" s="220" t="s">
        <v>235</v>
      </c>
      <c r="B652" s="222" t="e">
        <f>INDEX(Orçamentária!A:B,MATCH(Composições!A652,Orçamentária!A:A,0),2)</f>
        <v>#N/A</v>
      </c>
      <c r="C652" s="35"/>
      <c r="D652" s="20" t="s">
        <v>93</v>
      </c>
      <c r="E652" s="21"/>
      <c r="F652" s="36" t="s">
        <v>521</v>
      </c>
      <c r="G652" s="22" t="str">
        <f t="shared" si="10"/>
        <v/>
      </c>
      <c r="H652" s="23"/>
      <c r="I652" s="24"/>
      <c r="J652" s="138">
        <v>0</v>
      </c>
    </row>
    <row r="653" spans="1:10" ht="15.75" hidden="1" thickBot="1" x14ac:dyDescent="0.3">
      <c r="A653" s="221"/>
      <c r="B653" s="223"/>
      <c r="C653" s="26"/>
      <c r="D653" s="26"/>
      <c r="E653" s="27"/>
      <c r="F653" s="37" t="s">
        <v>521</v>
      </c>
      <c r="G653" s="25" t="str">
        <f t="shared" si="10"/>
        <v/>
      </c>
      <c r="H653" s="29"/>
      <c r="I653" s="25"/>
      <c r="J653" s="138">
        <v>0</v>
      </c>
    </row>
    <row r="654" spans="1:10" ht="15.75" hidden="1" thickBot="1" x14ac:dyDescent="0.3">
      <c r="A654" s="221"/>
      <c r="B654" s="223"/>
      <c r="C654" s="30" t="s">
        <v>54</v>
      </c>
      <c r="D654" s="41" t="s">
        <v>12</v>
      </c>
      <c r="E654" s="31">
        <v>1</v>
      </c>
      <c r="F654" s="25">
        <v>24.795000000000002</v>
      </c>
      <c r="G654" s="28">
        <f t="shared" si="10"/>
        <v>24.795000000000002</v>
      </c>
      <c r="H654" s="33">
        <f>SUM(G654:G654)</f>
        <v>24.795000000000002</v>
      </c>
      <c r="I654" s="34"/>
      <c r="J654" s="138">
        <v>0</v>
      </c>
    </row>
    <row r="655" spans="1:10" ht="15.75" hidden="1" thickBot="1" x14ac:dyDescent="0.3">
      <c r="A655" s="227"/>
      <c r="B655" s="224"/>
      <c r="C655" s="49"/>
      <c r="D655" s="30"/>
      <c r="E655" s="31"/>
      <c r="F655" s="25" t="s">
        <v>521</v>
      </c>
      <c r="G655" s="25" t="str">
        <f t="shared" si="10"/>
        <v/>
      </c>
      <c r="H655" s="29"/>
      <c r="I655" s="25"/>
      <c r="J655" s="138">
        <v>0</v>
      </c>
    </row>
    <row r="656" spans="1:10" ht="15.75" hidden="1" thickBot="1" x14ac:dyDescent="0.3">
      <c r="A656" s="220" t="s">
        <v>236</v>
      </c>
      <c r="B656" s="222" t="e">
        <f>INDEX(Orçamentária!A:B,MATCH(Composições!A656,Orçamentária!A:A,0),2)</f>
        <v>#N/A</v>
      </c>
      <c r="C656" s="35"/>
      <c r="D656" s="20" t="s">
        <v>93</v>
      </c>
      <c r="E656" s="21"/>
      <c r="F656" s="36" t="s">
        <v>521</v>
      </c>
      <c r="G656" s="22" t="str">
        <f t="shared" si="10"/>
        <v/>
      </c>
      <c r="H656" s="23"/>
      <c r="I656" s="24"/>
      <c r="J656" s="138">
        <v>0</v>
      </c>
    </row>
    <row r="657" spans="1:10" ht="15.75" hidden="1" thickBot="1" x14ac:dyDescent="0.3">
      <c r="A657" s="221"/>
      <c r="B657" s="223"/>
      <c r="C657" s="26"/>
      <c r="D657" s="26"/>
      <c r="E657" s="27"/>
      <c r="F657" s="37" t="s">
        <v>521</v>
      </c>
      <c r="G657" s="25" t="str">
        <f t="shared" si="10"/>
        <v/>
      </c>
      <c r="H657" s="29"/>
      <c r="I657" s="25"/>
      <c r="J657" s="138">
        <v>0</v>
      </c>
    </row>
    <row r="658" spans="1:10" ht="15.75" hidden="1" thickBot="1" x14ac:dyDescent="0.3">
      <c r="A658" s="221"/>
      <c r="B658" s="223"/>
      <c r="C658" s="30" t="s">
        <v>54</v>
      </c>
      <c r="D658" s="41" t="s">
        <v>12</v>
      </c>
      <c r="E658" s="31">
        <v>1.25</v>
      </c>
      <c r="F658" s="25">
        <v>24.795000000000002</v>
      </c>
      <c r="G658" s="28">
        <f t="shared" ref="G658:G721" si="11">IF(ISNUMBER(F658),E658*F658,"")</f>
        <v>30.993750000000002</v>
      </c>
      <c r="H658" s="33">
        <f>SUM(G658:G658)</f>
        <v>30.993750000000002</v>
      </c>
      <c r="I658" s="34"/>
      <c r="J658" s="138">
        <v>0</v>
      </c>
    </row>
    <row r="659" spans="1:10" ht="15.75" hidden="1" thickBot="1" x14ac:dyDescent="0.3">
      <c r="A659" s="227"/>
      <c r="B659" s="224"/>
      <c r="C659" s="49"/>
      <c r="D659" s="30"/>
      <c r="E659" s="31"/>
      <c r="F659" s="25" t="s">
        <v>521</v>
      </c>
      <c r="G659" s="25" t="str">
        <f t="shared" si="11"/>
        <v/>
      </c>
      <c r="H659" s="29"/>
      <c r="I659" s="25"/>
      <c r="J659" s="138">
        <v>0</v>
      </c>
    </row>
    <row r="660" spans="1:10" ht="15.75" hidden="1" thickBot="1" x14ac:dyDescent="0.3">
      <c r="A660" s="220" t="s">
        <v>237</v>
      </c>
      <c r="B660" s="222" t="e">
        <f>INDEX(Orçamentária!A:B,MATCH(Composições!A660,Orçamentária!A:A,0),2)</f>
        <v>#N/A</v>
      </c>
      <c r="C660" s="35"/>
      <c r="D660" s="20" t="s">
        <v>20</v>
      </c>
      <c r="E660" s="21"/>
      <c r="F660" s="36" t="s">
        <v>521</v>
      </c>
      <c r="G660" s="22" t="str">
        <f t="shared" si="11"/>
        <v/>
      </c>
      <c r="H660" s="23"/>
      <c r="I660" s="24"/>
      <c r="J660" s="138">
        <v>0</v>
      </c>
    </row>
    <row r="661" spans="1:10" ht="15.75" hidden="1" thickBot="1" x14ac:dyDescent="0.3">
      <c r="A661" s="221"/>
      <c r="B661" s="223"/>
      <c r="C661" s="26"/>
      <c r="D661" s="26"/>
      <c r="E661" s="27"/>
      <c r="F661" s="37" t="s">
        <v>521</v>
      </c>
      <c r="G661" s="25" t="str">
        <f t="shared" si="11"/>
        <v/>
      </c>
      <c r="H661" s="29"/>
      <c r="I661" s="25"/>
      <c r="J661" s="138">
        <v>0</v>
      </c>
    </row>
    <row r="662" spans="1:10" ht="26.25" hidden="1" thickBot="1" x14ac:dyDescent="0.3">
      <c r="A662" s="221"/>
      <c r="B662" s="223"/>
      <c r="C662" s="30" t="s">
        <v>238</v>
      </c>
      <c r="D662" s="41" t="s">
        <v>20</v>
      </c>
      <c r="E662" s="31">
        <v>1</v>
      </c>
      <c r="F662" s="25">
        <v>101.2795</v>
      </c>
      <c r="G662" s="28">
        <f t="shared" si="11"/>
        <v>101.2795</v>
      </c>
      <c r="H662" s="33">
        <f>SUM(G662:G662)</f>
        <v>101.2795</v>
      </c>
      <c r="I662" s="34"/>
      <c r="J662" s="138">
        <v>0</v>
      </c>
    </row>
    <row r="663" spans="1:10" ht="15.75" hidden="1" thickBot="1" x14ac:dyDescent="0.3">
      <c r="A663" s="227"/>
      <c r="B663" s="224"/>
      <c r="C663" s="49"/>
      <c r="D663" s="30"/>
      <c r="E663" s="31"/>
      <c r="F663" s="25" t="s">
        <v>521</v>
      </c>
      <c r="G663" s="25" t="str">
        <f t="shared" si="11"/>
        <v/>
      </c>
      <c r="H663" s="29"/>
      <c r="I663" s="25"/>
      <c r="J663" s="138">
        <v>0</v>
      </c>
    </row>
    <row r="664" spans="1:10" ht="15.75" hidden="1" thickBot="1" x14ac:dyDescent="0.3">
      <c r="A664" s="220" t="s">
        <v>239</v>
      </c>
      <c r="B664" s="222" t="e">
        <f>INDEX(Orçamentária!A:B,MATCH(Composições!A664,Orçamentária!A:A,0),2)</f>
        <v>#N/A</v>
      </c>
      <c r="C664" s="155"/>
      <c r="D664" s="20" t="s">
        <v>20</v>
      </c>
      <c r="E664" s="21"/>
      <c r="F664" s="36" t="s">
        <v>521</v>
      </c>
      <c r="G664" s="22" t="str">
        <f t="shared" si="11"/>
        <v/>
      </c>
      <c r="H664" s="23"/>
      <c r="I664" s="24"/>
      <c r="J664" s="138">
        <v>0</v>
      </c>
    </row>
    <row r="665" spans="1:10" ht="15.75" hidden="1" thickBot="1" x14ac:dyDescent="0.3">
      <c r="A665" s="221"/>
      <c r="B665" s="223"/>
      <c r="C665" s="26"/>
      <c r="D665" s="26"/>
      <c r="E665" s="27"/>
      <c r="F665" s="37" t="s">
        <v>521</v>
      </c>
      <c r="G665" s="25" t="str">
        <f t="shared" si="11"/>
        <v/>
      </c>
      <c r="H665" s="29"/>
      <c r="I665" s="25"/>
      <c r="J665" s="138">
        <v>0</v>
      </c>
    </row>
    <row r="666" spans="1:10" ht="27" hidden="1" thickBot="1" x14ac:dyDescent="0.3">
      <c r="A666" s="221"/>
      <c r="B666" s="223"/>
      <c r="C666" s="45" t="s">
        <v>2258</v>
      </c>
      <c r="D666" s="41" t="s">
        <v>20</v>
      </c>
      <c r="E666" s="31">
        <v>1</v>
      </c>
      <c r="F666" s="25">
        <v>15.1905</v>
      </c>
      <c r="G666" s="28">
        <f t="shared" si="11"/>
        <v>15.1905</v>
      </c>
      <c r="H666" s="33">
        <f>SUM(G666:G666)</f>
        <v>15.1905</v>
      </c>
      <c r="I666" s="34"/>
      <c r="J666" s="138">
        <v>0</v>
      </c>
    </row>
    <row r="667" spans="1:10" ht="15.75" hidden="1" thickBot="1" x14ac:dyDescent="0.3">
      <c r="A667" s="227"/>
      <c r="B667" s="224"/>
      <c r="C667" s="30"/>
      <c r="D667" s="30"/>
      <c r="E667" s="31"/>
      <c r="F667" s="25" t="s">
        <v>521</v>
      </c>
      <c r="G667" s="25" t="str">
        <f t="shared" si="11"/>
        <v/>
      </c>
      <c r="H667" s="29"/>
      <c r="I667" s="25"/>
      <c r="J667" s="138">
        <v>0</v>
      </c>
    </row>
    <row r="668" spans="1:10" ht="15.75" hidden="1" thickBot="1" x14ac:dyDescent="0.3">
      <c r="A668" s="220" t="s">
        <v>240</v>
      </c>
      <c r="B668" s="222" t="e">
        <f>INDEX(Orçamentária!A:B,MATCH(Composições!A668,Orçamentária!A:A,0),2)</f>
        <v>#N/A</v>
      </c>
      <c r="C668" s="35"/>
      <c r="D668" s="20" t="s">
        <v>95</v>
      </c>
      <c r="E668" s="21"/>
      <c r="F668" s="36" t="s">
        <v>521</v>
      </c>
      <c r="G668" s="22" t="str">
        <f t="shared" si="11"/>
        <v/>
      </c>
      <c r="H668" s="23"/>
      <c r="I668" s="24"/>
      <c r="J668" s="138">
        <v>0</v>
      </c>
    </row>
    <row r="669" spans="1:10" ht="15.75" hidden="1" thickBot="1" x14ac:dyDescent="0.3">
      <c r="A669" s="221"/>
      <c r="B669" s="223"/>
      <c r="C669" s="26"/>
      <c r="D669" s="26"/>
      <c r="E669" s="27"/>
      <c r="F669" s="37" t="s">
        <v>521</v>
      </c>
      <c r="G669" s="25" t="str">
        <f t="shared" si="11"/>
        <v/>
      </c>
      <c r="H669" s="29"/>
      <c r="I669" s="25"/>
      <c r="J669" s="138">
        <v>0</v>
      </c>
    </row>
    <row r="670" spans="1:10" ht="26.25" hidden="1" thickBot="1" x14ac:dyDescent="0.3">
      <c r="A670" s="221"/>
      <c r="B670" s="223"/>
      <c r="C670" s="30" t="s">
        <v>241</v>
      </c>
      <c r="D670" s="30" t="s">
        <v>93</v>
      </c>
      <c r="E670" s="31">
        <f>ROUND(1.04/0.15,4)</f>
        <v>6.9333</v>
      </c>
      <c r="F670" s="28" t="s">
        <v>521</v>
      </c>
      <c r="G670" s="28" t="str">
        <f t="shared" si="11"/>
        <v/>
      </c>
      <c r="H670" s="33">
        <f>SUM(G670:G674)</f>
        <v>79.511478350000004</v>
      </c>
      <c r="I670" s="34"/>
      <c r="J670" s="138">
        <v>0</v>
      </c>
    </row>
    <row r="671" spans="1:10" ht="15.75" hidden="1" thickBot="1" x14ac:dyDescent="0.3">
      <c r="A671" s="221"/>
      <c r="B671" s="223"/>
      <c r="C671" s="30" t="s">
        <v>1831</v>
      </c>
      <c r="D671" s="30" t="s">
        <v>42</v>
      </c>
      <c r="E671" s="31">
        <f>ROUND(0.8614/0.15,4)</f>
        <v>5.7427000000000001</v>
      </c>
      <c r="F671" s="28">
        <v>1.6054999999999999</v>
      </c>
      <c r="G671" s="28">
        <f t="shared" si="11"/>
        <v>9.2199048499999989</v>
      </c>
      <c r="H671" s="29"/>
      <c r="I671" s="25"/>
      <c r="J671" s="138">
        <v>0</v>
      </c>
    </row>
    <row r="672" spans="1:10" ht="15.75" hidden="1" thickBot="1" x14ac:dyDescent="0.3">
      <c r="A672" s="221"/>
      <c r="B672" s="223"/>
      <c r="C672" s="30" t="s">
        <v>54</v>
      </c>
      <c r="D672" s="30" t="s">
        <v>12</v>
      </c>
      <c r="E672" s="31">
        <f>ROUND(0.299/0.15,4)</f>
        <v>1.9933000000000001</v>
      </c>
      <c r="F672" s="25">
        <v>24.795000000000002</v>
      </c>
      <c r="G672" s="28">
        <f t="shared" si="11"/>
        <v>49.423873500000006</v>
      </c>
      <c r="H672" s="29"/>
      <c r="I672" s="25"/>
      <c r="J672" s="138">
        <v>0</v>
      </c>
    </row>
    <row r="673" spans="1:10" ht="15.75" hidden="1" thickBot="1" x14ac:dyDescent="0.3">
      <c r="A673" s="221"/>
      <c r="B673" s="223"/>
      <c r="C673" s="30" t="s">
        <v>23</v>
      </c>
      <c r="D673" s="30" t="s">
        <v>12</v>
      </c>
      <c r="E673" s="31">
        <f>0.15/0.15</f>
        <v>1</v>
      </c>
      <c r="F673" s="25">
        <v>18.420500000000001</v>
      </c>
      <c r="G673" s="28">
        <f t="shared" si="11"/>
        <v>18.420500000000001</v>
      </c>
      <c r="H673" s="29"/>
      <c r="I673" s="25"/>
      <c r="J673" s="138">
        <v>0</v>
      </c>
    </row>
    <row r="674" spans="1:10" ht="15.75" hidden="1" thickBot="1" x14ac:dyDescent="0.3">
      <c r="A674" s="221"/>
      <c r="B674" s="223"/>
      <c r="C674" s="30" t="s">
        <v>1830</v>
      </c>
      <c r="D674" s="30" t="s">
        <v>42</v>
      </c>
      <c r="E674" s="31">
        <f>0.12/0.15</f>
        <v>0.8</v>
      </c>
      <c r="F674" s="28">
        <v>3.0590000000000002</v>
      </c>
      <c r="G674" s="28">
        <f t="shared" si="11"/>
        <v>2.4472000000000005</v>
      </c>
      <c r="H674" s="29"/>
      <c r="I674" s="25"/>
      <c r="J674" s="138">
        <v>0</v>
      </c>
    </row>
    <row r="675" spans="1:10" ht="15.75" hidden="1" thickBot="1" x14ac:dyDescent="0.3">
      <c r="A675" s="221"/>
      <c r="B675" s="223"/>
      <c r="C675" s="30"/>
      <c r="D675" s="30"/>
      <c r="E675" s="31"/>
      <c r="F675" s="28" t="s">
        <v>521</v>
      </c>
      <c r="G675" s="28" t="str">
        <f t="shared" si="11"/>
        <v/>
      </c>
      <c r="H675" s="29"/>
      <c r="I675" s="25"/>
      <c r="J675" s="138">
        <v>0</v>
      </c>
    </row>
    <row r="676" spans="1:10" ht="15.75" hidden="1" thickBot="1" x14ac:dyDescent="0.3">
      <c r="A676" s="220" t="s">
        <v>242</v>
      </c>
      <c r="B676" s="222" t="e">
        <f>INDEX(Orçamentária!A:B,MATCH(Composições!A676,Orçamentária!A:A,0),2)</f>
        <v>#N/A</v>
      </c>
      <c r="C676" s="35"/>
      <c r="D676" s="20" t="s">
        <v>95</v>
      </c>
      <c r="E676" s="21"/>
      <c r="F676" s="36" t="s">
        <v>521</v>
      </c>
      <c r="G676" s="22" t="str">
        <f t="shared" si="11"/>
        <v/>
      </c>
      <c r="H676" s="23"/>
      <c r="I676" s="24"/>
      <c r="J676" s="138">
        <v>0</v>
      </c>
    </row>
    <row r="677" spans="1:10" ht="15.75" hidden="1" thickBot="1" x14ac:dyDescent="0.3">
      <c r="A677" s="221"/>
      <c r="B677" s="223"/>
      <c r="C677" s="26"/>
      <c r="D677" s="26"/>
      <c r="E677" s="27"/>
      <c r="F677" s="37" t="s">
        <v>521</v>
      </c>
      <c r="G677" s="25" t="str">
        <f t="shared" si="11"/>
        <v/>
      </c>
      <c r="H677" s="29"/>
      <c r="I677" s="25"/>
      <c r="J677" s="138">
        <v>0</v>
      </c>
    </row>
    <row r="678" spans="1:10" ht="15.75" hidden="1" thickBot="1" x14ac:dyDescent="0.3">
      <c r="A678" s="221"/>
      <c r="B678" s="223"/>
      <c r="C678" s="30" t="s">
        <v>1714</v>
      </c>
      <c r="D678" s="30" t="s">
        <v>897</v>
      </c>
      <c r="E678" s="31">
        <f>ROUND(0.5228/(1.5*0.6),4)</f>
        <v>0.58089999999999997</v>
      </c>
      <c r="F678" s="48">
        <v>39.909499999999994</v>
      </c>
      <c r="G678" s="48">
        <f t="shared" si="11"/>
        <v>23.183428549999995</v>
      </c>
      <c r="H678" s="33">
        <f>SUM(G678:G684)</f>
        <v>169.04361465000002</v>
      </c>
      <c r="I678" s="34"/>
      <c r="J678" s="138">
        <v>0</v>
      </c>
    </row>
    <row r="679" spans="1:10" ht="39" hidden="1" thickBot="1" x14ac:dyDescent="0.3">
      <c r="A679" s="221"/>
      <c r="B679" s="223"/>
      <c r="C679" s="30" t="s">
        <v>1128</v>
      </c>
      <c r="D679" s="30" t="s">
        <v>279</v>
      </c>
      <c r="E679" s="31">
        <f>ROUND(6/(1.5*0.6),4)</f>
        <v>6.6666999999999996</v>
      </c>
      <c r="F679" s="48">
        <v>1.2255</v>
      </c>
      <c r="G679" s="48">
        <f t="shared" si="11"/>
        <v>8.1700408499999995</v>
      </c>
      <c r="H679" s="67"/>
      <c r="I679" s="68"/>
      <c r="J679" s="138">
        <v>0</v>
      </c>
    </row>
    <row r="680" spans="1:10" ht="26.25" hidden="1" thickBot="1" x14ac:dyDescent="0.3">
      <c r="A680" s="221"/>
      <c r="B680" s="223"/>
      <c r="C680" s="30" t="s">
        <v>243</v>
      </c>
      <c r="D680" s="30" t="s">
        <v>988</v>
      </c>
      <c r="E680" s="31">
        <f>ROUND(1.005/(1.5*0.6),4)</f>
        <v>1.1167</v>
      </c>
      <c r="F680" s="48" t="s">
        <v>521</v>
      </c>
      <c r="G680" s="48" t="str">
        <f t="shared" si="11"/>
        <v/>
      </c>
      <c r="H680" s="67"/>
      <c r="I680" s="68"/>
      <c r="J680" s="138">
        <v>0</v>
      </c>
    </row>
    <row r="681" spans="1:10" ht="15.75" hidden="1" thickBot="1" x14ac:dyDescent="0.3">
      <c r="A681" s="221"/>
      <c r="B681" s="223"/>
      <c r="C681" s="30" t="s">
        <v>1816</v>
      </c>
      <c r="D681" s="30" t="s">
        <v>897</v>
      </c>
      <c r="E681" s="31">
        <f>ROUND(0.0211/(1.5*0.6),4)</f>
        <v>2.3400000000000001E-2</v>
      </c>
      <c r="F681" s="48">
        <v>64.619</v>
      </c>
      <c r="G681" s="48">
        <f t="shared" si="11"/>
        <v>1.5120846000000001</v>
      </c>
      <c r="H681" s="67"/>
      <c r="I681" s="68"/>
      <c r="J681" s="138">
        <v>0</v>
      </c>
    </row>
    <row r="682" spans="1:10" ht="26.25" hidden="1" thickBot="1" x14ac:dyDescent="0.3">
      <c r="A682" s="221"/>
      <c r="B682" s="223"/>
      <c r="C682" s="30" t="s">
        <v>1730</v>
      </c>
      <c r="D682" s="30" t="s">
        <v>279</v>
      </c>
      <c r="E682" s="31">
        <f>ROUND(2/(1.5*0.6),4)</f>
        <v>2.2222</v>
      </c>
      <c r="F682" s="48">
        <v>33.6965</v>
      </c>
      <c r="G682" s="48">
        <f t="shared" si="11"/>
        <v>74.880362300000002</v>
      </c>
      <c r="H682" s="67"/>
      <c r="I682" s="68"/>
      <c r="J682" s="138">
        <v>0</v>
      </c>
    </row>
    <row r="683" spans="1:10" ht="15.75" hidden="1" thickBot="1" x14ac:dyDescent="0.3">
      <c r="A683" s="221"/>
      <c r="B683" s="223"/>
      <c r="C683" s="30" t="s">
        <v>1607</v>
      </c>
      <c r="D683" s="30" t="s">
        <v>702</v>
      </c>
      <c r="E683" s="31">
        <f>ROUND(1.4944/(1.5*0.6),4)</f>
        <v>1.6604000000000001</v>
      </c>
      <c r="F683" s="48">
        <v>24.795000000000002</v>
      </c>
      <c r="G683" s="48">
        <f t="shared" si="11"/>
        <v>41.169618000000007</v>
      </c>
      <c r="H683" s="67"/>
      <c r="I683" s="68"/>
      <c r="J683" s="138">
        <v>0</v>
      </c>
    </row>
    <row r="684" spans="1:10" ht="15.75" hidden="1" thickBot="1" x14ac:dyDescent="0.3">
      <c r="A684" s="221"/>
      <c r="B684" s="223"/>
      <c r="C684" s="30" t="s">
        <v>703</v>
      </c>
      <c r="D684" s="30" t="s">
        <v>702</v>
      </c>
      <c r="E684" s="31">
        <f>ROUND(0.9834/(1.5*0.6),4)</f>
        <v>1.0927</v>
      </c>
      <c r="F684" s="48">
        <v>18.420500000000001</v>
      </c>
      <c r="G684" s="48">
        <f t="shared" si="11"/>
        <v>20.128080350000001</v>
      </c>
      <c r="H684" s="67"/>
      <c r="I684" s="68"/>
      <c r="J684" s="138">
        <v>0</v>
      </c>
    </row>
    <row r="685" spans="1:10" ht="15.75" hidden="1" thickBot="1" x14ac:dyDescent="0.3">
      <c r="A685" s="221"/>
      <c r="B685" s="223"/>
      <c r="C685" s="30"/>
      <c r="D685" s="30"/>
      <c r="E685" s="31"/>
      <c r="F685" s="25" t="s">
        <v>521</v>
      </c>
      <c r="G685" s="28" t="str">
        <f t="shared" si="11"/>
        <v/>
      </c>
      <c r="H685" s="29"/>
      <c r="I685" s="25"/>
      <c r="J685" s="138">
        <v>0</v>
      </c>
    </row>
    <row r="686" spans="1:10" ht="15.75" hidden="1" thickBot="1" x14ac:dyDescent="0.3">
      <c r="A686" s="220" t="s">
        <v>244</v>
      </c>
      <c r="B686" s="222" t="e">
        <f>INDEX(Orçamentária!A:B,MATCH(Composições!A686,Orçamentária!A:A,0),2)</f>
        <v>#N/A</v>
      </c>
      <c r="C686" s="35"/>
      <c r="D686" s="20" t="s">
        <v>95</v>
      </c>
      <c r="E686" s="21"/>
      <c r="F686" s="36" t="s">
        <v>521</v>
      </c>
      <c r="G686" s="22" t="str">
        <f t="shared" si="11"/>
        <v/>
      </c>
      <c r="H686" s="23"/>
      <c r="I686" s="24"/>
      <c r="J686" s="138">
        <v>0</v>
      </c>
    </row>
    <row r="687" spans="1:10" ht="15.75" hidden="1" thickBot="1" x14ac:dyDescent="0.3">
      <c r="A687" s="221"/>
      <c r="B687" s="223"/>
      <c r="C687" s="26"/>
      <c r="D687" s="26"/>
      <c r="E687" s="27"/>
      <c r="F687" s="37" t="s">
        <v>521</v>
      </c>
      <c r="G687" s="25" t="str">
        <f t="shared" si="11"/>
        <v/>
      </c>
      <c r="H687" s="29"/>
      <c r="I687" s="25"/>
      <c r="J687" s="138">
        <v>0</v>
      </c>
    </row>
    <row r="688" spans="1:10" ht="26.25" hidden="1" thickBot="1" x14ac:dyDescent="0.3">
      <c r="A688" s="221"/>
      <c r="B688" s="223"/>
      <c r="C688" s="30" t="s">
        <v>775</v>
      </c>
      <c r="D688" s="30" t="s">
        <v>897</v>
      </c>
      <c r="E688" s="31">
        <v>0.53</v>
      </c>
      <c r="F688" s="28">
        <v>46.844499999999996</v>
      </c>
      <c r="G688" s="28">
        <f t="shared" si="11"/>
        <v>24.827584999999999</v>
      </c>
      <c r="H688" s="33">
        <f>SUM(G688:G694)</f>
        <v>101.788472</v>
      </c>
      <c r="I688" s="34"/>
      <c r="J688" s="138">
        <v>0</v>
      </c>
    </row>
    <row r="689" spans="1:10" ht="26.25" hidden="1" thickBot="1" x14ac:dyDescent="0.3">
      <c r="A689" s="221"/>
      <c r="B689" s="223"/>
      <c r="C689" s="30" t="s">
        <v>2206</v>
      </c>
      <c r="D689" s="30" t="s">
        <v>988</v>
      </c>
      <c r="E689" s="31">
        <v>1.05</v>
      </c>
      <c r="F689" s="28" t="s">
        <v>521</v>
      </c>
      <c r="G689" s="28" t="str">
        <f t="shared" si="11"/>
        <v/>
      </c>
      <c r="H689" s="29"/>
      <c r="I689" s="25"/>
      <c r="J689" s="138">
        <v>0</v>
      </c>
    </row>
    <row r="690" spans="1:10" ht="15.75" hidden="1" thickBot="1" x14ac:dyDescent="0.3">
      <c r="A690" s="221"/>
      <c r="B690" s="223"/>
      <c r="C690" s="30" t="s">
        <v>1809</v>
      </c>
      <c r="D690" s="30" t="s">
        <v>897</v>
      </c>
      <c r="E690" s="31">
        <v>0.97</v>
      </c>
      <c r="F690" s="25">
        <v>1.843</v>
      </c>
      <c r="G690" s="28">
        <f t="shared" si="11"/>
        <v>1.7877099999999999</v>
      </c>
      <c r="H690" s="29"/>
      <c r="I690" s="25"/>
      <c r="J690" s="138">
        <v>0</v>
      </c>
    </row>
    <row r="691" spans="1:10" ht="15.75" hidden="1" thickBot="1" x14ac:dyDescent="0.3">
      <c r="A691" s="221"/>
      <c r="B691" s="223"/>
      <c r="C691" s="30" t="s">
        <v>1607</v>
      </c>
      <c r="D691" s="30" t="s">
        <v>702</v>
      </c>
      <c r="E691" s="31">
        <v>1.405</v>
      </c>
      <c r="F691" s="25">
        <v>24.795000000000002</v>
      </c>
      <c r="G691" s="28">
        <f t="shared" si="11"/>
        <v>34.836975000000002</v>
      </c>
      <c r="H691" s="29"/>
      <c r="I691" s="25"/>
      <c r="J691" s="138">
        <v>0</v>
      </c>
    </row>
    <row r="692" spans="1:10" ht="15.75" hidden="1" thickBot="1" x14ac:dyDescent="0.3">
      <c r="A692" s="221"/>
      <c r="B692" s="223"/>
      <c r="C692" s="30" t="s">
        <v>703</v>
      </c>
      <c r="D692" s="30" t="s">
        <v>702</v>
      </c>
      <c r="E692" s="31">
        <v>0.70199999999999996</v>
      </c>
      <c r="F692" s="25">
        <v>18.420500000000001</v>
      </c>
      <c r="G692" s="28">
        <f t="shared" si="11"/>
        <v>12.931191</v>
      </c>
      <c r="H692" s="29"/>
      <c r="I692" s="25"/>
      <c r="J692" s="138">
        <v>0</v>
      </c>
    </row>
    <row r="693" spans="1:10" ht="26.25" hidden="1" thickBot="1" x14ac:dyDescent="0.3">
      <c r="A693" s="221"/>
      <c r="B693" s="223"/>
      <c r="C693" s="30" t="s">
        <v>1152</v>
      </c>
      <c r="D693" s="30" t="s">
        <v>938</v>
      </c>
      <c r="E693" s="31">
        <v>8.8999999999999996E-2</v>
      </c>
      <c r="F693" s="25">
        <v>20.234999999999999</v>
      </c>
      <c r="G693" s="28">
        <f t="shared" si="11"/>
        <v>1.8009149999999998</v>
      </c>
      <c r="H693" s="29"/>
      <c r="I693" s="25"/>
      <c r="J693" s="138">
        <v>0</v>
      </c>
    </row>
    <row r="694" spans="1:10" ht="26.25" hidden="1" thickBot="1" x14ac:dyDescent="0.3">
      <c r="A694" s="221"/>
      <c r="B694" s="223"/>
      <c r="C694" s="30" t="s">
        <v>1153</v>
      </c>
      <c r="D694" s="30" t="s">
        <v>940</v>
      </c>
      <c r="E694" s="31">
        <v>1.3160000000000001</v>
      </c>
      <c r="F694" s="28">
        <v>19.456</v>
      </c>
      <c r="G694" s="28">
        <f t="shared" si="11"/>
        <v>25.604096000000002</v>
      </c>
      <c r="H694" s="29"/>
      <c r="I694" s="25"/>
      <c r="J694" s="138">
        <v>0</v>
      </c>
    </row>
    <row r="695" spans="1:10" ht="15.75" hidden="1" thickBot="1" x14ac:dyDescent="0.3">
      <c r="A695" s="221"/>
      <c r="B695" s="223"/>
      <c r="C695" s="30"/>
      <c r="D695" s="30"/>
      <c r="E695" s="31"/>
      <c r="F695" s="28" t="s">
        <v>521</v>
      </c>
      <c r="G695" s="28" t="str">
        <f t="shared" si="11"/>
        <v/>
      </c>
      <c r="H695" s="29"/>
      <c r="I695" s="25"/>
      <c r="J695" s="138">
        <v>0</v>
      </c>
    </row>
    <row r="696" spans="1:10" ht="15.75" hidden="1" thickBot="1" x14ac:dyDescent="0.3">
      <c r="A696" s="220" t="s">
        <v>246</v>
      </c>
      <c r="B696" s="222" t="e">
        <f>INDEX(Orçamentária!A:B,MATCH(Composições!A696,Orçamentária!A:A,0),2)</f>
        <v>#N/A</v>
      </c>
      <c r="C696" s="35"/>
      <c r="D696" s="20" t="s">
        <v>95</v>
      </c>
      <c r="E696" s="21"/>
      <c r="F696" s="36" t="s">
        <v>521</v>
      </c>
      <c r="G696" s="22" t="str">
        <f t="shared" si="11"/>
        <v/>
      </c>
      <c r="H696" s="23"/>
      <c r="I696" s="24"/>
      <c r="J696" s="138">
        <v>0</v>
      </c>
    </row>
    <row r="697" spans="1:10" ht="15.75" hidden="1" thickBot="1" x14ac:dyDescent="0.3">
      <c r="A697" s="221"/>
      <c r="B697" s="223"/>
      <c r="C697" s="26"/>
      <c r="D697" s="26"/>
      <c r="E697" s="27"/>
      <c r="F697" s="37" t="s">
        <v>521</v>
      </c>
      <c r="G697" s="25" t="str">
        <f t="shared" si="11"/>
        <v/>
      </c>
      <c r="H697" s="29"/>
      <c r="I697" s="25"/>
      <c r="J697" s="138">
        <v>0</v>
      </c>
    </row>
    <row r="698" spans="1:10" ht="26.25" hidden="1" thickBot="1" x14ac:dyDescent="0.3">
      <c r="A698" s="221"/>
      <c r="B698" s="223"/>
      <c r="C698" s="30" t="s">
        <v>247</v>
      </c>
      <c r="D698" s="30" t="s">
        <v>93</v>
      </c>
      <c r="E698" s="31">
        <f>ROUND(1.04/0.15,4)</f>
        <v>6.9333</v>
      </c>
      <c r="F698" s="28" t="s">
        <v>521</v>
      </c>
      <c r="G698" s="25" t="str">
        <f t="shared" si="11"/>
        <v/>
      </c>
      <c r="H698" s="33">
        <f>SUM(G698:G702)</f>
        <v>79.511478350000004</v>
      </c>
      <c r="I698" s="34"/>
      <c r="J698" s="138">
        <v>0</v>
      </c>
    </row>
    <row r="699" spans="1:10" ht="15.75" hidden="1" thickBot="1" x14ac:dyDescent="0.3">
      <c r="A699" s="221"/>
      <c r="B699" s="223"/>
      <c r="C699" s="30" t="s">
        <v>1831</v>
      </c>
      <c r="D699" s="30" t="s">
        <v>42</v>
      </c>
      <c r="E699" s="31">
        <f>ROUND(0.8614/0.15,4)</f>
        <v>5.7427000000000001</v>
      </c>
      <c r="F699" s="28">
        <v>1.6054999999999999</v>
      </c>
      <c r="G699" s="28">
        <f t="shared" si="11"/>
        <v>9.2199048499999989</v>
      </c>
      <c r="H699" s="29"/>
      <c r="I699" s="25"/>
      <c r="J699" s="138">
        <v>0</v>
      </c>
    </row>
    <row r="700" spans="1:10" ht="15.75" hidden="1" thickBot="1" x14ac:dyDescent="0.3">
      <c r="A700" s="221"/>
      <c r="B700" s="223"/>
      <c r="C700" s="30" t="s">
        <v>54</v>
      </c>
      <c r="D700" s="30" t="s">
        <v>12</v>
      </c>
      <c r="E700" s="31">
        <f>ROUND(0.299/0.15,4)</f>
        <v>1.9933000000000001</v>
      </c>
      <c r="F700" s="28">
        <v>24.795000000000002</v>
      </c>
      <c r="G700" s="28">
        <f t="shared" si="11"/>
        <v>49.423873500000006</v>
      </c>
      <c r="H700" s="29"/>
      <c r="I700" s="25"/>
      <c r="J700" s="138">
        <v>0</v>
      </c>
    </row>
    <row r="701" spans="1:10" ht="15.75" hidden="1" thickBot="1" x14ac:dyDescent="0.3">
      <c r="A701" s="221"/>
      <c r="B701" s="223"/>
      <c r="C701" s="30" t="s">
        <v>23</v>
      </c>
      <c r="D701" s="30" t="s">
        <v>12</v>
      </c>
      <c r="E701" s="31">
        <f>0.15/0.15</f>
        <v>1</v>
      </c>
      <c r="F701" s="28">
        <v>18.420500000000001</v>
      </c>
      <c r="G701" s="28">
        <f t="shared" si="11"/>
        <v>18.420500000000001</v>
      </c>
      <c r="H701" s="29"/>
      <c r="I701" s="25"/>
      <c r="J701" s="138">
        <v>0</v>
      </c>
    </row>
    <row r="702" spans="1:10" ht="15.75" hidden="1" thickBot="1" x14ac:dyDescent="0.3">
      <c r="A702" s="221"/>
      <c r="B702" s="223"/>
      <c r="C702" s="30" t="s">
        <v>1830</v>
      </c>
      <c r="D702" s="30" t="s">
        <v>42</v>
      </c>
      <c r="E702" s="31">
        <f>0.12/0.15</f>
        <v>0.8</v>
      </c>
      <c r="F702" s="28">
        <v>3.0590000000000002</v>
      </c>
      <c r="G702" s="28">
        <f t="shared" si="11"/>
        <v>2.4472000000000005</v>
      </c>
      <c r="H702" s="29"/>
      <c r="I702" s="25"/>
      <c r="J702" s="138">
        <v>0</v>
      </c>
    </row>
    <row r="703" spans="1:10" ht="15.75" hidden="1" thickBot="1" x14ac:dyDescent="0.3">
      <c r="A703" s="221"/>
      <c r="B703" s="223"/>
      <c r="C703" s="30"/>
      <c r="D703" s="30"/>
      <c r="E703" s="31"/>
      <c r="F703" s="28" t="s">
        <v>521</v>
      </c>
      <c r="G703" s="28" t="str">
        <f t="shared" si="11"/>
        <v/>
      </c>
      <c r="H703" s="29"/>
      <c r="I703" s="25"/>
      <c r="J703" s="138">
        <v>0</v>
      </c>
    </row>
    <row r="704" spans="1:10" ht="15.75" hidden="1" thickBot="1" x14ac:dyDescent="0.3">
      <c r="A704" s="220" t="s">
        <v>248</v>
      </c>
      <c r="B704" s="222" t="e">
        <f>INDEX(Orçamentária!A:B,MATCH(Composições!A704,Orçamentária!A:A,0),2)</f>
        <v>#N/A</v>
      </c>
      <c r="C704" s="35"/>
      <c r="D704" s="20" t="s">
        <v>95</v>
      </c>
      <c r="E704" s="21"/>
      <c r="F704" s="36" t="s">
        <v>521</v>
      </c>
      <c r="G704" s="22" t="str">
        <f t="shared" si="11"/>
        <v/>
      </c>
      <c r="H704" s="23"/>
      <c r="I704" s="24"/>
      <c r="J704" s="138">
        <v>0</v>
      </c>
    </row>
    <row r="705" spans="1:10" ht="15.75" hidden="1" thickBot="1" x14ac:dyDescent="0.3">
      <c r="A705" s="221"/>
      <c r="B705" s="223"/>
      <c r="C705" s="26"/>
      <c r="D705" s="26"/>
      <c r="E705" s="27"/>
      <c r="F705" s="37" t="s">
        <v>521</v>
      </c>
      <c r="G705" s="25" t="str">
        <f t="shared" si="11"/>
        <v/>
      </c>
      <c r="H705" s="29"/>
      <c r="I705" s="25"/>
      <c r="J705" s="138">
        <v>0</v>
      </c>
    </row>
    <row r="706" spans="1:10" ht="15.75" hidden="1" thickBot="1" x14ac:dyDescent="0.3">
      <c r="A706" s="221"/>
      <c r="B706" s="223"/>
      <c r="C706" s="30" t="s">
        <v>1714</v>
      </c>
      <c r="D706" s="30" t="s">
        <v>897</v>
      </c>
      <c r="E706" s="31">
        <f>ROUND(0.5228/(1.5*0.6),4)</f>
        <v>0.58089999999999997</v>
      </c>
      <c r="F706" s="48">
        <v>39.909499999999994</v>
      </c>
      <c r="G706" s="48">
        <f t="shared" si="11"/>
        <v>23.183428549999995</v>
      </c>
      <c r="H706" s="33">
        <f>SUM(G706:G712)</f>
        <v>169.04361465000002</v>
      </c>
      <c r="I706" s="34"/>
      <c r="J706" s="138">
        <v>0</v>
      </c>
    </row>
    <row r="707" spans="1:10" ht="39" hidden="1" thickBot="1" x14ac:dyDescent="0.3">
      <c r="A707" s="221"/>
      <c r="B707" s="223"/>
      <c r="C707" s="30" t="s">
        <v>1128</v>
      </c>
      <c r="D707" s="30" t="s">
        <v>279</v>
      </c>
      <c r="E707" s="31">
        <f>ROUND(6/(1.5*0.6),4)</f>
        <v>6.6666999999999996</v>
      </c>
      <c r="F707" s="48">
        <v>1.2255</v>
      </c>
      <c r="G707" s="48">
        <f t="shared" si="11"/>
        <v>8.1700408499999995</v>
      </c>
      <c r="H707" s="67"/>
      <c r="I707" s="68"/>
      <c r="J707" s="138">
        <v>0</v>
      </c>
    </row>
    <row r="708" spans="1:10" ht="26.25" hidden="1" thickBot="1" x14ac:dyDescent="0.3">
      <c r="A708" s="221"/>
      <c r="B708" s="223"/>
      <c r="C708" s="30" t="s">
        <v>249</v>
      </c>
      <c r="D708" s="30" t="s">
        <v>988</v>
      </c>
      <c r="E708" s="31">
        <f>ROUND(1.005/(1.5*0.6),4)</f>
        <v>1.1167</v>
      </c>
      <c r="F708" s="48" t="s">
        <v>521</v>
      </c>
      <c r="G708" s="48" t="str">
        <f t="shared" si="11"/>
        <v/>
      </c>
      <c r="H708" s="67"/>
      <c r="I708" s="68"/>
      <c r="J708" s="138">
        <v>0</v>
      </c>
    </row>
    <row r="709" spans="1:10" ht="15.75" hidden="1" thickBot="1" x14ac:dyDescent="0.3">
      <c r="A709" s="221"/>
      <c r="B709" s="223"/>
      <c r="C709" s="30" t="s">
        <v>1816</v>
      </c>
      <c r="D709" s="30" t="s">
        <v>897</v>
      </c>
      <c r="E709" s="31">
        <f>ROUND(0.0211/(1.5*0.6),4)</f>
        <v>2.3400000000000001E-2</v>
      </c>
      <c r="F709" s="48">
        <v>64.619</v>
      </c>
      <c r="G709" s="48">
        <f t="shared" si="11"/>
        <v>1.5120846000000001</v>
      </c>
      <c r="H709" s="67"/>
      <c r="I709" s="68"/>
      <c r="J709" s="138">
        <v>0</v>
      </c>
    </row>
    <row r="710" spans="1:10" ht="26.25" hidden="1" thickBot="1" x14ac:dyDescent="0.3">
      <c r="A710" s="221"/>
      <c r="B710" s="223"/>
      <c r="C710" s="30" t="s">
        <v>1730</v>
      </c>
      <c r="D710" s="30" t="s">
        <v>279</v>
      </c>
      <c r="E710" s="31">
        <f>ROUND(2/(1.5*0.6),4)</f>
        <v>2.2222</v>
      </c>
      <c r="F710" s="48">
        <v>33.6965</v>
      </c>
      <c r="G710" s="48">
        <f t="shared" si="11"/>
        <v>74.880362300000002</v>
      </c>
      <c r="H710" s="67"/>
      <c r="I710" s="68"/>
      <c r="J710" s="138">
        <v>0</v>
      </c>
    </row>
    <row r="711" spans="1:10" ht="15.75" hidden="1" thickBot="1" x14ac:dyDescent="0.3">
      <c r="A711" s="221"/>
      <c r="B711" s="223"/>
      <c r="C711" s="30" t="s">
        <v>1607</v>
      </c>
      <c r="D711" s="30" t="s">
        <v>702</v>
      </c>
      <c r="E711" s="31">
        <f>ROUND(1.4944/(1.5*0.6),4)</f>
        <v>1.6604000000000001</v>
      </c>
      <c r="F711" s="48">
        <v>24.795000000000002</v>
      </c>
      <c r="G711" s="48">
        <f t="shared" si="11"/>
        <v>41.169618000000007</v>
      </c>
      <c r="H711" s="67"/>
      <c r="I711" s="68"/>
      <c r="J711" s="138">
        <v>0</v>
      </c>
    </row>
    <row r="712" spans="1:10" ht="15.75" hidden="1" thickBot="1" x14ac:dyDescent="0.3">
      <c r="A712" s="221"/>
      <c r="B712" s="223"/>
      <c r="C712" s="30" t="s">
        <v>703</v>
      </c>
      <c r="D712" s="30" t="s">
        <v>702</v>
      </c>
      <c r="E712" s="31">
        <f>ROUND(0.9834/(1.5*0.6),4)</f>
        <v>1.0927</v>
      </c>
      <c r="F712" s="48">
        <v>18.420500000000001</v>
      </c>
      <c r="G712" s="48">
        <f t="shared" si="11"/>
        <v>20.128080350000001</v>
      </c>
      <c r="H712" s="67"/>
      <c r="I712" s="68"/>
      <c r="J712" s="138">
        <v>0</v>
      </c>
    </row>
    <row r="713" spans="1:10" ht="15.75" hidden="1" thickBot="1" x14ac:dyDescent="0.3">
      <c r="A713" s="221"/>
      <c r="B713" s="223"/>
      <c r="C713" s="30"/>
      <c r="D713" s="30"/>
      <c r="E713" s="31"/>
      <c r="F713" s="25" t="s">
        <v>521</v>
      </c>
      <c r="G713" s="28" t="str">
        <f t="shared" si="11"/>
        <v/>
      </c>
      <c r="H713" s="29"/>
      <c r="I713" s="25"/>
      <c r="J713" s="138">
        <v>0</v>
      </c>
    </row>
    <row r="714" spans="1:10" ht="15.75" hidden="1" thickBot="1" x14ac:dyDescent="0.3">
      <c r="A714" s="220" t="s">
        <v>250</v>
      </c>
      <c r="B714" s="222" t="e">
        <f>INDEX(Orçamentária!A:B,MATCH(Composições!A714,Orçamentária!A:A,0),2)</f>
        <v>#N/A</v>
      </c>
      <c r="C714" s="35"/>
      <c r="D714" s="20" t="s">
        <v>95</v>
      </c>
      <c r="E714" s="21"/>
      <c r="F714" s="36" t="s">
        <v>521</v>
      </c>
      <c r="G714" s="22" t="str">
        <f t="shared" si="11"/>
        <v/>
      </c>
      <c r="H714" s="23"/>
      <c r="I714" s="24"/>
      <c r="J714" s="138">
        <v>0</v>
      </c>
    </row>
    <row r="715" spans="1:10" ht="15.75" hidden="1" thickBot="1" x14ac:dyDescent="0.3">
      <c r="A715" s="221"/>
      <c r="B715" s="223"/>
      <c r="C715" s="26"/>
      <c r="D715" s="26"/>
      <c r="E715" s="27"/>
      <c r="F715" s="37" t="s">
        <v>521</v>
      </c>
      <c r="G715" s="25" t="str">
        <f t="shared" si="11"/>
        <v/>
      </c>
      <c r="H715" s="29"/>
      <c r="I715" s="25"/>
      <c r="J715" s="138">
        <v>0</v>
      </c>
    </row>
    <row r="716" spans="1:10" ht="15.75" hidden="1" thickBot="1" x14ac:dyDescent="0.3">
      <c r="A716" s="221"/>
      <c r="B716" s="223"/>
      <c r="C716" s="30" t="s">
        <v>1714</v>
      </c>
      <c r="D716" s="30" t="s">
        <v>897</v>
      </c>
      <c r="E716" s="31">
        <f>ROUND(0.5228/(1.5*0.6),4)</f>
        <v>0.58089999999999997</v>
      </c>
      <c r="F716" s="48">
        <v>39.909499999999994</v>
      </c>
      <c r="G716" s="48">
        <f t="shared" si="11"/>
        <v>23.183428549999995</v>
      </c>
      <c r="H716" s="33">
        <f>SUM(G716:G721)</f>
        <v>169.04361465000002</v>
      </c>
      <c r="I716" s="34"/>
      <c r="J716" s="138">
        <v>0</v>
      </c>
    </row>
    <row r="717" spans="1:10" ht="39" hidden="1" thickBot="1" x14ac:dyDescent="0.3">
      <c r="A717" s="221"/>
      <c r="B717" s="223"/>
      <c r="C717" s="30" t="s">
        <v>1128</v>
      </c>
      <c r="D717" s="30" t="s">
        <v>279</v>
      </c>
      <c r="E717" s="31">
        <f>ROUND(6/(1.5*0.6),4)</f>
        <v>6.6666999999999996</v>
      </c>
      <c r="F717" s="48">
        <v>1.2255</v>
      </c>
      <c r="G717" s="48">
        <f t="shared" si="11"/>
        <v>8.1700408499999995</v>
      </c>
      <c r="H717" s="67"/>
      <c r="I717" s="68"/>
      <c r="J717" s="138">
        <v>0</v>
      </c>
    </row>
    <row r="718" spans="1:10" ht="15.75" hidden="1" thickBot="1" x14ac:dyDescent="0.3">
      <c r="A718" s="221"/>
      <c r="B718" s="223"/>
      <c r="C718" s="30" t="s">
        <v>1816</v>
      </c>
      <c r="D718" s="30" t="s">
        <v>897</v>
      </c>
      <c r="E718" s="31">
        <f>ROUND(0.0211/(1.5*0.6),4)</f>
        <v>2.3400000000000001E-2</v>
      </c>
      <c r="F718" s="48">
        <v>64.619</v>
      </c>
      <c r="G718" s="48">
        <f t="shared" si="11"/>
        <v>1.5120846000000001</v>
      </c>
      <c r="H718" s="67"/>
      <c r="I718" s="68"/>
      <c r="J718" s="138">
        <v>0</v>
      </c>
    </row>
    <row r="719" spans="1:10" ht="26.25" hidden="1" thickBot="1" x14ac:dyDescent="0.3">
      <c r="A719" s="221"/>
      <c r="B719" s="223"/>
      <c r="C719" s="30" t="s">
        <v>1730</v>
      </c>
      <c r="D719" s="30" t="s">
        <v>279</v>
      </c>
      <c r="E719" s="31">
        <f>ROUND(2/(1.5*0.6),4)</f>
        <v>2.2222</v>
      </c>
      <c r="F719" s="48">
        <v>33.6965</v>
      </c>
      <c r="G719" s="48">
        <f t="shared" si="11"/>
        <v>74.880362300000002</v>
      </c>
      <c r="H719" s="67"/>
      <c r="I719" s="68"/>
      <c r="J719" s="138">
        <v>0</v>
      </c>
    </row>
    <row r="720" spans="1:10" ht="15.75" hidden="1" thickBot="1" x14ac:dyDescent="0.3">
      <c r="A720" s="221"/>
      <c r="B720" s="223"/>
      <c r="C720" s="30" t="s">
        <v>1607</v>
      </c>
      <c r="D720" s="30" t="s">
        <v>702</v>
      </c>
      <c r="E720" s="31">
        <f>ROUND(1.4944/(1.5*0.6),4)</f>
        <v>1.6604000000000001</v>
      </c>
      <c r="F720" s="48">
        <v>24.795000000000002</v>
      </c>
      <c r="G720" s="48">
        <f t="shared" si="11"/>
        <v>41.169618000000007</v>
      </c>
      <c r="H720" s="67"/>
      <c r="I720" s="68"/>
      <c r="J720" s="138">
        <v>0</v>
      </c>
    </row>
    <row r="721" spans="1:10" ht="15.75" hidden="1" thickBot="1" x14ac:dyDescent="0.3">
      <c r="A721" s="221"/>
      <c r="B721" s="223"/>
      <c r="C721" s="30" t="s">
        <v>703</v>
      </c>
      <c r="D721" s="30" t="s">
        <v>702</v>
      </c>
      <c r="E721" s="31">
        <f>ROUND(0.9834/(1.5*0.6),4)</f>
        <v>1.0927</v>
      </c>
      <c r="F721" s="48">
        <v>18.420500000000001</v>
      </c>
      <c r="G721" s="48">
        <f t="shared" si="11"/>
        <v>20.128080350000001</v>
      </c>
      <c r="H721" s="67"/>
      <c r="I721" s="68"/>
      <c r="J721" s="138">
        <v>0</v>
      </c>
    </row>
    <row r="722" spans="1:10" ht="15.75" hidden="1" thickBot="1" x14ac:dyDescent="0.3">
      <c r="A722" s="227"/>
      <c r="B722" s="224"/>
      <c r="C722" s="30"/>
      <c r="D722" s="30"/>
      <c r="E722" s="31"/>
      <c r="F722" s="25" t="s">
        <v>521</v>
      </c>
      <c r="G722" s="25" t="str">
        <f t="shared" ref="G722:G785" si="12">IF(ISNUMBER(F722),E722*F722,"")</f>
        <v/>
      </c>
      <c r="H722" s="29"/>
      <c r="I722" s="25"/>
      <c r="J722" s="138">
        <v>0</v>
      </c>
    </row>
    <row r="723" spans="1:10" ht="15.75" hidden="1" thickBot="1" x14ac:dyDescent="0.3">
      <c r="A723" s="220" t="s">
        <v>251</v>
      </c>
      <c r="B723" s="222" t="e">
        <f>INDEX(Orçamentária!A:B,MATCH(Composições!A723,Orçamentária!A:A,0),2)</f>
        <v>#N/A</v>
      </c>
      <c r="C723" s="35"/>
      <c r="D723" s="20" t="s">
        <v>95</v>
      </c>
      <c r="E723" s="21"/>
      <c r="F723" s="36" t="s">
        <v>521</v>
      </c>
      <c r="G723" s="22" t="str">
        <f t="shared" si="12"/>
        <v/>
      </c>
      <c r="H723" s="23"/>
      <c r="I723" s="24"/>
      <c r="J723" s="138">
        <v>0</v>
      </c>
    </row>
    <row r="724" spans="1:10" ht="15.75" hidden="1" thickBot="1" x14ac:dyDescent="0.3">
      <c r="A724" s="221"/>
      <c r="B724" s="223"/>
      <c r="C724" s="26"/>
      <c r="D724" s="26"/>
      <c r="E724" s="27"/>
      <c r="F724" s="37" t="s">
        <v>521</v>
      </c>
      <c r="G724" s="25" t="str">
        <f t="shared" si="12"/>
        <v/>
      </c>
      <c r="H724" s="29"/>
      <c r="I724" s="25"/>
      <c r="J724" s="138">
        <v>0</v>
      </c>
    </row>
    <row r="725" spans="1:10" ht="15.75" hidden="1" thickBot="1" x14ac:dyDescent="0.3">
      <c r="A725" s="221"/>
      <c r="B725" s="223"/>
      <c r="C725" s="30" t="s">
        <v>1831</v>
      </c>
      <c r="D725" s="30" t="s">
        <v>42</v>
      </c>
      <c r="E725" s="31">
        <f>0.8614</f>
        <v>0.86140000000000005</v>
      </c>
      <c r="F725" s="28">
        <v>1.6054999999999999</v>
      </c>
      <c r="G725" s="28">
        <f t="shared" si="12"/>
        <v>1.3829777000000001</v>
      </c>
      <c r="H725" s="33">
        <f>SUM(G725:G728)</f>
        <v>11.9268377</v>
      </c>
      <c r="I725" s="34"/>
      <c r="J725" s="138">
        <v>0</v>
      </c>
    </row>
    <row r="726" spans="1:10" ht="15.75" hidden="1" thickBot="1" x14ac:dyDescent="0.3">
      <c r="A726" s="221"/>
      <c r="B726" s="223"/>
      <c r="C726" s="30" t="s">
        <v>54</v>
      </c>
      <c r="D726" s="30" t="s">
        <v>12</v>
      </c>
      <c r="E726" s="31">
        <f>0.299</f>
        <v>0.29899999999999999</v>
      </c>
      <c r="F726" s="25">
        <v>24.795000000000002</v>
      </c>
      <c r="G726" s="28">
        <f t="shared" si="12"/>
        <v>7.4137050000000002</v>
      </c>
      <c r="H726" s="29"/>
      <c r="I726" s="25"/>
      <c r="J726" s="138">
        <v>0</v>
      </c>
    </row>
    <row r="727" spans="1:10" ht="15.75" hidden="1" thickBot="1" x14ac:dyDescent="0.3">
      <c r="A727" s="221"/>
      <c r="B727" s="223"/>
      <c r="C727" s="30" t="s">
        <v>23</v>
      </c>
      <c r="D727" s="30" t="s">
        <v>12</v>
      </c>
      <c r="E727" s="31">
        <f>0.15</f>
        <v>0.15</v>
      </c>
      <c r="F727" s="25">
        <v>18.420500000000001</v>
      </c>
      <c r="G727" s="28">
        <f t="shared" si="12"/>
        <v>2.7630750000000002</v>
      </c>
      <c r="H727" s="29"/>
      <c r="I727" s="25"/>
      <c r="J727" s="138">
        <v>0</v>
      </c>
    </row>
    <row r="728" spans="1:10" ht="15.75" hidden="1" thickBot="1" x14ac:dyDescent="0.3">
      <c r="A728" s="221"/>
      <c r="B728" s="223"/>
      <c r="C728" s="30" t="s">
        <v>1830</v>
      </c>
      <c r="D728" s="30" t="s">
        <v>42</v>
      </c>
      <c r="E728" s="31">
        <f>0.12</f>
        <v>0.12</v>
      </c>
      <c r="F728" s="28">
        <v>3.0590000000000002</v>
      </c>
      <c r="G728" s="28">
        <f t="shared" si="12"/>
        <v>0.36708000000000002</v>
      </c>
      <c r="H728" s="29"/>
      <c r="I728" s="25"/>
      <c r="J728" s="138">
        <v>0</v>
      </c>
    </row>
    <row r="729" spans="1:10" ht="15.75" hidden="1" thickBot="1" x14ac:dyDescent="0.3">
      <c r="A729" s="227"/>
      <c r="B729" s="224"/>
      <c r="C729" s="30"/>
      <c r="D729" s="30"/>
      <c r="E729" s="31"/>
      <c r="F729" s="25" t="s">
        <v>521</v>
      </c>
      <c r="G729" s="25" t="str">
        <f t="shared" si="12"/>
        <v/>
      </c>
      <c r="H729" s="29"/>
      <c r="I729" s="25"/>
      <c r="J729" s="138">
        <v>0</v>
      </c>
    </row>
    <row r="730" spans="1:10" ht="15.75" hidden="1" thickBot="1" x14ac:dyDescent="0.3">
      <c r="A730" s="220" t="s">
        <v>252</v>
      </c>
      <c r="B730" s="222" t="e">
        <f>INDEX(Orçamentária!A:B,MATCH(Composições!A730,Orçamentária!A:A,0),2)</f>
        <v>#N/A</v>
      </c>
      <c r="C730" s="35"/>
      <c r="D730" s="20" t="s">
        <v>95</v>
      </c>
      <c r="E730" s="21"/>
      <c r="F730" s="36" t="s">
        <v>521</v>
      </c>
      <c r="G730" s="22" t="str">
        <f t="shared" si="12"/>
        <v/>
      </c>
      <c r="H730" s="23"/>
      <c r="I730" s="24"/>
      <c r="J730" s="138">
        <v>0</v>
      </c>
    </row>
    <row r="731" spans="1:10" ht="15.75" hidden="1" thickBot="1" x14ac:dyDescent="0.3">
      <c r="A731" s="221"/>
      <c r="B731" s="223"/>
      <c r="C731" s="26"/>
      <c r="D731" s="26"/>
      <c r="E731" s="27"/>
      <c r="F731" s="37" t="s">
        <v>521</v>
      </c>
      <c r="G731" s="25" t="str">
        <f t="shared" si="12"/>
        <v/>
      </c>
      <c r="H731" s="29"/>
      <c r="I731" s="25"/>
      <c r="J731" s="138">
        <v>0</v>
      </c>
    </row>
    <row r="732" spans="1:10" ht="15.75" hidden="1" thickBot="1" x14ac:dyDescent="0.3">
      <c r="A732" s="221"/>
      <c r="B732" s="223"/>
      <c r="C732" s="30" t="s">
        <v>54</v>
      </c>
      <c r="D732" s="30" t="s">
        <v>12</v>
      </c>
      <c r="E732" s="31">
        <v>1.1879999999999999</v>
      </c>
      <c r="F732" s="25">
        <v>24.795000000000002</v>
      </c>
      <c r="G732" s="28">
        <f t="shared" si="12"/>
        <v>29.45646</v>
      </c>
      <c r="H732" s="33">
        <f>SUM(G732:G734)</f>
        <v>54.237646999999996</v>
      </c>
      <c r="I732" s="34"/>
      <c r="J732" s="138">
        <v>0</v>
      </c>
    </row>
    <row r="733" spans="1:10" ht="15.75" hidden="1" thickBot="1" x14ac:dyDescent="0.3">
      <c r="A733" s="221"/>
      <c r="B733" s="223"/>
      <c r="C733" s="30" t="s">
        <v>23</v>
      </c>
      <c r="D733" s="30" t="s">
        <v>12</v>
      </c>
      <c r="E733" s="31">
        <v>0.59399999999999997</v>
      </c>
      <c r="F733" s="25">
        <v>18.420500000000001</v>
      </c>
      <c r="G733" s="28">
        <f t="shared" si="12"/>
        <v>10.941777</v>
      </c>
      <c r="H733" s="29"/>
      <c r="I733" s="25"/>
      <c r="J733" s="138">
        <v>0</v>
      </c>
    </row>
    <row r="734" spans="1:10" ht="15.75" hidden="1" thickBot="1" x14ac:dyDescent="0.3">
      <c r="A734" s="221"/>
      <c r="B734" s="223"/>
      <c r="C734" s="30" t="s">
        <v>1831</v>
      </c>
      <c r="D734" s="30" t="s">
        <v>42</v>
      </c>
      <c r="E734" s="31">
        <v>8.6199999999999992</v>
      </c>
      <c r="F734" s="28">
        <v>1.6054999999999999</v>
      </c>
      <c r="G734" s="28">
        <f t="shared" si="12"/>
        <v>13.839409999999997</v>
      </c>
      <c r="H734" s="29"/>
      <c r="I734" s="25"/>
      <c r="J734" s="138">
        <v>0</v>
      </c>
    </row>
    <row r="735" spans="1:10" ht="15.75" hidden="1" thickBot="1" x14ac:dyDescent="0.3">
      <c r="A735" s="227"/>
      <c r="B735" s="224"/>
      <c r="C735" s="30"/>
      <c r="D735" s="30"/>
      <c r="E735" s="31"/>
      <c r="F735" s="25" t="s">
        <v>521</v>
      </c>
      <c r="G735" s="25" t="str">
        <f t="shared" si="12"/>
        <v/>
      </c>
      <c r="H735" s="29"/>
      <c r="I735" s="25"/>
      <c r="J735" s="138">
        <v>0</v>
      </c>
    </row>
    <row r="736" spans="1:10" ht="15.75" hidden="1" thickBot="1" x14ac:dyDescent="0.3">
      <c r="A736" s="220" t="s">
        <v>253</v>
      </c>
      <c r="B736" s="222" t="e">
        <f>INDEX(Orçamentária!A:B,MATCH(Composições!A736,Orçamentária!A:A,0),2)</f>
        <v>#N/A</v>
      </c>
      <c r="C736" s="35"/>
      <c r="D736" s="20" t="s">
        <v>95</v>
      </c>
      <c r="E736" s="21"/>
      <c r="F736" s="36" t="s">
        <v>521</v>
      </c>
      <c r="G736" s="22" t="str">
        <f t="shared" si="12"/>
        <v/>
      </c>
      <c r="H736" s="23"/>
      <c r="I736" s="24"/>
      <c r="J736" s="138">
        <v>0</v>
      </c>
    </row>
    <row r="737" spans="1:10" ht="15.75" hidden="1" thickBot="1" x14ac:dyDescent="0.3">
      <c r="A737" s="221"/>
      <c r="B737" s="223"/>
      <c r="C737" s="26"/>
      <c r="D737" s="26"/>
      <c r="E737" s="27"/>
      <c r="F737" s="37" t="s">
        <v>521</v>
      </c>
      <c r="G737" s="25" t="str">
        <f t="shared" si="12"/>
        <v/>
      </c>
      <c r="H737" s="29"/>
      <c r="I737" s="25"/>
      <c r="J737" s="138">
        <v>0</v>
      </c>
    </row>
    <row r="738" spans="1:10" ht="26.25" hidden="1" thickBot="1" x14ac:dyDescent="0.3">
      <c r="A738" s="221"/>
      <c r="B738" s="223"/>
      <c r="C738" s="30" t="s">
        <v>254</v>
      </c>
      <c r="D738" s="30" t="s">
        <v>93</v>
      </c>
      <c r="E738" s="31">
        <f>ROUND(1.04/0.15,4)</f>
        <v>6.9333</v>
      </c>
      <c r="F738" s="28" t="s">
        <v>521</v>
      </c>
      <c r="G738" s="28" t="str">
        <f t="shared" si="12"/>
        <v/>
      </c>
      <c r="H738" s="33">
        <f>SUM(G738:G742)</f>
        <v>54.665906999999997</v>
      </c>
      <c r="I738" s="34"/>
      <c r="J738" s="138">
        <v>0</v>
      </c>
    </row>
    <row r="739" spans="1:10" ht="15.75" hidden="1" thickBot="1" x14ac:dyDescent="0.3">
      <c r="A739" s="221"/>
      <c r="B739" s="223"/>
      <c r="C739" s="30" t="s">
        <v>1831</v>
      </c>
      <c r="D739" s="30" t="s">
        <v>42</v>
      </c>
      <c r="E739" s="31">
        <v>8.6199999999999992</v>
      </c>
      <c r="F739" s="28">
        <v>1.6054999999999999</v>
      </c>
      <c r="G739" s="28">
        <f t="shared" si="12"/>
        <v>13.839409999999997</v>
      </c>
      <c r="H739" s="29"/>
      <c r="I739" s="25"/>
      <c r="J739" s="138">
        <v>0</v>
      </c>
    </row>
    <row r="740" spans="1:10" ht="15.75" hidden="1" thickBot="1" x14ac:dyDescent="0.3">
      <c r="A740" s="221"/>
      <c r="B740" s="223"/>
      <c r="C740" s="30" t="s">
        <v>54</v>
      </c>
      <c r="D740" s="30" t="s">
        <v>12</v>
      </c>
      <c r="E740" s="31">
        <v>1.1879999999999999</v>
      </c>
      <c r="F740" s="25">
        <v>24.795000000000002</v>
      </c>
      <c r="G740" s="28">
        <f t="shared" si="12"/>
        <v>29.45646</v>
      </c>
      <c r="H740" s="29"/>
      <c r="I740" s="25"/>
      <c r="J740" s="138">
        <v>0</v>
      </c>
    </row>
    <row r="741" spans="1:10" ht="15.75" hidden="1" thickBot="1" x14ac:dyDescent="0.3">
      <c r="A741" s="221"/>
      <c r="B741" s="223"/>
      <c r="C741" s="30" t="s">
        <v>23</v>
      </c>
      <c r="D741" s="30" t="s">
        <v>12</v>
      </c>
      <c r="E741" s="31">
        <v>0.59399999999999997</v>
      </c>
      <c r="F741" s="25">
        <v>18.420500000000001</v>
      </c>
      <c r="G741" s="28">
        <f t="shared" si="12"/>
        <v>10.941777</v>
      </c>
      <c r="H741" s="29"/>
      <c r="I741" s="25"/>
      <c r="J741" s="138">
        <v>0</v>
      </c>
    </row>
    <row r="742" spans="1:10" ht="15.75" hidden="1" thickBot="1" x14ac:dyDescent="0.3">
      <c r="A742" s="221"/>
      <c r="B742" s="223"/>
      <c r="C742" s="30" t="s">
        <v>1830</v>
      </c>
      <c r="D742" s="30" t="s">
        <v>42</v>
      </c>
      <c r="E742" s="31">
        <v>0.14000000000000001</v>
      </c>
      <c r="F742" s="28">
        <v>3.0590000000000002</v>
      </c>
      <c r="G742" s="28">
        <f t="shared" si="12"/>
        <v>0.42826000000000009</v>
      </c>
      <c r="H742" s="29"/>
      <c r="I742" s="25"/>
      <c r="J742" s="138">
        <v>0</v>
      </c>
    </row>
    <row r="743" spans="1:10" ht="15.75" hidden="1" thickBot="1" x14ac:dyDescent="0.3">
      <c r="A743" s="221"/>
      <c r="B743" s="223"/>
      <c r="C743" s="30"/>
      <c r="D743" s="30"/>
      <c r="E743" s="31"/>
      <c r="F743" s="28" t="s">
        <v>521</v>
      </c>
      <c r="G743" s="28" t="str">
        <f t="shared" si="12"/>
        <v/>
      </c>
      <c r="H743" s="29"/>
      <c r="I743" s="25"/>
      <c r="J743" s="138">
        <v>0</v>
      </c>
    </row>
    <row r="744" spans="1:10" ht="15.75" hidden="1" thickBot="1" x14ac:dyDescent="0.3">
      <c r="A744" s="220" t="s">
        <v>255</v>
      </c>
      <c r="B744" s="222" t="e">
        <f>INDEX(Orçamentária!A:B,MATCH(Composições!A744,Orçamentária!A:A,0),2)</f>
        <v>#N/A</v>
      </c>
      <c r="C744" s="35"/>
      <c r="D744" s="20" t="s">
        <v>95</v>
      </c>
      <c r="E744" s="21"/>
      <c r="F744" s="36" t="s">
        <v>521</v>
      </c>
      <c r="G744" s="22" t="str">
        <f t="shared" si="12"/>
        <v/>
      </c>
      <c r="H744" s="23"/>
      <c r="I744" s="24"/>
      <c r="J744" s="138">
        <v>0</v>
      </c>
    </row>
    <row r="745" spans="1:10" ht="15.75" hidden="1" thickBot="1" x14ac:dyDescent="0.3">
      <c r="A745" s="221"/>
      <c r="B745" s="223"/>
      <c r="C745" s="26"/>
      <c r="D745" s="26"/>
      <c r="E745" s="27"/>
      <c r="F745" s="37" t="s">
        <v>521</v>
      </c>
      <c r="G745" s="25" t="str">
        <f t="shared" si="12"/>
        <v/>
      </c>
      <c r="H745" s="29"/>
      <c r="I745" s="25"/>
      <c r="J745" s="138">
        <v>0</v>
      </c>
    </row>
    <row r="746" spans="1:10" ht="26.25" hidden="1" thickBot="1" x14ac:dyDescent="0.3">
      <c r="A746" s="221"/>
      <c r="B746" s="223"/>
      <c r="C746" s="30" t="s">
        <v>256</v>
      </c>
      <c r="D746" s="41" t="s">
        <v>95</v>
      </c>
      <c r="E746" s="31">
        <v>1</v>
      </c>
      <c r="F746" s="25">
        <v>0</v>
      </c>
      <c r="G746" s="28">
        <f t="shared" si="12"/>
        <v>0</v>
      </c>
      <c r="H746" s="33">
        <f>SUM(G746:G746)</f>
        <v>0</v>
      </c>
      <c r="I746" s="34"/>
      <c r="J746" s="138">
        <v>0</v>
      </c>
    </row>
    <row r="747" spans="1:10" ht="15.75" hidden="1" thickBot="1" x14ac:dyDescent="0.3">
      <c r="A747" s="227"/>
      <c r="B747" s="224"/>
      <c r="C747" s="30"/>
      <c r="D747" s="30"/>
      <c r="E747" s="31"/>
      <c r="F747" s="25" t="s">
        <v>521</v>
      </c>
      <c r="G747" s="25" t="str">
        <f t="shared" si="12"/>
        <v/>
      </c>
      <c r="H747" s="29"/>
      <c r="I747" s="25"/>
      <c r="J747" s="138">
        <v>0</v>
      </c>
    </row>
    <row r="748" spans="1:10" ht="15.75" hidden="1" thickBot="1" x14ac:dyDescent="0.3">
      <c r="A748" s="220" t="s">
        <v>257</v>
      </c>
      <c r="B748" s="222" t="e">
        <f>INDEX(Orçamentária!A:B,MATCH(Composições!A748,Orçamentária!A:A,0),2)</f>
        <v>#N/A</v>
      </c>
      <c r="C748" s="35"/>
      <c r="D748" s="20" t="s">
        <v>95</v>
      </c>
      <c r="E748" s="21"/>
      <c r="F748" s="36" t="s">
        <v>521</v>
      </c>
      <c r="G748" s="22" t="str">
        <f t="shared" si="12"/>
        <v/>
      </c>
      <c r="H748" s="23"/>
      <c r="I748" s="24"/>
      <c r="J748" s="138">
        <v>0</v>
      </c>
    </row>
    <row r="749" spans="1:10" ht="15.75" hidden="1" thickBot="1" x14ac:dyDescent="0.3">
      <c r="A749" s="221"/>
      <c r="B749" s="223"/>
      <c r="C749" s="26"/>
      <c r="D749" s="26"/>
      <c r="E749" s="27"/>
      <c r="F749" s="37" t="s">
        <v>521</v>
      </c>
      <c r="G749" s="25" t="str">
        <f t="shared" si="12"/>
        <v/>
      </c>
      <c r="H749" s="29"/>
      <c r="I749" s="25"/>
      <c r="J749" s="138">
        <v>0</v>
      </c>
    </row>
    <row r="750" spans="1:10" ht="26.25" hidden="1" thickBot="1" x14ac:dyDescent="0.3">
      <c r="A750" s="221"/>
      <c r="B750" s="223"/>
      <c r="C750" s="30" t="s">
        <v>258</v>
      </c>
      <c r="D750" s="41" t="s">
        <v>93</v>
      </c>
      <c r="E750" s="31">
        <f>2*(1.5+0.67)</f>
        <v>4.34</v>
      </c>
      <c r="F750" s="28">
        <v>4.8165000000000004</v>
      </c>
      <c r="G750" s="28">
        <f t="shared" si="12"/>
        <v>20.90361</v>
      </c>
      <c r="H750" s="33">
        <f>SUM(G750:G753)</f>
        <v>64.071610000000007</v>
      </c>
      <c r="I750" s="34"/>
      <c r="J750" s="138">
        <v>0</v>
      </c>
    </row>
    <row r="751" spans="1:10" ht="15.75" hidden="1" thickBot="1" x14ac:dyDescent="0.3">
      <c r="A751" s="221"/>
      <c r="B751" s="223"/>
      <c r="C751" s="30" t="s">
        <v>259</v>
      </c>
      <c r="D751" s="41" t="s">
        <v>95</v>
      </c>
      <c r="E751" s="31">
        <f>0.36/0.6/0.6</f>
        <v>1</v>
      </c>
      <c r="F751" s="28" t="s">
        <v>521</v>
      </c>
      <c r="G751" s="28" t="str">
        <f t="shared" si="12"/>
        <v/>
      </c>
      <c r="H751" s="29"/>
      <c r="I751" s="25"/>
      <c r="J751" s="138">
        <v>0</v>
      </c>
    </row>
    <row r="752" spans="1:10" ht="15.75" hidden="1" thickBot="1" x14ac:dyDescent="0.3">
      <c r="A752" s="221"/>
      <c r="B752" s="223"/>
      <c r="C752" s="30" t="s">
        <v>179</v>
      </c>
      <c r="D752" s="41" t="s">
        <v>12</v>
      </c>
      <c r="E752" s="31">
        <v>1</v>
      </c>
      <c r="F752" s="25">
        <v>24.747499999999999</v>
      </c>
      <c r="G752" s="28">
        <f t="shared" si="12"/>
        <v>24.747499999999999</v>
      </c>
      <c r="H752" s="29"/>
      <c r="I752" s="25"/>
      <c r="J752" s="138">
        <v>0</v>
      </c>
    </row>
    <row r="753" spans="1:10" ht="15.75" hidden="1" thickBot="1" x14ac:dyDescent="0.3">
      <c r="A753" s="221"/>
      <c r="B753" s="223"/>
      <c r="C753" s="30" t="s">
        <v>23</v>
      </c>
      <c r="D753" s="41" t="s">
        <v>12</v>
      </c>
      <c r="E753" s="31">
        <v>1</v>
      </c>
      <c r="F753" s="25">
        <v>18.420500000000001</v>
      </c>
      <c r="G753" s="28">
        <f t="shared" si="12"/>
        <v>18.420500000000001</v>
      </c>
      <c r="H753" s="29"/>
      <c r="I753" s="25"/>
      <c r="J753" s="138">
        <v>0</v>
      </c>
    </row>
    <row r="754" spans="1:10" ht="15.75" hidden="1" thickBot="1" x14ac:dyDescent="0.3">
      <c r="A754" s="227"/>
      <c r="B754" s="224"/>
      <c r="C754" s="30"/>
      <c r="D754" s="30"/>
      <c r="E754" s="31"/>
      <c r="F754" s="25" t="s">
        <v>521</v>
      </c>
      <c r="G754" s="25" t="str">
        <f t="shared" si="12"/>
        <v/>
      </c>
      <c r="H754" s="29"/>
      <c r="I754" s="25"/>
      <c r="J754" s="138">
        <v>0</v>
      </c>
    </row>
    <row r="755" spans="1:10" ht="15.75" hidden="1" thickBot="1" x14ac:dyDescent="0.3">
      <c r="A755" s="220" t="s">
        <v>260</v>
      </c>
      <c r="B755" s="222" t="e">
        <f>INDEX(Orçamentária!A:B,MATCH(Composições!A755,Orçamentária!A:A,0),2)</f>
        <v>#N/A</v>
      </c>
      <c r="C755" s="35"/>
      <c r="D755" s="20" t="s">
        <v>95</v>
      </c>
      <c r="E755" s="21"/>
      <c r="F755" s="36" t="s">
        <v>521</v>
      </c>
      <c r="G755" s="22" t="str">
        <f t="shared" si="12"/>
        <v/>
      </c>
      <c r="H755" s="23"/>
      <c r="I755" s="24"/>
      <c r="J755" s="138">
        <v>0</v>
      </c>
    </row>
    <row r="756" spans="1:10" ht="15.75" hidden="1" thickBot="1" x14ac:dyDescent="0.3">
      <c r="A756" s="221"/>
      <c r="B756" s="223"/>
      <c r="C756" s="26"/>
      <c r="D756" s="26"/>
      <c r="E756" s="27"/>
      <c r="F756" s="37" t="s">
        <v>521</v>
      </c>
      <c r="G756" s="25" t="str">
        <f t="shared" si="12"/>
        <v/>
      </c>
      <c r="H756" s="29"/>
      <c r="I756" s="25"/>
      <c r="J756" s="138">
        <v>0</v>
      </c>
    </row>
    <row r="757" spans="1:10" ht="26.25" hidden="1" thickBot="1" x14ac:dyDescent="0.3">
      <c r="A757" s="221"/>
      <c r="B757" s="223"/>
      <c r="C757" s="30" t="s">
        <v>261</v>
      </c>
      <c r="D757" s="41" t="s">
        <v>42</v>
      </c>
      <c r="E757" s="31">
        <v>4.2599999999999999E-2</v>
      </c>
      <c r="F757" s="28">
        <v>26.257999999999999</v>
      </c>
      <c r="G757" s="25">
        <f t="shared" si="12"/>
        <v>1.1185908</v>
      </c>
      <c r="H757" s="33">
        <f>SUM(G757:G764)</f>
        <v>61.616387249999988</v>
      </c>
      <c r="I757" s="34"/>
      <c r="J757" s="138">
        <v>0</v>
      </c>
    </row>
    <row r="758" spans="1:10" ht="26.25" hidden="1" thickBot="1" x14ac:dyDescent="0.3">
      <c r="A758" s="221"/>
      <c r="B758" s="223"/>
      <c r="C758" s="30" t="s">
        <v>262</v>
      </c>
      <c r="D758" s="41" t="s">
        <v>95</v>
      </c>
      <c r="E758" s="31">
        <v>1.0955999999999999</v>
      </c>
      <c r="F758" s="28">
        <v>21.849999999999998</v>
      </c>
      <c r="G758" s="25">
        <f t="shared" si="12"/>
        <v>23.938859999999995</v>
      </c>
      <c r="H758" s="29"/>
      <c r="I758" s="25"/>
      <c r="J758" s="138">
        <v>0</v>
      </c>
    </row>
    <row r="759" spans="1:10" ht="26.25" hidden="1" thickBot="1" x14ac:dyDescent="0.3">
      <c r="A759" s="221"/>
      <c r="B759" s="223"/>
      <c r="C759" s="30" t="s">
        <v>263</v>
      </c>
      <c r="D759" s="41" t="s">
        <v>93</v>
      </c>
      <c r="E759" s="31">
        <v>3.8498999999999999</v>
      </c>
      <c r="F759" s="28">
        <v>5.7379999999999995</v>
      </c>
      <c r="G759" s="25">
        <f t="shared" si="12"/>
        <v>22.090726199999999</v>
      </c>
      <c r="H759" s="29"/>
      <c r="I759" s="25"/>
      <c r="J759" s="138">
        <v>0</v>
      </c>
    </row>
    <row r="760" spans="1:10" ht="26.25" hidden="1" thickBot="1" x14ac:dyDescent="0.3">
      <c r="A760" s="221"/>
      <c r="B760" s="223"/>
      <c r="C760" s="30" t="s">
        <v>264</v>
      </c>
      <c r="D760" s="41" t="s">
        <v>20</v>
      </c>
      <c r="E760" s="31">
        <v>1.3265</v>
      </c>
      <c r="F760" s="28">
        <v>2.1564999999999999</v>
      </c>
      <c r="G760" s="25">
        <f t="shared" si="12"/>
        <v>2.8605972499999996</v>
      </c>
      <c r="H760" s="29"/>
      <c r="I760" s="25"/>
      <c r="J760" s="138">
        <v>0</v>
      </c>
    </row>
    <row r="761" spans="1:10" ht="26.25" hidden="1" thickBot="1" x14ac:dyDescent="0.3">
      <c r="A761" s="221"/>
      <c r="B761" s="223"/>
      <c r="C761" s="30" t="s">
        <v>161</v>
      </c>
      <c r="D761" s="41" t="s">
        <v>20</v>
      </c>
      <c r="E761" s="31">
        <v>2.1911999999999998</v>
      </c>
      <c r="F761" s="28">
        <v>0.20899999999999999</v>
      </c>
      <c r="G761" s="25">
        <f t="shared" si="12"/>
        <v>0.45796079999999995</v>
      </c>
      <c r="H761" s="29"/>
      <c r="I761" s="25"/>
      <c r="J761" s="138">
        <v>0</v>
      </c>
    </row>
    <row r="762" spans="1:10" ht="26.25" hidden="1" thickBot="1" x14ac:dyDescent="0.3">
      <c r="A762" s="221"/>
      <c r="B762" s="223"/>
      <c r="C762" s="30" t="s">
        <v>265</v>
      </c>
      <c r="D762" s="41" t="s">
        <v>152</v>
      </c>
      <c r="E762" s="31">
        <v>1.32E-2</v>
      </c>
      <c r="F762" s="28">
        <v>24.101500000000001</v>
      </c>
      <c r="G762" s="25">
        <f t="shared" si="12"/>
        <v>0.31813980000000003</v>
      </c>
      <c r="H762" s="29"/>
      <c r="I762" s="25"/>
      <c r="J762" s="138">
        <v>0</v>
      </c>
    </row>
    <row r="763" spans="1:10" ht="26.25" hidden="1" thickBot="1" x14ac:dyDescent="0.3">
      <c r="A763" s="221"/>
      <c r="B763" s="223"/>
      <c r="C763" s="30" t="s">
        <v>266</v>
      </c>
      <c r="D763" s="41" t="s">
        <v>152</v>
      </c>
      <c r="E763" s="31">
        <v>3.3300000000000003E-2</v>
      </c>
      <c r="F763" s="28">
        <v>41.324999999999996</v>
      </c>
      <c r="G763" s="25">
        <f t="shared" si="12"/>
        <v>1.3761224999999999</v>
      </c>
      <c r="H763" s="29"/>
      <c r="I763" s="25"/>
      <c r="J763" s="138">
        <v>0</v>
      </c>
    </row>
    <row r="764" spans="1:10" ht="15.75" hidden="1" thickBot="1" x14ac:dyDescent="0.3">
      <c r="A764" s="221"/>
      <c r="B764" s="223"/>
      <c r="C764" s="30" t="s">
        <v>27</v>
      </c>
      <c r="D764" s="41" t="s">
        <v>12</v>
      </c>
      <c r="E764" s="31">
        <v>0.49940000000000001</v>
      </c>
      <c r="F764" s="25">
        <v>18.933499999999999</v>
      </c>
      <c r="G764" s="25">
        <f t="shared" si="12"/>
        <v>9.4553899000000001</v>
      </c>
      <c r="H764" s="29"/>
      <c r="I764" s="25"/>
      <c r="J764" s="138">
        <v>0</v>
      </c>
    </row>
    <row r="765" spans="1:10" ht="15.75" hidden="1" thickBot="1" x14ac:dyDescent="0.3">
      <c r="A765" s="227"/>
      <c r="B765" s="224"/>
      <c r="C765" s="30"/>
      <c r="D765" s="30"/>
      <c r="E765" s="31"/>
      <c r="F765" s="25" t="s">
        <v>521</v>
      </c>
      <c r="G765" s="25" t="str">
        <f t="shared" si="12"/>
        <v/>
      </c>
      <c r="H765" s="29"/>
      <c r="I765" s="25"/>
      <c r="J765" s="138">
        <v>0</v>
      </c>
    </row>
    <row r="766" spans="1:10" ht="15.75" hidden="1" thickBot="1" x14ac:dyDescent="0.3">
      <c r="A766" s="220" t="s">
        <v>267</v>
      </c>
      <c r="B766" s="222" t="e">
        <f>INDEX(Orçamentária!A:B,MATCH(Composições!A766,Orçamentária!A:A,0),2)</f>
        <v>#N/A</v>
      </c>
      <c r="C766" s="35"/>
      <c r="D766" s="20" t="s">
        <v>95</v>
      </c>
      <c r="E766" s="21"/>
      <c r="F766" s="36" t="s">
        <v>521</v>
      </c>
      <c r="G766" s="22" t="str">
        <f t="shared" si="12"/>
        <v/>
      </c>
      <c r="H766" s="23"/>
      <c r="I766" s="24"/>
      <c r="J766" s="138">
        <v>0</v>
      </c>
    </row>
    <row r="767" spans="1:10" ht="15.75" hidden="1" thickBot="1" x14ac:dyDescent="0.3">
      <c r="A767" s="221"/>
      <c r="B767" s="223"/>
      <c r="C767" s="26"/>
      <c r="D767" s="26"/>
      <c r="E767" s="27"/>
      <c r="F767" s="37" t="s">
        <v>521</v>
      </c>
      <c r="G767" s="25" t="str">
        <f t="shared" si="12"/>
        <v/>
      </c>
      <c r="H767" s="29"/>
      <c r="I767" s="25"/>
      <c r="J767" s="138">
        <v>0</v>
      </c>
    </row>
    <row r="768" spans="1:10" ht="26.25" hidden="1" thickBot="1" x14ac:dyDescent="0.3">
      <c r="A768" s="221"/>
      <c r="B768" s="223"/>
      <c r="C768" s="30" t="s">
        <v>262</v>
      </c>
      <c r="D768" s="41" t="s">
        <v>95</v>
      </c>
      <c r="E768" s="31">
        <v>1.0955999999999999</v>
      </c>
      <c r="F768" s="28">
        <v>21.849999999999998</v>
      </c>
      <c r="G768" s="25">
        <f t="shared" si="12"/>
        <v>23.938859999999995</v>
      </c>
      <c r="H768" s="33">
        <f>SUM(G768:G770)</f>
        <v>27.233059099999991</v>
      </c>
      <c r="I768" s="34"/>
      <c r="J768" s="138">
        <v>0</v>
      </c>
    </row>
    <row r="769" spans="1:10" ht="26.25" hidden="1" thickBot="1" x14ac:dyDescent="0.3">
      <c r="A769" s="221"/>
      <c r="B769" s="223"/>
      <c r="C769" s="30" t="s">
        <v>161</v>
      </c>
      <c r="D769" s="41" t="s">
        <v>20</v>
      </c>
      <c r="E769" s="31">
        <v>2.1911999999999998</v>
      </c>
      <c r="F769" s="28">
        <v>0.20899999999999999</v>
      </c>
      <c r="G769" s="28">
        <f t="shared" si="12"/>
        <v>0.45796079999999995</v>
      </c>
      <c r="H769" s="38"/>
      <c r="I769" s="34"/>
      <c r="J769" s="138">
        <v>0</v>
      </c>
    </row>
    <row r="770" spans="1:10" ht="15.75" hidden="1" thickBot="1" x14ac:dyDescent="0.3">
      <c r="A770" s="221"/>
      <c r="B770" s="223"/>
      <c r="C770" s="30" t="s">
        <v>27</v>
      </c>
      <c r="D770" s="41" t="s">
        <v>12</v>
      </c>
      <c r="E770" s="31">
        <f>ROUND(0.4994*0.3,4)</f>
        <v>0.14979999999999999</v>
      </c>
      <c r="F770" s="25">
        <v>18.933499999999999</v>
      </c>
      <c r="G770" s="28">
        <f t="shared" si="12"/>
        <v>2.8362382999999998</v>
      </c>
      <c r="H770" s="29"/>
      <c r="I770" s="25"/>
      <c r="J770" s="138">
        <v>0</v>
      </c>
    </row>
    <row r="771" spans="1:10" ht="15.75" hidden="1" thickBot="1" x14ac:dyDescent="0.3">
      <c r="A771" s="227"/>
      <c r="B771" s="224"/>
      <c r="C771" s="30"/>
      <c r="D771" s="30"/>
      <c r="E771" s="31"/>
      <c r="F771" s="25" t="s">
        <v>521</v>
      </c>
      <c r="G771" s="25" t="str">
        <f t="shared" si="12"/>
        <v/>
      </c>
      <c r="H771" s="29"/>
      <c r="I771" s="25"/>
      <c r="J771" s="138">
        <v>0</v>
      </c>
    </row>
    <row r="772" spans="1:10" ht="15.75" hidden="1" thickBot="1" x14ac:dyDescent="0.3">
      <c r="A772" s="220" t="s">
        <v>268</v>
      </c>
      <c r="B772" s="222" t="e">
        <f>INDEX(Orçamentária!A:B,MATCH(Composições!A772,Orçamentária!A:A,0),2)</f>
        <v>#N/A</v>
      </c>
      <c r="C772" s="35"/>
      <c r="D772" s="20" t="s">
        <v>95</v>
      </c>
      <c r="E772" s="21"/>
      <c r="F772" s="36" t="s">
        <v>521</v>
      </c>
      <c r="G772" s="22" t="str">
        <f t="shared" si="12"/>
        <v/>
      </c>
      <c r="H772" s="23"/>
      <c r="I772" s="24"/>
      <c r="J772" s="138">
        <v>0</v>
      </c>
    </row>
    <row r="773" spans="1:10" ht="15.75" hidden="1" thickBot="1" x14ac:dyDescent="0.3">
      <c r="A773" s="225"/>
      <c r="B773" s="223"/>
      <c r="C773" s="26"/>
      <c r="D773" s="26"/>
      <c r="E773" s="27"/>
      <c r="F773" s="37" t="s">
        <v>521</v>
      </c>
      <c r="G773" s="25" t="str">
        <f t="shared" si="12"/>
        <v/>
      </c>
      <c r="H773" s="29"/>
      <c r="I773" s="25"/>
      <c r="J773" s="138">
        <v>0</v>
      </c>
    </row>
    <row r="774" spans="1:10" ht="26.25" hidden="1" thickBot="1" x14ac:dyDescent="0.3">
      <c r="A774" s="225"/>
      <c r="B774" s="223"/>
      <c r="C774" s="30" t="s">
        <v>261</v>
      </c>
      <c r="D774" s="41" t="s">
        <v>42</v>
      </c>
      <c r="E774" s="31">
        <v>4.2599999999999999E-2</v>
      </c>
      <c r="F774" s="28">
        <v>26.257999999999999</v>
      </c>
      <c r="G774" s="25">
        <f t="shared" si="12"/>
        <v>1.1185908</v>
      </c>
      <c r="H774" s="33">
        <f>SUM(G774:G781)</f>
        <v>37.677527249999997</v>
      </c>
      <c r="I774" s="34"/>
      <c r="J774" s="138">
        <v>0</v>
      </c>
    </row>
    <row r="775" spans="1:10" ht="15.75" hidden="1" thickBot="1" x14ac:dyDescent="0.3">
      <c r="A775" s="225"/>
      <c r="B775" s="223"/>
      <c r="C775" s="30" t="s">
        <v>269</v>
      </c>
      <c r="D775" s="41" t="s">
        <v>95</v>
      </c>
      <c r="E775" s="31">
        <v>1.0955999999999999</v>
      </c>
      <c r="F775" s="28" t="s">
        <v>521</v>
      </c>
      <c r="G775" s="25" t="str">
        <f t="shared" si="12"/>
        <v/>
      </c>
      <c r="H775" s="29"/>
      <c r="I775" s="25"/>
      <c r="J775" s="138">
        <v>0</v>
      </c>
    </row>
    <row r="776" spans="1:10" ht="26.25" hidden="1" thickBot="1" x14ac:dyDescent="0.3">
      <c r="A776" s="225"/>
      <c r="B776" s="223"/>
      <c r="C776" s="30" t="s">
        <v>263</v>
      </c>
      <c r="D776" s="41" t="s">
        <v>93</v>
      </c>
      <c r="E776" s="31">
        <v>3.8498999999999999</v>
      </c>
      <c r="F776" s="28">
        <v>5.7379999999999995</v>
      </c>
      <c r="G776" s="25">
        <f t="shared" si="12"/>
        <v>22.090726199999999</v>
      </c>
      <c r="H776" s="29"/>
      <c r="I776" s="25"/>
      <c r="J776" s="138">
        <v>0</v>
      </c>
    </row>
    <row r="777" spans="1:10" ht="26.25" hidden="1" thickBot="1" x14ac:dyDescent="0.3">
      <c r="A777" s="225"/>
      <c r="B777" s="223"/>
      <c r="C777" s="30" t="s">
        <v>264</v>
      </c>
      <c r="D777" s="41" t="s">
        <v>20</v>
      </c>
      <c r="E777" s="31">
        <v>1.3265</v>
      </c>
      <c r="F777" s="28">
        <v>2.1564999999999999</v>
      </c>
      <c r="G777" s="25">
        <f t="shared" si="12"/>
        <v>2.8605972499999996</v>
      </c>
      <c r="H777" s="29"/>
      <c r="I777" s="25"/>
      <c r="J777" s="138">
        <v>0</v>
      </c>
    </row>
    <row r="778" spans="1:10" ht="26.25" hidden="1" thickBot="1" x14ac:dyDescent="0.3">
      <c r="A778" s="225"/>
      <c r="B778" s="223"/>
      <c r="C778" s="30" t="s">
        <v>161</v>
      </c>
      <c r="D778" s="41" t="s">
        <v>20</v>
      </c>
      <c r="E778" s="31">
        <v>2.1911999999999998</v>
      </c>
      <c r="F778" s="28">
        <v>0.20899999999999999</v>
      </c>
      <c r="G778" s="25">
        <f t="shared" si="12"/>
        <v>0.45796079999999995</v>
      </c>
      <c r="H778" s="29"/>
      <c r="I778" s="25"/>
      <c r="J778" s="138">
        <v>0</v>
      </c>
    </row>
    <row r="779" spans="1:10" ht="26.25" hidden="1" thickBot="1" x14ac:dyDescent="0.3">
      <c r="A779" s="225"/>
      <c r="B779" s="223"/>
      <c r="C779" s="30" t="s">
        <v>265</v>
      </c>
      <c r="D779" s="41" t="s">
        <v>152</v>
      </c>
      <c r="E779" s="31">
        <v>1.32E-2</v>
      </c>
      <c r="F779" s="28">
        <v>24.101500000000001</v>
      </c>
      <c r="G779" s="25">
        <f t="shared" si="12"/>
        <v>0.31813980000000003</v>
      </c>
      <c r="H779" s="29"/>
      <c r="I779" s="25"/>
      <c r="J779" s="138">
        <v>0</v>
      </c>
    </row>
    <row r="780" spans="1:10" ht="26.25" hidden="1" thickBot="1" x14ac:dyDescent="0.3">
      <c r="A780" s="225"/>
      <c r="B780" s="223"/>
      <c r="C780" s="30" t="s">
        <v>266</v>
      </c>
      <c r="D780" s="41" t="s">
        <v>152</v>
      </c>
      <c r="E780" s="31">
        <v>3.3300000000000003E-2</v>
      </c>
      <c r="F780" s="28">
        <v>41.324999999999996</v>
      </c>
      <c r="G780" s="25">
        <f t="shared" si="12"/>
        <v>1.3761224999999999</v>
      </c>
      <c r="H780" s="29"/>
      <c r="I780" s="25"/>
      <c r="J780" s="138">
        <v>0</v>
      </c>
    </row>
    <row r="781" spans="1:10" ht="15.75" hidden="1" thickBot="1" x14ac:dyDescent="0.3">
      <c r="A781" s="225"/>
      <c r="B781" s="223"/>
      <c r="C781" s="30" t="s">
        <v>27</v>
      </c>
      <c r="D781" s="41" t="s">
        <v>12</v>
      </c>
      <c r="E781" s="31">
        <v>0.49940000000000001</v>
      </c>
      <c r="F781" s="25">
        <v>18.933499999999999</v>
      </c>
      <c r="G781" s="25">
        <f t="shared" si="12"/>
        <v>9.4553899000000001</v>
      </c>
      <c r="H781" s="29"/>
      <c r="I781" s="25"/>
      <c r="J781" s="138">
        <v>0</v>
      </c>
    </row>
    <row r="782" spans="1:10" ht="15.75" hidden="1" thickBot="1" x14ac:dyDescent="0.3">
      <c r="A782" s="226"/>
      <c r="B782" s="224"/>
      <c r="C782" s="30"/>
      <c r="D782" s="30"/>
      <c r="E782" s="31"/>
      <c r="F782" s="25" t="s">
        <v>521</v>
      </c>
      <c r="G782" s="25" t="str">
        <f t="shared" si="12"/>
        <v/>
      </c>
      <c r="H782" s="29"/>
      <c r="I782" s="25"/>
      <c r="J782" s="138">
        <v>0</v>
      </c>
    </row>
    <row r="783" spans="1:10" ht="15.75" hidden="1" thickBot="1" x14ac:dyDescent="0.3">
      <c r="A783" s="220" t="s">
        <v>270</v>
      </c>
      <c r="B783" s="222" t="e">
        <f>INDEX(Orçamentária!A:B,MATCH(Composições!A783,Orçamentária!A:A,0),2)</f>
        <v>#N/A</v>
      </c>
      <c r="C783" s="35"/>
      <c r="D783" s="20" t="s">
        <v>95</v>
      </c>
      <c r="E783" s="21"/>
      <c r="F783" s="36" t="s">
        <v>521</v>
      </c>
      <c r="G783" s="22" t="str">
        <f t="shared" si="12"/>
        <v/>
      </c>
      <c r="H783" s="23"/>
      <c r="I783" s="24"/>
      <c r="J783" s="138">
        <v>0</v>
      </c>
    </row>
    <row r="784" spans="1:10" ht="15.75" hidden="1" thickBot="1" x14ac:dyDescent="0.3">
      <c r="A784" s="225"/>
      <c r="B784" s="223"/>
      <c r="C784" s="26"/>
      <c r="D784" s="26"/>
      <c r="E784" s="27"/>
      <c r="F784" s="37" t="s">
        <v>521</v>
      </c>
      <c r="G784" s="25" t="str">
        <f t="shared" si="12"/>
        <v/>
      </c>
      <c r="H784" s="29"/>
      <c r="I784" s="25"/>
      <c r="J784" s="138">
        <v>0</v>
      </c>
    </row>
    <row r="785" spans="1:10" ht="15.75" hidden="1" thickBot="1" x14ac:dyDescent="0.3">
      <c r="A785" s="225"/>
      <c r="B785" s="223"/>
      <c r="C785" s="30" t="s">
        <v>52</v>
      </c>
      <c r="D785" s="41" t="s">
        <v>12</v>
      </c>
      <c r="E785" s="31">
        <v>0.5</v>
      </c>
      <c r="F785" s="28">
        <v>21.184999999999999</v>
      </c>
      <c r="G785" s="25">
        <f t="shared" si="12"/>
        <v>10.592499999999999</v>
      </c>
      <c r="H785" s="33">
        <f>SUM(G785:G788)</f>
        <v>20.059249999999999</v>
      </c>
      <c r="I785" s="34"/>
      <c r="J785" s="138">
        <v>0</v>
      </c>
    </row>
    <row r="786" spans="1:10" ht="15.75" hidden="1" thickBot="1" x14ac:dyDescent="0.3">
      <c r="A786" s="225"/>
      <c r="B786" s="223"/>
      <c r="C786" s="30" t="s">
        <v>27</v>
      </c>
      <c r="D786" s="41" t="s">
        <v>12</v>
      </c>
      <c r="E786" s="31">
        <v>0.5</v>
      </c>
      <c r="F786" s="28">
        <v>18.933499999999999</v>
      </c>
      <c r="G786" s="25">
        <f t="shared" ref="G786:G849" si="13">IF(ISNUMBER(F786),E786*F786,"")</f>
        <v>9.4667499999999993</v>
      </c>
      <c r="H786" s="29"/>
      <c r="I786" s="25"/>
      <c r="J786" s="138">
        <v>0</v>
      </c>
    </row>
    <row r="787" spans="1:10" ht="15.75" hidden="1" thickBot="1" x14ac:dyDescent="0.3">
      <c r="A787" s="225"/>
      <c r="B787" s="223"/>
      <c r="C787" s="32" t="s">
        <v>271</v>
      </c>
      <c r="D787" s="30" t="s">
        <v>95</v>
      </c>
      <c r="E787" s="31">
        <v>1</v>
      </c>
      <c r="F787" s="28" t="s">
        <v>521</v>
      </c>
      <c r="G787" s="25" t="str">
        <f t="shared" si="13"/>
        <v/>
      </c>
      <c r="H787" s="29"/>
      <c r="I787" s="25"/>
      <c r="J787" s="138">
        <v>0</v>
      </c>
    </row>
    <row r="788" spans="1:10" ht="15.75" hidden="1" thickBot="1" x14ac:dyDescent="0.3">
      <c r="A788" s="225"/>
      <c r="B788" s="223"/>
      <c r="C788" s="32" t="s">
        <v>272</v>
      </c>
      <c r="D788" s="30" t="s">
        <v>95</v>
      </c>
      <c r="E788" s="31">
        <v>1</v>
      </c>
      <c r="F788" s="28" t="s">
        <v>521</v>
      </c>
      <c r="G788" s="25" t="str">
        <f t="shared" si="13"/>
        <v/>
      </c>
      <c r="H788" s="29"/>
      <c r="I788" s="25"/>
      <c r="J788" s="138">
        <v>0</v>
      </c>
    </row>
    <row r="789" spans="1:10" ht="15.75" hidden="1" thickBot="1" x14ac:dyDescent="0.3">
      <c r="A789" s="226"/>
      <c r="B789" s="224"/>
      <c r="C789" s="30"/>
      <c r="D789" s="30"/>
      <c r="E789" s="31"/>
      <c r="F789" s="25" t="s">
        <v>521</v>
      </c>
      <c r="G789" s="25" t="str">
        <f t="shared" si="13"/>
        <v/>
      </c>
      <c r="H789" s="29"/>
      <c r="I789" s="25"/>
      <c r="J789" s="138">
        <v>0</v>
      </c>
    </row>
    <row r="790" spans="1:10" ht="15.75" hidden="1" thickBot="1" x14ac:dyDescent="0.3">
      <c r="A790" s="220" t="s">
        <v>273</v>
      </c>
      <c r="B790" s="222" t="e">
        <f>INDEX(Orçamentária!A:B,MATCH(Composições!A790,Orçamentária!A:A,0),2)</f>
        <v>#N/A</v>
      </c>
      <c r="C790" s="35"/>
      <c r="D790" s="20" t="s">
        <v>95</v>
      </c>
      <c r="E790" s="21"/>
      <c r="F790" s="36" t="s">
        <v>521</v>
      </c>
      <c r="G790" s="22" t="str">
        <f t="shared" si="13"/>
        <v/>
      </c>
      <c r="H790" s="23"/>
      <c r="I790" s="24"/>
      <c r="J790" s="138">
        <v>0</v>
      </c>
    </row>
    <row r="791" spans="1:10" ht="15.75" hidden="1" thickBot="1" x14ac:dyDescent="0.3">
      <c r="A791" s="221"/>
      <c r="B791" s="223"/>
      <c r="C791" s="26"/>
      <c r="D791" s="26"/>
      <c r="E791" s="27"/>
      <c r="F791" s="37" t="s">
        <v>521</v>
      </c>
      <c r="G791" s="25" t="str">
        <f t="shared" si="13"/>
        <v/>
      </c>
      <c r="H791" s="29"/>
      <c r="I791" s="25"/>
      <c r="J791" s="138">
        <v>0</v>
      </c>
    </row>
    <row r="792" spans="1:10" ht="26.25" hidden="1" thickBot="1" x14ac:dyDescent="0.3">
      <c r="A792" s="221"/>
      <c r="B792" s="223"/>
      <c r="C792" s="30" t="s">
        <v>261</v>
      </c>
      <c r="D792" s="41" t="s">
        <v>42</v>
      </c>
      <c r="E792" s="31">
        <v>4.2599999999999999E-2</v>
      </c>
      <c r="F792" s="28">
        <v>26.257999999999999</v>
      </c>
      <c r="G792" s="28">
        <f t="shared" si="13"/>
        <v>1.1185908</v>
      </c>
      <c r="H792" s="33">
        <f>SUM(G792:G802)</f>
        <v>65.140751399999999</v>
      </c>
      <c r="I792" s="34"/>
      <c r="J792" s="138">
        <v>0</v>
      </c>
    </row>
    <row r="793" spans="1:10" ht="26.25" hidden="1" thickBot="1" x14ac:dyDescent="0.3">
      <c r="A793" s="221"/>
      <c r="B793" s="223"/>
      <c r="C793" s="30" t="s">
        <v>1926</v>
      </c>
      <c r="D793" s="41" t="s">
        <v>95</v>
      </c>
      <c r="E793" s="31">
        <v>1.0966</v>
      </c>
      <c r="F793" s="28">
        <v>17.3565</v>
      </c>
      <c r="G793" s="28">
        <f t="shared" si="13"/>
        <v>19.0331379</v>
      </c>
      <c r="H793" s="39"/>
      <c r="I793" s="40"/>
      <c r="J793" s="138">
        <v>0</v>
      </c>
    </row>
    <row r="794" spans="1:10" ht="26.25" hidden="1" thickBot="1" x14ac:dyDescent="0.3">
      <c r="A794" s="221"/>
      <c r="B794" s="223"/>
      <c r="C794" s="30" t="s">
        <v>263</v>
      </c>
      <c r="D794" s="41" t="s">
        <v>93</v>
      </c>
      <c r="E794" s="31">
        <v>3.851</v>
      </c>
      <c r="F794" s="28">
        <v>5.7379999999999995</v>
      </c>
      <c r="G794" s="28">
        <f t="shared" si="13"/>
        <v>22.097037999999998</v>
      </c>
      <c r="H794" s="39"/>
      <c r="I794" s="40"/>
      <c r="J794" s="138">
        <v>0</v>
      </c>
    </row>
    <row r="795" spans="1:10" ht="26.25" hidden="1" thickBot="1" x14ac:dyDescent="0.3">
      <c r="A795" s="221"/>
      <c r="B795" s="223"/>
      <c r="C795" s="30" t="s">
        <v>264</v>
      </c>
      <c r="D795" s="41" t="s">
        <v>20</v>
      </c>
      <c r="E795" s="31">
        <v>1.3265</v>
      </c>
      <c r="F795" s="28">
        <v>2.1564999999999999</v>
      </c>
      <c r="G795" s="28">
        <f t="shared" si="13"/>
        <v>2.8605972499999996</v>
      </c>
      <c r="H795" s="39"/>
      <c r="I795" s="40"/>
      <c r="J795" s="138">
        <v>0</v>
      </c>
    </row>
    <row r="796" spans="1:10" ht="26.25" hidden="1" thickBot="1" x14ac:dyDescent="0.3">
      <c r="A796" s="221"/>
      <c r="B796" s="223"/>
      <c r="C796" s="30" t="s">
        <v>159</v>
      </c>
      <c r="D796" s="41" t="s">
        <v>93</v>
      </c>
      <c r="E796" s="31">
        <v>1.4395</v>
      </c>
      <c r="F796" s="28">
        <v>2.4034999999999997</v>
      </c>
      <c r="G796" s="28">
        <f t="shared" si="13"/>
        <v>3.4598382499999998</v>
      </c>
      <c r="H796" s="39"/>
      <c r="I796" s="40"/>
      <c r="J796" s="138">
        <v>0</v>
      </c>
    </row>
    <row r="797" spans="1:10" ht="39" hidden="1" thickBot="1" x14ac:dyDescent="0.3">
      <c r="A797" s="221"/>
      <c r="B797" s="223"/>
      <c r="C797" s="30" t="s">
        <v>1924</v>
      </c>
      <c r="D797" s="41" t="s">
        <v>42</v>
      </c>
      <c r="E797" s="31">
        <v>0.5202</v>
      </c>
      <c r="F797" s="28">
        <v>3.0019999999999998</v>
      </c>
      <c r="G797" s="28">
        <f t="shared" si="13"/>
        <v>1.5616403999999999</v>
      </c>
      <c r="H797" s="39"/>
      <c r="I797" s="40"/>
      <c r="J797" s="138">
        <v>0</v>
      </c>
    </row>
    <row r="798" spans="1:10" ht="26.25" hidden="1" thickBot="1" x14ac:dyDescent="0.3">
      <c r="A798" s="221"/>
      <c r="B798" s="223"/>
      <c r="C798" s="30" t="s">
        <v>160</v>
      </c>
      <c r="D798" s="41" t="s">
        <v>20</v>
      </c>
      <c r="E798" s="31">
        <v>7.9740000000000002</v>
      </c>
      <c r="F798" s="28">
        <v>8.5499999999999993E-2</v>
      </c>
      <c r="G798" s="28">
        <f t="shared" si="13"/>
        <v>0.68177699999999997</v>
      </c>
      <c r="H798" s="39"/>
      <c r="I798" s="40"/>
      <c r="J798" s="138">
        <v>0</v>
      </c>
    </row>
    <row r="799" spans="1:10" ht="26.25" hidden="1" thickBot="1" x14ac:dyDescent="0.3">
      <c r="A799" s="221"/>
      <c r="B799" s="223"/>
      <c r="C799" s="30" t="s">
        <v>161</v>
      </c>
      <c r="D799" s="41" t="s">
        <v>20</v>
      </c>
      <c r="E799" s="31">
        <v>2.1911999999999998</v>
      </c>
      <c r="F799" s="28">
        <v>0.20899999999999999</v>
      </c>
      <c r="G799" s="28">
        <f t="shared" si="13"/>
        <v>0.45796079999999995</v>
      </c>
      <c r="H799" s="39"/>
      <c r="I799" s="40"/>
      <c r="J799" s="138">
        <v>0</v>
      </c>
    </row>
    <row r="800" spans="1:10" ht="26.25" hidden="1" thickBot="1" x14ac:dyDescent="0.3">
      <c r="A800" s="221"/>
      <c r="B800" s="223"/>
      <c r="C800" s="30" t="s">
        <v>265</v>
      </c>
      <c r="D800" s="41" t="s">
        <v>152</v>
      </c>
      <c r="E800" s="31">
        <v>1.32E-2</v>
      </c>
      <c r="F800" s="28">
        <v>24.101500000000001</v>
      </c>
      <c r="G800" s="28">
        <f t="shared" si="13"/>
        <v>0.31813980000000003</v>
      </c>
      <c r="H800" s="39"/>
      <c r="I800" s="40"/>
      <c r="J800" s="138">
        <v>0</v>
      </c>
    </row>
    <row r="801" spans="1:10" ht="15.75" hidden="1" thickBot="1" x14ac:dyDescent="0.3">
      <c r="A801" s="221"/>
      <c r="B801" s="223"/>
      <c r="C801" s="30" t="s">
        <v>27</v>
      </c>
      <c r="D801" s="41" t="s">
        <v>12</v>
      </c>
      <c r="E801" s="31">
        <v>0.36280000000000001</v>
      </c>
      <c r="F801" s="25">
        <v>18.933499999999999</v>
      </c>
      <c r="G801" s="28">
        <f t="shared" si="13"/>
        <v>6.8690737999999998</v>
      </c>
      <c r="H801" s="39"/>
      <c r="I801" s="40"/>
      <c r="J801" s="138">
        <v>0</v>
      </c>
    </row>
    <row r="802" spans="1:10" ht="15.75" hidden="1" thickBot="1" x14ac:dyDescent="0.3">
      <c r="A802" s="221"/>
      <c r="B802" s="223"/>
      <c r="C802" s="30" t="s">
        <v>23</v>
      </c>
      <c r="D802" s="30" t="s">
        <v>12</v>
      </c>
      <c r="E802" s="31">
        <v>0.36280000000000001</v>
      </c>
      <c r="F802" s="25">
        <v>18.420500000000001</v>
      </c>
      <c r="G802" s="28">
        <f t="shared" si="13"/>
        <v>6.6829574000000003</v>
      </c>
      <c r="H802" s="39"/>
      <c r="I802" s="40"/>
      <c r="J802" s="138">
        <v>0</v>
      </c>
    </row>
    <row r="803" spans="1:10" ht="15.75" hidden="1" thickBot="1" x14ac:dyDescent="0.3">
      <c r="A803" s="227"/>
      <c r="B803" s="224"/>
      <c r="C803" s="30"/>
      <c r="D803" s="30"/>
      <c r="E803" s="31"/>
      <c r="F803" s="25" t="s">
        <v>521</v>
      </c>
      <c r="G803" s="25" t="str">
        <f t="shared" si="13"/>
        <v/>
      </c>
      <c r="H803" s="29"/>
      <c r="I803" s="25"/>
      <c r="J803" s="138">
        <v>0</v>
      </c>
    </row>
    <row r="804" spans="1:10" ht="15.75" hidden="1" thickBot="1" x14ac:dyDescent="0.3">
      <c r="A804" s="220" t="s">
        <v>274</v>
      </c>
      <c r="B804" s="222" t="e">
        <f>INDEX(Orçamentária!A:B,MATCH(Composições!A804,Orçamentária!A:A,0),2)</f>
        <v>#N/A</v>
      </c>
      <c r="C804" s="35"/>
      <c r="D804" s="20" t="s">
        <v>95</v>
      </c>
      <c r="E804" s="21"/>
      <c r="F804" s="36" t="s">
        <v>521</v>
      </c>
      <c r="G804" s="22" t="str">
        <f t="shared" si="13"/>
        <v/>
      </c>
      <c r="H804" s="23"/>
      <c r="I804" s="24"/>
      <c r="J804" s="138">
        <v>0</v>
      </c>
    </row>
    <row r="805" spans="1:10" ht="15.75" hidden="1" thickBot="1" x14ac:dyDescent="0.3">
      <c r="A805" s="221"/>
      <c r="B805" s="223"/>
      <c r="C805" s="26"/>
      <c r="D805" s="26"/>
      <c r="E805" s="27"/>
      <c r="F805" s="37" t="s">
        <v>521</v>
      </c>
      <c r="G805" s="25" t="str">
        <f t="shared" si="13"/>
        <v/>
      </c>
      <c r="H805" s="29"/>
      <c r="I805" s="25"/>
      <c r="J805" s="138">
        <v>0</v>
      </c>
    </row>
    <row r="806" spans="1:10" ht="26.25" hidden="1" thickBot="1" x14ac:dyDescent="0.3">
      <c r="A806" s="221"/>
      <c r="B806" s="223"/>
      <c r="C806" s="30" t="s">
        <v>1926</v>
      </c>
      <c r="D806" s="41" t="s">
        <v>95</v>
      </c>
      <c r="E806" s="31">
        <v>1.0966</v>
      </c>
      <c r="F806" s="28">
        <v>17.3565</v>
      </c>
      <c r="G806" s="28">
        <f t="shared" si="13"/>
        <v>19.0331379</v>
      </c>
      <c r="H806" s="33">
        <f>SUM(G806:G812)</f>
        <v>38.746385549999999</v>
      </c>
      <c r="I806" s="34"/>
      <c r="J806" s="138">
        <v>0</v>
      </c>
    </row>
    <row r="807" spans="1:10" ht="26.25" hidden="1" thickBot="1" x14ac:dyDescent="0.3">
      <c r="A807" s="221"/>
      <c r="B807" s="223"/>
      <c r="C807" s="30" t="s">
        <v>159</v>
      </c>
      <c r="D807" s="41" t="s">
        <v>93</v>
      </c>
      <c r="E807" s="31">
        <v>1.4395</v>
      </c>
      <c r="F807" s="28">
        <v>2.4034999999999997</v>
      </c>
      <c r="G807" s="28">
        <f t="shared" si="13"/>
        <v>3.4598382499999998</v>
      </c>
      <c r="H807" s="39"/>
      <c r="I807" s="40"/>
      <c r="J807" s="138">
        <v>0</v>
      </c>
    </row>
    <row r="808" spans="1:10" ht="39" hidden="1" thickBot="1" x14ac:dyDescent="0.3">
      <c r="A808" s="221"/>
      <c r="B808" s="223"/>
      <c r="C808" s="30" t="s">
        <v>1924</v>
      </c>
      <c r="D808" s="41" t="s">
        <v>42</v>
      </c>
      <c r="E808" s="31">
        <v>0.5202</v>
      </c>
      <c r="F808" s="28">
        <v>3.0019999999999998</v>
      </c>
      <c r="G808" s="28">
        <f t="shared" si="13"/>
        <v>1.5616403999999999</v>
      </c>
      <c r="H808" s="39"/>
      <c r="I808" s="40"/>
      <c r="J808" s="138">
        <v>0</v>
      </c>
    </row>
    <row r="809" spans="1:10" ht="26.25" hidden="1" thickBot="1" x14ac:dyDescent="0.3">
      <c r="A809" s="221"/>
      <c r="B809" s="223"/>
      <c r="C809" s="30" t="s">
        <v>160</v>
      </c>
      <c r="D809" s="41" t="s">
        <v>20</v>
      </c>
      <c r="E809" s="31">
        <v>7.9740000000000002</v>
      </c>
      <c r="F809" s="28">
        <v>8.5499999999999993E-2</v>
      </c>
      <c r="G809" s="28">
        <f t="shared" si="13"/>
        <v>0.68177699999999997</v>
      </c>
      <c r="H809" s="39"/>
      <c r="I809" s="40"/>
      <c r="J809" s="138">
        <v>0</v>
      </c>
    </row>
    <row r="810" spans="1:10" ht="26.25" hidden="1" thickBot="1" x14ac:dyDescent="0.3">
      <c r="A810" s="221"/>
      <c r="B810" s="223"/>
      <c r="C810" s="30" t="s">
        <v>161</v>
      </c>
      <c r="D810" s="41" t="s">
        <v>20</v>
      </c>
      <c r="E810" s="31">
        <v>2.1911999999999998</v>
      </c>
      <c r="F810" s="28">
        <v>0.20899999999999999</v>
      </c>
      <c r="G810" s="28">
        <f t="shared" si="13"/>
        <v>0.45796079999999995</v>
      </c>
      <c r="H810" s="39"/>
      <c r="I810" s="40"/>
      <c r="J810" s="138">
        <v>0</v>
      </c>
    </row>
    <row r="811" spans="1:10" ht="15.75" hidden="1" thickBot="1" x14ac:dyDescent="0.3">
      <c r="A811" s="221"/>
      <c r="B811" s="223"/>
      <c r="C811" s="30" t="s">
        <v>27</v>
      </c>
      <c r="D811" s="41" t="s">
        <v>12</v>
      </c>
      <c r="E811" s="31">
        <v>0.36280000000000001</v>
      </c>
      <c r="F811" s="25">
        <v>18.933499999999999</v>
      </c>
      <c r="G811" s="28">
        <f t="shared" si="13"/>
        <v>6.8690737999999998</v>
      </c>
      <c r="H811" s="39"/>
      <c r="I811" s="40"/>
      <c r="J811" s="138">
        <v>0</v>
      </c>
    </row>
    <row r="812" spans="1:10" ht="15.75" hidden="1" thickBot="1" x14ac:dyDescent="0.3">
      <c r="A812" s="221"/>
      <c r="B812" s="223"/>
      <c r="C812" s="30" t="s">
        <v>23</v>
      </c>
      <c r="D812" s="30" t="s">
        <v>12</v>
      </c>
      <c r="E812" s="31">
        <v>0.36280000000000001</v>
      </c>
      <c r="F812" s="25">
        <v>18.420500000000001</v>
      </c>
      <c r="G812" s="28">
        <f t="shared" si="13"/>
        <v>6.6829574000000003</v>
      </c>
      <c r="H812" s="39"/>
      <c r="I812" s="40"/>
      <c r="J812" s="138">
        <v>0</v>
      </c>
    </row>
    <row r="813" spans="1:10" ht="15.75" hidden="1" thickBot="1" x14ac:dyDescent="0.3">
      <c r="A813" s="227"/>
      <c r="B813" s="224"/>
      <c r="C813" s="30"/>
      <c r="D813" s="30"/>
      <c r="E813" s="31"/>
      <c r="F813" s="25" t="s">
        <v>521</v>
      </c>
      <c r="G813" s="25" t="str">
        <f t="shared" si="13"/>
        <v/>
      </c>
      <c r="H813" s="29"/>
      <c r="I813" s="25"/>
      <c r="J813" s="138">
        <v>0</v>
      </c>
    </row>
    <row r="814" spans="1:10" ht="15.75" hidden="1" thickBot="1" x14ac:dyDescent="0.3">
      <c r="A814" s="220" t="s">
        <v>275</v>
      </c>
      <c r="B814" s="222" t="e">
        <f>INDEX(Orçamentária!A:B,MATCH(Composições!A814,Orçamentária!A:A,0),2)</f>
        <v>#N/A</v>
      </c>
      <c r="C814" s="35"/>
      <c r="D814" s="20" t="s">
        <v>95</v>
      </c>
      <c r="E814" s="21"/>
      <c r="F814" s="36" t="s">
        <v>521</v>
      </c>
      <c r="G814" s="22" t="str">
        <f t="shared" si="13"/>
        <v/>
      </c>
      <c r="H814" s="23"/>
      <c r="I814" s="24"/>
      <c r="J814" s="138">
        <v>0</v>
      </c>
    </row>
    <row r="815" spans="1:10" ht="15.75" hidden="1" thickBot="1" x14ac:dyDescent="0.3">
      <c r="A815" s="221"/>
      <c r="B815" s="223"/>
      <c r="C815" s="26"/>
      <c r="D815" s="26"/>
      <c r="E815" s="27"/>
      <c r="F815" s="37" t="s">
        <v>521</v>
      </c>
      <c r="G815" s="25" t="str">
        <f t="shared" si="13"/>
        <v/>
      </c>
      <c r="H815" s="29"/>
      <c r="I815" s="25"/>
      <c r="J815" s="138">
        <v>0</v>
      </c>
    </row>
    <row r="816" spans="1:10" ht="39" hidden="1" thickBot="1" x14ac:dyDescent="0.3">
      <c r="A816" s="221"/>
      <c r="B816" s="223"/>
      <c r="C816" s="30" t="s">
        <v>276</v>
      </c>
      <c r="D816" s="41" t="s">
        <v>95</v>
      </c>
      <c r="E816" s="31">
        <v>1</v>
      </c>
      <c r="F816" s="28">
        <v>127.09099999999999</v>
      </c>
      <c r="G816" s="28">
        <f t="shared" si="13"/>
        <v>127.09099999999999</v>
      </c>
      <c r="H816" s="33">
        <f>SUM(G816:G816)</f>
        <v>127.09099999999999</v>
      </c>
      <c r="I816" s="34"/>
      <c r="J816" s="138">
        <v>0</v>
      </c>
    </row>
    <row r="817" spans="1:10" ht="15.75" hidden="1" thickBot="1" x14ac:dyDescent="0.3">
      <c r="A817" s="227"/>
      <c r="B817" s="224"/>
      <c r="C817" s="30"/>
      <c r="D817" s="30"/>
      <c r="E817" s="31"/>
      <c r="F817" s="25" t="s">
        <v>521</v>
      </c>
      <c r="G817" s="25" t="str">
        <f t="shared" si="13"/>
        <v/>
      </c>
      <c r="H817" s="29"/>
      <c r="I817" s="25"/>
      <c r="J817" s="138">
        <v>0</v>
      </c>
    </row>
    <row r="818" spans="1:10" ht="15.75" hidden="1" thickBot="1" x14ac:dyDescent="0.3">
      <c r="A818" s="220" t="s">
        <v>277</v>
      </c>
      <c r="B818" s="222" t="e">
        <f>INDEX(Orçamentária!A:B,MATCH(Composições!A818,Orçamentária!A:A,0),2)</f>
        <v>#N/A</v>
      </c>
      <c r="C818" s="35"/>
      <c r="D818" s="20" t="s">
        <v>95</v>
      </c>
      <c r="E818" s="21"/>
      <c r="F818" s="36" t="s">
        <v>521</v>
      </c>
      <c r="G818" s="22" t="str">
        <f t="shared" si="13"/>
        <v/>
      </c>
      <c r="H818" s="23"/>
      <c r="I818" s="24"/>
      <c r="J818" s="138">
        <v>0</v>
      </c>
    </row>
    <row r="819" spans="1:10" ht="15.75" hidden="1" thickBot="1" x14ac:dyDescent="0.3">
      <c r="A819" s="221"/>
      <c r="B819" s="223"/>
      <c r="C819" s="26"/>
      <c r="D819" s="26"/>
      <c r="E819" s="27"/>
      <c r="F819" s="37" t="s">
        <v>521</v>
      </c>
      <c r="G819" s="25" t="str">
        <f t="shared" si="13"/>
        <v/>
      </c>
      <c r="H819" s="29"/>
      <c r="I819" s="25"/>
      <c r="J819" s="138">
        <v>0</v>
      </c>
    </row>
    <row r="820" spans="1:10" ht="15.75" hidden="1" thickBot="1" x14ac:dyDescent="0.3">
      <c r="A820" s="221"/>
      <c r="B820" s="223"/>
      <c r="C820" s="30" t="s">
        <v>50</v>
      </c>
      <c r="D820" s="30" t="s">
        <v>12</v>
      </c>
      <c r="E820" s="31">
        <f>1.2/4</f>
        <v>0.3</v>
      </c>
      <c r="F820" s="25">
        <v>19.474999999999998</v>
      </c>
      <c r="G820" s="25">
        <f t="shared" si="13"/>
        <v>5.8424999999999994</v>
      </c>
      <c r="H820" s="33">
        <f>SUM(G820:G821)</f>
        <v>34.152499999999996</v>
      </c>
      <c r="I820" s="34"/>
      <c r="J820" s="138">
        <v>0</v>
      </c>
    </row>
    <row r="821" spans="1:10" ht="26.25" hidden="1" thickBot="1" x14ac:dyDescent="0.3">
      <c r="A821" s="221"/>
      <c r="B821" s="223"/>
      <c r="C821" s="30" t="s">
        <v>278</v>
      </c>
      <c r="D821" s="30" t="s">
        <v>279</v>
      </c>
      <c r="E821" s="31">
        <v>1</v>
      </c>
      <c r="F821" s="28">
        <v>28.31</v>
      </c>
      <c r="G821" s="25">
        <f t="shared" si="13"/>
        <v>28.31</v>
      </c>
      <c r="H821" s="29"/>
      <c r="I821" s="25"/>
      <c r="J821" s="138">
        <v>0</v>
      </c>
    </row>
    <row r="822" spans="1:10" ht="15.75" hidden="1" thickBot="1" x14ac:dyDescent="0.3">
      <c r="A822" s="227"/>
      <c r="B822" s="224"/>
      <c r="C822" s="30"/>
      <c r="D822" s="30"/>
      <c r="E822" s="31"/>
      <c r="F822" s="25" t="s">
        <v>521</v>
      </c>
      <c r="G822" s="25" t="str">
        <f t="shared" si="13"/>
        <v/>
      </c>
      <c r="H822" s="29"/>
      <c r="I822" s="25"/>
      <c r="J822" s="138">
        <v>0</v>
      </c>
    </row>
    <row r="823" spans="1:10" ht="15.75" hidden="1" thickBot="1" x14ac:dyDescent="0.3">
      <c r="A823" s="220" t="s">
        <v>280</v>
      </c>
      <c r="B823" s="222" t="e">
        <f>INDEX(Orçamentária!A:B,MATCH(Composições!A823,Orçamentária!A:A,0),2)</f>
        <v>#N/A</v>
      </c>
      <c r="C823" s="35"/>
      <c r="D823" s="20" t="s">
        <v>95</v>
      </c>
      <c r="E823" s="21"/>
      <c r="F823" s="36" t="s">
        <v>521</v>
      </c>
      <c r="G823" s="22" t="str">
        <f t="shared" si="13"/>
        <v/>
      </c>
      <c r="H823" s="23"/>
      <c r="I823" s="24"/>
      <c r="J823" s="138">
        <v>0</v>
      </c>
    </row>
    <row r="824" spans="1:10" ht="15.75" hidden="1" thickBot="1" x14ac:dyDescent="0.3">
      <c r="A824" s="221"/>
      <c r="B824" s="223"/>
      <c r="C824" s="26"/>
      <c r="D824" s="26"/>
      <c r="E824" s="27"/>
      <c r="F824" s="37" t="s">
        <v>521</v>
      </c>
      <c r="G824" s="25" t="str">
        <f t="shared" si="13"/>
        <v/>
      </c>
      <c r="H824" s="29"/>
      <c r="I824" s="25"/>
      <c r="J824" s="138">
        <v>0</v>
      </c>
    </row>
    <row r="825" spans="1:10" ht="15.75" hidden="1" thickBot="1" x14ac:dyDescent="0.3">
      <c r="A825" s="221"/>
      <c r="B825" s="223"/>
      <c r="C825" s="30" t="s">
        <v>27</v>
      </c>
      <c r="D825" s="41" t="s">
        <v>12</v>
      </c>
      <c r="E825" s="31">
        <f>ROUND(0.4994*0.3,4)</f>
        <v>0.14979999999999999</v>
      </c>
      <c r="F825" s="25">
        <v>18.933499999999999</v>
      </c>
      <c r="G825" s="25">
        <f t="shared" si="13"/>
        <v>2.8362382999999998</v>
      </c>
      <c r="H825" s="33">
        <f>SUM(G825:G825)</f>
        <v>2.8362382999999998</v>
      </c>
      <c r="I825" s="34"/>
      <c r="J825" s="138">
        <v>0</v>
      </c>
    </row>
    <row r="826" spans="1:10" ht="15.75" hidden="1" thickBot="1" x14ac:dyDescent="0.3">
      <c r="A826" s="227"/>
      <c r="B826" s="224"/>
      <c r="C826" s="30"/>
      <c r="D826" s="30"/>
      <c r="E826" s="31"/>
      <c r="F826" s="25" t="s">
        <v>521</v>
      </c>
      <c r="G826" s="25" t="str">
        <f t="shared" si="13"/>
        <v/>
      </c>
      <c r="H826" s="29"/>
      <c r="I826" s="25"/>
      <c r="J826" s="138">
        <v>0</v>
      </c>
    </row>
    <row r="827" spans="1:10" ht="15.75" hidden="1" thickBot="1" x14ac:dyDescent="0.3">
      <c r="A827" s="220" t="s">
        <v>281</v>
      </c>
      <c r="B827" s="222" t="e">
        <f>INDEX(Orçamentária!A:B,MATCH(Composições!A827,Orçamentária!A:A,0),2)</f>
        <v>#N/A</v>
      </c>
      <c r="C827" s="35"/>
      <c r="D827" s="20" t="s">
        <v>95</v>
      </c>
      <c r="E827" s="21"/>
      <c r="F827" s="36" t="s">
        <v>521</v>
      </c>
      <c r="G827" s="22" t="str">
        <f t="shared" si="13"/>
        <v/>
      </c>
      <c r="H827" s="23"/>
      <c r="I827" s="24"/>
      <c r="J827" s="138">
        <v>0</v>
      </c>
    </row>
    <row r="828" spans="1:10" ht="15.75" hidden="1" thickBot="1" x14ac:dyDescent="0.3">
      <c r="A828" s="221"/>
      <c r="B828" s="223"/>
      <c r="C828" s="26"/>
      <c r="D828" s="26"/>
      <c r="E828" s="27"/>
      <c r="F828" s="37" t="s">
        <v>521</v>
      </c>
      <c r="G828" s="25" t="str">
        <f t="shared" si="13"/>
        <v/>
      </c>
      <c r="H828" s="29"/>
      <c r="I828" s="25"/>
      <c r="J828" s="138">
        <v>0</v>
      </c>
    </row>
    <row r="829" spans="1:10" ht="15.75" hidden="1" thickBot="1" x14ac:dyDescent="0.3">
      <c r="A829" s="221"/>
      <c r="B829" s="223"/>
      <c r="C829" s="30" t="s">
        <v>50</v>
      </c>
      <c r="D829" s="41" t="s">
        <v>12</v>
      </c>
      <c r="E829" s="31">
        <v>1.2</v>
      </c>
      <c r="F829" s="25">
        <v>19.474999999999998</v>
      </c>
      <c r="G829" s="25">
        <f t="shared" si="13"/>
        <v>23.369999999999997</v>
      </c>
      <c r="H829" s="33">
        <f>SUM(G829:G830)</f>
        <v>46.090199999999996</v>
      </c>
      <c r="I829" s="34"/>
      <c r="J829" s="138">
        <v>0</v>
      </c>
    </row>
    <row r="830" spans="1:10" ht="15.75" hidden="1" thickBot="1" x14ac:dyDescent="0.3">
      <c r="A830" s="221"/>
      <c r="B830" s="223"/>
      <c r="C830" s="30" t="s">
        <v>27</v>
      </c>
      <c r="D830" s="41" t="s">
        <v>12</v>
      </c>
      <c r="E830" s="31">
        <v>1.2</v>
      </c>
      <c r="F830" s="25">
        <v>18.933499999999999</v>
      </c>
      <c r="G830" s="25">
        <f t="shared" si="13"/>
        <v>22.720199999999998</v>
      </c>
      <c r="H830" s="29"/>
      <c r="I830" s="25"/>
      <c r="J830" s="138">
        <v>0</v>
      </c>
    </row>
    <row r="831" spans="1:10" ht="15.75" hidden="1" thickBot="1" x14ac:dyDescent="0.3">
      <c r="A831" s="227"/>
      <c r="B831" s="224"/>
      <c r="C831" s="30"/>
      <c r="D831" s="30"/>
      <c r="E831" s="31"/>
      <c r="F831" s="25" t="s">
        <v>521</v>
      </c>
      <c r="G831" s="25" t="str">
        <f t="shared" si="13"/>
        <v/>
      </c>
      <c r="H831" s="29"/>
      <c r="I831" s="25"/>
      <c r="J831" s="138">
        <v>0</v>
      </c>
    </row>
    <row r="832" spans="1:10" ht="15.75" hidden="1" thickBot="1" x14ac:dyDescent="0.3">
      <c r="A832" s="220" t="s">
        <v>282</v>
      </c>
      <c r="B832" s="222" t="e">
        <f>INDEX(Orçamentária!A:B,MATCH(Composições!A832,Orçamentária!A:A,0),2)</f>
        <v>#N/A</v>
      </c>
      <c r="C832" s="35"/>
      <c r="D832" s="20" t="s">
        <v>93</v>
      </c>
      <c r="E832" s="21"/>
      <c r="F832" s="36" t="s">
        <v>521</v>
      </c>
      <c r="G832" s="22" t="str">
        <f t="shared" si="13"/>
        <v/>
      </c>
      <c r="H832" s="23"/>
      <c r="I832" s="24"/>
      <c r="J832" s="138">
        <v>0</v>
      </c>
    </row>
    <row r="833" spans="1:10" ht="15.75" hidden="1" thickBot="1" x14ac:dyDescent="0.3">
      <c r="A833" s="221"/>
      <c r="B833" s="223"/>
      <c r="C833" s="26"/>
      <c r="D833" s="26"/>
      <c r="E833" s="27"/>
      <c r="F833" s="37" t="s">
        <v>521</v>
      </c>
      <c r="G833" s="25" t="str">
        <f t="shared" si="13"/>
        <v/>
      </c>
      <c r="H833" s="29"/>
      <c r="I833" s="25"/>
      <c r="J833" s="138">
        <v>0</v>
      </c>
    </row>
    <row r="834" spans="1:10" ht="26.25" hidden="1" thickBot="1" x14ac:dyDescent="0.3">
      <c r="A834" s="221"/>
      <c r="B834" s="223"/>
      <c r="C834" s="30" t="s">
        <v>283</v>
      </c>
      <c r="D834" s="30" t="s">
        <v>93</v>
      </c>
      <c r="E834" s="31">
        <v>1.1512</v>
      </c>
      <c r="F834" s="28">
        <v>5.5670000000000002</v>
      </c>
      <c r="G834" s="28">
        <f t="shared" si="13"/>
        <v>6.4087304000000005</v>
      </c>
      <c r="H834" s="33">
        <f>SUM(G834:G837)</f>
        <v>12.405320400000001</v>
      </c>
      <c r="I834" s="34"/>
      <c r="J834" s="138">
        <v>0</v>
      </c>
    </row>
    <row r="835" spans="1:10" ht="26.25" hidden="1" thickBot="1" x14ac:dyDescent="0.3">
      <c r="A835" s="221"/>
      <c r="B835" s="223"/>
      <c r="C835" s="30" t="s">
        <v>161</v>
      </c>
      <c r="D835" s="30" t="s">
        <v>20</v>
      </c>
      <c r="E835" s="31">
        <v>0.58330000000000004</v>
      </c>
      <c r="F835" s="28">
        <v>0.20899999999999999</v>
      </c>
      <c r="G835" s="28">
        <f t="shared" si="13"/>
        <v>0.12190970000000001</v>
      </c>
      <c r="H835" s="50"/>
      <c r="I835" s="51"/>
      <c r="J835" s="138">
        <v>0</v>
      </c>
    </row>
    <row r="836" spans="1:10" ht="26.25" hidden="1" thickBot="1" x14ac:dyDescent="0.3">
      <c r="A836" s="221"/>
      <c r="B836" s="223"/>
      <c r="C836" s="30" t="s">
        <v>266</v>
      </c>
      <c r="D836" s="30" t="s">
        <v>152</v>
      </c>
      <c r="E836" s="31">
        <v>7.4899999999999994E-2</v>
      </c>
      <c r="F836" s="28">
        <v>41.324999999999996</v>
      </c>
      <c r="G836" s="28">
        <f t="shared" si="13"/>
        <v>3.0952424999999995</v>
      </c>
      <c r="H836" s="50"/>
      <c r="I836" s="51"/>
      <c r="J836" s="138">
        <v>0</v>
      </c>
    </row>
    <row r="837" spans="1:10" ht="15.75" hidden="1" thickBot="1" x14ac:dyDescent="0.3">
      <c r="A837" s="221"/>
      <c r="B837" s="223"/>
      <c r="C837" s="30" t="s">
        <v>27</v>
      </c>
      <c r="D837" s="30" t="s">
        <v>12</v>
      </c>
      <c r="E837" s="31">
        <v>0.14680000000000001</v>
      </c>
      <c r="F837" s="25">
        <v>18.933499999999999</v>
      </c>
      <c r="G837" s="28">
        <f t="shared" si="13"/>
        <v>2.7794378000000002</v>
      </c>
      <c r="H837" s="50"/>
      <c r="I837" s="51"/>
      <c r="J837" s="138">
        <v>0</v>
      </c>
    </row>
    <row r="838" spans="1:10" ht="15.75" hidden="1" thickBot="1" x14ac:dyDescent="0.3">
      <c r="A838" s="227"/>
      <c r="B838" s="224"/>
      <c r="C838" s="30"/>
      <c r="D838" s="30"/>
      <c r="E838" s="31"/>
      <c r="F838" s="25" t="s">
        <v>521</v>
      </c>
      <c r="G838" s="28" t="str">
        <f t="shared" si="13"/>
        <v/>
      </c>
      <c r="H838" s="29"/>
      <c r="I838" s="25"/>
      <c r="J838" s="138">
        <v>0</v>
      </c>
    </row>
    <row r="839" spans="1:10" ht="15.75" hidden="1" thickBot="1" x14ac:dyDescent="0.3">
      <c r="A839" s="220" t="s">
        <v>284</v>
      </c>
      <c r="B839" s="222" t="e">
        <f>INDEX(Orçamentária!A:B,MATCH(Composições!A839,Orçamentária!A:A,0),2)</f>
        <v>#N/A</v>
      </c>
      <c r="C839" s="35"/>
      <c r="D839" s="20" t="s">
        <v>95</v>
      </c>
      <c r="E839" s="21"/>
      <c r="F839" s="36" t="s">
        <v>521</v>
      </c>
      <c r="G839" s="22" t="str">
        <f t="shared" si="13"/>
        <v/>
      </c>
      <c r="H839" s="23"/>
      <c r="I839" s="24"/>
      <c r="J839" s="138">
        <v>0</v>
      </c>
    </row>
    <row r="840" spans="1:10" ht="15.75" hidden="1" thickBot="1" x14ac:dyDescent="0.3">
      <c r="A840" s="221"/>
      <c r="B840" s="223"/>
      <c r="C840" s="26"/>
      <c r="D840" s="26"/>
      <c r="E840" s="27"/>
      <c r="F840" s="37" t="s">
        <v>521</v>
      </c>
      <c r="G840" s="25" t="str">
        <f t="shared" si="13"/>
        <v/>
      </c>
      <c r="H840" s="29"/>
      <c r="I840" s="25"/>
      <c r="J840" s="138">
        <v>0</v>
      </c>
    </row>
    <row r="841" spans="1:10" ht="15.75" hidden="1" thickBot="1" x14ac:dyDescent="0.3">
      <c r="A841" s="221"/>
      <c r="B841" s="223"/>
      <c r="C841" s="30" t="s">
        <v>23</v>
      </c>
      <c r="D841" s="30" t="s">
        <v>12</v>
      </c>
      <c r="E841" s="31">
        <v>0.1</v>
      </c>
      <c r="F841" s="25">
        <v>18.420500000000001</v>
      </c>
      <c r="G841" s="28">
        <f t="shared" si="13"/>
        <v>1.8420500000000002</v>
      </c>
      <c r="H841" s="33">
        <f>SUM(G841:G843)</f>
        <v>8.6773000000000007</v>
      </c>
      <c r="I841" s="34"/>
      <c r="J841" s="138">
        <v>0</v>
      </c>
    </row>
    <row r="842" spans="1:10" ht="15.75" hidden="1" thickBot="1" x14ac:dyDescent="0.3">
      <c r="A842" s="221"/>
      <c r="B842" s="223"/>
      <c r="C842" s="30" t="s">
        <v>22</v>
      </c>
      <c r="D842" s="30" t="s">
        <v>12</v>
      </c>
      <c r="E842" s="31">
        <v>0.1</v>
      </c>
      <c r="F842" s="25">
        <v>24.889999999999997</v>
      </c>
      <c r="G842" s="28">
        <f t="shared" si="13"/>
        <v>2.4889999999999999</v>
      </c>
      <c r="H842" s="29"/>
      <c r="I842" s="25"/>
      <c r="J842" s="138">
        <v>0</v>
      </c>
    </row>
    <row r="843" spans="1:10" ht="15.75" hidden="1" thickBot="1" x14ac:dyDescent="0.3">
      <c r="A843" s="221"/>
      <c r="B843" s="223"/>
      <c r="C843" s="30" t="s">
        <v>2259</v>
      </c>
      <c r="D843" s="30" t="s">
        <v>42</v>
      </c>
      <c r="E843" s="31">
        <v>0.1</v>
      </c>
      <c r="F843" s="28">
        <v>43.462499999999999</v>
      </c>
      <c r="G843" s="25">
        <f t="shared" si="13"/>
        <v>4.3462500000000004</v>
      </c>
      <c r="H843" s="29"/>
      <c r="I843" s="25"/>
      <c r="J843" s="138">
        <v>0</v>
      </c>
    </row>
    <row r="844" spans="1:10" ht="15.75" hidden="1" thickBot="1" x14ac:dyDescent="0.3">
      <c r="A844" s="227"/>
      <c r="B844" s="224"/>
      <c r="C844" s="30"/>
      <c r="D844" s="30"/>
      <c r="E844" s="31"/>
      <c r="F844" s="25" t="s">
        <v>521</v>
      </c>
      <c r="G844" s="25" t="str">
        <f t="shared" si="13"/>
        <v/>
      </c>
      <c r="H844" s="29"/>
      <c r="I844" s="25"/>
      <c r="J844" s="138">
        <v>0</v>
      </c>
    </row>
    <row r="845" spans="1:10" ht="15.75" hidden="1" thickBot="1" x14ac:dyDescent="0.3">
      <c r="A845" s="220" t="s">
        <v>285</v>
      </c>
      <c r="B845" s="222" t="e">
        <f>INDEX(Orçamentária!A:B,MATCH(Composições!A845,Orçamentária!A:A,0),2)</f>
        <v>#N/A</v>
      </c>
      <c r="C845" s="35"/>
      <c r="D845" s="20" t="s">
        <v>93</v>
      </c>
      <c r="E845" s="21"/>
      <c r="F845" s="36" t="s">
        <v>521</v>
      </c>
      <c r="G845" s="22" t="str">
        <f t="shared" si="13"/>
        <v/>
      </c>
      <c r="H845" s="23"/>
      <c r="I845" s="24"/>
      <c r="J845" s="138">
        <v>0</v>
      </c>
    </row>
    <row r="846" spans="1:10" ht="15.75" hidden="1" thickBot="1" x14ac:dyDescent="0.3">
      <c r="A846" s="225"/>
      <c r="B846" s="223"/>
      <c r="C846" s="26"/>
      <c r="D846" s="26"/>
      <c r="E846" s="27"/>
      <c r="F846" s="37" t="s">
        <v>521</v>
      </c>
      <c r="G846" s="25" t="str">
        <f t="shared" si="13"/>
        <v/>
      </c>
      <c r="H846" s="29"/>
      <c r="I846" s="25"/>
      <c r="J846" s="138">
        <v>0</v>
      </c>
    </row>
    <row r="847" spans="1:10" ht="15.75" hidden="1" thickBot="1" x14ac:dyDescent="0.3">
      <c r="A847" s="225"/>
      <c r="B847" s="223"/>
      <c r="C847" s="30" t="s">
        <v>68</v>
      </c>
      <c r="D847" s="41" t="s">
        <v>12</v>
      </c>
      <c r="E847" s="31">
        <v>0.25</v>
      </c>
      <c r="F847" s="25">
        <v>22.961500000000001</v>
      </c>
      <c r="G847" s="28">
        <f t="shared" si="13"/>
        <v>5.7403750000000002</v>
      </c>
      <c r="H847" s="33">
        <f>SUM(G847:G848)</f>
        <v>5.7403750000000002</v>
      </c>
      <c r="I847" s="34"/>
      <c r="J847" s="138">
        <v>0</v>
      </c>
    </row>
    <row r="848" spans="1:10" ht="15.75" hidden="1" thickBot="1" x14ac:dyDescent="0.3">
      <c r="A848" s="225"/>
      <c r="B848" s="223"/>
      <c r="C848" s="30" t="s">
        <v>286</v>
      </c>
      <c r="D848" s="41" t="s">
        <v>93</v>
      </c>
      <c r="E848" s="31">
        <v>1.05</v>
      </c>
      <c r="F848" s="28" t="s">
        <v>521</v>
      </c>
      <c r="G848" s="28" t="str">
        <f t="shared" si="13"/>
        <v/>
      </c>
      <c r="H848" s="29"/>
      <c r="I848" s="25"/>
      <c r="J848" s="138">
        <v>0</v>
      </c>
    </row>
    <row r="849" spans="1:10" ht="15.75" hidden="1" thickBot="1" x14ac:dyDescent="0.3">
      <c r="A849" s="226"/>
      <c r="B849" s="224"/>
      <c r="C849" s="30"/>
      <c r="D849" s="41"/>
      <c r="E849" s="31"/>
      <c r="F849" s="28" t="s">
        <v>521</v>
      </c>
      <c r="G849" s="28" t="str">
        <f t="shared" si="13"/>
        <v/>
      </c>
      <c r="H849" s="29"/>
      <c r="I849" s="25"/>
      <c r="J849" s="138">
        <v>0</v>
      </c>
    </row>
    <row r="850" spans="1:10" ht="15.75" hidden="1" thickBot="1" x14ac:dyDescent="0.3">
      <c r="A850" s="220" t="s">
        <v>287</v>
      </c>
      <c r="B850" s="222" t="e">
        <f>INDEX(Orçamentária!A:B,MATCH(Composições!A850,Orçamentária!A:A,0),2)</f>
        <v>#N/A</v>
      </c>
      <c r="C850" s="35"/>
      <c r="D850" s="20" t="s">
        <v>93</v>
      </c>
      <c r="E850" s="21"/>
      <c r="F850" s="36" t="s">
        <v>521</v>
      </c>
      <c r="G850" s="22" t="str">
        <f t="shared" ref="G850:G913" si="14">IF(ISNUMBER(F850),E850*F850,"")</f>
        <v/>
      </c>
      <c r="H850" s="23"/>
      <c r="I850" s="24"/>
      <c r="J850" s="138">
        <v>0</v>
      </c>
    </row>
    <row r="851" spans="1:10" ht="15.75" hidden="1" thickBot="1" x14ac:dyDescent="0.3">
      <c r="A851" s="225"/>
      <c r="B851" s="223"/>
      <c r="C851" s="26"/>
      <c r="D851" s="26"/>
      <c r="E851" s="27"/>
      <c r="F851" s="37" t="s">
        <v>521</v>
      </c>
      <c r="G851" s="25" t="str">
        <f t="shared" si="14"/>
        <v/>
      </c>
      <c r="H851" s="29"/>
      <c r="I851" s="25"/>
      <c r="J851" s="138">
        <v>0</v>
      </c>
    </row>
    <row r="852" spans="1:10" ht="15.75" hidden="1" thickBot="1" x14ac:dyDescent="0.3">
      <c r="A852" s="225"/>
      <c r="B852" s="223"/>
      <c r="C852" s="30" t="s">
        <v>68</v>
      </c>
      <c r="D852" s="41" t="s">
        <v>12</v>
      </c>
      <c r="E852" s="31">
        <v>0.5</v>
      </c>
      <c r="F852" s="25">
        <v>22.961500000000001</v>
      </c>
      <c r="G852" s="28">
        <f t="shared" si="14"/>
        <v>11.48075</v>
      </c>
      <c r="H852" s="33">
        <f>SUM(G852:G854)</f>
        <v>19.329175000000003</v>
      </c>
      <c r="I852" s="34"/>
      <c r="J852" s="138">
        <v>0</v>
      </c>
    </row>
    <row r="853" spans="1:10" ht="15.75" hidden="1" thickBot="1" x14ac:dyDescent="0.3">
      <c r="A853" s="225"/>
      <c r="B853" s="223"/>
      <c r="C853" s="30" t="s">
        <v>23</v>
      </c>
      <c r="D853" s="41" t="s">
        <v>12</v>
      </c>
      <c r="E853" s="31">
        <f>E852/2</f>
        <v>0.25</v>
      </c>
      <c r="F853" s="28">
        <v>18.420500000000001</v>
      </c>
      <c r="G853" s="25">
        <f t="shared" si="14"/>
        <v>4.6051250000000001</v>
      </c>
      <c r="H853" s="29"/>
      <c r="I853" s="25"/>
      <c r="J853" s="138">
        <v>0</v>
      </c>
    </row>
    <row r="854" spans="1:10" ht="15.75" hidden="1" thickBot="1" x14ac:dyDescent="0.3">
      <c r="A854" s="225"/>
      <c r="B854" s="223"/>
      <c r="C854" s="30" t="s">
        <v>288</v>
      </c>
      <c r="D854" s="30" t="s">
        <v>42</v>
      </c>
      <c r="E854" s="31">
        <v>0.6</v>
      </c>
      <c r="F854" s="28">
        <v>5.4055</v>
      </c>
      <c r="G854" s="25">
        <f t="shared" si="14"/>
        <v>3.2433000000000001</v>
      </c>
      <c r="H854" s="29"/>
      <c r="I854" s="25"/>
      <c r="J854" s="138">
        <v>0</v>
      </c>
    </row>
    <row r="855" spans="1:10" ht="15.75" hidden="1" thickBot="1" x14ac:dyDescent="0.3">
      <c r="A855" s="226"/>
      <c r="B855" s="224"/>
      <c r="C855" s="30"/>
      <c r="D855" s="30"/>
      <c r="E855" s="31"/>
      <c r="F855" s="25" t="s">
        <v>521</v>
      </c>
      <c r="G855" s="25" t="str">
        <f t="shared" si="14"/>
        <v/>
      </c>
      <c r="H855" s="29"/>
      <c r="I855" s="25"/>
      <c r="J855" s="138">
        <v>0</v>
      </c>
    </row>
    <row r="856" spans="1:10" ht="15.75" hidden="1" thickBot="1" x14ac:dyDescent="0.3">
      <c r="A856" s="220" t="s">
        <v>289</v>
      </c>
      <c r="B856" s="222" t="e">
        <f>INDEX(Orçamentária!A:B,MATCH(Composições!A856,Orçamentária!A:A,0),2)</f>
        <v>#N/A</v>
      </c>
      <c r="C856" s="35"/>
      <c r="D856" s="20" t="s">
        <v>95</v>
      </c>
      <c r="E856" s="21"/>
      <c r="F856" s="36" t="s">
        <v>521</v>
      </c>
      <c r="G856" s="22" t="str">
        <f t="shared" si="14"/>
        <v/>
      </c>
      <c r="H856" s="23"/>
      <c r="I856" s="24"/>
      <c r="J856" s="138">
        <v>0</v>
      </c>
    </row>
    <row r="857" spans="1:10" ht="15.75" hidden="1" thickBot="1" x14ac:dyDescent="0.3">
      <c r="A857" s="221"/>
      <c r="B857" s="223"/>
      <c r="C857" s="26"/>
      <c r="D857" s="26"/>
      <c r="E857" s="27"/>
      <c r="F857" s="37" t="s">
        <v>521</v>
      </c>
      <c r="G857" s="25" t="str">
        <f t="shared" si="14"/>
        <v/>
      </c>
      <c r="H857" s="29"/>
      <c r="I857" s="25"/>
      <c r="J857" s="138">
        <v>0</v>
      </c>
    </row>
    <row r="858" spans="1:10" ht="15.75" hidden="1" thickBot="1" x14ac:dyDescent="0.3">
      <c r="A858" s="221"/>
      <c r="B858" s="223"/>
      <c r="C858" s="30" t="s">
        <v>290</v>
      </c>
      <c r="D858" s="41" t="s">
        <v>95</v>
      </c>
      <c r="E858" s="31">
        <v>1</v>
      </c>
      <c r="F858" s="25">
        <v>0</v>
      </c>
      <c r="G858" s="28">
        <f t="shared" si="14"/>
        <v>0</v>
      </c>
      <c r="H858" s="33">
        <f>SUM(G858:G860)</f>
        <v>103.45500000000001</v>
      </c>
      <c r="I858" s="34"/>
      <c r="J858" s="138">
        <v>0</v>
      </c>
    </row>
    <row r="859" spans="1:10" ht="15.75" hidden="1" thickBot="1" x14ac:dyDescent="0.3">
      <c r="A859" s="221"/>
      <c r="B859" s="223"/>
      <c r="C859" s="30" t="s">
        <v>23</v>
      </c>
      <c r="D859" s="41" t="s">
        <v>12</v>
      </c>
      <c r="E859" s="31">
        <v>2.5</v>
      </c>
      <c r="F859" s="25">
        <v>18.420500000000001</v>
      </c>
      <c r="G859" s="28">
        <f t="shared" si="14"/>
        <v>46.051250000000003</v>
      </c>
      <c r="H859" s="29"/>
      <c r="I859" s="25"/>
      <c r="J859" s="138">
        <v>0</v>
      </c>
    </row>
    <row r="860" spans="1:10" ht="15.75" hidden="1" thickBot="1" x14ac:dyDescent="0.3">
      <c r="A860" s="221"/>
      <c r="B860" s="223"/>
      <c r="C860" s="30" t="s">
        <v>68</v>
      </c>
      <c r="D860" s="41" t="s">
        <v>12</v>
      </c>
      <c r="E860" s="31">
        <v>2.5</v>
      </c>
      <c r="F860" s="25">
        <v>22.961500000000001</v>
      </c>
      <c r="G860" s="28">
        <f t="shared" si="14"/>
        <v>57.403750000000002</v>
      </c>
      <c r="H860" s="29"/>
      <c r="I860" s="25"/>
      <c r="J860" s="138">
        <v>0</v>
      </c>
    </row>
    <row r="861" spans="1:10" ht="15.75" hidden="1" thickBot="1" x14ac:dyDescent="0.3">
      <c r="A861" s="227"/>
      <c r="B861" s="224"/>
      <c r="C861" s="30"/>
      <c r="D861" s="30"/>
      <c r="E861" s="31"/>
      <c r="F861" s="25" t="s">
        <v>521</v>
      </c>
      <c r="G861" s="25" t="str">
        <f t="shared" si="14"/>
        <v/>
      </c>
      <c r="H861" s="29"/>
      <c r="I861" s="25"/>
      <c r="J861" s="138">
        <v>0</v>
      </c>
    </row>
    <row r="862" spans="1:10" ht="15.75" hidden="1" thickBot="1" x14ac:dyDescent="0.3">
      <c r="A862" s="220" t="s">
        <v>291</v>
      </c>
      <c r="B862" s="222" t="e">
        <f>INDEX(Orçamentária!A:B,MATCH(Composições!A862,Orçamentária!A:A,0),2)</f>
        <v>#N/A</v>
      </c>
      <c r="C862" s="35"/>
      <c r="D862" s="20" t="s">
        <v>95</v>
      </c>
      <c r="E862" s="21"/>
      <c r="F862" s="36" t="s">
        <v>521</v>
      </c>
      <c r="G862" s="22" t="str">
        <f t="shared" si="14"/>
        <v/>
      </c>
      <c r="H862" s="23"/>
      <c r="I862" s="24"/>
      <c r="J862" s="138">
        <v>0</v>
      </c>
    </row>
    <row r="863" spans="1:10" ht="15.75" hidden="1" thickBot="1" x14ac:dyDescent="0.3">
      <c r="A863" s="221"/>
      <c r="B863" s="223"/>
      <c r="C863" s="26"/>
      <c r="D863" s="26"/>
      <c r="E863" s="27"/>
      <c r="F863" s="37" t="s">
        <v>521</v>
      </c>
      <c r="G863" s="25" t="str">
        <f t="shared" si="14"/>
        <v/>
      </c>
      <c r="H863" s="29"/>
      <c r="I863" s="25"/>
      <c r="J863" s="138">
        <v>0</v>
      </c>
    </row>
    <row r="864" spans="1:10" ht="15.75" hidden="1" thickBot="1" x14ac:dyDescent="0.3">
      <c r="A864" s="221"/>
      <c r="B864" s="223"/>
      <c r="C864" s="30" t="s">
        <v>68</v>
      </c>
      <c r="D864" s="41" t="s">
        <v>12</v>
      </c>
      <c r="E864" s="31">
        <v>1</v>
      </c>
      <c r="F864" s="25">
        <v>22.961500000000001</v>
      </c>
      <c r="G864" s="28">
        <f t="shared" si="14"/>
        <v>22.961500000000001</v>
      </c>
      <c r="H864" s="33">
        <f>SUM(G864:G865)</f>
        <v>33.772500000000001</v>
      </c>
      <c r="I864" s="34"/>
      <c r="J864" s="138">
        <v>0</v>
      </c>
    </row>
    <row r="865" spans="1:10" ht="15.75" hidden="1" thickBot="1" x14ac:dyDescent="0.3">
      <c r="A865" s="221"/>
      <c r="B865" s="223"/>
      <c r="C865" s="30" t="s">
        <v>288</v>
      </c>
      <c r="D865" s="41" t="s">
        <v>42</v>
      </c>
      <c r="E865" s="31">
        <v>2</v>
      </c>
      <c r="F865" s="28">
        <v>5.4055</v>
      </c>
      <c r="G865" s="28">
        <f t="shared" si="14"/>
        <v>10.811</v>
      </c>
      <c r="H865" s="29"/>
      <c r="I865" s="25"/>
      <c r="J865" s="138">
        <v>0</v>
      </c>
    </row>
    <row r="866" spans="1:10" ht="15.75" hidden="1" thickBot="1" x14ac:dyDescent="0.3">
      <c r="A866" s="221"/>
      <c r="B866" s="223"/>
      <c r="C866" s="30"/>
      <c r="D866" s="41"/>
      <c r="E866" s="31"/>
      <c r="F866" s="28" t="s">
        <v>521</v>
      </c>
      <c r="G866" s="28" t="str">
        <f t="shared" si="14"/>
        <v/>
      </c>
      <c r="H866" s="29"/>
      <c r="I866" s="25"/>
      <c r="J866" s="138">
        <v>0</v>
      </c>
    </row>
    <row r="867" spans="1:10" ht="15.75" hidden="1" thickBot="1" x14ac:dyDescent="0.3">
      <c r="A867" s="220" t="s">
        <v>292</v>
      </c>
      <c r="B867" s="222" t="e">
        <f>INDEX(Orçamentária!A:B,MATCH(Composições!A867,Orçamentária!A:A,0),2)</f>
        <v>#N/A</v>
      </c>
      <c r="C867" s="35"/>
      <c r="D867" s="20" t="s">
        <v>93</v>
      </c>
      <c r="E867" s="21"/>
      <c r="F867" s="36" t="s">
        <v>521</v>
      </c>
      <c r="G867" s="22" t="str">
        <f t="shared" si="14"/>
        <v/>
      </c>
      <c r="H867" s="23"/>
      <c r="I867" s="24"/>
      <c r="J867" s="138">
        <v>0</v>
      </c>
    </row>
    <row r="868" spans="1:10" ht="15.75" hidden="1" thickBot="1" x14ac:dyDescent="0.3">
      <c r="A868" s="225"/>
      <c r="B868" s="223"/>
      <c r="C868" s="26"/>
      <c r="D868" s="26"/>
      <c r="E868" s="27"/>
      <c r="F868" s="37" t="s">
        <v>521</v>
      </c>
      <c r="G868" s="25" t="str">
        <f t="shared" si="14"/>
        <v/>
      </c>
      <c r="H868" s="29"/>
      <c r="I868" s="25"/>
      <c r="J868" s="138">
        <v>0</v>
      </c>
    </row>
    <row r="869" spans="1:10" ht="15.75" hidden="1" thickBot="1" x14ac:dyDescent="0.3">
      <c r="A869" s="225"/>
      <c r="B869" s="223"/>
      <c r="C869" s="30" t="s">
        <v>68</v>
      </c>
      <c r="D869" s="41" t="s">
        <v>12</v>
      </c>
      <c r="E869" s="31">
        <v>0.3</v>
      </c>
      <c r="F869" s="25">
        <v>22.961500000000001</v>
      </c>
      <c r="G869" s="25">
        <f t="shared" si="14"/>
        <v>6.8884499999999997</v>
      </c>
      <c r="H869" s="33">
        <f>SUM(G869:G871)</f>
        <v>20.219652749999998</v>
      </c>
      <c r="I869" s="34"/>
      <c r="J869" s="138">
        <v>0</v>
      </c>
    </row>
    <row r="870" spans="1:10" ht="15.75" hidden="1" thickBot="1" x14ac:dyDescent="0.3">
      <c r="A870" s="225"/>
      <c r="B870" s="223"/>
      <c r="C870" s="30" t="s">
        <v>23</v>
      </c>
      <c r="D870" s="41" t="s">
        <v>12</v>
      </c>
      <c r="E870" s="31">
        <v>0.3</v>
      </c>
      <c r="F870" s="28">
        <v>18.420500000000001</v>
      </c>
      <c r="G870" s="25">
        <f t="shared" si="14"/>
        <v>5.5261500000000003</v>
      </c>
      <c r="H870" s="29"/>
      <c r="I870" s="25"/>
      <c r="J870" s="138">
        <v>0</v>
      </c>
    </row>
    <row r="871" spans="1:10" ht="15.75" hidden="1" thickBot="1" x14ac:dyDescent="0.3">
      <c r="A871" s="225"/>
      <c r="B871" s="223"/>
      <c r="C871" s="30" t="s">
        <v>293</v>
      </c>
      <c r="D871" s="41" t="s">
        <v>20</v>
      </c>
      <c r="E871" s="31">
        <f>ROUND(1/3,4)</f>
        <v>0.33329999999999999</v>
      </c>
      <c r="F871" s="28">
        <v>23.417499999999997</v>
      </c>
      <c r="G871" s="25">
        <f t="shared" si="14"/>
        <v>7.8050527499999989</v>
      </c>
      <c r="H871" s="29"/>
      <c r="I871" s="25"/>
      <c r="J871" s="138">
        <v>0</v>
      </c>
    </row>
    <row r="872" spans="1:10" ht="15.75" hidden="1" thickBot="1" x14ac:dyDescent="0.3">
      <c r="A872" s="225"/>
      <c r="B872" s="223"/>
      <c r="C872" s="30"/>
      <c r="D872" s="41"/>
      <c r="E872" s="31"/>
      <c r="F872" s="25" t="s">
        <v>521</v>
      </c>
      <c r="G872" s="25" t="str">
        <f t="shared" si="14"/>
        <v/>
      </c>
      <c r="H872" s="29"/>
      <c r="I872" s="25"/>
      <c r="J872" s="138">
        <v>0</v>
      </c>
    </row>
    <row r="873" spans="1:10" ht="26.25" hidden="1" thickBot="1" x14ac:dyDescent="0.3">
      <c r="A873" s="225"/>
      <c r="B873" s="223"/>
      <c r="C873" s="52" t="s">
        <v>294</v>
      </c>
      <c r="D873" s="52"/>
      <c r="E873" s="53"/>
      <c r="F873" s="54" t="s">
        <v>521</v>
      </c>
      <c r="G873" s="52" t="str">
        <f t="shared" si="14"/>
        <v/>
      </c>
      <c r="H873" s="55"/>
      <c r="I873" s="52"/>
      <c r="J873" s="138">
        <v>0</v>
      </c>
    </row>
    <row r="874" spans="1:10" ht="15.75" hidden="1" thickBot="1" x14ac:dyDescent="0.3">
      <c r="A874" s="226"/>
      <c r="B874" s="224"/>
      <c r="C874" s="30"/>
      <c r="D874" s="30"/>
      <c r="E874" s="31"/>
      <c r="F874" s="25" t="s">
        <v>521</v>
      </c>
      <c r="G874" s="25" t="str">
        <f t="shared" si="14"/>
        <v/>
      </c>
      <c r="H874" s="29"/>
      <c r="I874" s="25"/>
      <c r="J874" s="138">
        <v>0</v>
      </c>
    </row>
    <row r="875" spans="1:10" ht="15.75" hidden="1" thickBot="1" x14ac:dyDescent="0.3">
      <c r="A875" s="220" t="s">
        <v>295</v>
      </c>
      <c r="B875" s="222" t="e">
        <f>INDEX(Orçamentária!A:B,MATCH(Composições!A875,Orçamentária!A:A,0),2)</f>
        <v>#N/A</v>
      </c>
      <c r="C875" s="35"/>
      <c r="D875" s="20" t="s">
        <v>95</v>
      </c>
      <c r="E875" s="21"/>
      <c r="F875" s="36" t="s">
        <v>521</v>
      </c>
      <c r="G875" s="22" t="str">
        <f t="shared" si="14"/>
        <v/>
      </c>
      <c r="H875" s="23"/>
      <c r="I875" s="24"/>
      <c r="J875" s="138">
        <v>0</v>
      </c>
    </row>
    <row r="876" spans="1:10" ht="15.75" hidden="1" thickBot="1" x14ac:dyDescent="0.3">
      <c r="A876" s="225"/>
      <c r="B876" s="223"/>
      <c r="C876" s="26"/>
      <c r="D876" s="26"/>
      <c r="E876" s="27"/>
      <c r="F876" s="37" t="s">
        <v>521</v>
      </c>
      <c r="G876" s="25" t="str">
        <f t="shared" si="14"/>
        <v/>
      </c>
      <c r="H876" s="29"/>
      <c r="I876" s="25"/>
      <c r="J876" s="138">
        <v>0</v>
      </c>
    </row>
    <row r="877" spans="1:10" ht="15.75" hidden="1" thickBot="1" x14ac:dyDescent="0.3">
      <c r="A877" s="225"/>
      <c r="B877" s="223"/>
      <c r="C877" s="30" t="s">
        <v>2317</v>
      </c>
      <c r="D877" s="41" t="s">
        <v>988</v>
      </c>
      <c r="E877" s="31">
        <v>1</v>
      </c>
      <c r="F877" s="25">
        <v>85.110500000000002</v>
      </c>
      <c r="G877" s="28">
        <f t="shared" si="14"/>
        <v>85.110500000000002</v>
      </c>
      <c r="H877" s="33">
        <f>SUM(G877:G881)</f>
        <v>125.55643649999999</v>
      </c>
      <c r="I877" s="34"/>
      <c r="J877" s="138">
        <v>0</v>
      </c>
    </row>
    <row r="878" spans="1:10" ht="15.75" hidden="1" thickBot="1" x14ac:dyDescent="0.3">
      <c r="A878" s="225"/>
      <c r="B878" s="223"/>
      <c r="C878" s="30" t="s">
        <v>1721</v>
      </c>
      <c r="D878" s="41" t="s">
        <v>897</v>
      </c>
      <c r="E878" s="31">
        <v>3.3000000000000002E-2</v>
      </c>
      <c r="F878" s="28">
        <v>24.661999999999999</v>
      </c>
      <c r="G878" s="28">
        <f t="shared" si="14"/>
        <v>0.81384599999999996</v>
      </c>
      <c r="H878" s="29"/>
      <c r="I878" s="25"/>
      <c r="J878" s="138">
        <v>0</v>
      </c>
    </row>
    <row r="879" spans="1:10" ht="15.75" hidden="1" thickBot="1" x14ac:dyDescent="0.3">
      <c r="A879" s="225"/>
      <c r="B879" s="223"/>
      <c r="C879" s="30" t="s">
        <v>1123</v>
      </c>
      <c r="D879" s="41" t="s">
        <v>279</v>
      </c>
      <c r="E879" s="31">
        <v>0.56499999999999995</v>
      </c>
      <c r="F879" s="28">
        <v>23.417499999999997</v>
      </c>
      <c r="G879" s="28">
        <f t="shared" si="14"/>
        <v>13.230887499999996</v>
      </c>
      <c r="H879" s="29"/>
      <c r="I879" s="25"/>
      <c r="J879" s="138">
        <v>0</v>
      </c>
    </row>
    <row r="880" spans="1:10" ht="15.75" hidden="1" thickBot="1" x14ac:dyDescent="0.3">
      <c r="A880" s="225"/>
      <c r="B880" s="223"/>
      <c r="C880" s="30" t="s">
        <v>703</v>
      </c>
      <c r="D880" s="41" t="s">
        <v>702</v>
      </c>
      <c r="E880" s="31">
        <v>0.628</v>
      </c>
      <c r="F880" s="28">
        <v>18.420500000000001</v>
      </c>
      <c r="G880" s="28">
        <f t="shared" si="14"/>
        <v>11.568074000000001</v>
      </c>
      <c r="H880" s="29"/>
      <c r="I880" s="25"/>
      <c r="J880" s="138">
        <v>0</v>
      </c>
    </row>
    <row r="881" spans="1:10" ht="15.75" hidden="1" thickBot="1" x14ac:dyDescent="0.3">
      <c r="A881" s="225"/>
      <c r="B881" s="223"/>
      <c r="C881" s="30" t="s">
        <v>1609</v>
      </c>
      <c r="D881" s="41" t="s">
        <v>702</v>
      </c>
      <c r="E881" s="31">
        <v>0.64600000000000002</v>
      </c>
      <c r="F881" s="28">
        <v>22.961500000000001</v>
      </c>
      <c r="G881" s="28">
        <f t="shared" si="14"/>
        <v>14.833129000000001</v>
      </c>
      <c r="H881" s="29"/>
      <c r="I881" s="25"/>
      <c r="J881" s="138">
        <v>0</v>
      </c>
    </row>
    <row r="882" spans="1:10" ht="15.75" hidden="1" thickBot="1" x14ac:dyDescent="0.3">
      <c r="A882" s="226"/>
      <c r="B882" s="224"/>
      <c r="C882" s="30"/>
      <c r="D882" s="30"/>
      <c r="E882" s="31"/>
      <c r="F882" s="25" t="s">
        <v>521</v>
      </c>
      <c r="G882" s="25" t="str">
        <f t="shared" si="14"/>
        <v/>
      </c>
      <c r="H882" s="29"/>
      <c r="I882" s="25"/>
      <c r="J882" s="138">
        <v>0</v>
      </c>
    </row>
    <row r="883" spans="1:10" ht="15.75" hidden="1" thickBot="1" x14ac:dyDescent="0.3">
      <c r="A883" s="220" t="s">
        <v>296</v>
      </c>
      <c r="B883" s="222" t="e">
        <f>INDEX(Orçamentária!A:B,MATCH(Composições!A883,Orçamentária!A:A,0),2)</f>
        <v>#N/A</v>
      </c>
      <c r="C883" s="35"/>
      <c r="D883" s="20" t="s">
        <v>95</v>
      </c>
      <c r="E883" s="21"/>
      <c r="F883" s="36" t="s">
        <v>521</v>
      </c>
      <c r="G883" s="22" t="str">
        <f t="shared" si="14"/>
        <v/>
      </c>
      <c r="H883" s="23"/>
      <c r="I883" s="24"/>
      <c r="J883" s="138">
        <v>0</v>
      </c>
    </row>
    <row r="884" spans="1:10" ht="15.75" hidden="1" thickBot="1" x14ac:dyDescent="0.3">
      <c r="A884" s="225"/>
      <c r="B884" s="223"/>
      <c r="C884" s="26"/>
      <c r="D884" s="26"/>
      <c r="E884" s="27"/>
      <c r="F884" s="37" t="s">
        <v>521</v>
      </c>
      <c r="G884" s="25" t="str">
        <f t="shared" si="14"/>
        <v/>
      </c>
      <c r="H884" s="29"/>
      <c r="I884" s="25"/>
      <c r="J884" s="138">
        <v>0</v>
      </c>
    </row>
    <row r="885" spans="1:10" ht="15.75" hidden="1" thickBot="1" x14ac:dyDescent="0.3">
      <c r="A885" s="225"/>
      <c r="B885" s="223"/>
      <c r="C885" s="30" t="s">
        <v>297</v>
      </c>
      <c r="D885" s="41" t="s">
        <v>988</v>
      </c>
      <c r="E885" s="31">
        <v>1</v>
      </c>
      <c r="F885" s="25">
        <v>120.5835</v>
      </c>
      <c r="G885" s="25">
        <f t="shared" si="14"/>
        <v>120.5835</v>
      </c>
      <c r="H885" s="33">
        <f>SUM(G885:G889)</f>
        <v>145.563332</v>
      </c>
      <c r="I885" s="34"/>
      <c r="J885" s="138">
        <v>0</v>
      </c>
    </row>
    <row r="886" spans="1:10" ht="15.75" hidden="1" thickBot="1" x14ac:dyDescent="0.3">
      <c r="A886" s="225"/>
      <c r="B886" s="223"/>
      <c r="C886" s="30" t="s">
        <v>1721</v>
      </c>
      <c r="D886" s="41" t="s">
        <v>897</v>
      </c>
      <c r="E886" s="31">
        <v>2.1000000000000001E-2</v>
      </c>
      <c r="F886" s="28">
        <v>24.661999999999999</v>
      </c>
      <c r="G886" s="25">
        <f t="shared" si="14"/>
        <v>0.51790199999999997</v>
      </c>
      <c r="H886" s="29"/>
      <c r="I886" s="25"/>
      <c r="J886" s="138">
        <v>0</v>
      </c>
    </row>
    <row r="887" spans="1:10" ht="15.75" hidden="1" thickBot="1" x14ac:dyDescent="0.3">
      <c r="A887" s="225"/>
      <c r="B887" s="223"/>
      <c r="C887" s="30" t="s">
        <v>1123</v>
      </c>
      <c r="D887" s="41" t="s">
        <v>279</v>
      </c>
      <c r="E887" s="31">
        <v>0.35699999999999998</v>
      </c>
      <c r="F887" s="28">
        <v>23.417499999999997</v>
      </c>
      <c r="G887" s="25">
        <f t="shared" si="14"/>
        <v>8.3600474999999985</v>
      </c>
      <c r="H887" s="29"/>
      <c r="I887" s="25"/>
      <c r="J887" s="138">
        <v>0</v>
      </c>
    </row>
    <row r="888" spans="1:10" ht="15.75" hidden="1" thickBot="1" x14ac:dyDescent="0.3">
      <c r="A888" s="225"/>
      <c r="B888" s="223"/>
      <c r="C888" s="30" t="s">
        <v>703</v>
      </c>
      <c r="D888" s="41" t="s">
        <v>702</v>
      </c>
      <c r="E888" s="31">
        <v>0.38300000000000001</v>
      </c>
      <c r="F888" s="28">
        <v>18.420500000000001</v>
      </c>
      <c r="G888" s="25">
        <f t="shared" si="14"/>
        <v>7.0550515000000003</v>
      </c>
      <c r="H888" s="29"/>
      <c r="I888" s="25"/>
      <c r="J888" s="138">
        <v>0</v>
      </c>
    </row>
    <row r="889" spans="1:10" ht="15.75" hidden="1" thickBot="1" x14ac:dyDescent="0.3">
      <c r="A889" s="225"/>
      <c r="B889" s="223"/>
      <c r="C889" s="30" t="s">
        <v>1609</v>
      </c>
      <c r="D889" s="41" t="s">
        <v>702</v>
      </c>
      <c r="E889" s="31">
        <v>0.39400000000000002</v>
      </c>
      <c r="F889" s="28">
        <v>22.961500000000001</v>
      </c>
      <c r="G889" s="25">
        <f t="shared" si="14"/>
        <v>9.046831000000001</v>
      </c>
      <c r="H889" s="29"/>
      <c r="I889" s="25"/>
      <c r="J889" s="138">
        <v>0</v>
      </c>
    </row>
    <row r="890" spans="1:10" ht="15.75" hidden="1" thickBot="1" x14ac:dyDescent="0.3">
      <c r="A890" s="226"/>
      <c r="B890" s="224"/>
      <c r="C890" s="30"/>
      <c r="D890" s="30"/>
      <c r="E890" s="31"/>
      <c r="F890" s="25" t="s">
        <v>521</v>
      </c>
      <c r="G890" s="25" t="str">
        <f t="shared" si="14"/>
        <v/>
      </c>
      <c r="H890" s="29"/>
      <c r="I890" s="25"/>
      <c r="J890" s="138">
        <v>0</v>
      </c>
    </row>
    <row r="891" spans="1:10" ht="15.75" hidden="1" thickBot="1" x14ac:dyDescent="0.3">
      <c r="A891" s="220" t="s">
        <v>298</v>
      </c>
      <c r="B891" s="222" t="e">
        <f>INDEX(Orçamentária!A:B,MATCH(Composições!A891,Orçamentária!A:A,0),2)</f>
        <v>#N/A</v>
      </c>
      <c r="C891" s="35"/>
      <c r="D891" s="20" t="s">
        <v>95</v>
      </c>
      <c r="E891" s="21"/>
      <c r="F891" s="36" t="s">
        <v>521</v>
      </c>
      <c r="G891" s="22" t="str">
        <f t="shared" si="14"/>
        <v/>
      </c>
      <c r="H891" s="23"/>
      <c r="I891" s="24"/>
      <c r="J891" s="138">
        <v>0</v>
      </c>
    </row>
    <row r="892" spans="1:10" ht="15.75" hidden="1" thickBot="1" x14ac:dyDescent="0.3">
      <c r="A892" s="221"/>
      <c r="B892" s="223"/>
      <c r="C892" s="26"/>
      <c r="D892" s="26"/>
      <c r="E892" s="27"/>
      <c r="F892" s="37" t="s">
        <v>521</v>
      </c>
      <c r="G892" s="25" t="str">
        <f t="shared" si="14"/>
        <v/>
      </c>
      <c r="H892" s="29"/>
      <c r="I892" s="25"/>
      <c r="J892" s="138">
        <v>0</v>
      </c>
    </row>
    <row r="893" spans="1:10" ht="15.75" hidden="1" thickBot="1" x14ac:dyDescent="0.3">
      <c r="A893" s="221"/>
      <c r="B893" s="223"/>
      <c r="C893" s="30" t="s">
        <v>68</v>
      </c>
      <c r="D893" s="30" t="s">
        <v>12</v>
      </c>
      <c r="E893" s="31">
        <f>2.2/2</f>
        <v>1.1000000000000001</v>
      </c>
      <c r="F893" s="25">
        <v>22.961500000000001</v>
      </c>
      <c r="G893" s="28">
        <f t="shared" si="14"/>
        <v>25.257650000000002</v>
      </c>
      <c r="H893" s="33">
        <f>SUM(G893:G894)</f>
        <v>45.520200000000003</v>
      </c>
      <c r="I893" s="34"/>
      <c r="J893" s="138">
        <v>0</v>
      </c>
    </row>
    <row r="894" spans="1:10" ht="15.75" hidden="1" thickBot="1" x14ac:dyDescent="0.3">
      <c r="A894" s="221"/>
      <c r="B894" s="223"/>
      <c r="C894" s="30" t="s">
        <v>23</v>
      </c>
      <c r="D894" s="41" t="s">
        <v>12</v>
      </c>
      <c r="E894" s="31">
        <f>2.2/2</f>
        <v>1.1000000000000001</v>
      </c>
      <c r="F894" s="25">
        <v>18.420500000000001</v>
      </c>
      <c r="G894" s="28">
        <f t="shared" si="14"/>
        <v>20.262550000000001</v>
      </c>
      <c r="H894" s="29"/>
      <c r="I894" s="25"/>
      <c r="J894" s="138">
        <v>0</v>
      </c>
    </row>
    <row r="895" spans="1:10" ht="15.75" hidden="1" thickBot="1" x14ac:dyDescent="0.3">
      <c r="A895" s="227"/>
      <c r="B895" s="224"/>
      <c r="C895" s="30"/>
      <c r="D895" s="30"/>
      <c r="E895" s="31"/>
      <c r="F895" s="25" t="s">
        <v>521</v>
      </c>
      <c r="G895" s="25" t="str">
        <f t="shared" si="14"/>
        <v/>
      </c>
      <c r="H895" s="29"/>
      <c r="I895" s="25"/>
      <c r="J895" s="138">
        <v>0</v>
      </c>
    </row>
    <row r="896" spans="1:10" ht="15.75" hidden="1" thickBot="1" x14ac:dyDescent="0.3">
      <c r="A896" s="220" t="s">
        <v>299</v>
      </c>
      <c r="B896" s="222" t="e">
        <f>INDEX(Orçamentária!A:B,MATCH(Composições!A896,Orçamentária!A:A,0),2)</f>
        <v>#N/A</v>
      </c>
      <c r="C896" s="35"/>
      <c r="D896" s="20" t="s">
        <v>20</v>
      </c>
      <c r="E896" s="21"/>
      <c r="F896" s="36" t="s">
        <v>521</v>
      </c>
      <c r="G896" s="22" t="str">
        <f t="shared" si="14"/>
        <v/>
      </c>
      <c r="H896" s="23"/>
      <c r="I896" s="24"/>
      <c r="J896" s="138">
        <v>0</v>
      </c>
    </row>
    <row r="897" spans="1:10" ht="15.75" hidden="1" thickBot="1" x14ac:dyDescent="0.3">
      <c r="A897" s="221"/>
      <c r="B897" s="223"/>
      <c r="C897" s="26"/>
      <c r="D897" s="26"/>
      <c r="E897" s="27"/>
      <c r="F897" s="37" t="s">
        <v>521</v>
      </c>
      <c r="G897" s="25" t="str">
        <f t="shared" si="14"/>
        <v/>
      </c>
      <c r="H897" s="29"/>
      <c r="I897" s="25"/>
      <c r="J897" s="138">
        <v>0</v>
      </c>
    </row>
    <row r="898" spans="1:10" ht="15.75" hidden="1" thickBot="1" x14ac:dyDescent="0.3">
      <c r="A898" s="221"/>
      <c r="B898" s="223"/>
      <c r="C898" s="30" t="s">
        <v>68</v>
      </c>
      <c r="D898" s="30" t="s">
        <v>12</v>
      </c>
      <c r="E898" s="31">
        <v>1.8180000000000001</v>
      </c>
      <c r="F898" s="25">
        <v>22.961500000000001</v>
      </c>
      <c r="G898" s="28">
        <f t="shared" si="14"/>
        <v>41.744007000000003</v>
      </c>
      <c r="H898" s="33">
        <f>SUM(G898:G901)</f>
        <v>74.2930305</v>
      </c>
      <c r="I898" s="34"/>
      <c r="J898" s="138">
        <v>0</v>
      </c>
    </row>
    <row r="899" spans="1:10" ht="15.75" hidden="1" thickBot="1" x14ac:dyDescent="0.3">
      <c r="A899" s="221"/>
      <c r="B899" s="223"/>
      <c r="C899" s="30" t="s">
        <v>23</v>
      </c>
      <c r="D899" s="41" t="s">
        <v>12</v>
      </c>
      <c r="E899" s="31">
        <v>1.7669999999999999</v>
      </c>
      <c r="F899" s="25">
        <v>18.420500000000001</v>
      </c>
      <c r="G899" s="28">
        <f t="shared" si="14"/>
        <v>32.549023499999997</v>
      </c>
      <c r="H899" s="39"/>
      <c r="I899" s="40"/>
      <c r="J899" s="138">
        <v>0</v>
      </c>
    </row>
    <row r="900" spans="1:10" ht="39" hidden="1" thickBot="1" x14ac:dyDescent="0.3">
      <c r="A900" s="221"/>
      <c r="B900" s="223"/>
      <c r="C900" s="30" t="s">
        <v>2211</v>
      </c>
      <c r="D900" s="30" t="s">
        <v>20</v>
      </c>
      <c r="E900" s="31">
        <v>1</v>
      </c>
      <c r="F900" s="25" t="s">
        <v>521</v>
      </c>
      <c r="G900" s="25" t="str">
        <f t="shared" si="14"/>
        <v/>
      </c>
      <c r="H900" s="29"/>
      <c r="I900" s="25"/>
      <c r="J900" s="138">
        <v>0</v>
      </c>
    </row>
    <row r="901" spans="1:10" ht="15.75" hidden="1" thickBot="1" x14ac:dyDescent="0.3">
      <c r="A901" s="221"/>
      <c r="B901" s="223"/>
      <c r="C901" s="30" t="s">
        <v>2212</v>
      </c>
      <c r="D901" s="30" t="s">
        <v>20</v>
      </c>
      <c r="E901" s="31">
        <v>1</v>
      </c>
      <c r="F901" s="25" t="s">
        <v>521</v>
      </c>
      <c r="G901" s="25" t="str">
        <f t="shared" si="14"/>
        <v/>
      </c>
      <c r="H901" s="29"/>
      <c r="I901" s="25"/>
      <c r="J901" s="138">
        <v>0</v>
      </c>
    </row>
    <row r="902" spans="1:10" ht="15.75" hidden="1" thickBot="1" x14ac:dyDescent="0.3">
      <c r="A902" s="227"/>
      <c r="B902" s="224"/>
      <c r="C902" s="30"/>
      <c r="D902" s="30"/>
      <c r="E902" s="31"/>
      <c r="F902" s="25" t="s">
        <v>521</v>
      </c>
      <c r="G902" s="25" t="str">
        <f t="shared" si="14"/>
        <v/>
      </c>
      <c r="H902" s="29"/>
      <c r="I902" s="25"/>
      <c r="J902" s="138">
        <v>0</v>
      </c>
    </row>
    <row r="903" spans="1:10" ht="15.75" hidden="1" thickBot="1" x14ac:dyDescent="0.3">
      <c r="A903" s="220" t="s">
        <v>300</v>
      </c>
      <c r="B903" s="222" t="e">
        <f>INDEX(Orçamentária!A:B,MATCH(Composições!A903,Orçamentária!A:A,0),2)</f>
        <v>#N/A</v>
      </c>
      <c r="C903" s="35"/>
      <c r="D903" s="20" t="s">
        <v>93</v>
      </c>
      <c r="E903" s="21"/>
      <c r="F903" s="36" t="s">
        <v>521</v>
      </c>
      <c r="G903" s="22" t="str">
        <f t="shared" si="14"/>
        <v/>
      </c>
      <c r="H903" s="23"/>
      <c r="I903" s="24"/>
      <c r="J903" s="138">
        <v>0</v>
      </c>
    </row>
    <row r="904" spans="1:10" ht="15.75" hidden="1" thickBot="1" x14ac:dyDescent="0.3">
      <c r="A904" s="221"/>
      <c r="B904" s="223"/>
      <c r="C904" s="26"/>
      <c r="D904" s="26"/>
      <c r="E904" s="27"/>
      <c r="F904" s="37" t="s">
        <v>521</v>
      </c>
      <c r="G904" s="25" t="str">
        <f t="shared" si="14"/>
        <v/>
      </c>
      <c r="H904" s="29"/>
      <c r="I904" s="25"/>
      <c r="J904" s="138">
        <v>0</v>
      </c>
    </row>
    <row r="905" spans="1:10" ht="15.75" hidden="1" thickBot="1" x14ac:dyDescent="0.3">
      <c r="A905" s="221"/>
      <c r="B905" s="223"/>
      <c r="C905" s="30" t="s">
        <v>50</v>
      </c>
      <c r="D905" s="30" t="s">
        <v>12</v>
      </c>
      <c r="E905" s="31">
        <f>ROUND(1/3,4)</f>
        <v>0.33329999999999999</v>
      </c>
      <c r="F905" s="25">
        <v>19.474999999999998</v>
      </c>
      <c r="G905" s="28">
        <f t="shared" si="14"/>
        <v>6.491017499999999</v>
      </c>
      <c r="H905" s="33">
        <f>SUM(G905:G905)</f>
        <v>6.491017499999999</v>
      </c>
      <c r="I905" s="34"/>
      <c r="J905" s="138">
        <v>0</v>
      </c>
    </row>
    <row r="906" spans="1:10" ht="15.75" hidden="1" thickBot="1" x14ac:dyDescent="0.3">
      <c r="A906" s="227"/>
      <c r="B906" s="224"/>
      <c r="C906" s="30"/>
      <c r="D906" s="30"/>
      <c r="E906" s="31"/>
      <c r="F906" s="25" t="s">
        <v>521</v>
      </c>
      <c r="G906" s="25" t="str">
        <f t="shared" si="14"/>
        <v/>
      </c>
      <c r="H906" s="29"/>
      <c r="I906" s="25"/>
      <c r="J906" s="138">
        <v>0</v>
      </c>
    </row>
    <row r="907" spans="1:10" ht="15.75" hidden="1" thickBot="1" x14ac:dyDescent="0.3">
      <c r="A907" s="220" t="s">
        <v>301</v>
      </c>
      <c r="B907" s="222" t="e">
        <f>INDEX(Orçamentária!A:B,MATCH(Composições!A907,Orçamentária!A:A,0),2)</f>
        <v>#N/A</v>
      </c>
      <c r="C907" s="35"/>
      <c r="D907" s="20" t="s">
        <v>20</v>
      </c>
      <c r="E907" s="21"/>
      <c r="F907" s="36" t="s">
        <v>521</v>
      </c>
      <c r="G907" s="22" t="str">
        <f t="shared" si="14"/>
        <v/>
      </c>
      <c r="H907" s="23"/>
      <c r="I907" s="24"/>
      <c r="J907" s="138">
        <v>0</v>
      </c>
    </row>
    <row r="908" spans="1:10" ht="15.75" hidden="1" thickBot="1" x14ac:dyDescent="0.3">
      <c r="A908" s="221"/>
      <c r="B908" s="223"/>
      <c r="C908" s="26"/>
      <c r="D908" s="26"/>
      <c r="E908" s="27"/>
      <c r="F908" s="37" t="s">
        <v>521</v>
      </c>
      <c r="G908" s="25" t="str">
        <f t="shared" si="14"/>
        <v/>
      </c>
      <c r="H908" s="29"/>
      <c r="I908" s="25"/>
      <c r="J908" s="138">
        <v>0</v>
      </c>
    </row>
    <row r="909" spans="1:10" ht="15.75" hidden="1" thickBot="1" x14ac:dyDescent="0.3">
      <c r="A909" s="221"/>
      <c r="B909" s="223"/>
      <c r="C909" s="30" t="s">
        <v>39</v>
      </c>
      <c r="D909" s="41" t="s">
        <v>12</v>
      </c>
      <c r="E909" s="31">
        <v>0.2</v>
      </c>
      <c r="F909" s="25">
        <v>24.300999999999998</v>
      </c>
      <c r="G909" s="28">
        <f t="shared" si="14"/>
        <v>4.8601999999999999</v>
      </c>
      <c r="H909" s="33">
        <f>SUM(G909:G911)</f>
        <v>19.252700000000001</v>
      </c>
      <c r="I909" s="34"/>
      <c r="J909" s="138">
        <v>0</v>
      </c>
    </row>
    <row r="910" spans="1:10" ht="26.25" hidden="1" thickBot="1" x14ac:dyDescent="0.3">
      <c r="A910" s="221"/>
      <c r="B910" s="223"/>
      <c r="C910" s="30" t="s">
        <v>2260</v>
      </c>
      <c r="D910" s="41" t="s">
        <v>20</v>
      </c>
      <c r="E910" s="31">
        <v>1</v>
      </c>
      <c r="F910" s="28">
        <v>14.3925</v>
      </c>
      <c r="G910" s="48">
        <f t="shared" si="14"/>
        <v>14.3925</v>
      </c>
      <c r="H910" s="29"/>
      <c r="I910" s="25"/>
      <c r="J910" s="138">
        <v>0</v>
      </c>
    </row>
    <row r="911" spans="1:10" ht="26.25" hidden="1" thickBot="1" x14ac:dyDescent="0.3">
      <c r="A911" s="221"/>
      <c r="B911" s="223"/>
      <c r="C911" s="30" t="s">
        <v>302</v>
      </c>
      <c r="D911" s="30" t="s">
        <v>20</v>
      </c>
      <c r="E911" s="31">
        <v>1</v>
      </c>
      <c r="F911" s="28" t="s">
        <v>521</v>
      </c>
      <c r="G911" s="25" t="str">
        <f t="shared" si="14"/>
        <v/>
      </c>
      <c r="H911" s="29"/>
      <c r="I911" s="25"/>
      <c r="J911" s="138">
        <v>0</v>
      </c>
    </row>
    <row r="912" spans="1:10" ht="15.75" hidden="1" thickBot="1" x14ac:dyDescent="0.3">
      <c r="A912" s="227"/>
      <c r="B912" s="224"/>
      <c r="C912" s="30"/>
      <c r="D912" s="30"/>
      <c r="E912" s="31"/>
      <c r="F912" s="25" t="s">
        <v>521</v>
      </c>
      <c r="G912" s="25" t="str">
        <f t="shared" si="14"/>
        <v/>
      </c>
      <c r="H912" s="29"/>
      <c r="I912" s="25"/>
      <c r="J912" s="138">
        <v>0</v>
      </c>
    </row>
    <row r="913" spans="1:10" ht="15.75" hidden="1" thickBot="1" x14ac:dyDescent="0.3">
      <c r="A913" s="220" t="s">
        <v>303</v>
      </c>
      <c r="B913" s="222" t="e">
        <f>INDEX(Orçamentária!A:B,MATCH(Composições!A913,Orçamentária!A:A,0),2)</f>
        <v>#N/A</v>
      </c>
      <c r="C913" s="35"/>
      <c r="D913" s="20" t="s">
        <v>93</v>
      </c>
      <c r="E913" s="21"/>
      <c r="F913" s="36" t="s">
        <v>521</v>
      </c>
      <c r="G913" s="22" t="str">
        <f t="shared" si="14"/>
        <v/>
      </c>
      <c r="H913" s="23"/>
      <c r="I913" s="24"/>
      <c r="J913" s="138">
        <v>0</v>
      </c>
    </row>
    <row r="914" spans="1:10" ht="15.75" hidden="1" thickBot="1" x14ac:dyDescent="0.3">
      <c r="A914" s="221"/>
      <c r="B914" s="223"/>
      <c r="C914" s="26"/>
      <c r="D914" s="26"/>
      <c r="E914" s="27"/>
      <c r="F914" s="37" t="s">
        <v>521</v>
      </c>
      <c r="G914" s="25" t="str">
        <f t="shared" ref="G914:G977" si="15">IF(ISNUMBER(F914),E914*F914,"")</f>
        <v/>
      </c>
      <c r="H914" s="29"/>
      <c r="I914" s="25"/>
      <c r="J914" s="138">
        <v>0</v>
      </c>
    </row>
    <row r="915" spans="1:10" ht="15.75" hidden="1" thickBot="1" x14ac:dyDescent="0.3">
      <c r="A915" s="221"/>
      <c r="B915" s="223"/>
      <c r="C915" s="30" t="s">
        <v>2261</v>
      </c>
      <c r="D915" s="41" t="s">
        <v>20</v>
      </c>
      <c r="E915" s="31">
        <v>4.2900000000000001E-2</v>
      </c>
      <c r="F915" s="28">
        <v>65.417000000000002</v>
      </c>
      <c r="G915" s="28">
        <f t="shared" si="15"/>
        <v>2.8063893000000002</v>
      </c>
      <c r="H915" s="33">
        <f>SUM(G915:G920)</f>
        <v>68.278510199999999</v>
      </c>
      <c r="I915" s="34"/>
      <c r="J915" s="138">
        <v>0</v>
      </c>
    </row>
    <row r="916" spans="1:10" ht="26.25" hidden="1" thickBot="1" x14ac:dyDescent="0.3">
      <c r="A916" s="221"/>
      <c r="B916" s="223"/>
      <c r="C916" s="30" t="s">
        <v>1956</v>
      </c>
      <c r="D916" s="41" t="s">
        <v>93</v>
      </c>
      <c r="E916" s="31">
        <v>1.04</v>
      </c>
      <c r="F916" s="28">
        <v>39.101999999999997</v>
      </c>
      <c r="G916" s="28">
        <f t="shared" si="15"/>
        <v>40.666080000000001</v>
      </c>
      <c r="H916" s="39"/>
      <c r="I916" s="40"/>
      <c r="J916" s="138">
        <v>0</v>
      </c>
    </row>
    <row r="917" spans="1:10" ht="26.25" hidden="1" thickBot="1" x14ac:dyDescent="0.3">
      <c r="A917" s="221"/>
      <c r="B917" s="223"/>
      <c r="C917" s="30" t="s">
        <v>2262</v>
      </c>
      <c r="D917" s="41" t="s">
        <v>20</v>
      </c>
      <c r="E917" s="31">
        <v>7.0099999999999996E-2</v>
      </c>
      <c r="F917" s="28">
        <v>74.119</v>
      </c>
      <c r="G917" s="28">
        <f t="shared" si="15"/>
        <v>5.1957418999999998</v>
      </c>
      <c r="H917" s="39"/>
      <c r="I917" s="40"/>
      <c r="J917" s="138">
        <v>0</v>
      </c>
    </row>
    <row r="918" spans="1:10" ht="15.75" hidden="1" thickBot="1" x14ac:dyDescent="0.3">
      <c r="A918" s="221"/>
      <c r="B918" s="223"/>
      <c r="C918" s="30" t="s">
        <v>304</v>
      </c>
      <c r="D918" s="41" t="s">
        <v>20</v>
      </c>
      <c r="E918" s="31">
        <v>0.14849999999999999</v>
      </c>
      <c r="F918" s="28">
        <v>2.0139999999999998</v>
      </c>
      <c r="G918" s="28">
        <f t="shared" si="15"/>
        <v>0.29907899999999993</v>
      </c>
      <c r="H918" s="39"/>
      <c r="I918" s="40"/>
      <c r="J918" s="138">
        <v>0</v>
      </c>
    </row>
    <row r="919" spans="1:10" ht="26.25" hidden="1" thickBot="1" x14ac:dyDescent="0.3">
      <c r="A919" s="221"/>
      <c r="B919" s="223"/>
      <c r="C919" s="30" t="s">
        <v>107</v>
      </c>
      <c r="D919" s="41" t="s">
        <v>12</v>
      </c>
      <c r="E919" s="31">
        <v>0.44500000000000001</v>
      </c>
      <c r="F919" s="25">
        <v>19.094999999999999</v>
      </c>
      <c r="G919" s="28">
        <f t="shared" si="15"/>
        <v>8.4972750000000001</v>
      </c>
      <c r="H919" s="39"/>
      <c r="I919" s="40"/>
      <c r="J919" s="138">
        <v>0</v>
      </c>
    </row>
    <row r="920" spans="1:10" ht="15.75" hidden="1" thickBot="1" x14ac:dyDescent="0.3">
      <c r="A920" s="221"/>
      <c r="B920" s="223"/>
      <c r="C920" s="30" t="s">
        <v>39</v>
      </c>
      <c r="D920" s="41" t="s">
        <v>12</v>
      </c>
      <c r="E920" s="31">
        <v>0.44500000000000001</v>
      </c>
      <c r="F920" s="25">
        <v>24.300999999999998</v>
      </c>
      <c r="G920" s="28">
        <f t="shared" si="15"/>
        <v>10.813944999999999</v>
      </c>
      <c r="H920" s="39"/>
      <c r="I920" s="40"/>
      <c r="J920" s="138">
        <v>0</v>
      </c>
    </row>
    <row r="921" spans="1:10" ht="15.75" hidden="1" thickBot="1" x14ac:dyDescent="0.3">
      <c r="A921" s="227"/>
      <c r="B921" s="224"/>
      <c r="C921" s="30"/>
      <c r="D921" s="30"/>
      <c r="E921" s="31"/>
      <c r="F921" s="25" t="s">
        <v>521</v>
      </c>
      <c r="G921" s="25" t="str">
        <f t="shared" si="15"/>
        <v/>
      </c>
      <c r="H921" s="29"/>
      <c r="I921" s="25"/>
      <c r="J921" s="138">
        <v>0</v>
      </c>
    </row>
    <row r="922" spans="1:10" ht="15.75" hidden="1" thickBot="1" x14ac:dyDescent="0.3">
      <c r="A922" s="220" t="s">
        <v>305</v>
      </c>
      <c r="B922" s="222" t="e">
        <f>INDEX(Orçamentária!A:B,MATCH(Composições!A922,Orçamentária!A:A,0),2)</f>
        <v>#N/A</v>
      </c>
      <c r="C922" s="35"/>
      <c r="D922" s="20" t="s">
        <v>93</v>
      </c>
      <c r="E922" s="21"/>
      <c r="F922" s="36" t="s">
        <v>521</v>
      </c>
      <c r="G922" s="22" t="str">
        <f t="shared" si="15"/>
        <v/>
      </c>
      <c r="H922" s="23"/>
      <c r="I922" s="24"/>
      <c r="J922" s="138">
        <v>0</v>
      </c>
    </row>
    <row r="923" spans="1:10" ht="15.75" hidden="1" thickBot="1" x14ac:dyDescent="0.3">
      <c r="A923" s="221"/>
      <c r="B923" s="223"/>
      <c r="C923" s="26"/>
      <c r="D923" s="26"/>
      <c r="E923" s="27"/>
      <c r="F923" s="37" t="s">
        <v>521</v>
      </c>
      <c r="G923" s="25" t="str">
        <f t="shared" si="15"/>
        <v/>
      </c>
      <c r="H923" s="29"/>
      <c r="I923" s="25"/>
      <c r="J923" s="138">
        <v>0</v>
      </c>
    </row>
    <row r="924" spans="1:10" ht="26.25" hidden="1" thickBot="1" x14ac:dyDescent="0.3">
      <c r="A924" s="221"/>
      <c r="B924" s="223"/>
      <c r="C924" s="30" t="s">
        <v>1958</v>
      </c>
      <c r="D924" s="41" t="s">
        <v>93</v>
      </c>
      <c r="E924" s="31">
        <v>1.04</v>
      </c>
      <c r="F924" s="28">
        <v>13.661</v>
      </c>
      <c r="G924" s="28">
        <f t="shared" si="15"/>
        <v>14.20744</v>
      </c>
      <c r="H924" s="33">
        <f>SUM(G924:G927)</f>
        <v>21.442298000000001</v>
      </c>
      <c r="I924" s="34"/>
      <c r="J924" s="138">
        <v>0</v>
      </c>
    </row>
    <row r="925" spans="1:10" ht="15.75" hidden="1" thickBot="1" x14ac:dyDescent="0.3">
      <c r="A925" s="221"/>
      <c r="B925" s="223"/>
      <c r="C925" s="30" t="s">
        <v>304</v>
      </c>
      <c r="D925" s="41" t="s">
        <v>20</v>
      </c>
      <c r="E925" s="31">
        <v>3.6999999999999998E-2</v>
      </c>
      <c r="F925" s="28">
        <v>2.0139999999999998</v>
      </c>
      <c r="G925" s="28">
        <f t="shared" si="15"/>
        <v>7.4517999999999987E-2</v>
      </c>
      <c r="H925" s="29"/>
      <c r="I925" s="25"/>
      <c r="J925" s="138">
        <v>0</v>
      </c>
    </row>
    <row r="926" spans="1:10" ht="26.25" hidden="1" thickBot="1" x14ac:dyDescent="0.3">
      <c r="A926" s="221"/>
      <c r="B926" s="223"/>
      <c r="C926" s="30" t="s">
        <v>107</v>
      </c>
      <c r="D926" s="41" t="s">
        <v>12</v>
      </c>
      <c r="E926" s="31">
        <v>0.16500000000000001</v>
      </c>
      <c r="F926" s="25">
        <v>19.094999999999999</v>
      </c>
      <c r="G926" s="28">
        <f t="shared" si="15"/>
        <v>3.1506750000000001</v>
      </c>
      <c r="H926" s="29"/>
      <c r="I926" s="25"/>
      <c r="J926" s="138">
        <v>0</v>
      </c>
    </row>
    <row r="927" spans="1:10" ht="15.75" hidden="1" thickBot="1" x14ac:dyDescent="0.3">
      <c r="A927" s="221"/>
      <c r="B927" s="223"/>
      <c r="C927" s="30" t="s">
        <v>39</v>
      </c>
      <c r="D927" s="41" t="s">
        <v>12</v>
      </c>
      <c r="E927" s="31">
        <v>0.16500000000000001</v>
      </c>
      <c r="F927" s="25">
        <v>24.300999999999998</v>
      </c>
      <c r="G927" s="28">
        <f t="shared" si="15"/>
        <v>4.009665</v>
      </c>
      <c r="H927" s="29"/>
      <c r="I927" s="25"/>
      <c r="J927" s="138">
        <v>0</v>
      </c>
    </row>
    <row r="928" spans="1:10" ht="15.75" hidden="1" thickBot="1" x14ac:dyDescent="0.3">
      <c r="A928" s="227"/>
      <c r="B928" s="224"/>
      <c r="C928" s="30"/>
      <c r="D928" s="30"/>
      <c r="E928" s="31"/>
      <c r="F928" s="25" t="s">
        <v>521</v>
      </c>
      <c r="G928" s="25" t="str">
        <f t="shared" si="15"/>
        <v/>
      </c>
      <c r="H928" s="29"/>
      <c r="I928" s="25"/>
      <c r="J928" s="138">
        <v>0</v>
      </c>
    </row>
    <row r="929" spans="1:10" ht="15.75" hidden="1" thickBot="1" x14ac:dyDescent="0.3">
      <c r="A929" s="220" t="s">
        <v>306</v>
      </c>
      <c r="B929" s="222" t="e">
        <f>INDEX(Orçamentária!A:B,MATCH(Composições!A929,Orçamentária!A:A,0),2)</f>
        <v>#N/A</v>
      </c>
      <c r="C929" s="35"/>
      <c r="D929" s="20" t="s">
        <v>93</v>
      </c>
      <c r="E929" s="21"/>
      <c r="F929" s="36" t="s">
        <v>521</v>
      </c>
      <c r="G929" s="22" t="str">
        <f t="shared" si="15"/>
        <v/>
      </c>
      <c r="H929" s="23"/>
      <c r="I929" s="24"/>
      <c r="J929" s="138">
        <v>0</v>
      </c>
    </row>
    <row r="930" spans="1:10" ht="15.75" hidden="1" thickBot="1" x14ac:dyDescent="0.3">
      <c r="A930" s="221"/>
      <c r="B930" s="223"/>
      <c r="C930" s="26"/>
      <c r="D930" s="26"/>
      <c r="E930" s="27"/>
      <c r="F930" s="37" t="s">
        <v>521</v>
      </c>
      <c r="G930" s="25" t="str">
        <f t="shared" si="15"/>
        <v/>
      </c>
      <c r="H930" s="29"/>
      <c r="I930" s="25"/>
      <c r="J930" s="138">
        <v>0</v>
      </c>
    </row>
    <row r="931" spans="1:10" ht="15.75" hidden="1" thickBot="1" x14ac:dyDescent="0.3">
      <c r="A931" s="221"/>
      <c r="B931" s="223"/>
      <c r="C931" s="30" t="s">
        <v>2261</v>
      </c>
      <c r="D931" s="41" t="s">
        <v>20</v>
      </c>
      <c r="E931" s="31">
        <v>1.2800000000000001E-2</v>
      </c>
      <c r="F931" s="28">
        <v>65.417000000000002</v>
      </c>
      <c r="G931" s="28">
        <f t="shared" si="15"/>
        <v>0.83733760000000002</v>
      </c>
      <c r="H931" s="33">
        <f>SUM(G931:G936)</f>
        <v>29.170352300000005</v>
      </c>
      <c r="I931" s="34"/>
      <c r="J931" s="138">
        <v>0</v>
      </c>
    </row>
    <row r="932" spans="1:10" ht="26.25" hidden="1" thickBot="1" x14ac:dyDescent="0.3">
      <c r="A932" s="221"/>
      <c r="B932" s="223"/>
      <c r="C932" s="30" t="s">
        <v>1959</v>
      </c>
      <c r="D932" s="41" t="s">
        <v>93</v>
      </c>
      <c r="E932" s="31">
        <v>1.04</v>
      </c>
      <c r="F932" s="28">
        <v>17.0335</v>
      </c>
      <c r="G932" s="28">
        <f t="shared" si="15"/>
        <v>17.714840000000002</v>
      </c>
      <c r="H932" s="29"/>
      <c r="I932" s="25"/>
      <c r="J932" s="138">
        <v>0</v>
      </c>
    </row>
    <row r="933" spans="1:10" ht="26.25" hidden="1" thickBot="1" x14ac:dyDescent="0.3">
      <c r="A933" s="221"/>
      <c r="B933" s="223"/>
      <c r="C933" s="30" t="s">
        <v>2262</v>
      </c>
      <c r="D933" s="41" t="s">
        <v>20</v>
      </c>
      <c r="E933" s="31">
        <v>1.9300000000000001E-2</v>
      </c>
      <c r="F933" s="28">
        <v>74.119</v>
      </c>
      <c r="G933" s="28">
        <f t="shared" si="15"/>
        <v>1.4304967000000002</v>
      </c>
      <c r="H933" s="29"/>
      <c r="I933" s="25"/>
      <c r="J933" s="138">
        <v>0</v>
      </c>
    </row>
    <row r="934" spans="1:10" ht="15.75" hidden="1" thickBot="1" x14ac:dyDescent="0.3">
      <c r="A934" s="221"/>
      <c r="B934" s="223"/>
      <c r="C934" s="30" t="s">
        <v>304</v>
      </c>
      <c r="D934" s="41" t="s">
        <v>20</v>
      </c>
      <c r="E934" s="31">
        <v>3.6999999999999998E-2</v>
      </c>
      <c r="F934" s="28">
        <v>2.0139999999999998</v>
      </c>
      <c r="G934" s="28">
        <f t="shared" si="15"/>
        <v>7.4517999999999987E-2</v>
      </c>
      <c r="H934" s="29"/>
      <c r="I934" s="25"/>
      <c r="J934" s="138">
        <v>0</v>
      </c>
    </row>
    <row r="935" spans="1:10" ht="26.25" hidden="1" thickBot="1" x14ac:dyDescent="0.3">
      <c r="A935" s="221"/>
      <c r="B935" s="223"/>
      <c r="C935" s="30" t="s">
        <v>107</v>
      </c>
      <c r="D935" s="41" t="s">
        <v>12</v>
      </c>
      <c r="E935" s="31">
        <v>0.21</v>
      </c>
      <c r="F935" s="25">
        <v>19.094999999999999</v>
      </c>
      <c r="G935" s="28">
        <f t="shared" si="15"/>
        <v>4.0099499999999999</v>
      </c>
      <c r="H935" s="29"/>
      <c r="I935" s="25"/>
      <c r="J935" s="138">
        <v>0</v>
      </c>
    </row>
    <row r="936" spans="1:10" ht="15.75" hidden="1" thickBot="1" x14ac:dyDescent="0.3">
      <c r="A936" s="221"/>
      <c r="B936" s="223"/>
      <c r="C936" s="30" t="s">
        <v>39</v>
      </c>
      <c r="D936" s="41" t="s">
        <v>12</v>
      </c>
      <c r="E936" s="31">
        <v>0.21</v>
      </c>
      <c r="F936" s="25">
        <v>24.300999999999998</v>
      </c>
      <c r="G936" s="28">
        <f t="shared" si="15"/>
        <v>5.1032099999999998</v>
      </c>
      <c r="H936" s="29"/>
      <c r="I936" s="25"/>
      <c r="J936" s="138">
        <v>0</v>
      </c>
    </row>
    <row r="937" spans="1:10" ht="15.75" hidden="1" thickBot="1" x14ac:dyDescent="0.3">
      <c r="A937" s="227"/>
      <c r="B937" s="224"/>
      <c r="C937" s="30"/>
      <c r="D937" s="30"/>
      <c r="E937" s="31"/>
      <c r="F937" s="25" t="s">
        <v>521</v>
      </c>
      <c r="G937" s="25" t="str">
        <f t="shared" si="15"/>
        <v/>
      </c>
      <c r="H937" s="29"/>
      <c r="I937" s="25"/>
      <c r="J937" s="138">
        <v>0</v>
      </c>
    </row>
    <row r="938" spans="1:10" ht="15.75" hidden="1" thickBot="1" x14ac:dyDescent="0.3">
      <c r="A938" s="220" t="s">
        <v>307</v>
      </c>
      <c r="B938" s="222" t="e">
        <f>INDEX(Orçamentária!A:B,MATCH(Composições!A938,Orçamentária!A:A,0),2)</f>
        <v>#N/A</v>
      </c>
      <c r="C938" s="35"/>
      <c r="D938" s="20" t="s">
        <v>93</v>
      </c>
      <c r="E938" s="21"/>
      <c r="F938" s="36" t="s">
        <v>521</v>
      </c>
      <c r="G938" s="22" t="str">
        <f t="shared" si="15"/>
        <v/>
      </c>
      <c r="H938" s="23"/>
      <c r="I938" s="24"/>
      <c r="J938" s="138">
        <v>0</v>
      </c>
    </row>
    <row r="939" spans="1:10" ht="15.75" hidden="1" thickBot="1" x14ac:dyDescent="0.3">
      <c r="A939" s="221"/>
      <c r="B939" s="223"/>
      <c r="C939" s="26"/>
      <c r="D939" s="26"/>
      <c r="E939" s="27"/>
      <c r="F939" s="37" t="s">
        <v>521</v>
      </c>
      <c r="G939" s="25" t="str">
        <f t="shared" si="15"/>
        <v/>
      </c>
      <c r="H939" s="29"/>
      <c r="I939" s="25"/>
      <c r="J939" s="138">
        <v>0</v>
      </c>
    </row>
    <row r="940" spans="1:10" ht="15.75" hidden="1" thickBot="1" x14ac:dyDescent="0.3">
      <c r="A940" s="221"/>
      <c r="B940" s="223"/>
      <c r="C940" s="30" t="s">
        <v>2261</v>
      </c>
      <c r="D940" s="41" t="s">
        <v>20</v>
      </c>
      <c r="E940" s="31">
        <v>2.93E-2</v>
      </c>
      <c r="F940" s="28">
        <v>65.417000000000002</v>
      </c>
      <c r="G940" s="28">
        <f t="shared" si="15"/>
        <v>1.9167181</v>
      </c>
      <c r="H940" s="33">
        <f>SUM(G940:G945)</f>
        <v>42.829351600000003</v>
      </c>
      <c r="I940" s="34"/>
      <c r="J940" s="138">
        <v>0</v>
      </c>
    </row>
    <row r="941" spans="1:10" ht="26.25" hidden="1" thickBot="1" x14ac:dyDescent="0.3">
      <c r="A941" s="221"/>
      <c r="B941" s="223"/>
      <c r="C941" s="30" t="s">
        <v>1960</v>
      </c>
      <c r="D941" s="41" t="s">
        <v>93</v>
      </c>
      <c r="E941" s="31">
        <v>1.04</v>
      </c>
      <c r="F941" s="28">
        <v>22.324999999999999</v>
      </c>
      <c r="G941" s="28">
        <f t="shared" si="15"/>
        <v>23.218</v>
      </c>
      <c r="H941" s="39"/>
      <c r="I941" s="40"/>
      <c r="J941" s="138">
        <v>0</v>
      </c>
    </row>
    <row r="942" spans="1:10" ht="26.25" hidden="1" thickBot="1" x14ac:dyDescent="0.3">
      <c r="A942" s="221"/>
      <c r="B942" s="223"/>
      <c r="C942" s="30" t="s">
        <v>2262</v>
      </c>
      <c r="D942" s="41" t="s">
        <v>20</v>
      </c>
      <c r="E942" s="31">
        <v>4.5499999999999999E-2</v>
      </c>
      <c r="F942" s="28">
        <v>74.119</v>
      </c>
      <c r="G942" s="28">
        <f t="shared" si="15"/>
        <v>3.3724145000000001</v>
      </c>
      <c r="H942" s="39"/>
      <c r="I942" s="40"/>
      <c r="J942" s="138">
        <v>0</v>
      </c>
    </row>
    <row r="943" spans="1:10" ht="15.75" hidden="1" thickBot="1" x14ac:dyDescent="0.3">
      <c r="A943" s="221"/>
      <c r="B943" s="223"/>
      <c r="C943" s="30" t="s">
        <v>304</v>
      </c>
      <c r="D943" s="41" t="s">
        <v>20</v>
      </c>
      <c r="E943" s="31">
        <v>0.1085</v>
      </c>
      <c r="F943" s="28">
        <v>2.0139999999999998</v>
      </c>
      <c r="G943" s="28">
        <f t="shared" si="15"/>
        <v>0.21851899999999996</v>
      </c>
      <c r="H943" s="39"/>
      <c r="I943" s="40"/>
      <c r="J943" s="138">
        <v>0</v>
      </c>
    </row>
    <row r="944" spans="1:10" ht="26.25" hidden="1" thickBot="1" x14ac:dyDescent="0.3">
      <c r="A944" s="221"/>
      <c r="B944" s="223"/>
      <c r="C944" s="30" t="s">
        <v>107</v>
      </c>
      <c r="D944" s="41" t="s">
        <v>12</v>
      </c>
      <c r="E944" s="31">
        <v>0.32500000000000001</v>
      </c>
      <c r="F944" s="25">
        <v>19.094999999999999</v>
      </c>
      <c r="G944" s="28">
        <f t="shared" si="15"/>
        <v>6.2058749999999998</v>
      </c>
      <c r="H944" s="39"/>
      <c r="I944" s="40"/>
      <c r="J944" s="138">
        <v>0</v>
      </c>
    </row>
    <row r="945" spans="1:10" ht="15.75" hidden="1" thickBot="1" x14ac:dyDescent="0.3">
      <c r="A945" s="221"/>
      <c r="B945" s="223"/>
      <c r="C945" s="30" t="s">
        <v>39</v>
      </c>
      <c r="D945" s="41" t="s">
        <v>12</v>
      </c>
      <c r="E945" s="31">
        <v>0.32500000000000001</v>
      </c>
      <c r="F945" s="25">
        <v>24.300999999999998</v>
      </c>
      <c r="G945" s="28">
        <f t="shared" si="15"/>
        <v>7.8978250000000001</v>
      </c>
      <c r="H945" s="39"/>
      <c r="I945" s="40"/>
      <c r="J945" s="138">
        <v>0</v>
      </c>
    </row>
    <row r="946" spans="1:10" ht="15.75" hidden="1" thickBot="1" x14ac:dyDescent="0.3">
      <c r="A946" s="227"/>
      <c r="B946" s="224"/>
      <c r="C946" s="30"/>
      <c r="D946" s="30"/>
      <c r="E946" s="31"/>
      <c r="F946" s="25" t="s">
        <v>521</v>
      </c>
      <c r="G946" s="25" t="str">
        <f t="shared" si="15"/>
        <v/>
      </c>
      <c r="H946" s="29"/>
      <c r="I946" s="25"/>
      <c r="J946" s="138">
        <v>0</v>
      </c>
    </row>
    <row r="947" spans="1:10" ht="15.75" hidden="1" thickBot="1" x14ac:dyDescent="0.3">
      <c r="A947" s="220" t="s">
        <v>308</v>
      </c>
      <c r="B947" s="222" t="e">
        <f>INDEX(Orçamentária!A:B,MATCH(Composições!A947,Orçamentária!A:A,0),2)</f>
        <v>#N/A</v>
      </c>
      <c r="C947" s="35"/>
      <c r="D947" s="20" t="s">
        <v>93</v>
      </c>
      <c r="E947" s="21"/>
      <c r="F947" s="36" t="s">
        <v>521</v>
      </c>
      <c r="G947" s="22" t="str">
        <f t="shared" si="15"/>
        <v/>
      </c>
      <c r="H947" s="23"/>
      <c r="I947" s="24"/>
      <c r="J947" s="138">
        <v>0</v>
      </c>
    </row>
    <row r="948" spans="1:10" ht="15.75" hidden="1" thickBot="1" x14ac:dyDescent="0.3">
      <c r="A948" s="221"/>
      <c r="B948" s="223"/>
      <c r="C948" s="26"/>
      <c r="D948" s="26"/>
      <c r="E948" s="27"/>
      <c r="F948" s="37" t="s">
        <v>521</v>
      </c>
      <c r="G948" s="25" t="str">
        <f t="shared" si="15"/>
        <v/>
      </c>
      <c r="H948" s="29"/>
      <c r="I948" s="25"/>
      <c r="J948" s="138">
        <v>0</v>
      </c>
    </row>
    <row r="949" spans="1:10" ht="15.75" hidden="1" thickBot="1" x14ac:dyDescent="0.3">
      <c r="A949" s="221"/>
      <c r="B949" s="223"/>
      <c r="C949" s="30" t="s">
        <v>309</v>
      </c>
      <c r="D949" s="41" t="s">
        <v>93</v>
      </c>
      <c r="E949" s="31">
        <v>1.0609999999999999</v>
      </c>
      <c r="F949" s="28">
        <v>4.5125000000000002</v>
      </c>
      <c r="G949" s="28">
        <f t="shared" si="15"/>
        <v>4.7877625000000004</v>
      </c>
      <c r="H949" s="33">
        <f>SUM(G949:G951)</f>
        <v>5.4820985000000011</v>
      </c>
      <c r="I949" s="34"/>
      <c r="J949" s="138">
        <v>0</v>
      </c>
    </row>
    <row r="950" spans="1:10" ht="26.25" hidden="1" thickBot="1" x14ac:dyDescent="0.3">
      <c r="A950" s="221"/>
      <c r="B950" s="223"/>
      <c r="C950" s="30" t="s">
        <v>107</v>
      </c>
      <c r="D950" s="30" t="s">
        <v>12</v>
      </c>
      <c r="E950" s="31">
        <v>1.6E-2</v>
      </c>
      <c r="F950" s="25">
        <v>19.094999999999999</v>
      </c>
      <c r="G950" s="28">
        <f t="shared" si="15"/>
        <v>0.30552000000000001</v>
      </c>
      <c r="H950" s="29"/>
      <c r="I950" s="25"/>
      <c r="J950" s="138">
        <v>0</v>
      </c>
    </row>
    <row r="951" spans="1:10" ht="15.75" hidden="1" thickBot="1" x14ac:dyDescent="0.3">
      <c r="A951" s="221"/>
      <c r="B951" s="223"/>
      <c r="C951" s="30" t="s">
        <v>39</v>
      </c>
      <c r="D951" s="41" t="s">
        <v>12</v>
      </c>
      <c r="E951" s="31">
        <v>1.6E-2</v>
      </c>
      <c r="F951" s="25">
        <v>24.300999999999998</v>
      </c>
      <c r="G951" s="28">
        <f t="shared" si="15"/>
        <v>0.38881599999999999</v>
      </c>
      <c r="H951" s="29"/>
      <c r="I951" s="25"/>
      <c r="J951" s="138">
        <v>0</v>
      </c>
    </row>
    <row r="952" spans="1:10" ht="15.75" hidden="1" thickBot="1" x14ac:dyDescent="0.3">
      <c r="A952" s="227"/>
      <c r="B952" s="224"/>
      <c r="C952" s="30"/>
      <c r="D952" s="30"/>
      <c r="E952" s="31"/>
      <c r="F952" s="25" t="s">
        <v>521</v>
      </c>
      <c r="G952" s="25" t="str">
        <f t="shared" si="15"/>
        <v/>
      </c>
      <c r="H952" s="29"/>
      <c r="I952" s="25"/>
      <c r="J952" s="138">
        <v>0</v>
      </c>
    </row>
    <row r="953" spans="1:10" ht="15.75" hidden="1" thickBot="1" x14ac:dyDescent="0.3">
      <c r="A953" s="220" t="s">
        <v>310</v>
      </c>
      <c r="B953" s="222" t="e">
        <f>INDEX(Orçamentária!A:B,MATCH(Composições!A953,Orçamentária!A:A,0),2)</f>
        <v>#N/A</v>
      </c>
      <c r="C953" s="35"/>
      <c r="D953" s="20" t="s">
        <v>93</v>
      </c>
      <c r="E953" s="21"/>
      <c r="F953" s="36" t="s">
        <v>521</v>
      </c>
      <c r="G953" s="22" t="str">
        <f t="shared" si="15"/>
        <v/>
      </c>
      <c r="H953" s="23"/>
      <c r="I953" s="24"/>
      <c r="J953" s="138">
        <v>0</v>
      </c>
    </row>
    <row r="954" spans="1:10" ht="15.75" hidden="1" thickBot="1" x14ac:dyDescent="0.3">
      <c r="A954" s="221"/>
      <c r="B954" s="223"/>
      <c r="C954" s="26"/>
      <c r="D954" s="26"/>
      <c r="E954" s="27"/>
      <c r="F954" s="37" t="s">
        <v>521</v>
      </c>
      <c r="G954" s="25" t="str">
        <f t="shared" si="15"/>
        <v/>
      </c>
      <c r="H954" s="29"/>
      <c r="I954" s="25"/>
      <c r="J954" s="138">
        <v>0</v>
      </c>
    </row>
    <row r="955" spans="1:10" ht="15.75" hidden="1" thickBot="1" x14ac:dyDescent="0.3">
      <c r="A955" s="221"/>
      <c r="B955" s="223"/>
      <c r="C955" s="30" t="s">
        <v>311</v>
      </c>
      <c r="D955" s="41" t="s">
        <v>93</v>
      </c>
      <c r="E955" s="31">
        <v>1.0609999999999999</v>
      </c>
      <c r="F955" s="28">
        <v>10.1365</v>
      </c>
      <c r="G955" s="28">
        <f t="shared" si="15"/>
        <v>10.7548265</v>
      </c>
      <c r="H955" s="33">
        <f>SUM(G955:G957)</f>
        <v>11.6227465</v>
      </c>
      <c r="I955" s="34"/>
      <c r="J955" s="138">
        <v>0</v>
      </c>
    </row>
    <row r="956" spans="1:10" ht="26.25" hidden="1" thickBot="1" x14ac:dyDescent="0.3">
      <c r="A956" s="221"/>
      <c r="B956" s="223"/>
      <c r="C956" s="30" t="s">
        <v>107</v>
      </c>
      <c r="D956" s="30" t="s">
        <v>12</v>
      </c>
      <c r="E956" s="31">
        <v>0.02</v>
      </c>
      <c r="F956" s="25">
        <v>19.094999999999999</v>
      </c>
      <c r="G956" s="28">
        <f t="shared" si="15"/>
        <v>0.38189999999999996</v>
      </c>
      <c r="H956" s="29"/>
      <c r="I956" s="25"/>
      <c r="J956" s="138">
        <v>0</v>
      </c>
    </row>
    <row r="957" spans="1:10" ht="15.75" hidden="1" thickBot="1" x14ac:dyDescent="0.3">
      <c r="A957" s="221"/>
      <c r="B957" s="223"/>
      <c r="C957" s="30" t="s">
        <v>39</v>
      </c>
      <c r="D957" s="41" t="s">
        <v>12</v>
      </c>
      <c r="E957" s="31">
        <v>0.02</v>
      </c>
      <c r="F957" s="25">
        <v>24.300999999999998</v>
      </c>
      <c r="G957" s="28">
        <f t="shared" si="15"/>
        <v>0.48601999999999995</v>
      </c>
      <c r="H957" s="29"/>
      <c r="I957" s="25"/>
      <c r="J957" s="138">
        <v>0</v>
      </c>
    </row>
    <row r="958" spans="1:10" ht="15.75" hidden="1" thickBot="1" x14ac:dyDescent="0.3">
      <c r="A958" s="227"/>
      <c r="B958" s="224"/>
      <c r="C958" s="30"/>
      <c r="D958" s="30"/>
      <c r="E958" s="31"/>
      <c r="F958" s="25" t="s">
        <v>521</v>
      </c>
      <c r="G958" s="25" t="str">
        <f t="shared" si="15"/>
        <v/>
      </c>
      <c r="H958" s="29"/>
      <c r="I958" s="25"/>
      <c r="J958" s="138">
        <v>0</v>
      </c>
    </row>
    <row r="959" spans="1:10" ht="15.75" hidden="1" thickBot="1" x14ac:dyDescent="0.3">
      <c r="A959" s="220" t="s">
        <v>312</v>
      </c>
      <c r="B959" s="222" t="e">
        <f>INDEX(Orçamentária!A:B,MATCH(Composições!A959,Orçamentária!A:A,0),2)</f>
        <v>#N/A</v>
      </c>
      <c r="C959" s="35"/>
      <c r="D959" s="20" t="s">
        <v>93</v>
      </c>
      <c r="E959" s="21"/>
      <c r="F959" s="36" t="s">
        <v>521</v>
      </c>
      <c r="G959" s="22" t="str">
        <f t="shared" si="15"/>
        <v/>
      </c>
      <c r="H959" s="23"/>
      <c r="I959" s="24"/>
      <c r="J959" s="138">
        <v>0</v>
      </c>
    </row>
    <row r="960" spans="1:10" ht="15.75" hidden="1" thickBot="1" x14ac:dyDescent="0.3">
      <c r="A960" s="221"/>
      <c r="B960" s="223"/>
      <c r="C960" s="26"/>
      <c r="D960" s="26"/>
      <c r="E960" s="27"/>
      <c r="F960" s="37" t="s">
        <v>521</v>
      </c>
      <c r="G960" s="25" t="str">
        <f t="shared" si="15"/>
        <v/>
      </c>
      <c r="H960" s="29"/>
      <c r="I960" s="25"/>
      <c r="J960" s="138">
        <v>0</v>
      </c>
    </row>
    <row r="961" spans="1:10" ht="15.75" hidden="1" thickBot="1" x14ac:dyDescent="0.3">
      <c r="A961" s="221"/>
      <c r="B961" s="223"/>
      <c r="C961" s="30" t="s">
        <v>313</v>
      </c>
      <c r="D961" s="41" t="s">
        <v>93</v>
      </c>
      <c r="E961" s="31">
        <v>1.0609999999999999</v>
      </c>
      <c r="F961" s="28">
        <v>14.753499999999999</v>
      </c>
      <c r="G961" s="28">
        <f t="shared" si="15"/>
        <v>15.653463499999997</v>
      </c>
      <c r="H961" s="33">
        <f>SUM(G961:G964)</f>
        <v>16.711079499999997</v>
      </c>
      <c r="I961" s="34"/>
      <c r="J961" s="138">
        <v>0</v>
      </c>
    </row>
    <row r="962" spans="1:10" ht="15.75" hidden="1" thickBot="1" x14ac:dyDescent="0.3">
      <c r="A962" s="221"/>
      <c r="B962" s="223"/>
      <c r="C962" s="30" t="s">
        <v>304</v>
      </c>
      <c r="D962" s="41" t="s">
        <v>20</v>
      </c>
      <c r="E962" s="31">
        <v>8.0000000000000002E-3</v>
      </c>
      <c r="F962" s="28">
        <v>2.0139999999999998</v>
      </c>
      <c r="G962" s="28">
        <f t="shared" si="15"/>
        <v>1.6111999999999998E-2</v>
      </c>
      <c r="H962" s="29"/>
      <c r="I962" s="25"/>
      <c r="J962" s="138">
        <v>0</v>
      </c>
    </row>
    <row r="963" spans="1:10" ht="26.25" hidden="1" thickBot="1" x14ac:dyDescent="0.3">
      <c r="A963" s="221"/>
      <c r="B963" s="223"/>
      <c r="C963" s="30" t="s">
        <v>107</v>
      </c>
      <c r="D963" s="30" t="s">
        <v>12</v>
      </c>
      <c r="E963" s="31">
        <v>2.4E-2</v>
      </c>
      <c r="F963" s="25">
        <v>19.094999999999999</v>
      </c>
      <c r="G963" s="28">
        <f t="shared" si="15"/>
        <v>0.45827999999999997</v>
      </c>
      <c r="H963" s="29"/>
      <c r="I963" s="25"/>
      <c r="J963" s="138">
        <v>0</v>
      </c>
    </row>
    <row r="964" spans="1:10" ht="15.75" hidden="1" thickBot="1" x14ac:dyDescent="0.3">
      <c r="A964" s="221"/>
      <c r="B964" s="223"/>
      <c r="C964" s="30" t="s">
        <v>39</v>
      </c>
      <c r="D964" s="41" t="s">
        <v>12</v>
      </c>
      <c r="E964" s="31">
        <v>2.4E-2</v>
      </c>
      <c r="F964" s="25">
        <v>24.300999999999998</v>
      </c>
      <c r="G964" s="28">
        <f t="shared" si="15"/>
        <v>0.58322399999999996</v>
      </c>
      <c r="H964" s="29"/>
      <c r="I964" s="25"/>
      <c r="J964" s="138">
        <v>0</v>
      </c>
    </row>
    <row r="965" spans="1:10" ht="15.75" hidden="1" thickBot="1" x14ac:dyDescent="0.3">
      <c r="A965" s="227"/>
      <c r="B965" s="224"/>
      <c r="C965" s="30"/>
      <c r="D965" s="30"/>
      <c r="E965" s="31"/>
      <c r="F965" s="25" t="s">
        <v>521</v>
      </c>
      <c r="G965" s="25" t="str">
        <f t="shared" si="15"/>
        <v/>
      </c>
      <c r="H965" s="29"/>
      <c r="I965" s="25"/>
      <c r="J965" s="138">
        <v>0</v>
      </c>
    </row>
    <row r="966" spans="1:10" ht="15.75" hidden="1" thickBot="1" x14ac:dyDescent="0.3">
      <c r="A966" s="220" t="s">
        <v>314</v>
      </c>
      <c r="B966" s="222" t="e">
        <f>INDEX(Orçamentária!A:B,MATCH(Composições!A966,Orçamentária!A:A,0),2)</f>
        <v>#N/A</v>
      </c>
      <c r="C966" s="35"/>
      <c r="D966" s="20" t="s">
        <v>93</v>
      </c>
      <c r="E966" s="21"/>
      <c r="F966" s="36" t="s">
        <v>521</v>
      </c>
      <c r="G966" s="22" t="str">
        <f t="shared" si="15"/>
        <v/>
      </c>
      <c r="H966" s="23"/>
      <c r="I966" s="24"/>
      <c r="J966" s="138">
        <v>0</v>
      </c>
    </row>
    <row r="967" spans="1:10" ht="15.75" hidden="1" thickBot="1" x14ac:dyDescent="0.3">
      <c r="A967" s="221"/>
      <c r="B967" s="223"/>
      <c r="C967" s="26"/>
      <c r="D967" s="26"/>
      <c r="E967" s="27"/>
      <c r="F967" s="37" t="s">
        <v>521</v>
      </c>
      <c r="G967" s="25" t="str">
        <f t="shared" si="15"/>
        <v/>
      </c>
      <c r="H967" s="29"/>
      <c r="I967" s="25"/>
      <c r="J967" s="138">
        <v>0</v>
      </c>
    </row>
    <row r="968" spans="1:10" ht="15.75" hidden="1" thickBot="1" x14ac:dyDescent="0.3">
      <c r="A968" s="221"/>
      <c r="B968" s="223"/>
      <c r="C968" s="30" t="s">
        <v>315</v>
      </c>
      <c r="D968" s="41" t="s">
        <v>93</v>
      </c>
      <c r="E968" s="31">
        <v>1.0609999999999999</v>
      </c>
      <c r="F968" s="28">
        <v>16.900499999999997</v>
      </c>
      <c r="G968" s="28">
        <f t="shared" si="15"/>
        <v>17.931430499999998</v>
      </c>
      <c r="H968" s="33">
        <f>SUM(G968:G971)</f>
        <v>19.210054499999998</v>
      </c>
      <c r="I968" s="34"/>
      <c r="J968" s="138">
        <v>0</v>
      </c>
    </row>
    <row r="969" spans="1:10" ht="15.75" hidden="1" thickBot="1" x14ac:dyDescent="0.3">
      <c r="A969" s="221"/>
      <c r="B969" s="223"/>
      <c r="C969" s="30" t="s">
        <v>304</v>
      </c>
      <c r="D969" s="41" t="s">
        <v>20</v>
      </c>
      <c r="E969" s="31">
        <v>0.01</v>
      </c>
      <c r="F969" s="28">
        <v>2.0139999999999998</v>
      </c>
      <c r="G969" s="28">
        <f t="shared" si="15"/>
        <v>2.0139999999999998E-2</v>
      </c>
      <c r="H969" s="29"/>
      <c r="I969" s="25"/>
      <c r="J969" s="138">
        <v>0</v>
      </c>
    </row>
    <row r="970" spans="1:10" ht="26.25" hidden="1" thickBot="1" x14ac:dyDescent="0.3">
      <c r="A970" s="221"/>
      <c r="B970" s="223"/>
      <c r="C970" s="30" t="s">
        <v>107</v>
      </c>
      <c r="D970" s="30" t="s">
        <v>12</v>
      </c>
      <c r="E970" s="31">
        <v>2.9000000000000001E-2</v>
      </c>
      <c r="F970" s="25">
        <v>19.094999999999999</v>
      </c>
      <c r="G970" s="28">
        <f t="shared" si="15"/>
        <v>0.553755</v>
      </c>
      <c r="H970" s="29"/>
      <c r="I970" s="25"/>
      <c r="J970" s="138">
        <v>0</v>
      </c>
    </row>
    <row r="971" spans="1:10" ht="15.75" hidden="1" thickBot="1" x14ac:dyDescent="0.3">
      <c r="A971" s="221"/>
      <c r="B971" s="223"/>
      <c r="C971" s="30" t="s">
        <v>39</v>
      </c>
      <c r="D971" s="41" t="s">
        <v>12</v>
      </c>
      <c r="E971" s="31">
        <v>2.9000000000000001E-2</v>
      </c>
      <c r="F971" s="25">
        <v>24.300999999999998</v>
      </c>
      <c r="G971" s="28">
        <f t="shared" si="15"/>
        <v>0.70472899999999994</v>
      </c>
      <c r="H971" s="29"/>
      <c r="I971" s="25"/>
      <c r="J971" s="138">
        <v>0</v>
      </c>
    </row>
    <row r="972" spans="1:10" ht="15.75" hidden="1" thickBot="1" x14ac:dyDescent="0.3">
      <c r="A972" s="227"/>
      <c r="B972" s="224"/>
      <c r="C972" s="30"/>
      <c r="D972" s="30"/>
      <c r="E972" s="31"/>
      <c r="F972" s="25" t="s">
        <v>521</v>
      </c>
      <c r="G972" s="25" t="str">
        <f t="shared" si="15"/>
        <v/>
      </c>
      <c r="H972" s="29"/>
      <c r="I972" s="25"/>
      <c r="J972" s="138">
        <v>0</v>
      </c>
    </row>
    <row r="973" spans="1:10" ht="15.75" hidden="1" thickBot="1" x14ac:dyDescent="0.3">
      <c r="A973" s="220" t="s">
        <v>316</v>
      </c>
      <c r="B973" s="222" t="e">
        <f>INDEX(Orçamentária!A:B,MATCH(Composições!A973,Orçamentária!A:A,0),2)</f>
        <v>#N/A</v>
      </c>
      <c r="C973" s="35"/>
      <c r="D973" s="20" t="s">
        <v>20</v>
      </c>
      <c r="E973" s="21"/>
      <c r="F973" s="36" t="s">
        <v>521</v>
      </c>
      <c r="G973" s="22" t="str">
        <f t="shared" si="15"/>
        <v/>
      </c>
      <c r="H973" s="23"/>
      <c r="I973" s="24"/>
      <c r="J973" s="138">
        <v>0</v>
      </c>
    </row>
    <row r="974" spans="1:10" ht="15.75" hidden="1" thickBot="1" x14ac:dyDescent="0.3">
      <c r="A974" s="221"/>
      <c r="B974" s="223"/>
      <c r="C974" s="26"/>
      <c r="D974" s="26"/>
      <c r="E974" s="27"/>
      <c r="F974" s="37" t="s">
        <v>521</v>
      </c>
      <c r="G974" s="25" t="str">
        <f t="shared" si="15"/>
        <v/>
      </c>
      <c r="H974" s="29"/>
      <c r="I974" s="25"/>
      <c r="J974" s="138">
        <v>0</v>
      </c>
    </row>
    <row r="975" spans="1:10" ht="26.25" hidden="1" thickBot="1" x14ac:dyDescent="0.3">
      <c r="A975" s="221"/>
      <c r="B975" s="223"/>
      <c r="C975" s="30" t="s">
        <v>317</v>
      </c>
      <c r="D975" s="41" t="s">
        <v>144</v>
      </c>
      <c r="E975" s="31">
        <v>1</v>
      </c>
      <c r="F975" s="28" t="s">
        <v>521</v>
      </c>
      <c r="G975" s="28" t="str">
        <f t="shared" si="15"/>
        <v/>
      </c>
      <c r="H975" s="33">
        <f>SUM(G975:G978)</f>
        <v>9.7625305999999998</v>
      </c>
      <c r="I975" s="34"/>
      <c r="J975" s="138">
        <v>0</v>
      </c>
    </row>
    <row r="976" spans="1:10" ht="15.75" hidden="1" thickBot="1" x14ac:dyDescent="0.3">
      <c r="A976" s="221"/>
      <c r="B976" s="223"/>
      <c r="C976" s="30" t="s">
        <v>318</v>
      </c>
      <c r="D976" s="41" t="s">
        <v>279</v>
      </c>
      <c r="E976" s="31">
        <v>1.06E-2</v>
      </c>
      <c r="F976" s="28">
        <v>15.408999999999999</v>
      </c>
      <c r="G976" s="28">
        <f t="shared" si="15"/>
        <v>0.16333539999999999</v>
      </c>
      <c r="H976" s="29"/>
      <c r="I976" s="25"/>
      <c r="J976" s="138">
        <v>0</v>
      </c>
    </row>
    <row r="977" spans="1:10" ht="15.75" hidden="1" thickBot="1" x14ac:dyDescent="0.3">
      <c r="A977" s="221"/>
      <c r="B977" s="223"/>
      <c r="C977" s="30" t="s">
        <v>39</v>
      </c>
      <c r="D977" s="41" t="s">
        <v>12</v>
      </c>
      <c r="E977" s="31">
        <v>0.22120000000000001</v>
      </c>
      <c r="F977" s="25">
        <v>24.300999999999998</v>
      </c>
      <c r="G977" s="28">
        <f t="shared" si="15"/>
        <v>5.3753811999999996</v>
      </c>
      <c r="H977" s="29"/>
      <c r="I977" s="25"/>
      <c r="J977" s="138">
        <v>0</v>
      </c>
    </row>
    <row r="978" spans="1:10" ht="26.25" hidden="1" thickBot="1" x14ac:dyDescent="0.3">
      <c r="A978" s="221"/>
      <c r="B978" s="223"/>
      <c r="C978" s="30" t="s">
        <v>107</v>
      </c>
      <c r="D978" s="41" t="s">
        <v>12</v>
      </c>
      <c r="E978" s="31">
        <v>0.22120000000000001</v>
      </c>
      <c r="F978" s="25">
        <v>19.094999999999999</v>
      </c>
      <c r="G978" s="28">
        <f t="shared" ref="G978:G1041" si="16">IF(ISNUMBER(F978),E978*F978,"")</f>
        <v>4.223814</v>
      </c>
      <c r="H978" s="29"/>
      <c r="I978" s="25"/>
      <c r="J978" s="138">
        <v>0</v>
      </c>
    </row>
    <row r="979" spans="1:10" ht="15.75" hidden="1" thickBot="1" x14ac:dyDescent="0.3">
      <c r="A979" s="227"/>
      <c r="B979" s="224"/>
      <c r="C979" s="30"/>
      <c r="D979" s="30"/>
      <c r="E979" s="31"/>
      <c r="F979" s="25" t="s">
        <v>521</v>
      </c>
      <c r="G979" s="25" t="str">
        <f t="shared" si="16"/>
        <v/>
      </c>
      <c r="H979" s="29"/>
      <c r="I979" s="25"/>
      <c r="J979" s="138">
        <v>0</v>
      </c>
    </row>
    <row r="980" spans="1:10" ht="15.75" hidden="1" thickBot="1" x14ac:dyDescent="0.3">
      <c r="A980" s="220" t="s">
        <v>319</v>
      </c>
      <c r="B980" s="222" t="e">
        <f>INDEX(Orçamentária!A:B,MATCH(Composições!A980,Orçamentária!A:A,0),2)</f>
        <v>#N/A</v>
      </c>
      <c r="C980" s="35"/>
      <c r="D980" s="20" t="s">
        <v>20</v>
      </c>
      <c r="E980" s="21"/>
      <c r="F980" s="36" t="s">
        <v>521</v>
      </c>
      <c r="G980" s="22" t="str">
        <f t="shared" si="16"/>
        <v/>
      </c>
      <c r="H980" s="23"/>
      <c r="I980" s="24"/>
      <c r="J980" s="138">
        <v>0</v>
      </c>
    </row>
    <row r="981" spans="1:10" ht="15.75" hidden="1" thickBot="1" x14ac:dyDescent="0.3">
      <c r="A981" s="221"/>
      <c r="B981" s="223"/>
      <c r="C981" s="26"/>
      <c r="D981" s="26"/>
      <c r="E981" s="27"/>
      <c r="F981" s="37" t="s">
        <v>521</v>
      </c>
      <c r="G981" s="25" t="str">
        <f t="shared" si="16"/>
        <v/>
      </c>
      <c r="H981" s="29"/>
      <c r="I981" s="25"/>
      <c r="J981" s="138">
        <v>0</v>
      </c>
    </row>
    <row r="982" spans="1:10" ht="26.25" hidden="1" thickBot="1" x14ac:dyDescent="0.3">
      <c r="A982" s="221"/>
      <c r="B982" s="223"/>
      <c r="C982" s="30" t="s">
        <v>107</v>
      </c>
      <c r="D982" s="41" t="s">
        <v>12</v>
      </c>
      <c r="E982" s="31">
        <v>0.38</v>
      </c>
      <c r="F982" s="25">
        <v>19.094999999999999</v>
      </c>
      <c r="G982" s="28">
        <f t="shared" si="16"/>
        <v>7.2561</v>
      </c>
      <c r="H982" s="33">
        <f>SUM(G982:G989)</f>
        <v>108.1920971</v>
      </c>
      <c r="I982" s="34"/>
      <c r="J982" s="138">
        <v>0</v>
      </c>
    </row>
    <row r="983" spans="1:10" ht="15.75" hidden="1" thickBot="1" x14ac:dyDescent="0.3">
      <c r="A983" s="221"/>
      <c r="B983" s="223"/>
      <c r="C983" s="30" t="s">
        <v>39</v>
      </c>
      <c r="D983" s="41" t="s">
        <v>12</v>
      </c>
      <c r="E983" s="31">
        <v>0.38</v>
      </c>
      <c r="F983" s="25">
        <v>24.300999999999998</v>
      </c>
      <c r="G983" s="28">
        <f t="shared" si="16"/>
        <v>9.2343799999999998</v>
      </c>
      <c r="H983" s="29"/>
      <c r="I983" s="25"/>
      <c r="J983" s="138">
        <v>0</v>
      </c>
    </row>
    <row r="984" spans="1:10" ht="15.75" hidden="1" thickBot="1" x14ac:dyDescent="0.3">
      <c r="A984" s="221"/>
      <c r="B984" s="223"/>
      <c r="C984" s="30" t="s">
        <v>2261</v>
      </c>
      <c r="D984" s="41" t="s">
        <v>20</v>
      </c>
      <c r="E984" s="31">
        <v>1.4800000000000001E-2</v>
      </c>
      <c r="F984" s="28">
        <v>65.417000000000002</v>
      </c>
      <c r="G984" s="28">
        <f t="shared" si="16"/>
        <v>0.96817160000000002</v>
      </c>
      <c r="H984" s="29"/>
      <c r="I984" s="25"/>
      <c r="J984" s="138">
        <v>0</v>
      </c>
    </row>
    <row r="985" spans="1:10" ht="26.25" hidden="1" thickBot="1" x14ac:dyDescent="0.3">
      <c r="A985" s="221"/>
      <c r="B985" s="223"/>
      <c r="C985" s="30" t="s">
        <v>2366</v>
      </c>
      <c r="D985" s="41" t="s">
        <v>20</v>
      </c>
      <c r="E985" s="31">
        <v>1</v>
      </c>
      <c r="F985" s="28">
        <v>2.4510000000000001</v>
      </c>
      <c r="G985" s="28">
        <f t="shared" si="16"/>
        <v>2.4510000000000001</v>
      </c>
      <c r="H985" s="29"/>
      <c r="I985" s="25"/>
      <c r="J985" s="138">
        <v>0</v>
      </c>
    </row>
    <row r="986" spans="1:10" ht="15.75" hidden="1" thickBot="1" x14ac:dyDescent="0.3">
      <c r="A986" s="221"/>
      <c r="B986" s="223"/>
      <c r="C986" s="30" t="s">
        <v>304</v>
      </c>
      <c r="D986" s="41" t="s">
        <v>20</v>
      </c>
      <c r="E986" s="31">
        <v>5.7000000000000002E-2</v>
      </c>
      <c r="F986" s="28">
        <v>2.0139999999999998</v>
      </c>
      <c r="G986" s="28">
        <f t="shared" si="16"/>
        <v>0.114798</v>
      </c>
      <c r="H986" s="29"/>
      <c r="I986" s="25"/>
      <c r="J986" s="138">
        <v>0</v>
      </c>
    </row>
    <row r="987" spans="1:10" ht="26.25" hidden="1" thickBot="1" x14ac:dyDescent="0.3">
      <c r="A987" s="221"/>
      <c r="B987" s="223"/>
      <c r="C987" s="30" t="s">
        <v>2263</v>
      </c>
      <c r="D987" s="41" t="s">
        <v>20</v>
      </c>
      <c r="E987" s="31">
        <v>1</v>
      </c>
      <c r="F987" s="28">
        <v>85.69</v>
      </c>
      <c r="G987" s="28">
        <f t="shared" si="16"/>
        <v>85.69</v>
      </c>
      <c r="H987" s="29"/>
      <c r="I987" s="25"/>
      <c r="J987" s="138">
        <v>0</v>
      </c>
    </row>
    <row r="988" spans="1:10" ht="39" hidden="1" thickBot="1" x14ac:dyDescent="0.3">
      <c r="A988" s="221"/>
      <c r="B988" s="223"/>
      <c r="C988" s="30" t="s">
        <v>2264</v>
      </c>
      <c r="D988" s="41" t="s">
        <v>20</v>
      </c>
      <c r="E988" s="31">
        <v>0.03</v>
      </c>
      <c r="F988" s="28">
        <v>26.998999999999999</v>
      </c>
      <c r="G988" s="28">
        <f t="shared" si="16"/>
        <v>0.80996999999999997</v>
      </c>
      <c r="H988" s="29"/>
      <c r="I988" s="25"/>
      <c r="J988" s="138">
        <v>0</v>
      </c>
    </row>
    <row r="989" spans="1:10" ht="26.25" hidden="1" thickBot="1" x14ac:dyDescent="0.3">
      <c r="A989" s="221"/>
      <c r="B989" s="223"/>
      <c r="C989" s="30" t="s">
        <v>2262</v>
      </c>
      <c r="D989" s="41" t="s">
        <v>20</v>
      </c>
      <c r="E989" s="31">
        <v>2.2499999999999999E-2</v>
      </c>
      <c r="F989" s="28">
        <v>74.119</v>
      </c>
      <c r="G989" s="28">
        <f t="shared" si="16"/>
        <v>1.6676774999999999</v>
      </c>
      <c r="H989" s="29"/>
      <c r="I989" s="25"/>
      <c r="J989" s="138">
        <v>0</v>
      </c>
    </row>
    <row r="990" spans="1:10" ht="15.75" hidden="1" thickBot="1" x14ac:dyDescent="0.3">
      <c r="A990" s="227"/>
      <c r="B990" s="224"/>
      <c r="C990" s="30"/>
      <c r="D990" s="30"/>
      <c r="E990" s="31"/>
      <c r="F990" s="25" t="s">
        <v>521</v>
      </c>
      <c r="G990" s="25" t="str">
        <f t="shared" si="16"/>
        <v/>
      </c>
      <c r="H990" s="29"/>
      <c r="I990" s="25"/>
      <c r="J990" s="138">
        <v>0</v>
      </c>
    </row>
    <row r="991" spans="1:10" ht="15.75" hidden="1" thickBot="1" x14ac:dyDescent="0.3">
      <c r="A991" s="220" t="s">
        <v>320</v>
      </c>
      <c r="B991" s="222" t="e">
        <f>INDEX(Orçamentária!A:B,MATCH(Composições!A991,Orçamentária!A:A,0),2)</f>
        <v>#N/A</v>
      </c>
      <c r="C991" s="35"/>
      <c r="D991" s="20" t="s">
        <v>20</v>
      </c>
      <c r="E991" s="21"/>
      <c r="F991" s="36" t="s">
        <v>521</v>
      </c>
      <c r="G991" s="22" t="str">
        <f t="shared" si="16"/>
        <v/>
      </c>
      <c r="H991" s="23"/>
      <c r="I991" s="24"/>
      <c r="J991" s="138">
        <v>0</v>
      </c>
    </row>
    <row r="992" spans="1:10" ht="15.75" hidden="1" thickBot="1" x14ac:dyDescent="0.3">
      <c r="A992" s="221"/>
      <c r="B992" s="223"/>
      <c r="C992" s="26"/>
      <c r="D992" s="26"/>
      <c r="E992" s="27"/>
      <c r="F992" s="37" t="s">
        <v>521</v>
      </c>
      <c r="G992" s="25" t="str">
        <f t="shared" si="16"/>
        <v/>
      </c>
      <c r="H992" s="29"/>
      <c r="I992" s="25"/>
      <c r="J992" s="138">
        <v>0</v>
      </c>
    </row>
    <row r="993" spans="1:10" ht="26.25" hidden="1" thickBot="1" x14ac:dyDescent="0.3">
      <c r="A993" s="221"/>
      <c r="B993" s="223"/>
      <c r="C993" s="30" t="s">
        <v>107</v>
      </c>
      <c r="D993" s="41" t="s">
        <v>12</v>
      </c>
      <c r="E993" s="31">
        <v>0.38</v>
      </c>
      <c r="F993" s="25">
        <v>19.094999999999999</v>
      </c>
      <c r="G993" s="25">
        <f t="shared" si="16"/>
        <v>7.2561</v>
      </c>
      <c r="H993" s="33">
        <f>SUM(G993:G1000)</f>
        <v>148.28209709999999</v>
      </c>
      <c r="I993" s="34"/>
      <c r="J993" s="138">
        <v>0</v>
      </c>
    </row>
    <row r="994" spans="1:10" ht="15.75" hidden="1" thickBot="1" x14ac:dyDescent="0.3">
      <c r="A994" s="221"/>
      <c r="B994" s="223"/>
      <c r="C994" s="30" t="s">
        <v>39</v>
      </c>
      <c r="D994" s="41" t="s">
        <v>12</v>
      </c>
      <c r="E994" s="31">
        <v>0.38</v>
      </c>
      <c r="F994" s="25">
        <v>24.300999999999998</v>
      </c>
      <c r="G994" s="25">
        <f t="shared" si="16"/>
        <v>9.2343799999999998</v>
      </c>
      <c r="H994" s="29"/>
      <c r="I994" s="25"/>
      <c r="J994" s="138">
        <v>0</v>
      </c>
    </row>
    <row r="995" spans="1:10" ht="15.75" hidden="1" thickBot="1" x14ac:dyDescent="0.3">
      <c r="A995" s="221"/>
      <c r="B995" s="223"/>
      <c r="C995" s="30" t="s">
        <v>2261</v>
      </c>
      <c r="D995" s="41" t="s">
        <v>20</v>
      </c>
      <c r="E995" s="31">
        <v>1.4800000000000001E-2</v>
      </c>
      <c r="F995" s="28">
        <v>65.417000000000002</v>
      </c>
      <c r="G995" s="25">
        <f t="shared" si="16"/>
        <v>0.96817160000000002</v>
      </c>
      <c r="H995" s="29"/>
      <c r="I995" s="25"/>
      <c r="J995" s="138">
        <v>0</v>
      </c>
    </row>
    <row r="996" spans="1:10" ht="26.25" hidden="1" thickBot="1" x14ac:dyDescent="0.3">
      <c r="A996" s="221"/>
      <c r="B996" s="223"/>
      <c r="C996" s="30" t="s">
        <v>2366</v>
      </c>
      <c r="D996" s="41" t="s">
        <v>20</v>
      </c>
      <c r="E996" s="31">
        <v>1</v>
      </c>
      <c r="F996" s="28">
        <v>2.4510000000000001</v>
      </c>
      <c r="G996" s="25">
        <f t="shared" si="16"/>
        <v>2.4510000000000001</v>
      </c>
      <c r="H996" s="29"/>
      <c r="I996" s="25"/>
      <c r="J996" s="138">
        <v>0</v>
      </c>
    </row>
    <row r="997" spans="1:10" ht="15.75" hidden="1" thickBot="1" x14ac:dyDescent="0.3">
      <c r="A997" s="221"/>
      <c r="B997" s="223"/>
      <c r="C997" s="30" t="s">
        <v>304</v>
      </c>
      <c r="D997" s="41" t="s">
        <v>20</v>
      </c>
      <c r="E997" s="31">
        <v>5.7000000000000002E-2</v>
      </c>
      <c r="F997" s="28">
        <v>2.0139999999999998</v>
      </c>
      <c r="G997" s="25">
        <f t="shared" si="16"/>
        <v>0.114798</v>
      </c>
      <c r="H997" s="29"/>
      <c r="I997" s="25"/>
      <c r="J997" s="138">
        <v>0</v>
      </c>
    </row>
    <row r="998" spans="1:10" ht="26.25" hidden="1" thickBot="1" x14ac:dyDescent="0.3">
      <c r="A998" s="221"/>
      <c r="B998" s="223"/>
      <c r="C998" s="30" t="s">
        <v>2265</v>
      </c>
      <c r="D998" s="41" t="s">
        <v>20</v>
      </c>
      <c r="E998" s="31">
        <v>1</v>
      </c>
      <c r="F998" s="28">
        <v>125.78</v>
      </c>
      <c r="G998" s="25">
        <f t="shared" si="16"/>
        <v>125.78</v>
      </c>
      <c r="H998" s="29"/>
      <c r="I998" s="25"/>
      <c r="J998" s="138">
        <v>0</v>
      </c>
    </row>
    <row r="999" spans="1:10" ht="39" hidden="1" thickBot="1" x14ac:dyDescent="0.3">
      <c r="A999" s="221"/>
      <c r="B999" s="223"/>
      <c r="C999" s="30" t="s">
        <v>2264</v>
      </c>
      <c r="D999" s="41" t="s">
        <v>20</v>
      </c>
      <c r="E999" s="31">
        <v>0.03</v>
      </c>
      <c r="F999" s="28">
        <v>26.998999999999999</v>
      </c>
      <c r="G999" s="25">
        <f t="shared" si="16"/>
        <v>0.80996999999999997</v>
      </c>
      <c r="H999" s="29"/>
      <c r="I999" s="25"/>
      <c r="J999" s="138">
        <v>0</v>
      </c>
    </row>
    <row r="1000" spans="1:10" ht="26.25" hidden="1" thickBot="1" x14ac:dyDescent="0.3">
      <c r="A1000" s="221"/>
      <c r="B1000" s="223"/>
      <c r="C1000" s="30" t="s">
        <v>2262</v>
      </c>
      <c r="D1000" s="41" t="s">
        <v>20</v>
      </c>
      <c r="E1000" s="31">
        <v>2.2499999999999999E-2</v>
      </c>
      <c r="F1000" s="28">
        <v>74.119</v>
      </c>
      <c r="G1000" s="25">
        <f t="shared" si="16"/>
        <v>1.6676774999999999</v>
      </c>
      <c r="H1000" s="29"/>
      <c r="I1000" s="25"/>
      <c r="J1000" s="138">
        <v>0</v>
      </c>
    </row>
    <row r="1001" spans="1:10" ht="15.75" hidden="1" thickBot="1" x14ac:dyDescent="0.3">
      <c r="A1001" s="227"/>
      <c r="B1001" s="224"/>
      <c r="C1001" s="30"/>
      <c r="D1001" s="30"/>
      <c r="E1001" s="31"/>
      <c r="F1001" s="25" t="s">
        <v>521</v>
      </c>
      <c r="G1001" s="25" t="str">
        <f t="shared" si="16"/>
        <v/>
      </c>
      <c r="H1001" s="29"/>
      <c r="I1001" s="25"/>
      <c r="J1001" s="138">
        <v>0</v>
      </c>
    </row>
    <row r="1002" spans="1:10" ht="15.75" hidden="1" thickBot="1" x14ac:dyDescent="0.3">
      <c r="A1002" s="220" t="s">
        <v>321</v>
      </c>
      <c r="B1002" s="222" t="e">
        <f>INDEX(Orçamentária!A:B,MATCH(Composições!A1002,Orçamentária!A:A,0),2)</f>
        <v>#N/A</v>
      </c>
      <c r="C1002" s="35"/>
      <c r="D1002" s="20" t="s">
        <v>20</v>
      </c>
      <c r="E1002" s="21"/>
      <c r="F1002" s="36" t="s">
        <v>521</v>
      </c>
      <c r="G1002" s="22" t="str">
        <f t="shared" si="16"/>
        <v/>
      </c>
      <c r="H1002" s="23"/>
      <c r="I1002" s="24"/>
      <c r="J1002" s="138">
        <v>0</v>
      </c>
    </row>
    <row r="1003" spans="1:10" ht="15.75" hidden="1" thickBot="1" x14ac:dyDescent="0.3">
      <c r="A1003" s="221"/>
      <c r="B1003" s="223"/>
      <c r="C1003" s="26"/>
      <c r="D1003" s="26"/>
      <c r="E1003" s="27"/>
      <c r="F1003" s="37" t="s">
        <v>521</v>
      </c>
      <c r="G1003" s="25" t="str">
        <f t="shared" si="16"/>
        <v/>
      </c>
      <c r="H1003" s="29"/>
      <c r="I1003" s="25"/>
      <c r="J1003" s="138">
        <v>0</v>
      </c>
    </row>
    <row r="1004" spans="1:10" ht="26.25" hidden="1" thickBot="1" x14ac:dyDescent="0.3">
      <c r="A1004" s="221"/>
      <c r="B1004" s="223"/>
      <c r="C1004" s="30" t="s">
        <v>322</v>
      </c>
      <c r="D1004" s="41" t="s">
        <v>144</v>
      </c>
      <c r="E1004" s="31">
        <v>1</v>
      </c>
      <c r="F1004" s="28" t="s">
        <v>521</v>
      </c>
      <c r="G1004" s="28" t="str">
        <f t="shared" si="16"/>
        <v/>
      </c>
      <c r="H1004" s="33">
        <f>SUM(G1004:G1005)</f>
        <v>2.7630750000000002</v>
      </c>
      <c r="I1004" s="34"/>
      <c r="J1004" s="138">
        <v>0</v>
      </c>
    </row>
    <row r="1005" spans="1:10" ht="15.75" hidden="1" thickBot="1" x14ac:dyDescent="0.3">
      <c r="A1005" s="221"/>
      <c r="B1005" s="223"/>
      <c r="C1005" s="30" t="s">
        <v>23</v>
      </c>
      <c r="D1005" s="41" t="s">
        <v>12</v>
      </c>
      <c r="E1005" s="31">
        <v>0.15</v>
      </c>
      <c r="F1005" s="25">
        <v>18.420500000000001</v>
      </c>
      <c r="G1005" s="28">
        <f t="shared" si="16"/>
        <v>2.7630750000000002</v>
      </c>
      <c r="H1005" s="29"/>
      <c r="I1005" s="25"/>
      <c r="J1005" s="138">
        <v>0</v>
      </c>
    </row>
    <row r="1006" spans="1:10" ht="15.75" hidden="1" thickBot="1" x14ac:dyDescent="0.3">
      <c r="A1006" s="227"/>
      <c r="B1006" s="224"/>
      <c r="C1006" s="30"/>
      <c r="D1006" s="30"/>
      <c r="E1006" s="31"/>
      <c r="F1006" s="25" t="s">
        <v>521</v>
      </c>
      <c r="G1006" s="25" t="str">
        <f t="shared" si="16"/>
        <v/>
      </c>
      <c r="H1006" s="29"/>
      <c r="I1006" s="25"/>
      <c r="J1006" s="138">
        <v>0</v>
      </c>
    </row>
    <row r="1007" spans="1:10" ht="15.75" hidden="1" thickBot="1" x14ac:dyDescent="0.3">
      <c r="A1007" s="220" t="s">
        <v>323</v>
      </c>
      <c r="B1007" s="222" t="e">
        <f>INDEX(Orçamentária!A:B,MATCH(Composições!A1007,Orçamentária!A:A,0),2)</f>
        <v>#N/A</v>
      </c>
      <c r="C1007" s="35"/>
      <c r="D1007" s="20" t="s">
        <v>20</v>
      </c>
      <c r="E1007" s="21"/>
      <c r="F1007" s="36" t="s">
        <v>521</v>
      </c>
      <c r="G1007" s="22" t="str">
        <f t="shared" si="16"/>
        <v/>
      </c>
      <c r="H1007" s="23"/>
      <c r="I1007" s="24"/>
      <c r="J1007" s="138">
        <v>0</v>
      </c>
    </row>
    <row r="1008" spans="1:10" ht="15.75" hidden="1" thickBot="1" x14ac:dyDescent="0.3">
      <c r="A1008" s="221"/>
      <c r="B1008" s="223"/>
      <c r="C1008" s="26"/>
      <c r="D1008" s="26"/>
      <c r="E1008" s="27"/>
      <c r="F1008" s="37" t="s">
        <v>521</v>
      </c>
      <c r="G1008" s="25" t="str">
        <f t="shared" si="16"/>
        <v/>
      </c>
      <c r="H1008" s="29"/>
      <c r="I1008" s="25"/>
      <c r="J1008" s="138">
        <v>0</v>
      </c>
    </row>
    <row r="1009" spans="1:10" ht="26.25" hidden="1" thickBot="1" x14ac:dyDescent="0.3">
      <c r="A1009" s="221"/>
      <c r="B1009" s="223"/>
      <c r="C1009" s="30" t="s">
        <v>324</v>
      </c>
      <c r="D1009" s="41" t="s">
        <v>144</v>
      </c>
      <c r="E1009" s="31">
        <v>1</v>
      </c>
      <c r="F1009" s="28" t="s">
        <v>521</v>
      </c>
      <c r="G1009" s="28" t="str">
        <f t="shared" si="16"/>
        <v/>
      </c>
      <c r="H1009" s="33">
        <f>SUM(G1009:G1010)</f>
        <v>2.7630750000000002</v>
      </c>
      <c r="I1009" s="34"/>
      <c r="J1009" s="138">
        <v>0</v>
      </c>
    </row>
    <row r="1010" spans="1:10" ht="15.75" hidden="1" thickBot="1" x14ac:dyDescent="0.3">
      <c r="A1010" s="221"/>
      <c r="B1010" s="223"/>
      <c r="C1010" s="30" t="s">
        <v>23</v>
      </c>
      <c r="D1010" s="41" t="s">
        <v>12</v>
      </c>
      <c r="E1010" s="31">
        <v>0.15</v>
      </c>
      <c r="F1010" s="25">
        <v>18.420500000000001</v>
      </c>
      <c r="G1010" s="28">
        <f t="shared" si="16"/>
        <v>2.7630750000000002</v>
      </c>
      <c r="H1010" s="29"/>
      <c r="I1010" s="25"/>
      <c r="J1010" s="138">
        <v>0</v>
      </c>
    </row>
    <row r="1011" spans="1:10" ht="15.75" hidden="1" thickBot="1" x14ac:dyDescent="0.3">
      <c r="A1011" s="227"/>
      <c r="B1011" s="224"/>
      <c r="C1011" s="30"/>
      <c r="D1011" s="30"/>
      <c r="E1011" s="31"/>
      <c r="F1011" s="25" t="s">
        <v>521</v>
      </c>
      <c r="G1011" s="25" t="str">
        <f t="shared" si="16"/>
        <v/>
      </c>
      <c r="H1011" s="29"/>
      <c r="I1011" s="25"/>
      <c r="J1011" s="138">
        <v>0</v>
      </c>
    </row>
    <row r="1012" spans="1:10" ht="15.75" hidden="1" thickBot="1" x14ac:dyDescent="0.3">
      <c r="A1012" s="220" t="s">
        <v>325</v>
      </c>
      <c r="B1012" s="222" t="e">
        <f>INDEX(Orçamentária!A:B,MATCH(Composições!A1012,Orçamentária!A:A,0),2)</f>
        <v>#N/A</v>
      </c>
      <c r="C1012" s="35"/>
      <c r="D1012" s="20" t="s">
        <v>20</v>
      </c>
      <c r="E1012" s="21"/>
      <c r="F1012" s="36" t="s">
        <v>521</v>
      </c>
      <c r="G1012" s="22" t="str">
        <f t="shared" si="16"/>
        <v/>
      </c>
      <c r="H1012" s="23"/>
      <c r="I1012" s="24"/>
      <c r="J1012" s="138">
        <v>0</v>
      </c>
    </row>
    <row r="1013" spans="1:10" ht="15.75" hidden="1" thickBot="1" x14ac:dyDescent="0.3">
      <c r="A1013" s="221"/>
      <c r="B1013" s="223"/>
      <c r="C1013" s="26"/>
      <c r="D1013" s="26"/>
      <c r="E1013" s="27"/>
      <c r="F1013" s="37" t="s">
        <v>521</v>
      </c>
      <c r="G1013" s="25" t="str">
        <f t="shared" si="16"/>
        <v/>
      </c>
      <c r="H1013" s="29"/>
      <c r="I1013" s="25"/>
      <c r="J1013" s="138">
        <v>0</v>
      </c>
    </row>
    <row r="1014" spans="1:10" ht="26.25" hidden="1" thickBot="1" x14ac:dyDescent="0.3">
      <c r="A1014" s="221"/>
      <c r="B1014" s="223"/>
      <c r="C1014" s="30" t="s">
        <v>107</v>
      </c>
      <c r="D1014" s="41" t="s">
        <v>12</v>
      </c>
      <c r="E1014" s="31">
        <v>7.0000000000000007E-2</v>
      </c>
      <c r="F1014" s="25">
        <v>19.094999999999999</v>
      </c>
      <c r="G1014" s="28">
        <f t="shared" si="16"/>
        <v>1.3366500000000001</v>
      </c>
      <c r="H1014" s="33">
        <f>SUM(G1014:G1019)</f>
        <v>15.728393800000001</v>
      </c>
      <c r="I1014" s="34"/>
      <c r="J1014" s="138">
        <v>0</v>
      </c>
    </row>
    <row r="1015" spans="1:10" ht="15.75" hidden="1" thickBot="1" x14ac:dyDescent="0.3">
      <c r="A1015" s="221"/>
      <c r="B1015" s="223"/>
      <c r="C1015" s="30" t="s">
        <v>39</v>
      </c>
      <c r="D1015" s="41" t="s">
        <v>12</v>
      </c>
      <c r="E1015" s="31">
        <v>7.0000000000000007E-2</v>
      </c>
      <c r="F1015" s="25">
        <v>24.300999999999998</v>
      </c>
      <c r="G1015" s="28">
        <f t="shared" si="16"/>
        <v>1.7010700000000001</v>
      </c>
      <c r="H1015" s="29"/>
      <c r="I1015" s="25"/>
      <c r="J1015" s="138">
        <v>0</v>
      </c>
    </row>
    <row r="1016" spans="1:10" ht="15.75" hidden="1" thickBot="1" x14ac:dyDescent="0.3">
      <c r="A1016" s="221"/>
      <c r="B1016" s="223"/>
      <c r="C1016" s="30" t="s">
        <v>2261</v>
      </c>
      <c r="D1016" s="41" t="s">
        <v>20</v>
      </c>
      <c r="E1016" s="31">
        <v>4.8999999999999998E-3</v>
      </c>
      <c r="F1016" s="28">
        <v>65.417000000000002</v>
      </c>
      <c r="G1016" s="28">
        <f t="shared" si="16"/>
        <v>0.32054329999999998</v>
      </c>
      <c r="H1016" s="29"/>
      <c r="I1016" s="25"/>
      <c r="J1016" s="138">
        <v>0</v>
      </c>
    </row>
    <row r="1017" spans="1:10" ht="15.75" hidden="1" thickBot="1" x14ac:dyDescent="0.3">
      <c r="A1017" s="221"/>
      <c r="B1017" s="223"/>
      <c r="C1017" s="30" t="s">
        <v>304</v>
      </c>
      <c r="D1017" s="41" t="s">
        <v>20</v>
      </c>
      <c r="E1017" s="31">
        <v>1.7000000000000001E-2</v>
      </c>
      <c r="F1017" s="28">
        <v>2.0139999999999998</v>
      </c>
      <c r="G1017" s="28">
        <f t="shared" si="16"/>
        <v>3.4237999999999998E-2</v>
      </c>
      <c r="H1017" s="29"/>
      <c r="I1017" s="25"/>
      <c r="J1017" s="138">
        <v>0</v>
      </c>
    </row>
    <row r="1018" spans="1:10" ht="26.25" hidden="1" thickBot="1" x14ac:dyDescent="0.3">
      <c r="A1018" s="221"/>
      <c r="B1018" s="223"/>
      <c r="C1018" s="30" t="s">
        <v>2266</v>
      </c>
      <c r="D1018" s="41" t="s">
        <v>20</v>
      </c>
      <c r="E1018" s="31">
        <v>1</v>
      </c>
      <c r="F1018" s="28">
        <v>11.78</v>
      </c>
      <c r="G1018" s="28">
        <f t="shared" si="16"/>
        <v>11.78</v>
      </c>
      <c r="H1018" s="29"/>
      <c r="I1018" s="25"/>
      <c r="J1018" s="138">
        <v>0</v>
      </c>
    </row>
    <row r="1019" spans="1:10" ht="26.25" hidden="1" thickBot="1" x14ac:dyDescent="0.3">
      <c r="A1019" s="221"/>
      <c r="B1019" s="223"/>
      <c r="C1019" s="30" t="s">
        <v>2262</v>
      </c>
      <c r="D1019" s="41" t="s">
        <v>20</v>
      </c>
      <c r="E1019" s="31">
        <v>7.4999999999999997E-3</v>
      </c>
      <c r="F1019" s="28">
        <v>74.119</v>
      </c>
      <c r="G1019" s="28">
        <f t="shared" si="16"/>
        <v>0.55589250000000001</v>
      </c>
      <c r="H1019" s="29"/>
      <c r="I1019" s="25"/>
      <c r="J1019" s="138">
        <v>0</v>
      </c>
    </row>
    <row r="1020" spans="1:10" ht="15.75" hidden="1" thickBot="1" x14ac:dyDescent="0.3">
      <c r="A1020" s="227"/>
      <c r="B1020" s="224"/>
      <c r="C1020" s="30"/>
      <c r="D1020" s="30"/>
      <c r="E1020" s="31"/>
      <c r="F1020" s="25" t="s">
        <v>521</v>
      </c>
      <c r="G1020" s="25" t="str">
        <f t="shared" si="16"/>
        <v/>
      </c>
      <c r="H1020" s="29"/>
      <c r="I1020" s="25"/>
      <c r="J1020" s="138">
        <v>0</v>
      </c>
    </row>
    <row r="1021" spans="1:10" ht="15.75" hidden="1" thickBot="1" x14ac:dyDescent="0.3">
      <c r="A1021" s="220" t="s">
        <v>326</v>
      </c>
      <c r="B1021" s="222" t="e">
        <f>INDEX(Orçamentária!A:B,MATCH(Composições!A1021,Orçamentária!A:A,0),2)</f>
        <v>#N/A</v>
      </c>
      <c r="C1021" s="35"/>
      <c r="D1021" s="20" t="s">
        <v>20</v>
      </c>
      <c r="E1021" s="21"/>
      <c r="F1021" s="36" t="s">
        <v>521</v>
      </c>
      <c r="G1021" s="22" t="str">
        <f t="shared" si="16"/>
        <v/>
      </c>
      <c r="H1021" s="23"/>
      <c r="I1021" s="24"/>
      <c r="J1021" s="138">
        <v>0</v>
      </c>
    </row>
    <row r="1022" spans="1:10" ht="15.75" hidden="1" thickBot="1" x14ac:dyDescent="0.3">
      <c r="A1022" s="221"/>
      <c r="B1022" s="223"/>
      <c r="C1022" s="26"/>
      <c r="D1022" s="26"/>
      <c r="E1022" s="27"/>
      <c r="F1022" s="37" t="s">
        <v>521</v>
      </c>
      <c r="G1022" s="25" t="str">
        <f t="shared" si="16"/>
        <v/>
      </c>
      <c r="H1022" s="29"/>
      <c r="I1022" s="25"/>
      <c r="J1022" s="138">
        <v>0</v>
      </c>
    </row>
    <row r="1023" spans="1:10" ht="26.25" hidden="1" thickBot="1" x14ac:dyDescent="0.3">
      <c r="A1023" s="221"/>
      <c r="B1023" s="223"/>
      <c r="C1023" s="30" t="s">
        <v>327</v>
      </c>
      <c r="D1023" s="41" t="s">
        <v>144</v>
      </c>
      <c r="E1023" s="31">
        <v>1</v>
      </c>
      <c r="F1023" s="28" t="s">
        <v>521</v>
      </c>
      <c r="G1023" s="28" t="str">
        <f t="shared" si="16"/>
        <v/>
      </c>
      <c r="H1023" s="33">
        <f>SUM(G1023:G1024)</f>
        <v>1.8420500000000002</v>
      </c>
      <c r="I1023" s="34"/>
      <c r="J1023" s="138">
        <v>0</v>
      </c>
    </row>
    <row r="1024" spans="1:10" ht="15.75" hidden="1" thickBot="1" x14ac:dyDescent="0.3">
      <c r="A1024" s="221"/>
      <c r="B1024" s="223"/>
      <c r="C1024" s="30" t="s">
        <v>23</v>
      </c>
      <c r="D1024" s="41" t="s">
        <v>12</v>
      </c>
      <c r="E1024" s="31">
        <v>0.1</v>
      </c>
      <c r="F1024" s="25">
        <v>18.420500000000001</v>
      </c>
      <c r="G1024" s="28">
        <f t="shared" si="16"/>
        <v>1.8420500000000002</v>
      </c>
      <c r="H1024" s="29"/>
      <c r="I1024" s="25"/>
      <c r="J1024" s="138">
        <v>0</v>
      </c>
    </row>
    <row r="1025" spans="1:10" ht="15.75" hidden="1" thickBot="1" x14ac:dyDescent="0.3">
      <c r="A1025" s="227"/>
      <c r="B1025" s="224"/>
      <c r="C1025" s="30"/>
      <c r="D1025" s="30"/>
      <c r="E1025" s="31"/>
      <c r="F1025" s="25" t="s">
        <v>521</v>
      </c>
      <c r="G1025" s="25" t="str">
        <f t="shared" si="16"/>
        <v/>
      </c>
      <c r="H1025" s="29"/>
      <c r="I1025" s="25"/>
      <c r="J1025" s="138">
        <v>0</v>
      </c>
    </row>
    <row r="1026" spans="1:10" ht="15.75" hidden="1" thickBot="1" x14ac:dyDescent="0.3">
      <c r="A1026" s="220" t="s">
        <v>328</v>
      </c>
      <c r="B1026" s="222" t="e">
        <f>INDEX(Orçamentária!A:B,MATCH(Composições!A1026,Orçamentária!A:A,0),2)</f>
        <v>#N/A</v>
      </c>
      <c r="C1026" s="35"/>
      <c r="D1026" s="20" t="s">
        <v>20</v>
      </c>
      <c r="E1026" s="21"/>
      <c r="F1026" s="36" t="s">
        <v>521</v>
      </c>
      <c r="G1026" s="22" t="str">
        <f t="shared" si="16"/>
        <v/>
      </c>
      <c r="H1026" s="23"/>
      <c r="I1026" s="24"/>
      <c r="J1026" s="138">
        <v>0</v>
      </c>
    </row>
    <row r="1027" spans="1:10" ht="15.75" hidden="1" thickBot="1" x14ac:dyDescent="0.3">
      <c r="A1027" s="221"/>
      <c r="B1027" s="223"/>
      <c r="C1027" s="26"/>
      <c r="D1027" s="26"/>
      <c r="E1027" s="27"/>
      <c r="F1027" s="37" t="s">
        <v>521</v>
      </c>
      <c r="G1027" s="25" t="str">
        <f t="shared" si="16"/>
        <v/>
      </c>
      <c r="H1027" s="29"/>
      <c r="I1027" s="25"/>
      <c r="J1027" s="138">
        <v>0</v>
      </c>
    </row>
    <row r="1028" spans="1:10" ht="26.25" hidden="1" thickBot="1" x14ac:dyDescent="0.3">
      <c r="A1028" s="221"/>
      <c r="B1028" s="223"/>
      <c r="C1028" s="30" t="s">
        <v>2267</v>
      </c>
      <c r="D1028" s="41" t="s">
        <v>279</v>
      </c>
      <c r="E1028" s="31">
        <v>1</v>
      </c>
      <c r="F1028" s="28">
        <v>161.405</v>
      </c>
      <c r="G1028" s="28">
        <f t="shared" si="16"/>
        <v>161.405</v>
      </c>
      <c r="H1028" s="33">
        <f>SUM(G1028:G1034)</f>
        <v>239.67313544999999</v>
      </c>
      <c r="I1028" s="34"/>
      <c r="J1028" s="138">
        <v>0</v>
      </c>
    </row>
    <row r="1029" spans="1:10" ht="26.25" hidden="1" thickBot="1" x14ac:dyDescent="0.3">
      <c r="A1029" s="221"/>
      <c r="B1029" s="223"/>
      <c r="C1029" s="30" t="s">
        <v>302</v>
      </c>
      <c r="D1029" s="30" t="s">
        <v>20</v>
      </c>
      <c r="E1029" s="31">
        <v>1</v>
      </c>
      <c r="F1029" s="28" t="s">
        <v>521</v>
      </c>
      <c r="G1029" s="28" t="str">
        <f t="shared" si="16"/>
        <v/>
      </c>
      <c r="H1029" s="29"/>
      <c r="I1029" s="25"/>
      <c r="J1029" s="138">
        <v>0</v>
      </c>
    </row>
    <row r="1030" spans="1:10" ht="26.25" hidden="1" thickBot="1" x14ac:dyDescent="0.3">
      <c r="A1030" s="221"/>
      <c r="B1030" s="223"/>
      <c r="C1030" s="30" t="s">
        <v>329</v>
      </c>
      <c r="D1030" s="41" t="s">
        <v>279</v>
      </c>
      <c r="E1030" s="31">
        <v>2</v>
      </c>
      <c r="F1030" s="28">
        <v>19.835999999999999</v>
      </c>
      <c r="G1030" s="28">
        <f t="shared" si="16"/>
        <v>39.671999999999997</v>
      </c>
      <c r="H1030" s="29"/>
      <c r="I1030" s="25"/>
      <c r="J1030" s="138">
        <v>0</v>
      </c>
    </row>
    <row r="1031" spans="1:10" ht="26.25" hidden="1" thickBot="1" x14ac:dyDescent="0.3">
      <c r="A1031" s="221"/>
      <c r="B1031" s="223"/>
      <c r="C1031" s="30" t="s">
        <v>2260</v>
      </c>
      <c r="D1031" s="41" t="s">
        <v>20</v>
      </c>
      <c r="E1031" s="31">
        <v>1</v>
      </c>
      <c r="F1031" s="28">
        <v>14.3925</v>
      </c>
      <c r="G1031" s="48">
        <f t="shared" si="16"/>
        <v>14.3925</v>
      </c>
      <c r="H1031" s="29"/>
      <c r="I1031" s="25"/>
      <c r="J1031" s="138">
        <v>0</v>
      </c>
    </row>
    <row r="1032" spans="1:10" ht="15.75" hidden="1" thickBot="1" x14ac:dyDescent="0.3">
      <c r="A1032" s="221"/>
      <c r="B1032" s="223"/>
      <c r="C1032" s="30" t="s">
        <v>1833</v>
      </c>
      <c r="D1032" s="41" t="s">
        <v>42</v>
      </c>
      <c r="E1032" s="31">
        <v>8.8099999999999998E-2</v>
      </c>
      <c r="F1032" s="28">
        <v>64.619</v>
      </c>
      <c r="G1032" s="28">
        <f t="shared" si="16"/>
        <v>5.6929338999999999</v>
      </c>
      <c r="H1032" s="29"/>
      <c r="I1032" s="25"/>
      <c r="J1032" s="138">
        <v>0</v>
      </c>
    </row>
    <row r="1033" spans="1:10" ht="15.75" hidden="1" thickBot="1" x14ac:dyDescent="0.3">
      <c r="A1033" s="221"/>
      <c r="B1033" s="223"/>
      <c r="C1033" s="30" t="s">
        <v>39</v>
      </c>
      <c r="D1033" s="41" t="s">
        <v>12</v>
      </c>
      <c r="E1033" s="31">
        <v>0.49680000000000002</v>
      </c>
      <c r="F1033" s="25">
        <v>24.300999999999998</v>
      </c>
      <c r="G1033" s="28">
        <f t="shared" si="16"/>
        <v>12.072736799999999</v>
      </c>
      <c r="H1033" s="29"/>
      <c r="I1033" s="25"/>
      <c r="J1033" s="138">
        <v>0</v>
      </c>
    </row>
    <row r="1034" spans="1:10" ht="15.75" hidden="1" thickBot="1" x14ac:dyDescent="0.3">
      <c r="A1034" s="221"/>
      <c r="B1034" s="223"/>
      <c r="C1034" s="30" t="s">
        <v>23</v>
      </c>
      <c r="D1034" s="41" t="s">
        <v>12</v>
      </c>
      <c r="E1034" s="31">
        <v>0.34949999999999998</v>
      </c>
      <c r="F1034" s="25">
        <v>18.420500000000001</v>
      </c>
      <c r="G1034" s="28">
        <f t="shared" si="16"/>
        <v>6.4379647499999999</v>
      </c>
      <c r="H1034" s="29"/>
      <c r="I1034" s="25"/>
      <c r="J1034" s="138">
        <v>0</v>
      </c>
    </row>
    <row r="1035" spans="1:10" ht="15.75" hidden="1" thickBot="1" x14ac:dyDescent="0.3">
      <c r="A1035" s="227"/>
      <c r="B1035" s="224"/>
      <c r="C1035" s="30"/>
      <c r="D1035" s="30"/>
      <c r="E1035" s="31"/>
      <c r="F1035" s="25" t="s">
        <v>521</v>
      </c>
      <c r="G1035" s="25" t="str">
        <f t="shared" si="16"/>
        <v/>
      </c>
      <c r="H1035" s="29"/>
      <c r="I1035" s="25"/>
      <c r="J1035" s="138">
        <v>0</v>
      </c>
    </row>
    <row r="1036" spans="1:10" ht="15.75" hidden="1" thickBot="1" x14ac:dyDescent="0.3">
      <c r="A1036" s="220" t="s">
        <v>330</v>
      </c>
      <c r="B1036" s="222" t="e">
        <f>INDEX(Orçamentária!A:B,MATCH(Composições!A1036,Orçamentária!A:A,0),2)</f>
        <v>#N/A</v>
      </c>
      <c r="C1036" s="35"/>
      <c r="D1036" s="20" t="s">
        <v>20</v>
      </c>
      <c r="E1036" s="21"/>
      <c r="F1036" s="36" t="s">
        <v>521</v>
      </c>
      <c r="G1036" s="22" t="str">
        <f t="shared" si="16"/>
        <v/>
      </c>
      <c r="H1036" s="23"/>
      <c r="I1036" s="24"/>
      <c r="J1036" s="138">
        <v>0</v>
      </c>
    </row>
    <row r="1037" spans="1:10" ht="15.75" hidden="1" thickBot="1" x14ac:dyDescent="0.3">
      <c r="A1037" s="221"/>
      <c r="B1037" s="223"/>
      <c r="C1037" s="26"/>
      <c r="D1037" s="26"/>
      <c r="E1037" s="27"/>
      <c r="F1037" s="37" t="s">
        <v>521</v>
      </c>
      <c r="G1037" s="25" t="str">
        <f t="shared" si="16"/>
        <v/>
      </c>
      <c r="H1037" s="29"/>
      <c r="I1037" s="25"/>
      <c r="J1037" s="138">
        <v>0</v>
      </c>
    </row>
    <row r="1038" spans="1:10" ht="26.25" hidden="1" thickBot="1" x14ac:dyDescent="0.3">
      <c r="A1038" s="221"/>
      <c r="B1038" s="223"/>
      <c r="C1038" s="30" t="s">
        <v>331</v>
      </c>
      <c r="D1038" s="41" t="s">
        <v>144</v>
      </c>
      <c r="E1038" s="31">
        <v>1</v>
      </c>
      <c r="F1038" s="28" t="s">
        <v>521</v>
      </c>
      <c r="G1038" s="28" t="str">
        <f t="shared" si="16"/>
        <v/>
      </c>
      <c r="H1038" s="33">
        <f>SUM(G1038:G1043)</f>
        <v>78.268135450000003</v>
      </c>
      <c r="I1038" s="34"/>
      <c r="J1038" s="138">
        <v>0</v>
      </c>
    </row>
    <row r="1039" spans="1:10" ht="26.25" hidden="1" thickBot="1" x14ac:dyDescent="0.3">
      <c r="A1039" s="221"/>
      <c r="B1039" s="223"/>
      <c r="C1039" s="30" t="s">
        <v>329</v>
      </c>
      <c r="D1039" s="41" t="s">
        <v>279</v>
      </c>
      <c r="E1039" s="31">
        <v>2</v>
      </c>
      <c r="F1039" s="28">
        <v>19.835999999999999</v>
      </c>
      <c r="G1039" s="28">
        <f t="shared" si="16"/>
        <v>39.671999999999997</v>
      </c>
      <c r="H1039" s="29"/>
      <c r="I1039" s="25"/>
      <c r="J1039" s="138">
        <v>0</v>
      </c>
    </row>
    <row r="1040" spans="1:10" ht="26.25" hidden="1" thickBot="1" x14ac:dyDescent="0.3">
      <c r="A1040" s="221"/>
      <c r="B1040" s="223"/>
      <c r="C1040" s="30" t="s">
        <v>2260</v>
      </c>
      <c r="D1040" s="41" t="s">
        <v>20</v>
      </c>
      <c r="E1040" s="31">
        <v>1</v>
      </c>
      <c r="F1040" s="28">
        <v>14.3925</v>
      </c>
      <c r="G1040" s="48">
        <f t="shared" si="16"/>
        <v>14.3925</v>
      </c>
      <c r="H1040" s="29"/>
      <c r="I1040" s="25"/>
      <c r="J1040" s="138">
        <v>0</v>
      </c>
    </row>
    <row r="1041" spans="1:10" ht="15.75" hidden="1" thickBot="1" x14ac:dyDescent="0.3">
      <c r="A1041" s="221"/>
      <c r="B1041" s="223"/>
      <c r="C1041" s="30" t="s">
        <v>1833</v>
      </c>
      <c r="D1041" s="41" t="s">
        <v>42</v>
      </c>
      <c r="E1041" s="31">
        <v>8.8099999999999998E-2</v>
      </c>
      <c r="F1041" s="28">
        <v>64.619</v>
      </c>
      <c r="G1041" s="28">
        <f t="shared" si="16"/>
        <v>5.6929338999999999</v>
      </c>
      <c r="H1041" s="29"/>
      <c r="I1041" s="25"/>
      <c r="J1041" s="138">
        <v>0</v>
      </c>
    </row>
    <row r="1042" spans="1:10" ht="15.75" hidden="1" thickBot="1" x14ac:dyDescent="0.3">
      <c r="A1042" s="221"/>
      <c r="B1042" s="223"/>
      <c r="C1042" s="30" t="s">
        <v>39</v>
      </c>
      <c r="D1042" s="41" t="s">
        <v>12</v>
      </c>
      <c r="E1042" s="31">
        <v>0.49680000000000002</v>
      </c>
      <c r="F1042" s="25">
        <v>24.300999999999998</v>
      </c>
      <c r="G1042" s="28">
        <f t="shared" ref="G1042:G1105" si="17">IF(ISNUMBER(F1042),E1042*F1042,"")</f>
        <v>12.072736799999999</v>
      </c>
      <c r="H1042" s="29"/>
      <c r="I1042" s="25"/>
      <c r="J1042" s="138">
        <v>0</v>
      </c>
    </row>
    <row r="1043" spans="1:10" ht="15.75" hidden="1" thickBot="1" x14ac:dyDescent="0.3">
      <c r="A1043" s="221"/>
      <c r="B1043" s="223"/>
      <c r="C1043" s="30" t="s">
        <v>23</v>
      </c>
      <c r="D1043" s="41" t="s">
        <v>12</v>
      </c>
      <c r="E1043" s="31">
        <v>0.34949999999999998</v>
      </c>
      <c r="F1043" s="25">
        <v>18.420500000000001</v>
      </c>
      <c r="G1043" s="28">
        <f t="shared" si="17"/>
        <v>6.4379647499999999</v>
      </c>
      <c r="H1043" s="29"/>
      <c r="I1043" s="25"/>
      <c r="J1043" s="138">
        <v>0</v>
      </c>
    </row>
    <row r="1044" spans="1:10" ht="15.75" hidden="1" thickBot="1" x14ac:dyDescent="0.3">
      <c r="A1044" s="227"/>
      <c r="B1044" s="224"/>
      <c r="C1044" s="30"/>
      <c r="D1044" s="30"/>
      <c r="E1044" s="31"/>
      <c r="F1044" s="25" t="s">
        <v>521</v>
      </c>
      <c r="G1044" s="25" t="str">
        <f t="shared" si="17"/>
        <v/>
      </c>
      <c r="H1044" s="29"/>
      <c r="I1044" s="25"/>
      <c r="J1044" s="138">
        <v>0</v>
      </c>
    </row>
    <row r="1045" spans="1:10" ht="15.75" hidden="1" thickBot="1" x14ac:dyDescent="0.3">
      <c r="A1045" s="220" t="s">
        <v>332</v>
      </c>
      <c r="B1045" s="222" t="e">
        <f>INDEX(Orçamentária!A:B,MATCH(Composições!A1045,Orçamentária!A:A,0),2)</f>
        <v>#N/A</v>
      </c>
      <c r="C1045" s="35"/>
      <c r="D1045" s="20" t="s">
        <v>20</v>
      </c>
      <c r="E1045" s="21"/>
      <c r="F1045" s="36" t="s">
        <v>521</v>
      </c>
      <c r="G1045" s="22" t="str">
        <f t="shared" si="17"/>
        <v/>
      </c>
      <c r="H1045" s="23"/>
      <c r="I1045" s="24"/>
      <c r="J1045" s="138">
        <v>0</v>
      </c>
    </row>
    <row r="1046" spans="1:10" ht="15.75" hidden="1" thickBot="1" x14ac:dyDescent="0.3">
      <c r="A1046" s="221"/>
      <c r="B1046" s="223"/>
      <c r="C1046" s="26"/>
      <c r="D1046" s="26"/>
      <c r="E1046" s="27"/>
      <c r="F1046" s="37" t="s">
        <v>521</v>
      </c>
      <c r="G1046" s="25" t="str">
        <f t="shared" si="17"/>
        <v/>
      </c>
      <c r="H1046" s="29"/>
      <c r="I1046" s="25"/>
      <c r="J1046" s="138">
        <v>0</v>
      </c>
    </row>
    <row r="1047" spans="1:10" ht="15.75" hidden="1" thickBot="1" x14ac:dyDescent="0.3">
      <c r="A1047" s="221"/>
      <c r="B1047" s="223"/>
      <c r="C1047" s="30" t="s">
        <v>333</v>
      </c>
      <c r="D1047" s="41" t="s">
        <v>144</v>
      </c>
      <c r="E1047" s="31">
        <v>1</v>
      </c>
      <c r="F1047" s="28" t="s">
        <v>521</v>
      </c>
      <c r="G1047" s="28" t="str">
        <f t="shared" si="17"/>
        <v/>
      </c>
      <c r="H1047" s="33">
        <f>SUM(G1047:G1050)</f>
        <v>46.916971699999998</v>
      </c>
      <c r="I1047" s="34"/>
      <c r="J1047" s="138">
        <v>0</v>
      </c>
    </row>
    <row r="1048" spans="1:10" ht="15.75" hidden="1" thickBot="1" x14ac:dyDescent="0.3">
      <c r="A1048" s="221"/>
      <c r="B1048" s="223"/>
      <c r="C1048" s="30" t="s">
        <v>334</v>
      </c>
      <c r="D1048" s="41" t="s">
        <v>42</v>
      </c>
      <c r="E1048" s="31">
        <v>0.52710000000000001</v>
      </c>
      <c r="F1048" s="28">
        <v>39.909499999999994</v>
      </c>
      <c r="G1048" s="28">
        <f t="shared" si="17"/>
        <v>21.036297449999996</v>
      </c>
      <c r="H1048" s="29"/>
      <c r="I1048" s="25"/>
      <c r="J1048" s="138">
        <v>0</v>
      </c>
    </row>
    <row r="1049" spans="1:10" ht="15.75" hidden="1" thickBot="1" x14ac:dyDescent="0.3">
      <c r="A1049" s="221"/>
      <c r="B1049" s="223"/>
      <c r="C1049" s="30" t="s">
        <v>23</v>
      </c>
      <c r="D1049" s="41" t="s">
        <v>12</v>
      </c>
      <c r="E1049" s="31">
        <v>0.26650000000000001</v>
      </c>
      <c r="F1049" s="25">
        <v>18.420500000000001</v>
      </c>
      <c r="G1049" s="28">
        <f t="shared" si="17"/>
        <v>4.90906325</v>
      </c>
      <c r="H1049" s="29"/>
      <c r="I1049" s="25"/>
      <c r="J1049" s="138">
        <v>0</v>
      </c>
    </row>
    <row r="1050" spans="1:10" ht="15.75" hidden="1" thickBot="1" x14ac:dyDescent="0.3">
      <c r="A1050" s="221"/>
      <c r="B1050" s="223"/>
      <c r="C1050" s="30" t="s">
        <v>54</v>
      </c>
      <c r="D1050" s="41" t="s">
        <v>12</v>
      </c>
      <c r="E1050" s="31">
        <v>0.8458</v>
      </c>
      <c r="F1050" s="25">
        <v>24.795000000000002</v>
      </c>
      <c r="G1050" s="28">
        <f t="shared" si="17"/>
        <v>20.971611000000003</v>
      </c>
      <c r="H1050" s="29"/>
      <c r="I1050" s="25"/>
      <c r="J1050" s="138">
        <v>0</v>
      </c>
    </row>
    <row r="1051" spans="1:10" ht="15.75" hidden="1" thickBot="1" x14ac:dyDescent="0.3">
      <c r="A1051" s="227"/>
      <c r="B1051" s="224"/>
      <c r="C1051" s="30"/>
      <c r="D1051" s="30"/>
      <c r="E1051" s="31"/>
      <c r="F1051" s="25" t="s">
        <v>521</v>
      </c>
      <c r="G1051" s="25" t="str">
        <f t="shared" si="17"/>
        <v/>
      </c>
      <c r="H1051" s="29"/>
      <c r="I1051" s="25"/>
      <c r="J1051" s="138">
        <v>0</v>
      </c>
    </row>
    <row r="1052" spans="1:10" ht="15.75" hidden="1" thickBot="1" x14ac:dyDescent="0.3">
      <c r="A1052" s="220" t="s">
        <v>335</v>
      </c>
      <c r="B1052" s="222" t="e">
        <f>INDEX(Orçamentária!A:B,MATCH(Composições!A1052,Orçamentária!A:A,0),2)</f>
        <v>#N/A</v>
      </c>
      <c r="C1052" s="35"/>
      <c r="D1052" s="20" t="s">
        <v>20</v>
      </c>
      <c r="E1052" s="21"/>
      <c r="F1052" s="36" t="s">
        <v>521</v>
      </c>
      <c r="G1052" s="22" t="str">
        <f t="shared" si="17"/>
        <v/>
      </c>
      <c r="H1052" s="23"/>
      <c r="I1052" s="24"/>
      <c r="J1052" s="138">
        <v>0</v>
      </c>
    </row>
    <row r="1053" spans="1:10" ht="15.75" hidden="1" thickBot="1" x14ac:dyDescent="0.3">
      <c r="A1053" s="221"/>
      <c r="B1053" s="223"/>
      <c r="C1053" s="26"/>
      <c r="D1053" s="26"/>
      <c r="E1053" s="27"/>
      <c r="F1053" s="37" t="s">
        <v>521</v>
      </c>
      <c r="G1053" s="25" t="str">
        <f t="shared" si="17"/>
        <v/>
      </c>
      <c r="H1053" s="29"/>
      <c r="I1053" s="25"/>
      <c r="J1053" s="138">
        <v>0</v>
      </c>
    </row>
    <row r="1054" spans="1:10" ht="39" hidden="1" thickBot="1" x14ac:dyDescent="0.3">
      <c r="A1054" s="221"/>
      <c r="B1054" s="223"/>
      <c r="C1054" s="30" t="s">
        <v>336</v>
      </c>
      <c r="D1054" s="41" t="s">
        <v>144</v>
      </c>
      <c r="E1054" s="31">
        <v>1</v>
      </c>
      <c r="F1054" s="28" t="s">
        <v>521</v>
      </c>
      <c r="G1054" s="28" t="str">
        <f t="shared" si="17"/>
        <v/>
      </c>
      <c r="H1054" s="33">
        <f>SUM(G1054:G1057)</f>
        <v>26.476661499999999</v>
      </c>
      <c r="I1054" s="34"/>
      <c r="J1054" s="138">
        <v>0</v>
      </c>
    </row>
    <row r="1055" spans="1:10" ht="15.75" hidden="1" thickBot="1" x14ac:dyDescent="0.3">
      <c r="A1055" s="221"/>
      <c r="B1055" s="223"/>
      <c r="C1055" s="30" t="s">
        <v>334</v>
      </c>
      <c r="D1055" s="41" t="s">
        <v>42</v>
      </c>
      <c r="E1055" s="31">
        <v>0.2974</v>
      </c>
      <c r="F1055" s="28">
        <v>39.909499999999994</v>
      </c>
      <c r="G1055" s="28">
        <f t="shared" si="17"/>
        <v>11.869085299999998</v>
      </c>
      <c r="H1055" s="29"/>
      <c r="I1055" s="25"/>
      <c r="J1055" s="138">
        <v>0</v>
      </c>
    </row>
    <row r="1056" spans="1:10" ht="15.75" hidden="1" thickBot="1" x14ac:dyDescent="0.3">
      <c r="A1056" s="221"/>
      <c r="B1056" s="223"/>
      <c r="C1056" s="30" t="s">
        <v>54</v>
      </c>
      <c r="D1056" s="41" t="s">
        <v>12</v>
      </c>
      <c r="E1056" s="31">
        <v>0.47739999999999999</v>
      </c>
      <c r="F1056" s="25">
        <v>24.795000000000002</v>
      </c>
      <c r="G1056" s="28">
        <f t="shared" si="17"/>
        <v>11.837133000000001</v>
      </c>
      <c r="H1056" s="29"/>
      <c r="I1056" s="25"/>
      <c r="J1056" s="138">
        <v>0</v>
      </c>
    </row>
    <row r="1057" spans="1:10" ht="15.75" hidden="1" thickBot="1" x14ac:dyDescent="0.3">
      <c r="A1057" s="221"/>
      <c r="B1057" s="223"/>
      <c r="C1057" s="30" t="s">
        <v>23</v>
      </c>
      <c r="D1057" s="41" t="s">
        <v>12</v>
      </c>
      <c r="E1057" s="31">
        <v>0.15040000000000001</v>
      </c>
      <c r="F1057" s="25">
        <v>18.420500000000001</v>
      </c>
      <c r="G1057" s="28">
        <f t="shared" si="17"/>
        <v>2.7704432000000003</v>
      </c>
      <c r="H1057" s="29"/>
      <c r="I1057" s="25"/>
      <c r="J1057" s="138">
        <v>0</v>
      </c>
    </row>
    <row r="1058" spans="1:10" ht="15.75" hidden="1" thickBot="1" x14ac:dyDescent="0.3">
      <c r="A1058" s="227"/>
      <c r="B1058" s="224"/>
      <c r="C1058" s="30"/>
      <c r="D1058" s="30"/>
      <c r="E1058" s="31"/>
      <c r="F1058" s="25" t="s">
        <v>521</v>
      </c>
      <c r="G1058" s="25" t="str">
        <f t="shared" si="17"/>
        <v/>
      </c>
      <c r="H1058" s="29"/>
      <c r="I1058" s="25"/>
      <c r="J1058" s="138">
        <v>0</v>
      </c>
    </row>
    <row r="1059" spans="1:10" ht="15.75" hidden="1" thickBot="1" x14ac:dyDescent="0.3">
      <c r="A1059" s="220" t="s">
        <v>337</v>
      </c>
      <c r="B1059" s="222" t="e">
        <f>INDEX(Orçamentária!A:B,MATCH(Composições!A1059,Orçamentária!A:A,0),2)</f>
        <v>#N/A</v>
      </c>
      <c r="C1059" s="35"/>
      <c r="D1059" s="20" t="s">
        <v>20</v>
      </c>
      <c r="E1059" s="21"/>
      <c r="F1059" s="36" t="s">
        <v>521</v>
      </c>
      <c r="G1059" s="22" t="str">
        <f t="shared" si="17"/>
        <v/>
      </c>
      <c r="H1059" s="23"/>
      <c r="I1059" s="24"/>
      <c r="J1059" s="138">
        <v>0</v>
      </c>
    </row>
    <row r="1060" spans="1:10" ht="15.75" hidden="1" thickBot="1" x14ac:dyDescent="0.3">
      <c r="A1060" s="221"/>
      <c r="B1060" s="223"/>
      <c r="C1060" s="26"/>
      <c r="D1060" s="26"/>
      <c r="E1060" s="27"/>
      <c r="F1060" s="37" t="s">
        <v>521</v>
      </c>
      <c r="G1060" s="25" t="str">
        <f t="shared" si="17"/>
        <v/>
      </c>
      <c r="H1060" s="29"/>
      <c r="I1060" s="25"/>
      <c r="J1060" s="138">
        <v>0</v>
      </c>
    </row>
    <row r="1061" spans="1:10" ht="15.75" hidden="1" thickBot="1" x14ac:dyDescent="0.3">
      <c r="A1061" s="221"/>
      <c r="B1061" s="223"/>
      <c r="C1061" s="30" t="s">
        <v>338</v>
      </c>
      <c r="D1061" s="41" t="s">
        <v>144</v>
      </c>
      <c r="E1061" s="31">
        <v>1</v>
      </c>
      <c r="F1061" s="28" t="s">
        <v>521</v>
      </c>
      <c r="G1061" s="28" t="str">
        <f t="shared" si="17"/>
        <v/>
      </c>
      <c r="H1061" s="33">
        <f>SUM(G1061:G1064)</f>
        <v>46.916971699999998</v>
      </c>
      <c r="I1061" s="34"/>
      <c r="J1061" s="138">
        <v>0</v>
      </c>
    </row>
    <row r="1062" spans="1:10" ht="15.75" hidden="1" thickBot="1" x14ac:dyDescent="0.3">
      <c r="A1062" s="221"/>
      <c r="B1062" s="223"/>
      <c r="C1062" s="30" t="s">
        <v>334</v>
      </c>
      <c r="D1062" s="41" t="s">
        <v>42</v>
      </c>
      <c r="E1062" s="31">
        <v>0.52710000000000001</v>
      </c>
      <c r="F1062" s="28">
        <v>39.909499999999994</v>
      </c>
      <c r="G1062" s="28">
        <f t="shared" si="17"/>
        <v>21.036297449999996</v>
      </c>
      <c r="H1062" s="29"/>
      <c r="I1062" s="25"/>
      <c r="J1062" s="138">
        <v>0</v>
      </c>
    </row>
    <row r="1063" spans="1:10" ht="15.75" hidden="1" thickBot="1" x14ac:dyDescent="0.3">
      <c r="A1063" s="221"/>
      <c r="B1063" s="223"/>
      <c r="C1063" s="30" t="s">
        <v>23</v>
      </c>
      <c r="D1063" s="41" t="s">
        <v>12</v>
      </c>
      <c r="E1063" s="31">
        <v>0.26650000000000001</v>
      </c>
      <c r="F1063" s="25">
        <v>18.420500000000001</v>
      </c>
      <c r="G1063" s="28">
        <f t="shared" si="17"/>
        <v>4.90906325</v>
      </c>
      <c r="H1063" s="29"/>
      <c r="I1063" s="25"/>
      <c r="J1063" s="138">
        <v>0</v>
      </c>
    </row>
    <row r="1064" spans="1:10" ht="15.75" hidden="1" thickBot="1" x14ac:dyDescent="0.3">
      <c r="A1064" s="221"/>
      <c r="B1064" s="223"/>
      <c r="C1064" s="30" t="s">
        <v>54</v>
      </c>
      <c r="D1064" s="41" t="s">
        <v>12</v>
      </c>
      <c r="E1064" s="31">
        <v>0.8458</v>
      </c>
      <c r="F1064" s="25">
        <v>24.795000000000002</v>
      </c>
      <c r="G1064" s="28">
        <f t="shared" si="17"/>
        <v>20.971611000000003</v>
      </c>
      <c r="H1064" s="29"/>
      <c r="I1064" s="25"/>
      <c r="J1064" s="138">
        <v>0</v>
      </c>
    </row>
    <row r="1065" spans="1:10" ht="15.75" hidden="1" thickBot="1" x14ac:dyDescent="0.3">
      <c r="A1065" s="227"/>
      <c r="B1065" s="224"/>
      <c r="C1065" s="30"/>
      <c r="D1065" s="30"/>
      <c r="E1065" s="31"/>
      <c r="F1065" s="25" t="s">
        <v>521</v>
      </c>
      <c r="G1065" s="25" t="str">
        <f t="shared" si="17"/>
        <v/>
      </c>
      <c r="H1065" s="29"/>
      <c r="I1065" s="25"/>
      <c r="J1065" s="138">
        <v>0</v>
      </c>
    </row>
    <row r="1066" spans="1:10" ht="15.75" hidden="1" thickBot="1" x14ac:dyDescent="0.3">
      <c r="A1066" s="220" t="s">
        <v>339</v>
      </c>
      <c r="B1066" s="222" t="e">
        <f>INDEX(Orçamentária!A:B,MATCH(Composições!A1066,Orçamentária!A:A,0),2)</f>
        <v>#N/A</v>
      </c>
      <c r="C1066" s="35"/>
      <c r="D1066" s="20" t="s">
        <v>20</v>
      </c>
      <c r="E1066" s="21"/>
      <c r="F1066" s="36" t="s">
        <v>521</v>
      </c>
      <c r="G1066" s="22" t="str">
        <f t="shared" si="17"/>
        <v/>
      </c>
      <c r="H1066" s="23"/>
      <c r="I1066" s="24"/>
      <c r="J1066" s="138">
        <v>0</v>
      </c>
    </row>
    <row r="1067" spans="1:10" ht="15.75" hidden="1" thickBot="1" x14ac:dyDescent="0.3">
      <c r="A1067" s="221"/>
      <c r="B1067" s="223"/>
      <c r="C1067" s="26"/>
      <c r="D1067" s="26"/>
      <c r="E1067" s="27"/>
      <c r="F1067" s="37" t="s">
        <v>521</v>
      </c>
      <c r="G1067" s="25" t="str">
        <f t="shared" si="17"/>
        <v/>
      </c>
      <c r="H1067" s="29"/>
      <c r="I1067" s="25"/>
      <c r="J1067" s="138">
        <v>0</v>
      </c>
    </row>
    <row r="1068" spans="1:10" ht="26.25" hidden="1" thickBot="1" x14ac:dyDescent="0.3">
      <c r="A1068" s="221"/>
      <c r="B1068" s="223"/>
      <c r="C1068" s="30" t="s">
        <v>340</v>
      </c>
      <c r="D1068" s="41" t="s">
        <v>279</v>
      </c>
      <c r="E1068" s="31">
        <v>2</v>
      </c>
      <c r="F1068" s="28">
        <v>14.706</v>
      </c>
      <c r="G1068" s="28">
        <f t="shared" si="17"/>
        <v>29.411999999999999</v>
      </c>
      <c r="H1068" s="33">
        <f>SUM(G1068:G1071)</f>
        <v>44.255010900000002</v>
      </c>
      <c r="I1068" s="34"/>
      <c r="J1068" s="138">
        <v>0</v>
      </c>
    </row>
    <row r="1069" spans="1:10" ht="15.75" hidden="1" thickBot="1" x14ac:dyDescent="0.3">
      <c r="A1069" s="221"/>
      <c r="B1069" s="223"/>
      <c r="C1069" s="30" t="s">
        <v>1833</v>
      </c>
      <c r="D1069" s="41" t="s">
        <v>42</v>
      </c>
      <c r="E1069" s="31">
        <v>3.04E-2</v>
      </c>
      <c r="F1069" s="28">
        <v>64.619</v>
      </c>
      <c r="G1069" s="28">
        <f t="shared" si="17"/>
        <v>1.9644176</v>
      </c>
      <c r="H1069" s="29"/>
      <c r="I1069" s="25"/>
      <c r="J1069" s="138">
        <v>0</v>
      </c>
    </row>
    <row r="1070" spans="1:10" ht="15.75" hidden="1" thickBot="1" x14ac:dyDescent="0.3">
      <c r="A1070" s="221"/>
      <c r="B1070" s="223"/>
      <c r="C1070" s="30" t="s">
        <v>39</v>
      </c>
      <c r="D1070" s="41" t="s">
        <v>12</v>
      </c>
      <c r="E1070" s="31">
        <v>0.38700000000000001</v>
      </c>
      <c r="F1070" s="25">
        <v>24.300999999999998</v>
      </c>
      <c r="G1070" s="28">
        <f t="shared" si="17"/>
        <v>9.4044869999999996</v>
      </c>
      <c r="H1070" s="29"/>
      <c r="I1070" s="25"/>
      <c r="J1070" s="138">
        <v>0</v>
      </c>
    </row>
    <row r="1071" spans="1:10" ht="15.75" hidden="1" thickBot="1" x14ac:dyDescent="0.3">
      <c r="A1071" s="221"/>
      <c r="B1071" s="223"/>
      <c r="C1071" s="30" t="s">
        <v>23</v>
      </c>
      <c r="D1071" s="41" t="s">
        <v>12</v>
      </c>
      <c r="E1071" s="31">
        <v>0.18859999999999999</v>
      </c>
      <c r="F1071" s="25">
        <v>18.420500000000001</v>
      </c>
      <c r="G1071" s="28">
        <f t="shared" si="17"/>
        <v>3.4741062999999999</v>
      </c>
      <c r="H1071" s="29"/>
      <c r="I1071" s="25"/>
      <c r="J1071" s="138">
        <v>0</v>
      </c>
    </row>
    <row r="1072" spans="1:10" ht="15.75" hidden="1" thickBot="1" x14ac:dyDescent="0.3">
      <c r="A1072" s="221"/>
      <c r="B1072" s="223"/>
      <c r="C1072" s="30"/>
      <c r="D1072" s="41"/>
      <c r="E1072" s="31"/>
      <c r="F1072" s="28" t="s">
        <v>521</v>
      </c>
      <c r="G1072" s="28" t="str">
        <f t="shared" si="17"/>
        <v/>
      </c>
      <c r="H1072" s="29"/>
      <c r="I1072" s="25"/>
      <c r="J1072" s="138">
        <v>0</v>
      </c>
    </row>
    <row r="1073" spans="1:10" ht="15.75" hidden="1" thickBot="1" x14ac:dyDescent="0.3">
      <c r="A1073" s="220" t="s">
        <v>341</v>
      </c>
      <c r="B1073" s="222" t="e">
        <f>INDEX(Orçamentária!A:B,MATCH(Composições!A1073,Orçamentária!A:A,0),2)</f>
        <v>#N/A</v>
      </c>
      <c r="C1073" s="35"/>
      <c r="D1073" s="20" t="s">
        <v>20</v>
      </c>
      <c r="E1073" s="21"/>
      <c r="F1073" s="36" t="s">
        <v>521</v>
      </c>
      <c r="G1073" s="22" t="str">
        <f t="shared" si="17"/>
        <v/>
      </c>
      <c r="H1073" s="23"/>
      <c r="I1073" s="24"/>
      <c r="J1073" s="138">
        <v>0</v>
      </c>
    </row>
    <row r="1074" spans="1:10" ht="15.75" hidden="1" thickBot="1" x14ac:dyDescent="0.3">
      <c r="A1074" s="221"/>
      <c r="B1074" s="223"/>
      <c r="C1074" s="26"/>
      <c r="D1074" s="26"/>
      <c r="E1074" s="27"/>
      <c r="F1074" s="37" t="s">
        <v>521</v>
      </c>
      <c r="G1074" s="25" t="str">
        <f t="shared" si="17"/>
        <v/>
      </c>
      <c r="H1074" s="29"/>
      <c r="I1074" s="25"/>
      <c r="J1074" s="138">
        <v>0</v>
      </c>
    </row>
    <row r="1075" spans="1:10" ht="26.25" hidden="1" thickBot="1" x14ac:dyDescent="0.3">
      <c r="A1075" s="221"/>
      <c r="B1075" s="223"/>
      <c r="C1075" s="30" t="s">
        <v>340</v>
      </c>
      <c r="D1075" s="41" t="s">
        <v>279</v>
      </c>
      <c r="E1075" s="31">
        <v>2</v>
      </c>
      <c r="F1075" s="28">
        <v>14.706</v>
      </c>
      <c r="G1075" s="25">
        <f t="shared" si="17"/>
        <v>29.411999999999999</v>
      </c>
      <c r="H1075" s="33">
        <f>SUM(G1075:G1078)</f>
        <v>44.753283999999994</v>
      </c>
      <c r="I1075" s="34"/>
      <c r="J1075" s="138">
        <v>0</v>
      </c>
    </row>
    <row r="1076" spans="1:10" ht="15.75" hidden="1" thickBot="1" x14ac:dyDescent="0.3">
      <c r="A1076" s="221"/>
      <c r="B1076" s="223"/>
      <c r="C1076" s="30" t="s">
        <v>342</v>
      </c>
      <c r="D1076" s="41" t="s">
        <v>279</v>
      </c>
      <c r="E1076" s="31">
        <v>3.6499999999999998E-2</v>
      </c>
      <c r="F1076" s="28">
        <v>4.18</v>
      </c>
      <c r="G1076" s="25">
        <f t="shared" si="17"/>
        <v>0.15256999999999998</v>
      </c>
      <c r="H1076" s="29"/>
      <c r="I1076" s="25"/>
      <c r="J1076" s="138">
        <v>0</v>
      </c>
    </row>
    <row r="1077" spans="1:10" ht="15.75" hidden="1" thickBot="1" x14ac:dyDescent="0.3">
      <c r="A1077" s="221"/>
      <c r="B1077" s="223"/>
      <c r="C1077" s="30" t="s">
        <v>23</v>
      </c>
      <c r="D1077" s="41" t="s">
        <v>12</v>
      </c>
      <c r="E1077" s="31">
        <f>ROUND(0.3179/2,4)</f>
        <v>0.159</v>
      </c>
      <c r="F1077" s="25">
        <v>18.420500000000001</v>
      </c>
      <c r="G1077" s="28">
        <f t="shared" si="17"/>
        <v>2.9288595000000002</v>
      </c>
      <c r="H1077" s="29"/>
      <c r="I1077" s="25"/>
      <c r="J1077" s="138">
        <v>0</v>
      </c>
    </row>
    <row r="1078" spans="1:10" ht="15.75" hidden="1" thickBot="1" x14ac:dyDescent="0.3">
      <c r="A1078" s="221"/>
      <c r="B1078" s="223"/>
      <c r="C1078" s="30" t="s">
        <v>39</v>
      </c>
      <c r="D1078" s="41" t="s">
        <v>12</v>
      </c>
      <c r="E1078" s="31">
        <f>1.009/2</f>
        <v>0.50449999999999995</v>
      </c>
      <c r="F1078" s="25">
        <v>24.300999999999998</v>
      </c>
      <c r="G1078" s="28">
        <f t="shared" si="17"/>
        <v>12.259854499999998</v>
      </c>
      <c r="H1078" s="29"/>
      <c r="I1078" s="25"/>
      <c r="J1078" s="138">
        <v>0</v>
      </c>
    </row>
    <row r="1079" spans="1:10" ht="15.75" hidden="1" thickBot="1" x14ac:dyDescent="0.3">
      <c r="A1079" s="221"/>
      <c r="B1079" s="223"/>
      <c r="C1079" s="30"/>
      <c r="D1079" s="41"/>
      <c r="E1079" s="31"/>
      <c r="F1079" s="28" t="s">
        <v>521</v>
      </c>
      <c r="G1079" s="28" t="str">
        <f t="shared" si="17"/>
        <v/>
      </c>
      <c r="H1079" s="29"/>
      <c r="I1079" s="25"/>
      <c r="J1079" s="138">
        <v>0</v>
      </c>
    </row>
    <row r="1080" spans="1:10" ht="26.25" hidden="1" thickBot="1" x14ac:dyDescent="0.3">
      <c r="A1080" s="221"/>
      <c r="B1080" s="223"/>
      <c r="C1080" s="46" t="s">
        <v>343</v>
      </c>
      <c r="D1080" s="41"/>
      <c r="E1080" s="31"/>
      <c r="F1080" s="28" t="s">
        <v>521</v>
      </c>
      <c r="G1080" s="28" t="str">
        <f t="shared" si="17"/>
        <v/>
      </c>
      <c r="H1080" s="29"/>
      <c r="I1080" s="25"/>
      <c r="J1080" s="138">
        <v>0</v>
      </c>
    </row>
    <row r="1081" spans="1:10" ht="15.75" hidden="1" thickBot="1" x14ac:dyDescent="0.3">
      <c r="A1081" s="221"/>
      <c r="B1081" s="223"/>
      <c r="C1081" s="30"/>
      <c r="D1081" s="30"/>
      <c r="E1081" s="31"/>
      <c r="F1081" s="28" t="s">
        <v>521</v>
      </c>
      <c r="G1081" s="28" t="str">
        <f t="shared" si="17"/>
        <v/>
      </c>
      <c r="H1081" s="29"/>
      <c r="I1081" s="25"/>
      <c r="J1081" s="138">
        <v>0</v>
      </c>
    </row>
    <row r="1082" spans="1:10" ht="15.75" hidden="1" thickBot="1" x14ac:dyDescent="0.3">
      <c r="A1082" s="220" t="s">
        <v>344</v>
      </c>
      <c r="B1082" s="222" t="e">
        <f>INDEX(Orçamentária!A:B,MATCH(Composições!A1082,Orçamentária!A:A,0),2)</f>
        <v>#N/A</v>
      </c>
      <c r="C1082" s="35"/>
      <c r="D1082" s="20" t="s">
        <v>20</v>
      </c>
      <c r="E1082" s="21"/>
      <c r="F1082" s="36" t="s">
        <v>521</v>
      </c>
      <c r="G1082" s="22" t="str">
        <f t="shared" si="17"/>
        <v/>
      </c>
      <c r="H1082" s="23"/>
      <c r="I1082" s="24"/>
      <c r="J1082" s="138">
        <v>0</v>
      </c>
    </row>
    <row r="1083" spans="1:10" ht="15.75" hidden="1" thickBot="1" x14ac:dyDescent="0.3">
      <c r="A1083" s="221"/>
      <c r="B1083" s="223"/>
      <c r="C1083" s="26"/>
      <c r="D1083" s="26"/>
      <c r="E1083" s="27"/>
      <c r="F1083" s="37" t="s">
        <v>521</v>
      </c>
      <c r="G1083" s="25" t="str">
        <f t="shared" si="17"/>
        <v/>
      </c>
      <c r="H1083" s="29"/>
      <c r="I1083" s="25"/>
      <c r="J1083" s="138">
        <v>0</v>
      </c>
    </row>
    <row r="1084" spans="1:10" ht="26.25" hidden="1" thickBot="1" x14ac:dyDescent="0.3">
      <c r="A1084" s="221"/>
      <c r="B1084" s="223"/>
      <c r="C1084" s="30" t="s">
        <v>329</v>
      </c>
      <c r="D1084" s="41" t="s">
        <v>279</v>
      </c>
      <c r="E1084" s="31">
        <v>2</v>
      </c>
      <c r="F1084" s="28">
        <v>19.835999999999999</v>
      </c>
      <c r="G1084" s="28">
        <f t="shared" si="17"/>
        <v>39.671999999999997</v>
      </c>
      <c r="H1084" s="33">
        <f>SUM(G1084:G1088)</f>
        <v>78.268135450000003</v>
      </c>
      <c r="I1084" s="34"/>
      <c r="J1084" s="138">
        <v>0</v>
      </c>
    </row>
    <row r="1085" spans="1:10" ht="26.25" hidden="1" thickBot="1" x14ac:dyDescent="0.3">
      <c r="A1085" s="221"/>
      <c r="B1085" s="223"/>
      <c r="C1085" s="30" t="s">
        <v>2260</v>
      </c>
      <c r="D1085" s="41" t="s">
        <v>20</v>
      </c>
      <c r="E1085" s="31">
        <v>1</v>
      </c>
      <c r="F1085" s="28">
        <v>14.3925</v>
      </c>
      <c r="G1085" s="48">
        <f t="shared" si="17"/>
        <v>14.3925</v>
      </c>
      <c r="H1085" s="29"/>
      <c r="I1085" s="25"/>
      <c r="J1085" s="138">
        <v>0</v>
      </c>
    </row>
    <row r="1086" spans="1:10" ht="15.75" hidden="1" thickBot="1" x14ac:dyDescent="0.3">
      <c r="A1086" s="221"/>
      <c r="B1086" s="223"/>
      <c r="C1086" s="30" t="s">
        <v>1833</v>
      </c>
      <c r="D1086" s="41" t="s">
        <v>42</v>
      </c>
      <c r="E1086" s="31">
        <v>8.8099999999999998E-2</v>
      </c>
      <c r="F1086" s="28">
        <v>64.619</v>
      </c>
      <c r="G1086" s="28">
        <f t="shared" si="17"/>
        <v>5.6929338999999999</v>
      </c>
      <c r="H1086" s="29"/>
      <c r="I1086" s="25"/>
      <c r="J1086" s="138">
        <v>0</v>
      </c>
    </row>
    <row r="1087" spans="1:10" ht="15.75" hidden="1" thickBot="1" x14ac:dyDescent="0.3">
      <c r="A1087" s="221"/>
      <c r="B1087" s="223"/>
      <c r="C1087" s="30" t="s">
        <v>39</v>
      </c>
      <c r="D1087" s="41" t="s">
        <v>12</v>
      </c>
      <c r="E1087" s="31">
        <v>0.49680000000000002</v>
      </c>
      <c r="F1087" s="25">
        <v>24.300999999999998</v>
      </c>
      <c r="G1087" s="28">
        <f t="shared" si="17"/>
        <v>12.072736799999999</v>
      </c>
      <c r="H1087" s="29"/>
      <c r="I1087" s="25"/>
      <c r="J1087" s="138">
        <v>0</v>
      </c>
    </row>
    <row r="1088" spans="1:10" ht="15.75" hidden="1" thickBot="1" x14ac:dyDescent="0.3">
      <c r="A1088" s="221"/>
      <c r="B1088" s="223"/>
      <c r="C1088" s="30" t="s">
        <v>23</v>
      </c>
      <c r="D1088" s="41" t="s">
        <v>12</v>
      </c>
      <c r="E1088" s="31">
        <v>0.34949999999999998</v>
      </c>
      <c r="F1088" s="25">
        <v>18.420500000000001</v>
      </c>
      <c r="G1088" s="28">
        <f t="shared" si="17"/>
        <v>6.4379647499999999</v>
      </c>
      <c r="H1088" s="29"/>
      <c r="I1088" s="25"/>
      <c r="J1088" s="138">
        <v>0</v>
      </c>
    </row>
    <row r="1089" spans="1:10" ht="15.75" hidden="1" thickBot="1" x14ac:dyDescent="0.3">
      <c r="A1089" s="221"/>
      <c r="B1089" s="223"/>
      <c r="C1089" s="30"/>
      <c r="D1089" s="30"/>
      <c r="E1089" s="31"/>
      <c r="F1089" s="25" t="s">
        <v>521</v>
      </c>
      <c r="G1089" s="28" t="str">
        <f t="shared" si="17"/>
        <v/>
      </c>
      <c r="H1089" s="29"/>
      <c r="I1089" s="25"/>
      <c r="J1089" s="138">
        <v>0</v>
      </c>
    </row>
    <row r="1090" spans="1:10" ht="15.75" hidden="1" thickBot="1" x14ac:dyDescent="0.3">
      <c r="A1090" s="220" t="s">
        <v>345</v>
      </c>
      <c r="B1090" s="222" t="e">
        <f>INDEX(Orçamentária!A:B,MATCH(Composições!A1090,Orçamentária!A:A,0),2)</f>
        <v>#N/A</v>
      </c>
      <c r="C1090" s="35"/>
      <c r="D1090" s="20" t="s">
        <v>20</v>
      </c>
      <c r="E1090" s="21"/>
      <c r="F1090" s="36" t="s">
        <v>521</v>
      </c>
      <c r="G1090" s="22" t="str">
        <f t="shared" si="17"/>
        <v/>
      </c>
      <c r="H1090" s="23"/>
      <c r="I1090" s="24"/>
      <c r="J1090" s="138">
        <v>0</v>
      </c>
    </row>
    <row r="1091" spans="1:10" ht="15.75" hidden="1" thickBot="1" x14ac:dyDescent="0.3">
      <c r="A1091" s="221"/>
      <c r="B1091" s="223"/>
      <c r="C1091" s="26"/>
      <c r="D1091" s="26"/>
      <c r="E1091" s="27"/>
      <c r="F1091" s="37" t="s">
        <v>521</v>
      </c>
      <c r="G1091" s="25" t="str">
        <f t="shared" si="17"/>
        <v/>
      </c>
      <c r="H1091" s="29"/>
      <c r="I1091" s="25"/>
      <c r="J1091" s="138">
        <v>0</v>
      </c>
    </row>
    <row r="1092" spans="1:10" ht="26.25" hidden="1" thickBot="1" x14ac:dyDescent="0.3">
      <c r="A1092" s="221"/>
      <c r="B1092" s="223"/>
      <c r="C1092" s="30" t="s">
        <v>2268</v>
      </c>
      <c r="D1092" s="41" t="s">
        <v>279</v>
      </c>
      <c r="E1092" s="31">
        <v>1</v>
      </c>
      <c r="F1092" s="28">
        <v>73.073999999999998</v>
      </c>
      <c r="G1092" s="28">
        <f t="shared" si="17"/>
        <v>73.073999999999998</v>
      </c>
      <c r="H1092" s="33">
        <f>SUM(G1092:G1096)</f>
        <v>117.3290109</v>
      </c>
      <c r="I1092" s="34"/>
      <c r="J1092" s="138">
        <v>0</v>
      </c>
    </row>
    <row r="1093" spans="1:10" ht="26.25" hidden="1" thickBot="1" x14ac:dyDescent="0.3">
      <c r="A1093" s="221"/>
      <c r="B1093" s="223"/>
      <c r="C1093" s="30" t="s">
        <v>340</v>
      </c>
      <c r="D1093" s="41" t="s">
        <v>279</v>
      </c>
      <c r="E1093" s="31">
        <v>2</v>
      </c>
      <c r="F1093" s="28">
        <v>14.706</v>
      </c>
      <c r="G1093" s="28">
        <f t="shared" si="17"/>
        <v>29.411999999999999</v>
      </c>
      <c r="H1093" s="29"/>
      <c r="I1093" s="25"/>
      <c r="J1093" s="138">
        <v>0</v>
      </c>
    </row>
    <row r="1094" spans="1:10" ht="15.75" hidden="1" thickBot="1" x14ac:dyDescent="0.3">
      <c r="A1094" s="221"/>
      <c r="B1094" s="223"/>
      <c r="C1094" s="30" t="s">
        <v>1833</v>
      </c>
      <c r="D1094" s="41" t="s">
        <v>42</v>
      </c>
      <c r="E1094" s="31">
        <v>3.04E-2</v>
      </c>
      <c r="F1094" s="28">
        <v>64.619</v>
      </c>
      <c r="G1094" s="28">
        <f t="shared" si="17"/>
        <v>1.9644176</v>
      </c>
      <c r="H1094" s="29"/>
      <c r="I1094" s="25"/>
      <c r="J1094" s="138">
        <v>0</v>
      </c>
    </row>
    <row r="1095" spans="1:10" ht="15.75" hidden="1" thickBot="1" x14ac:dyDescent="0.3">
      <c r="A1095" s="221"/>
      <c r="B1095" s="223"/>
      <c r="C1095" s="30" t="s">
        <v>39</v>
      </c>
      <c r="D1095" s="41" t="s">
        <v>12</v>
      </c>
      <c r="E1095" s="31">
        <v>0.38700000000000001</v>
      </c>
      <c r="F1095" s="25">
        <v>24.300999999999998</v>
      </c>
      <c r="G1095" s="28">
        <f t="shared" si="17"/>
        <v>9.4044869999999996</v>
      </c>
      <c r="H1095" s="29"/>
      <c r="I1095" s="25"/>
      <c r="J1095" s="138">
        <v>0</v>
      </c>
    </row>
    <row r="1096" spans="1:10" ht="15.75" hidden="1" thickBot="1" x14ac:dyDescent="0.3">
      <c r="A1096" s="221"/>
      <c r="B1096" s="223"/>
      <c r="C1096" s="30" t="s">
        <v>23</v>
      </c>
      <c r="D1096" s="41" t="s">
        <v>12</v>
      </c>
      <c r="E1096" s="31">
        <v>0.18859999999999999</v>
      </c>
      <c r="F1096" s="25">
        <v>18.420500000000001</v>
      </c>
      <c r="G1096" s="28">
        <f t="shared" si="17"/>
        <v>3.4741062999999999</v>
      </c>
      <c r="H1096" s="29"/>
      <c r="I1096" s="25"/>
      <c r="J1096" s="138">
        <v>0</v>
      </c>
    </row>
    <row r="1097" spans="1:10" ht="15.75" hidden="1" thickBot="1" x14ac:dyDescent="0.3">
      <c r="A1097" s="227"/>
      <c r="B1097" s="224"/>
      <c r="C1097" s="30"/>
      <c r="D1097" s="30"/>
      <c r="E1097" s="31"/>
      <c r="F1097" s="25" t="s">
        <v>521</v>
      </c>
      <c r="G1097" s="25" t="str">
        <f t="shared" si="17"/>
        <v/>
      </c>
      <c r="H1097" s="29"/>
      <c r="I1097" s="25"/>
      <c r="J1097" s="138">
        <v>0</v>
      </c>
    </row>
    <row r="1098" spans="1:10" ht="15.75" hidden="1" thickBot="1" x14ac:dyDescent="0.3">
      <c r="A1098" s="220" t="s">
        <v>346</v>
      </c>
      <c r="B1098" s="222" t="e">
        <f>INDEX(Orçamentária!A:B,MATCH(Composições!A1098,Orçamentária!A:A,0),2)</f>
        <v>#N/A</v>
      </c>
      <c r="C1098" s="35"/>
      <c r="D1098" s="20" t="s">
        <v>20</v>
      </c>
      <c r="E1098" s="21"/>
      <c r="F1098" s="36" t="s">
        <v>521</v>
      </c>
      <c r="G1098" s="22" t="str">
        <f t="shared" si="17"/>
        <v/>
      </c>
      <c r="H1098" s="23"/>
      <c r="I1098" s="24"/>
      <c r="J1098" s="138">
        <v>0</v>
      </c>
    </row>
    <row r="1099" spans="1:10" ht="15.75" hidden="1" thickBot="1" x14ac:dyDescent="0.3">
      <c r="A1099" s="221"/>
      <c r="B1099" s="223"/>
      <c r="C1099" s="26"/>
      <c r="D1099" s="26"/>
      <c r="E1099" s="27"/>
      <c r="F1099" s="37" t="s">
        <v>521</v>
      </c>
      <c r="G1099" s="25" t="str">
        <f t="shared" si="17"/>
        <v/>
      </c>
      <c r="H1099" s="29"/>
      <c r="I1099" s="25"/>
      <c r="J1099" s="138">
        <v>0</v>
      </c>
    </row>
    <row r="1100" spans="1:10" ht="26.25" hidden="1" thickBot="1" x14ac:dyDescent="0.3">
      <c r="A1100" s="221"/>
      <c r="B1100" s="223"/>
      <c r="C1100" s="30" t="s">
        <v>2269</v>
      </c>
      <c r="D1100" s="41" t="s">
        <v>279</v>
      </c>
      <c r="E1100" s="31">
        <v>1</v>
      </c>
      <c r="F1100" s="28">
        <v>281.01949999999999</v>
      </c>
      <c r="G1100" s="28">
        <f t="shared" si="17"/>
        <v>281.01949999999999</v>
      </c>
      <c r="H1100" s="33">
        <f>SUM(G1100:G1104)</f>
        <v>325.772784</v>
      </c>
      <c r="I1100" s="34"/>
      <c r="J1100" s="138">
        <v>0</v>
      </c>
    </row>
    <row r="1101" spans="1:10" ht="26.25" hidden="1" thickBot="1" x14ac:dyDescent="0.3">
      <c r="A1101" s="221"/>
      <c r="B1101" s="223"/>
      <c r="C1101" s="30" t="s">
        <v>340</v>
      </c>
      <c r="D1101" s="41" t="s">
        <v>279</v>
      </c>
      <c r="E1101" s="31">
        <v>2</v>
      </c>
      <c r="F1101" s="28">
        <v>14.706</v>
      </c>
      <c r="G1101" s="25">
        <f t="shared" si="17"/>
        <v>29.411999999999999</v>
      </c>
      <c r="H1101" s="29"/>
      <c r="I1101" s="25"/>
      <c r="J1101" s="138">
        <v>0</v>
      </c>
    </row>
    <row r="1102" spans="1:10" ht="15.75" hidden="1" thickBot="1" x14ac:dyDescent="0.3">
      <c r="A1102" s="221"/>
      <c r="B1102" s="223"/>
      <c r="C1102" s="30" t="s">
        <v>342</v>
      </c>
      <c r="D1102" s="41" t="s">
        <v>279</v>
      </c>
      <c r="E1102" s="31">
        <v>3.6499999999999998E-2</v>
      </c>
      <c r="F1102" s="28">
        <v>4.18</v>
      </c>
      <c r="G1102" s="25">
        <f t="shared" si="17"/>
        <v>0.15256999999999998</v>
      </c>
      <c r="H1102" s="29"/>
      <c r="I1102" s="25"/>
      <c r="J1102" s="138">
        <v>0</v>
      </c>
    </row>
    <row r="1103" spans="1:10" ht="15.75" hidden="1" thickBot="1" x14ac:dyDescent="0.3">
      <c r="A1103" s="221"/>
      <c r="B1103" s="223"/>
      <c r="C1103" s="30" t="s">
        <v>23</v>
      </c>
      <c r="D1103" s="41" t="s">
        <v>12</v>
      </c>
      <c r="E1103" s="31">
        <f>ROUND(0.3179/2,4)</f>
        <v>0.159</v>
      </c>
      <c r="F1103" s="25">
        <v>18.420500000000001</v>
      </c>
      <c r="G1103" s="28">
        <f t="shared" si="17"/>
        <v>2.9288595000000002</v>
      </c>
      <c r="H1103" s="29"/>
      <c r="I1103" s="25"/>
      <c r="J1103" s="138">
        <v>0</v>
      </c>
    </row>
    <row r="1104" spans="1:10" ht="15.75" hidden="1" thickBot="1" x14ac:dyDescent="0.3">
      <c r="A1104" s="221"/>
      <c r="B1104" s="223"/>
      <c r="C1104" s="30" t="s">
        <v>39</v>
      </c>
      <c r="D1104" s="41" t="s">
        <v>12</v>
      </c>
      <c r="E1104" s="31">
        <f>1.009/2</f>
        <v>0.50449999999999995</v>
      </c>
      <c r="F1104" s="25">
        <v>24.300999999999998</v>
      </c>
      <c r="G1104" s="28">
        <f t="shared" si="17"/>
        <v>12.259854499999998</v>
      </c>
      <c r="H1104" s="29"/>
      <c r="I1104" s="25"/>
      <c r="J1104" s="138">
        <v>0</v>
      </c>
    </row>
    <row r="1105" spans="1:10" ht="15.75" hidden="1" thickBot="1" x14ac:dyDescent="0.3">
      <c r="A1105" s="221"/>
      <c r="B1105" s="223"/>
      <c r="C1105" s="30"/>
      <c r="D1105" s="41"/>
      <c r="E1105" s="31"/>
      <c r="F1105" s="28" t="s">
        <v>521</v>
      </c>
      <c r="G1105" s="28" t="str">
        <f t="shared" si="17"/>
        <v/>
      </c>
      <c r="H1105" s="29"/>
      <c r="I1105" s="25"/>
      <c r="J1105" s="138">
        <v>0</v>
      </c>
    </row>
    <row r="1106" spans="1:10" ht="26.25" hidden="1" thickBot="1" x14ac:dyDescent="0.3">
      <c r="A1106" s="221"/>
      <c r="B1106" s="223"/>
      <c r="C1106" s="46" t="s">
        <v>343</v>
      </c>
      <c r="D1106" s="41"/>
      <c r="E1106" s="31"/>
      <c r="F1106" s="28" t="s">
        <v>521</v>
      </c>
      <c r="G1106" s="28" t="str">
        <f t="shared" ref="G1106:G1169" si="18">IF(ISNUMBER(F1106),E1106*F1106,"")</f>
        <v/>
      </c>
      <c r="H1106" s="29"/>
      <c r="I1106" s="25"/>
      <c r="J1106" s="138">
        <v>0</v>
      </c>
    </row>
    <row r="1107" spans="1:10" ht="15.75" hidden="1" thickBot="1" x14ac:dyDescent="0.3">
      <c r="A1107" s="221"/>
      <c r="B1107" s="223"/>
      <c r="C1107" s="30"/>
      <c r="D1107" s="41"/>
      <c r="E1107" s="31"/>
      <c r="F1107" s="28" t="s">
        <v>521</v>
      </c>
      <c r="G1107" s="28" t="str">
        <f t="shared" si="18"/>
        <v/>
      </c>
      <c r="H1107" s="29"/>
      <c r="I1107" s="25"/>
      <c r="J1107" s="138">
        <v>0</v>
      </c>
    </row>
    <row r="1108" spans="1:10" ht="15.75" hidden="1" thickBot="1" x14ac:dyDescent="0.3">
      <c r="A1108" s="220" t="s">
        <v>347</v>
      </c>
      <c r="B1108" s="222" t="e">
        <f>INDEX(Orçamentária!A:B,MATCH(Composições!A1108,Orçamentária!A:A,0),2)</f>
        <v>#N/A</v>
      </c>
      <c r="C1108" s="35"/>
      <c r="D1108" s="20" t="s">
        <v>20</v>
      </c>
      <c r="E1108" s="21"/>
      <c r="F1108" s="36" t="s">
        <v>521</v>
      </c>
      <c r="G1108" s="22" t="str">
        <f t="shared" si="18"/>
        <v/>
      </c>
      <c r="H1108" s="23"/>
      <c r="I1108" s="24"/>
      <c r="J1108" s="138">
        <v>0</v>
      </c>
    </row>
    <row r="1109" spans="1:10" ht="15.75" hidden="1" thickBot="1" x14ac:dyDescent="0.3">
      <c r="A1109" s="221"/>
      <c r="B1109" s="223"/>
      <c r="C1109" s="26"/>
      <c r="D1109" s="26"/>
      <c r="E1109" s="27"/>
      <c r="F1109" s="37" t="s">
        <v>521</v>
      </c>
      <c r="G1109" s="25" t="str">
        <f t="shared" si="18"/>
        <v/>
      </c>
      <c r="H1109" s="29"/>
      <c r="I1109" s="25"/>
      <c r="J1109" s="138">
        <v>0</v>
      </c>
    </row>
    <row r="1110" spans="1:10" ht="26.25" hidden="1" thickBot="1" x14ac:dyDescent="0.3">
      <c r="A1110" s="221"/>
      <c r="B1110" s="223"/>
      <c r="C1110" s="30" t="s">
        <v>348</v>
      </c>
      <c r="D1110" s="41" t="s">
        <v>144</v>
      </c>
      <c r="E1110" s="31">
        <v>1</v>
      </c>
      <c r="F1110" s="28" t="s">
        <v>521</v>
      </c>
      <c r="G1110" s="28" t="str">
        <f t="shared" si="18"/>
        <v/>
      </c>
      <c r="H1110" s="33">
        <f>SUM(G1110:G1114)</f>
        <v>87.681847900000008</v>
      </c>
      <c r="I1110" s="34"/>
      <c r="J1110" s="138">
        <v>0</v>
      </c>
    </row>
    <row r="1111" spans="1:10" ht="26.25" hidden="1" thickBot="1" x14ac:dyDescent="0.3">
      <c r="A1111" s="221"/>
      <c r="B1111" s="223"/>
      <c r="C1111" s="30" t="s">
        <v>340</v>
      </c>
      <c r="D1111" s="41" t="s">
        <v>279</v>
      </c>
      <c r="E1111" s="31">
        <v>4</v>
      </c>
      <c r="F1111" s="28">
        <v>14.706</v>
      </c>
      <c r="G1111" s="28">
        <f t="shared" si="18"/>
        <v>58.823999999999998</v>
      </c>
      <c r="H1111" s="29"/>
      <c r="I1111" s="25"/>
      <c r="J1111" s="138">
        <v>0</v>
      </c>
    </row>
    <row r="1112" spans="1:10" ht="15.75" hidden="1" thickBot="1" x14ac:dyDescent="0.3">
      <c r="A1112" s="221"/>
      <c r="B1112" s="223"/>
      <c r="C1112" s="30" t="s">
        <v>1833</v>
      </c>
      <c r="D1112" s="41" t="s">
        <v>42</v>
      </c>
      <c r="E1112" s="31">
        <v>3.9E-2</v>
      </c>
      <c r="F1112" s="28">
        <v>64.619</v>
      </c>
      <c r="G1112" s="28">
        <f t="shared" si="18"/>
        <v>2.5201410000000002</v>
      </c>
      <c r="H1112" s="29"/>
      <c r="I1112" s="25"/>
      <c r="J1112" s="138">
        <v>0</v>
      </c>
    </row>
    <row r="1113" spans="1:10" ht="15.75" hidden="1" thickBot="1" x14ac:dyDescent="0.3">
      <c r="A1113" s="221"/>
      <c r="B1113" s="223"/>
      <c r="C1113" s="30" t="s">
        <v>39</v>
      </c>
      <c r="D1113" s="41" t="s">
        <v>12</v>
      </c>
      <c r="E1113" s="31">
        <v>0.8226</v>
      </c>
      <c r="F1113" s="25">
        <v>24.300999999999998</v>
      </c>
      <c r="G1113" s="28">
        <f t="shared" si="18"/>
        <v>19.990002599999997</v>
      </c>
      <c r="H1113" s="29"/>
      <c r="I1113" s="25"/>
      <c r="J1113" s="138">
        <v>0</v>
      </c>
    </row>
    <row r="1114" spans="1:10" ht="15.75" hidden="1" thickBot="1" x14ac:dyDescent="0.3">
      <c r="A1114" s="221"/>
      <c r="B1114" s="223"/>
      <c r="C1114" s="30" t="s">
        <v>23</v>
      </c>
      <c r="D1114" s="41" t="s">
        <v>12</v>
      </c>
      <c r="E1114" s="31">
        <v>0.34460000000000002</v>
      </c>
      <c r="F1114" s="25">
        <v>18.420500000000001</v>
      </c>
      <c r="G1114" s="28">
        <f t="shared" si="18"/>
        <v>6.3477043000000002</v>
      </c>
      <c r="H1114" s="29"/>
      <c r="I1114" s="25"/>
      <c r="J1114" s="138">
        <v>0</v>
      </c>
    </row>
    <row r="1115" spans="1:10" ht="15.75" hidden="1" thickBot="1" x14ac:dyDescent="0.3">
      <c r="A1115" s="227"/>
      <c r="B1115" s="224"/>
      <c r="C1115" s="30"/>
      <c r="D1115" s="30"/>
      <c r="E1115" s="31"/>
      <c r="F1115" s="25" t="s">
        <v>521</v>
      </c>
      <c r="G1115" s="25" t="str">
        <f t="shared" si="18"/>
        <v/>
      </c>
      <c r="H1115" s="29"/>
      <c r="I1115" s="25"/>
      <c r="J1115" s="138">
        <v>0</v>
      </c>
    </row>
    <row r="1116" spans="1:10" ht="15.75" hidden="1" thickBot="1" x14ac:dyDescent="0.3">
      <c r="A1116" s="220" t="s">
        <v>349</v>
      </c>
      <c r="B1116" s="222" t="e">
        <f>INDEX(Orçamentária!A:B,MATCH(Composições!A1116,Orçamentária!A:A,0),2)</f>
        <v>#N/A</v>
      </c>
      <c r="C1116" s="35"/>
      <c r="D1116" s="20" t="s">
        <v>20</v>
      </c>
      <c r="E1116" s="21"/>
      <c r="F1116" s="36" t="s">
        <v>521</v>
      </c>
      <c r="G1116" s="22" t="str">
        <f t="shared" si="18"/>
        <v/>
      </c>
      <c r="H1116" s="23"/>
      <c r="I1116" s="24"/>
      <c r="J1116" s="138">
        <v>0</v>
      </c>
    </row>
    <row r="1117" spans="1:10" ht="15.75" hidden="1" thickBot="1" x14ac:dyDescent="0.3">
      <c r="A1117" s="221"/>
      <c r="B1117" s="223"/>
      <c r="C1117" s="26"/>
      <c r="D1117" s="26"/>
      <c r="E1117" s="27"/>
      <c r="F1117" s="37" t="s">
        <v>521</v>
      </c>
      <c r="G1117" s="25" t="str">
        <f t="shared" si="18"/>
        <v/>
      </c>
      <c r="H1117" s="29"/>
      <c r="I1117" s="25"/>
      <c r="J1117" s="138">
        <v>0</v>
      </c>
    </row>
    <row r="1118" spans="1:10" ht="26.25" hidden="1" thickBot="1" x14ac:dyDescent="0.3">
      <c r="A1118" s="221"/>
      <c r="B1118" s="223"/>
      <c r="C1118" s="30" t="s">
        <v>350</v>
      </c>
      <c r="D1118" s="41" t="s">
        <v>144</v>
      </c>
      <c r="E1118" s="31">
        <v>1</v>
      </c>
      <c r="F1118" s="28" t="s">
        <v>521</v>
      </c>
      <c r="G1118" s="28" t="str">
        <f t="shared" si="18"/>
        <v/>
      </c>
      <c r="H1118" s="33">
        <f>SUM(G1118:G1119)</f>
        <v>1.9440799999999998</v>
      </c>
      <c r="I1118" s="34"/>
      <c r="J1118" s="138">
        <v>0</v>
      </c>
    </row>
    <row r="1119" spans="1:10" ht="15.75" hidden="1" thickBot="1" x14ac:dyDescent="0.3">
      <c r="A1119" s="221"/>
      <c r="B1119" s="223"/>
      <c r="C1119" s="30" t="s">
        <v>39</v>
      </c>
      <c r="D1119" s="41" t="s">
        <v>12</v>
      </c>
      <c r="E1119" s="31">
        <v>0.08</v>
      </c>
      <c r="F1119" s="25">
        <v>24.300999999999998</v>
      </c>
      <c r="G1119" s="28">
        <f t="shared" si="18"/>
        <v>1.9440799999999998</v>
      </c>
      <c r="H1119" s="29"/>
      <c r="I1119" s="25"/>
      <c r="J1119" s="138">
        <v>0</v>
      </c>
    </row>
    <row r="1120" spans="1:10" ht="15.75" hidden="1" thickBot="1" x14ac:dyDescent="0.3">
      <c r="A1120" s="227"/>
      <c r="B1120" s="224"/>
      <c r="C1120" s="46"/>
      <c r="D1120" s="30"/>
      <c r="E1120" s="31"/>
      <c r="F1120" s="25" t="s">
        <v>521</v>
      </c>
      <c r="G1120" s="25" t="str">
        <f t="shared" si="18"/>
        <v/>
      </c>
      <c r="H1120" s="29"/>
      <c r="I1120" s="25"/>
      <c r="J1120" s="138">
        <v>0</v>
      </c>
    </row>
    <row r="1121" spans="1:10" ht="15.75" hidden="1" thickBot="1" x14ac:dyDescent="0.3">
      <c r="A1121" s="220" t="s">
        <v>351</v>
      </c>
      <c r="B1121" s="222" t="e">
        <f>INDEX(Orçamentária!A:B,MATCH(Composições!A1121,Orçamentária!A:A,0),2)</f>
        <v>#N/A</v>
      </c>
      <c r="C1121" s="35"/>
      <c r="D1121" s="20" t="s">
        <v>20</v>
      </c>
      <c r="E1121" s="21"/>
      <c r="F1121" s="36" t="s">
        <v>521</v>
      </c>
      <c r="G1121" s="22" t="str">
        <f t="shared" si="18"/>
        <v/>
      </c>
      <c r="H1121" s="23"/>
      <c r="I1121" s="24"/>
      <c r="J1121" s="138">
        <v>0</v>
      </c>
    </row>
    <row r="1122" spans="1:10" ht="15.75" hidden="1" thickBot="1" x14ac:dyDescent="0.3">
      <c r="A1122" s="221"/>
      <c r="B1122" s="223"/>
      <c r="C1122" s="26"/>
      <c r="D1122" s="26"/>
      <c r="E1122" s="27"/>
      <c r="F1122" s="37" t="s">
        <v>521</v>
      </c>
      <c r="G1122" s="25" t="str">
        <f t="shared" si="18"/>
        <v/>
      </c>
      <c r="H1122" s="29"/>
      <c r="I1122" s="25"/>
      <c r="J1122" s="138">
        <v>0</v>
      </c>
    </row>
    <row r="1123" spans="1:10" ht="26.25" hidden="1" thickBot="1" x14ac:dyDescent="0.3">
      <c r="A1123" s="221"/>
      <c r="B1123" s="223"/>
      <c r="C1123" s="30" t="s">
        <v>352</v>
      </c>
      <c r="D1123" s="41" t="s">
        <v>144</v>
      </c>
      <c r="E1123" s="31">
        <v>1</v>
      </c>
      <c r="F1123" s="28" t="s">
        <v>521</v>
      </c>
      <c r="G1123" s="28" t="str">
        <f t="shared" si="18"/>
        <v/>
      </c>
      <c r="H1123" s="33">
        <f>SUM(G1123:G1124)</f>
        <v>1.9440799999999998</v>
      </c>
      <c r="I1123" s="34"/>
      <c r="J1123" s="138">
        <v>0</v>
      </c>
    </row>
    <row r="1124" spans="1:10" ht="15.75" hidden="1" thickBot="1" x14ac:dyDescent="0.3">
      <c r="A1124" s="221"/>
      <c r="B1124" s="223"/>
      <c r="C1124" s="30" t="s">
        <v>39</v>
      </c>
      <c r="D1124" s="41" t="s">
        <v>12</v>
      </c>
      <c r="E1124" s="31">
        <v>0.08</v>
      </c>
      <c r="F1124" s="25">
        <v>24.300999999999998</v>
      </c>
      <c r="G1124" s="28">
        <f t="shared" si="18"/>
        <v>1.9440799999999998</v>
      </c>
      <c r="H1124" s="29"/>
      <c r="I1124" s="25"/>
      <c r="J1124" s="138">
        <v>0</v>
      </c>
    </row>
    <row r="1125" spans="1:10" ht="15.75" hidden="1" thickBot="1" x14ac:dyDescent="0.3">
      <c r="A1125" s="227"/>
      <c r="B1125" s="224"/>
      <c r="C1125" s="30"/>
      <c r="D1125" s="30"/>
      <c r="E1125" s="31"/>
      <c r="F1125" s="25" t="s">
        <v>521</v>
      </c>
      <c r="G1125" s="25" t="str">
        <f t="shared" si="18"/>
        <v/>
      </c>
      <c r="H1125" s="29"/>
      <c r="I1125" s="25"/>
      <c r="J1125" s="138">
        <v>0</v>
      </c>
    </row>
    <row r="1126" spans="1:10" ht="15.75" hidden="1" thickBot="1" x14ac:dyDescent="0.3">
      <c r="A1126" s="220" t="s">
        <v>353</v>
      </c>
      <c r="B1126" s="222" t="e">
        <f>INDEX(Orçamentária!A:B,MATCH(Composições!A1126,Orçamentária!A:A,0),2)</f>
        <v>#N/A</v>
      </c>
      <c r="C1126" s="35"/>
      <c r="D1126" s="20" t="s">
        <v>20</v>
      </c>
      <c r="E1126" s="21"/>
      <c r="F1126" s="36" t="s">
        <v>521</v>
      </c>
      <c r="G1126" s="22" t="str">
        <f t="shared" si="18"/>
        <v/>
      </c>
      <c r="H1126" s="23"/>
      <c r="I1126" s="24"/>
      <c r="J1126" s="138">
        <v>0</v>
      </c>
    </row>
    <row r="1127" spans="1:10" ht="15.75" hidden="1" thickBot="1" x14ac:dyDescent="0.3">
      <c r="A1127" s="221"/>
      <c r="B1127" s="223"/>
      <c r="C1127" s="26"/>
      <c r="D1127" s="26"/>
      <c r="E1127" s="27"/>
      <c r="F1127" s="37" t="s">
        <v>521</v>
      </c>
      <c r="G1127" s="25" t="str">
        <f t="shared" si="18"/>
        <v/>
      </c>
      <c r="H1127" s="29"/>
      <c r="I1127" s="25"/>
      <c r="J1127" s="138">
        <v>0</v>
      </c>
    </row>
    <row r="1128" spans="1:10" ht="26.25" hidden="1" thickBot="1" x14ac:dyDescent="0.3">
      <c r="A1128" s="221"/>
      <c r="B1128" s="223"/>
      <c r="C1128" s="30" t="s">
        <v>354</v>
      </c>
      <c r="D1128" s="41" t="s">
        <v>144</v>
      </c>
      <c r="E1128" s="31">
        <v>1</v>
      </c>
      <c r="F1128" s="28" t="s">
        <v>521</v>
      </c>
      <c r="G1128" s="28" t="str">
        <f t="shared" si="18"/>
        <v/>
      </c>
      <c r="H1128" s="33">
        <f>SUM(G1128:G1130)</f>
        <v>21.698</v>
      </c>
      <c r="I1128" s="34"/>
      <c r="J1128" s="138">
        <v>0</v>
      </c>
    </row>
    <row r="1129" spans="1:10" ht="15.75" hidden="1" thickBot="1" x14ac:dyDescent="0.3">
      <c r="A1129" s="221"/>
      <c r="B1129" s="223"/>
      <c r="C1129" s="30" t="s">
        <v>39</v>
      </c>
      <c r="D1129" s="41" t="s">
        <v>12</v>
      </c>
      <c r="E1129" s="31">
        <v>0.5</v>
      </c>
      <c r="F1129" s="25">
        <v>24.300999999999998</v>
      </c>
      <c r="G1129" s="28">
        <f t="shared" si="18"/>
        <v>12.150499999999999</v>
      </c>
      <c r="H1129" s="29"/>
      <c r="I1129" s="25"/>
      <c r="J1129" s="138">
        <v>0</v>
      </c>
    </row>
    <row r="1130" spans="1:10" ht="26.25" hidden="1" thickBot="1" x14ac:dyDescent="0.3">
      <c r="A1130" s="221"/>
      <c r="B1130" s="223"/>
      <c r="C1130" s="30" t="s">
        <v>107</v>
      </c>
      <c r="D1130" s="41" t="s">
        <v>12</v>
      </c>
      <c r="E1130" s="31">
        <v>0.5</v>
      </c>
      <c r="F1130" s="25">
        <v>19.094999999999999</v>
      </c>
      <c r="G1130" s="28">
        <f t="shared" si="18"/>
        <v>9.5474999999999994</v>
      </c>
      <c r="H1130" s="29"/>
      <c r="I1130" s="25"/>
      <c r="J1130" s="138">
        <v>0</v>
      </c>
    </row>
    <row r="1131" spans="1:10" ht="15.75" hidden="1" thickBot="1" x14ac:dyDescent="0.3">
      <c r="A1131" s="227"/>
      <c r="B1131" s="224"/>
      <c r="C1131" s="30"/>
      <c r="D1131" s="30"/>
      <c r="E1131" s="31"/>
      <c r="F1131" s="25" t="s">
        <v>521</v>
      </c>
      <c r="G1131" s="25" t="str">
        <f t="shared" si="18"/>
        <v/>
      </c>
      <c r="H1131" s="29"/>
      <c r="I1131" s="25"/>
      <c r="J1131" s="138">
        <v>0</v>
      </c>
    </row>
    <row r="1132" spans="1:10" ht="15.75" hidden="1" thickBot="1" x14ac:dyDescent="0.3">
      <c r="A1132" s="220" t="s">
        <v>355</v>
      </c>
      <c r="B1132" s="222" t="e">
        <f>INDEX(Orçamentária!A:B,MATCH(Composições!A1132,Orçamentária!A:A,0),2)</f>
        <v>#N/A</v>
      </c>
      <c r="C1132" s="35"/>
      <c r="D1132" s="20" t="s">
        <v>20</v>
      </c>
      <c r="E1132" s="21"/>
      <c r="F1132" s="36" t="s">
        <v>521</v>
      </c>
      <c r="G1132" s="22" t="str">
        <f t="shared" si="18"/>
        <v/>
      </c>
      <c r="H1132" s="23"/>
      <c r="I1132" s="24"/>
      <c r="J1132" s="138">
        <v>0</v>
      </c>
    </row>
    <row r="1133" spans="1:10" ht="15.75" hidden="1" thickBot="1" x14ac:dyDescent="0.3">
      <c r="A1133" s="221"/>
      <c r="B1133" s="223"/>
      <c r="C1133" s="26"/>
      <c r="D1133" s="26"/>
      <c r="E1133" s="27"/>
      <c r="F1133" s="37" t="s">
        <v>521</v>
      </c>
      <c r="G1133" s="25" t="str">
        <f t="shared" si="18"/>
        <v/>
      </c>
      <c r="H1133" s="29"/>
      <c r="I1133" s="25"/>
      <c r="J1133" s="138">
        <v>0</v>
      </c>
    </row>
    <row r="1134" spans="1:10" ht="15.75" hidden="1" thickBot="1" x14ac:dyDescent="0.3">
      <c r="A1134" s="221"/>
      <c r="B1134" s="223"/>
      <c r="C1134" s="30" t="s">
        <v>39</v>
      </c>
      <c r="D1134" s="41" t="s">
        <v>12</v>
      </c>
      <c r="E1134" s="31">
        <v>0.16209999999999999</v>
      </c>
      <c r="F1134" s="25">
        <v>24.300999999999998</v>
      </c>
      <c r="G1134" s="28">
        <f t="shared" si="18"/>
        <v>3.9391920999999996</v>
      </c>
      <c r="H1134" s="33">
        <f>SUM(G1134:G1135)</f>
        <v>4.3726485999999998</v>
      </c>
      <c r="I1134" s="34"/>
      <c r="J1134" s="138">
        <v>0</v>
      </c>
    </row>
    <row r="1135" spans="1:10" ht="26.25" hidden="1" thickBot="1" x14ac:dyDescent="0.3">
      <c r="A1135" s="221"/>
      <c r="B1135" s="223"/>
      <c r="C1135" s="30" t="s">
        <v>107</v>
      </c>
      <c r="D1135" s="41" t="s">
        <v>12</v>
      </c>
      <c r="E1135" s="31">
        <v>2.2700000000000001E-2</v>
      </c>
      <c r="F1135" s="25">
        <v>19.094999999999999</v>
      </c>
      <c r="G1135" s="28">
        <f t="shared" si="18"/>
        <v>0.43345650000000002</v>
      </c>
      <c r="H1135" s="39"/>
      <c r="I1135" s="40"/>
      <c r="J1135" s="138">
        <v>0</v>
      </c>
    </row>
    <row r="1136" spans="1:10" ht="15.75" hidden="1" thickBot="1" x14ac:dyDescent="0.3">
      <c r="A1136" s="227"/>
      <c r="B1136" s="224"/>
      <c r="C1136" s="30"/>
      <c r="D1136" s="30"/>
      <c r="E1136" s="31"/>
      <c r="F1136" s="25" t="s">
        <v>521</v>
      </c>
      <c r="G1136" s="25" t="str">
        <f t="shared" si="18"/>
        <v/>
      </c>
      <c r="H1136" s="29"/>
      <c r="I1136" s="25"/>
      <c r="J1136" s="138">
        <v>0</v>
      </c>
    </row>
    <row r="1137" spans="1:10" ht="15.75" hidden="1" thickBot="1" x14ac:dyDescent="0.3">
      <c r="A1137" s="220" t="s">
        <v>356</v>
      </c>
      <c r="B1137" s="222" t="e">
        <f>INDEX(Orçamentária!A:B,MATCH(Composições!A1137,Orçamentária!A:A,0),2)</f>
        <v>#N/A</v>
      </c>
      <c r="C1137" s="35"/>
      <c r="D1137" s="20" t="s">
        <v>20</v>
      </c>
      <c r="E1137" s="21"/>
      <c r="F1137" s="36" t="s">
        <v>521</v>
      </c>
      <c r="G1137" s="22" t="str">
        <f t="shared" si="18"/>
        <v/>
      </c>
      <c r="H1137" s="23"/>
      <c r="I1137" s="24"/>
      <c r="J1137" s="138">
        <v>0</v>
      </c>
    </row>
    <row r="1138" spans="1:10" ht="15.75" hidden="1" thickBot="1" x14ac:dyDescent="0.3">
      <c r="A1138" s="221"/>
      <c r="B1138" s="223"/>
      <c r="C1138" s="26"/>
      <c r="D1138" s="26"/>
      <c r="E1138" s="27"/>
      <c r="F1138" s="37" t="s">
        <v>521</v>
      </c>
      <c r="G1138" s="25" t="str">
        <f t="shared" si="18"/>
        <v/>
      </c>
      <c r="H1138" s="29"/>
      <c r="I1138" s="25"/>
      <c r="J1138" s="138">
        <v>0</v>
      </c>
    </row>
    <row r="1139" spans="1:10" ht="15.75" hidden="1" thickBot="1" x14ac:dyDescent="0.3">
      <c r="A1139" s="221"/>
      <c r="B1139" s="223"/>
      <c r="C1139" s="30" t="s">
        <v>357</v>
      </c>
      <c r="D1139" s="41" t="s">
        <v>279</v>
      </c>
      <c r="E1139" s="31">
        <v>1</v>
      </c>
      <c r="F1139" s="28">
        <v>40.108999999999995</v>
      </c>
      <c r="G1139" s="28">
        <f t="shared" si="18"/>
        <v>40.108999999999995</v>
      </c>
      <c r="H1139" s="33">
        <f>SUM(G1139:G1142)</f>
        <v>44.748324999999994</v>
      </c>
      <c r="I1139" s="34"/>
      <c r="J1139" s="138">
        <v>0</v>
      </c>
    </row>
    <row r="1140" spans="1:10" ht="15.75" hidden="1" thickBot="1" x14ac:dyDescent="0.3">
      <c r="A1140" s="221"/>
      <c r="B1140" s="223"/>
      <c r="C1140" s="30" t="s">
        <v>342</v>
      </c>
      <c r="D1140" s="41" t="s">
        <v>279</v>
      </c>
      <c r="E1140" s="31">
        <v>1.7500000000000002E-2</v>
      </c>
      <c r="F1140" s="28">
        <v>4.18</v>
      </c>
      <c r="G1140" s="28">
        <f t="shared" si="18"/>
        <v>7.3150000000000007E-2</v>
      </c>
      <c r="H1140" s="29"/>
      <c r="I1140" s="25"/>
      <c r="J1140" s="138">
        <v>0</v>
      </c>
    </row>
    <row r="1141" spans="1:10" ht="15.75" hidden="1" thickBot="1" x14ac:dyDescent="0.3">
      <c r="A1141" s="221"/>
      <c r="B1141" s="223"/>
      <c r="C1141" s="30" t="s">
        <v>39</v>
      </c>
      <c r="D1141" s="41" t="s">
        <v>12</v>
      </c>
      <c r="E1141" s="31">
        <v>0.15</v>
      </c>
      <c r="F1141" s="25">
        <v>24.300999999999998</v>
      </c>
      <c r="G1141" s="28">
        <f t="shared" si="18"/>
        <v>3.6451499999999997</v>
      </c>
      <c r="H1141" s="29"/>
      <c r="I1141" s="25"/>
      <c r="J1141" s="138">
        <v>0</v>
      </c>
    </row>
    <row r="1142" spans="1:10" ht="15.75" hidden="1" thickBot="1" x14ac:dyDescent="0.3">
      <c r="A1142" s="221"/>
      <c r="B1142" s="223"/>
      <c r="C1142" s="30" t="s">
        <v>23</v>
      </c>
      <c r="D1142" s="41" t="s">
        <v>12</v>
      </c>
      <c r="E1142" s="31">
        <v>0.05</v>
      </c>
      <c r="F1142" s="25">
        <v>18.420500000000001</v>
      </c>
      <c r="G1142" s="28">
        <f t="shared" si="18"/>
        <v>0.92102500000000009</v>
      </c>
      <c r="H1142" s="29"/>
      <c r="I1142" s="25"/>
      <c r="J1142" s="138">
        <v>0</v>
      </c>
    </row>
    <row r="1143" spans="1:10" ht="15.75" hidden="1" thickBot="1" x14ac:dyDescent="0.3">
      <c r="A1143" s="227"/>
      <c r="B1143" s="224"/>
      <c r="C1143" s="30"/>
      <c r="D1143" s="30"/>
      <c r="E1143" s="31"/>
      <c r="F1143" s="25" t="s">
        <v>521</v>
      </c>
      <c r="G1143" s="25" t="str">
        <f t="shared" si="18"/>
        <v/>
      </c>
      <c r="H1143" s="29"/>
      <c r="I1143" s="25"/>
      <c r="J1143" s="138">
        <v>0</v>
      </c>
    </row>
    <row r="1144" spans="1:10" ht="15.75" hidden="1" thickBot="1" x14ac:dyDescent="0.3">
      <c r="A1144" s="220" t="s">
        <v>358</v>
      </c>
      <c r="B1144" s="222" t="e">
        <f>INDEX(Orçamentária!A:B,MATCH(Composições!A1144,Orçamentária!A:A,0),2)</f>
        <v>#N/A</v>
      </c>
      <c r="C1144" s="35"/>
      <c r="D1144" s="20" t="s">
        <v>20</v>
      </c>
      <c r="E1144" s="21"/>
      <c r="F1144" s="36" t="s">
        <v>521</v>
      </c>
      <c r="G1144" s="22" t="str">
        <f t="shared" si="18"/>
        <v/>
      </c>
      <c r="H1144" s="23"/>
      <c r="I1144" s="24"/>
      <c r="J1144" s="138">
        <v>0</v>
      </c>
    </row>
    <row r="1145" spans="1:10" ht="15.75" hidden="1" thickBot="1" x14ac:dyDescent="0.3">
      <c r="A1145" s="221"/>
      <c r="B1145" s="223"/>
      <c r="C1145" s="26"/>
      <c r="D1145" s="26"/>
      <c r="E1145" s="27"/>
      <c r="F1145" s="37" t="s">
        <v>521</v>
      </c>
      <c r="G1145" s="25" t="str">
        <f t="shared" si="18"/>
        <v/>
      </c>
      <c r="H1145" s="29"/>
      <c r="I1145" s="25"/>
      <c r="J1145" s="138">
        <v>0</v>
      </c>
    </row>
    <row r="1146" spans="1:10" ht="26.25" hidden="1" thickBot="1" x14ac:dyDescent="0.3">
      <c r="A1146" s="221"/>
      <c r="B1146" s="223"/>
      <c r="C1146" s="30" t="s">
        <v>359</v>
      </c>
      <c r="D1146" s="41" t="s">
        <v>144</v>
      </c>
      <c r="E1146" s="31">
        <v>1</v>
      </c>
      <c r="F1146" s="28" t="s">
        <v>521</v>
      </c>
      <c r="G1146" s="28" t="str">
        <f t="shared" si="18"/>
        <v/>
      </c>
      <c r="H1146" s="33">
        <f>SUM(G1146:G1149)</f>
        <v>8.370516499999999</v>
      </c>
      <c r="I1146" s="34"/>
      <c r="J1146" s="138">
        <v>0</v>
      </c>
    </row>
    <row r="1147" spans="1:10" ht="15.75" hidden="1" thickBot="1" x14ac:dyDescent="0.3">
      <c r="A1147" s="221"/>
      <c r="B1147" s="223"/>
      <c r="C1147" s="30" t="s">
        <v>342</v>
      </c>
      <c r="D1147" s="41" t="s">
        <v>279</v>
      </c>
      <c r="E1147" s="31">
        <v>3.32E-2</v>
      </c>
      <c r="F1147" s="28">
        <v>4.18</v>
      </c>
      <c r="G1147" s="28">
        <f t="shared" si="18"/>
        <v>0.13877599999999998</v>
      </c>
      <c r="H1147" s="29"/>
      <c r="I1147" s="25"/>
      <c r="J1147" s="138">
        <v>0</v>
      </c>
    </row>
    <row r="1148" spans="1:10" ht="15.75" hidden="1" thickBot="1" x14ac:dyDescent="0.3">
      <c r="A1148" s="221"/>
      <c r="B1148" s="223"/>
      <c r="C1148" s="30" t="s">
        <v>23</v>
      </c>
      <c r="D1148" s="41" t="s">
        <v>12</v>
      </c>
      <c r="E1148" s="31">
        <v>8.6199999999999999E-2</v>
      </c>
      <c r="F1148" s="25">
        <v>18.420500000000001</v>
      </c>
      <c r="G1148" s="28">
        <f t="shared" si="18"/>
        <v>1.5878471000000001</v>
      </c>
      <c r="H1148" s="29"/>
      <c r="I1148" s="25"/>
      <c r="J1148" s="138">
        <v>0</v>
      </c>
    </row>
    <row r="1149" spans="1:10" ht="15.75" hidden="1" thickBot="1" x14ac:dyDescent="0.3">
      <c r="A1149" s="221"/>
      <c r="B1149" s="223"/>
      <c r="C1149" s="30" t="s">
        <v>39</v>
      </c>
      <c r="D1149" s="41" t="s">
        <v>12</v>
      </c>
      <c r="E1149" s="31">
        <v>0.27339999999999998</v>
      </c>
      <c r="F1149" s="25">
        <v>24.300999999999998</v>
      </c>
      <c r="G1149" s="28">
        <f t="shared" si="18"/>
        <v>6.6438933999999987</v>
      </c>
      <c r="H1149" s="29"/>
      <c r="I1149" s="25"/>
      <c r="J1149" s="138">
        <v>0</v>
      </c>
    </row>
    <row r="1150" spans="1:10" ht="15.75" hidden="1" thickBot="1" x14ac:dyDescent="0.3">
      <c r="A1150" s="227"/>
      <c r="B1150" s="224"/>
      <c r="C1150" s="30"/>
      <c r="D1150" s="30"/>
      <c r="E1150" s="31"/>
      <c r="F1150" s="25" t="s">
        <v>521</v>
      </c>
      <c r="G1150" s="25" t="str">
        <f t="shared" si="18"/>
        <v/>
      </c>
      <c r="H1150" s="29"/>
      <c r="I1150" s="25"/>
      <c r="J1150" s="138">
        <v>0</v>
      </c>
    </row>
    <row r="1151" spans="1:10" ht="15.75" hidden="1" thickBot="1" x14ac:dyDescent="0.3">
      <c r="A1151" s="220" t="s">
        <v>360</v>
      </c>
      <c r="B1151" s="222" t="e">
        <f>INDEX(Orçamentária!A:B,MATCH(Composições!A1151,Orçamentária!A:A,0),2)</f>
        <v>#N/A</v>
      </c>
      <c r="C1151" s="35"/>
      <c r="D1151" s="20" t="s">
        <v>20</v>
      </c>
      <c r="E1151" s="21"/>
      <c r="F1151" s="36" t="s">
        <v>521</v>
      </c>
      <c r="G1151" s="22" t="str">
        <f t="shared" si="18"/>
        <v/>
      </c>
      <c r="H1151" s="23"/>
      <c r="I1151" s="24"/>
      <c r="J1151" s="138">
        <v>0</v>
      </c>
    </row>
    <row r="1152" spans="1:10" ht="15.75" hidden="1" thickBot="1" x14ac:dyDescent="0.3">
      <c r="A1152" s="221"/>
      <c r="B1152" s="223"/>
      <c r="C1152" s="26"/>
      <c r="D1152" s="26"/>
      <c r="E1152" s="27"/>
      <c r="F1152" s="37" t="s">
        <v>521</v>
      </c>
      <c r="G1152" s="25" t="str">
        <f t="shared" si="18"/>
        <v/>
      </c>
      <c r="H1152" s="29"/>
      <c r="I1152" s="25"/>
      <c r="J1152" s="138">
        <v>0</v>
      </c>
    </row>
    <row r="1153" spans="1:10" ht="15.75" hidden="1" thickBot="1" x14ac:dyDescent="0.3">
      <c r="A1153" s="221"/>
      <c r="B1153" s="223"/>
      <c r="C1153" s="30" t="s">
        <v>361</v>
      </c>
      <c r="D1153" s="41" t="s">
        <v>279</v>
      </c>
      <c r="E1153" s="31">
        <v>1</v>
      </c>
      <c r="F1153" s="28">
        <v>159.79</v>
      </c>
      <c r="G1153" s="28">
        <f t="shared" si="18"/>
        <v>159.79</v>
      </c>
      <c r="H1153" s="33">
        <f>SUM(G1153:G1156)</f>
        <v>168.21811500000001</v>
      </c>
      <c r="I1153" s="34"/>
      <c r="J1153" s="138">
        <v>0</v>
      </c>
    </row>
    <row r="1154" spans="1:10" ht="15.75" hidden="1" thickBot="1" x14ac:dyDescent="0.3">
      <c r="A1154" s="221"/>
      <c r="B1154" s="223"/>
      <c r="C1154" s="30" t="s">
        <v>342</v>
      </c>
      <c r="D1154" s="41" t="s">
        <v>279</v>
      </c>
      <c r="E1154" s="31">
        <v>0.05</v>
      </c>
      <c r="F1154" s="28">
        <v>4.18</v>
      </c>
      <c r="G1154" s="28">
        <f t="shared" si="18"/>
        <v>0.20899999999999999</v>
      </c>
      <c r="H1154" s="29"/>
      <c r="I1154" s="25"/>
      <c r="J1154" s="138">
        <v>0</v>
      </c>
    </row>
    <row r="1155" spans="1:10" ht="15.75" hidden="1" thickBot="1" x14ac:dyDescent="0.3">
      <c r="A1155" s="221"/>
      <c r="B1155" s="223"/>
      <c r="C1155" s="30" t="s">
        <v>39</v>
      </c>
      <c r="D1155" s="41" t="s">
        <v>12</v>
      </c>
      <c r="E1155" s="31">
        <v>0.27</v>
      </c>
      <c r="F1155" s="25">
        <v>24.300999999999998</v>
      </c>
      <c r="G1155" s="28">
        <f t="shared" si="18"/>
        <v>6.5612700000000004</v>
      </c>
      <c r="H1155" s="29"/>
      <c r="I1155" s="25"/>
      <c r="J1155" s="138">
        <v>0</v>
      </c>
    </row>
    <row r="1156" spans="1:10" ht="15.75" hidden="1" thickBot="1" x14ac:dyDescent="0.3">
      <c r="A1156" s="221"/>
      <c r="B1156" s="223"/>
      <c r="C1156" s="30" t="s">
        <v>23</v>
      </c>
      <c r="D1156" s="41" t="s">
        <v>12</v>
      </c>
      <c r="E1156" s="31">
        <v>0.09</v>
      </c>
      <c r="F1156" s="25">
        <v>18.420500000000001</v>
      </c>
      <c r="G1156" s="28">
        <f t="shared" si="18"/>
        <v>1.657845</v>
      </c>
      <c r="H1156" s="29"/>
      <c r="I1156" s="25"/>
      <c r="J1156" s="138">
        <v>0</v>
      </c>
    </row>
    <row r="1157" spans="1:10" ht="15.75" hidden="1" thickBot="1" x14ac:dyDescent="0.3">
      <c r="A1157" s="227"/>
      <c r="B1157" s="224"/>
      <c r="C1157" s="30"/>
      <c r="D1157" s="30"/>
      <c r="E1157" s="31"/>
      <c r="F1157" s="25" t="s">
        <v>521</v>
      </c>
      <c r="G1157" s="25" t="str">
        <f t="shared" si="18"/>
        <v/>
      </c>
      <c r="H1157" s="29"/>
      <c r="I1157" s="25"/>
      <c r="J1157" s="138">
        <v>0</v>
      </c>
    </row>
    <row r="1158" spans="1:10" ht="15.75" hidden="1" thickBot="1" x14ac:dyDescent="0.3">
      <c r="A1158" s="220" t="s">
        <v>362</v>
      </c>
      <c r="B1158" s="222" t="e">
        <f>INDEX(Orçamentária!A:B,MATCH(Composições!A1158,Orçamentária!A:A,0),2)</f>
        <v>#N/A</v>
      </c>
      <c r="C1158" s="35"/>
      <c r="D1158" s="20" t="s">
        <v>20</v>
      </c>
      <c r="E1158" s="21"/>
      <c r="F1158" s="36" t="s">
        <v>521</v>
      </c>
      <c r="G1158" s="22" t="str">
        <f t="shared" si="18"/>
        <v/>
      </c>
      <c r="H1158" s="23"/>
      <c r="I1158" s="24"/>
      <c r="J1158" s="138">
        <v>0</v>
      </c>
    </row>
    <row r="1159" spans="1:10" ht="15.75" hidden="1" thickBot="1" x14ac:dyDescent="0.3">
      <c r="A1159" s="221"/>
      <c r="B1159" s="223"/>
      <c r="C1159" s="26"/>
      <c r="D1159" s="26"/>
      <c r="E1159" s="27"/>
      <c r="F1159" s="37" t="s">
        <v>521</v>
      </c>
      <c r="G1159" s="25" t="str">
        <f t="shared" si="18"/>
        <v/>
      </c>
      <c r="H1159" s="29"/>
      <c r="I1159" s="25"/>
      <c r="J1159" s="138">
        <v>0</v>
      </c>
    </row>
    <row r="1160" spans="1:10" ht="15.75" hidden="1" thickBot="1" x14ac:dyDescent="0.3">
      <c r="A1160" s="221"/>
      <c r="B1160" s="223"/>
      <c r="C1160" s="30" t="s">
        <v>342</v>
      </c>
      <c r="D1160" s="41" t="s">
        <v>279</v>
      </c>
      <c r="E1160" s="31">
        <v>3.32E-2</v>
      </c>
      <c r="F1160" s="28">
        <v>4.18</v>
      </c>
      <c r="G1160" s="28">
        <f t="shared" si="18"/>
        <v>0.13877599999999998</v>
      </c>
      <c r="H1160" s="33">
        <f>SUM(G1160:G1163)</f>
        <v>177.59401650000001</v>
      </c>
      <c r="I1160" s="34"/>
      <c r="J1160" s="138">
        <v>0</v>
      </c>
    </row>
    <row r="1161" spans="1:10" ht="15.75" hidden="1" thickBot="1" x14ac:dyDescent="0.3">
      <c r="A1161" s="221"/>
      <c r="B1161" s="223"/>
      <c r="C1161" s="30" t="s">
        <v>23</v>
      </c>
      <c r="D1161" s="41" t="s">
        <v>12</v>
      </c>
      <c r="E1161" s="31">
        <v>8.6199999999999999E-2</v>
      </c>
      <c r="F1161" s="25">
        <v>18.420500000000001</v>
      </c>
      <c r="G1161" s="28">
        <f t="shared" si="18"/>
        <v>1.5878471000000001</v>
      </c>
      <c r="H1161" s="39"/>
      <c r="I1161" s="40"/>
      <c r="J1161" s="138">
        <v>0</v>
      </c>
    </row>
    <row r="1162" spans="1:10" ht="15.75" hidden="1" thickBot="1" x14ac:dyDescent="0.3">
      <c r="A1162" s="221"/>
      <c r="B1162" s="223"/>
      <c r="C1162" s="30" t="s">
        <v>39</v>
      </c>
      <c r="D1162" s="41" t="s">
        <v>12</v>
      </c>
      <c r="E1162" s="31">
        <v>0.27339999999999998</v>
      </c>
      <c r="F1162" s="25">
        <v>24.300999999999998</v>
      </c>
      <c r="G1162" s="28">
        <f t="shared" si="18"/>
        <v>6.6438933999999987</v>
      </c>
      <c r="H1162" s="29"/>
      <c r="I1162" s="25"/>
      <c r="J1162" s="138">
        <v>0</v>
      </c>
    </row>
    <row r="1163" spans="1:10" ht="15.75" hidden="1" thickBot="1" x14ac:dyDescent="0.3">
      <c r="A1163" s="221"/>
      <c r="B1163" s="223"/>
      <c r="C1163" s="30" t="s">
        <v>363</v>
      </c>
      <c r="D1163" s="30" t="s">
        <v>20</v>
      </c>
      <c r="E1163" s="31">
        <v>1</v>
      </c>
      <c r="F1163" s="28">
        <v>169.2235</v>
      </c>
      <c r="G1163" s="25">
        <f t="shared" si="18"/>
        <v>169.2235</v>
      </c>
      <c r="H1163" s="29"/>
      <c r="I1163" s="25"/>
      <c r="J1163" s="138">
        <v>0</v>
      </c>
    </row>
    <row r="1164" spans="1:10" ht="15.75" hidden="1" thickBot="1" x14ac:dyDescent="0.3">
      <c r="A1164" s="227"/>
      <c r="B1164" s="224"/>
      <c r="C1164" s="30"/>
      <c r="D1164" s="30"/>
      <c r="E1164" s="31"/>
      <c r="F1164" s="25" t="s">
        <v>521</v>
      </c>
      <c r="G1164" s="25" t="str">
        <f t="shared" si="18"/>
        <v/>
      </c>
      <c r="H1164" s="29"/>
      <c r="I1164" s="25"/>
      <c r="J1164" s="138">
        <v>0</v>
      </c>
    </row>
    <row r="1165" spans="1:10" ht="15.75" hidden="1" thickBot="1" x14ac:dyDescent="0.3">
      <c r="A1165" s="220" t="s">
        <v>364</v>
      </c>
      <c r="B1165" s="222" t="e">
        <f>INDEX(Orçamentária!A:B,MATCH(Composições!A1165,Orçamentária!A:A,0),2)</f>
        <v>#N/A</v>
      </c>
      <c r="C1165" s="35"/>
      <c r="D1165" s="20" t="s">
        <v>20</v>
      </c>
      <c r="E1165" s="21"/>
      <c r="F1165" s="36" t="s">
        <v>521</v>
      </c>
      <c r="G1165" s="22" t="str">
        <f t="shared" si="18"/>
        <v/>
      </c>
      <c r="H1165" s="23"/>
      <c r="I1165" s="24"/>
      <c r="J1165" s="138">
        <v>0</v>
      </c>
    </row>
    <row r="1166" spans="1:10" ht="15.75" hidden="1" thickBot="1" x14ac:dyDescent="0.3">
      <c r="A1166" s="221"/>
      <c r="B1166" s="223"/>
      <c r="C1166" s="26"/>
      <c r="D1166" s="26"/>
      <c r="E1166" s="27"/>
      <c r="F1166" s="37" t="s">
        <v>521</v>
      </c>
      <c r="G1166" s="25" t="str">
        <f t="shared" si="18"/>
        <v/>
      </c>
      <c r="H1166" s="29"/>
      <c r="I1166" s="25"/>
      <c r="J1166" s="138">
        <v>0</v>
      </c>
    </row>
    <row r="1167" spans="1:10" ht="15.75" hidden="1" thickBot="1" x14ac:dyDescent="0.3">
      <c r="A1167" s="221"/>
      <c r="B1167" s="223"/>
      <c r="C1167" s="30" t="s">
        <v>365</v>
      </c>
      <c r="D1167" s="41" t="s">
        <v>144</v>
      </c>
      <c r="E1167" s="31">
        <v>1</v>
      </c>
      <c r="F1167" s="28" t="s">
        <v>521</v>
      </c>
      <c r="G1167" s="28" t="str">
        <f t="shared" si="18"/>
        <v/>
      </c>
      <c r="H1167" s="33">
        <f>SUM(G1167:G1170)</f>
        <v>5.1058329499999999</v>
      </c>
      <c r="I1167" s="34"/>
      <c r="J1167" s="138">
        <v>0</v>
      </c>
    </row>
    <row r="1168" spans="1:10" ht="15.75" hidden="1" thickBot="1" x14ac:dyDescent="0.3">
      <c r="A1168" s="221"/>
      <c r="B1168" s="223"/>
      <c r="C1168" s="30" t="s">
        <v>342</v>
      </c>
      <c r="D1168" s="41" t="s">
        <v>279</v>
      </c>
      <c r="E1168" s="31">
        <v>2.1000000000000001E-2</v>
      </c>
      <c r="F1168" s="28">
        <v>4.18</v>
      </c>
      <c r="G1168" s="28">
        <f t="shared" si="18"/>
        <v>8.7779999999999997E-2</v>
      </c>
      <c r="H1168" s="29"/>
      <c r="I1168" s="25"/>
      <c r="J1168" s="138">
        <v>0</v>
      </c>
    </row>
    <row r="1169" spans="1:10" ht="15.75" hidden="1" thickBot="1" x14ac:dyDescent="0.3">
      <c r="A1169" s="221"/>
      <c r="B1169" s="223"/>
      <c r="C1169" s="30" t="s">
        <v>39</v>
      </c>
      <c r="D1169" s="41" t="s">
        <v>12</v>
      </c>
      <c r="E1169" s="31">
        <v>0.16669999999999999</v>
      </c>
      <c r="F1169" s="25">
        <v>24.300999999999998</v>
      </c>
      <c r="G1169" s="28">
        <f t="shared" si="18"/>
        <v>4.0509766999999997</v>
      </c>
      <c r="H1169" s="29"/>
      <c r="I1169" s="25"/>
      <c r="J1169" s="138">
        <v>0</v>
      </c>
    </row>
    <row r="1170" spans="1:10" ht="15.75" hidden="1" thickBot="1" x14ac:dyDescent="0.3">
      <c r="A1170" s="221"/>
      <c r="B1170" s="223"/>
      <c r="C1170" s="30" t="s">
        <v>23</v>
      </c>
      <c r="D1170" s="41" t="s">
        <v>12</v>
      </c>
      <c r="E1170" s="31">
        <v>5.2499999999999998E-2</v>
      </c>
      <c r="F1170" s="25">
        <v>18.420500000000001</v>
      </c>
      <c r="G1170" s="28">
        <f t="shared" ref="G1170:G1233" si="19">IF(ISNUMBER(F1170),E1170*F1170,"")</f>
        <v>0.96707624999999997</v>
      </c>
      <c r="H1170" s="29"/>
      <c r="I1170" s="25"/>
      <c r="J1170" s="138">
        <v>0</v>
      </c>
    </row>
    <row r="1171" spans="1:10" ht="15.75" hidden="1" thickBot="1" x14ac:dyDescent="0.3">
      <c r="A1171" s="227"/>
      <c r="B1171" s="224"/>
      <c r="C1171" s="30"/>
      <c r="D1171" s="30"/>
      <c r="E1171" s="31"/>
      <c r="F1171" s="25" t="s">
        <v>521</v>
      </c>
      <c r="G1171" s="25" t="str">
        <f t="shared" si="19"/>
        <v/>
      </c>
      <c r="H1171" s="29"/>
      <c r="I1171" s="25"/>
      <c r="J1171" s="138">
        <v>0</v>
      </c>
    </row>
    <row r="1172" spans="1:10" ht="15.75" hidden="1" thickBot="1" x14ac:dyDescent="0.3">
      <c r="A1172" s="220" t="s">
        <v>366</v>
      </c>
      <c r="B1172" s="222" t="e">
        <f>INDEX(Orçamentária!A:B,MATCH(Composições!A1172,Orçamentária!A:A,0),2)</f>
        <v>#N/A</v>
      </c>
      <c r="C1172" s="35"/>
      <c r="D1172" s="20" t="s">
        <v>20</v>
      </c>
      <c r="E1172" s="21"/>
      <c r="F1172" s="36" t="s">
        <v>521</v>
      </c>
      <c r="G1172" s="22" t="str">
        <f t="shared" si="19"/>
        <v/>
      </c>
      <c r="H1172" s="23"/>
      <c r="I1172" s="24"/>
      <c r="J1172" s="138">
        <v>0</v>
      </c>
    </row>
    <row r="1173" spans="1:10" ht="15.75" hidden="1" thickBot="1" x14ac:dyDescent="0.3">
      <c r="A1173" s="221"/>
      <c r="B1173" s="223"/>
      <c r="C1173" s="26"/>
      <c r="D1173" s="26"/>
      <c r="E1173" s="27"/>
      <c r="F1173" s="37" t="s">
        <v>521</v>
      </c>
      <c r="G1173" s="25" t="str">
        <f t="shared" si="19"/>
        <v/>
      </c>
      <c r="H1173" s="29"/>
      <c r="I1173" s="25"/>
      <c r="J1173" s="138">
        <v>0</v>
      </c>
    </row>
    <row r="1174" spans="1:10" ht="26.25" hidden="1" thickBot="1" x14ac:dyDescent="0.3">
      <c r="A1174" s="221"/>
      <c r="B1174" s="223"/>
      <c r="C1174" s="30" t="s">
        <v>367</v>
      </c>
      <c r="D1174" s="41" t="s">
        <v>144</v>
      </c>
      <c r="E1174" s="31">
        <v>1</v>
      </c>
      <c r="F1174" s="28" t="s">
        <v>521</v>
      </c>
      <c r="G1174" s="28" t="str">
        <f t="shared" si="19"/>
        <v/>
      </c>
      <c r="H1174" s="33">
        <f>SUM(G1174:G1177)</f>
        <v>5.1058329499999999</v>
      </c>
      <c r="I1174" s="34"/>
      <c r="J1174" s="138">
        <v>0</v>
      </c>
    </row>
    <row r="1175" spans="1:10" ht="15.75" hidden="1" thickBot="1" x14ac:dyDescent="0.3">
      <c r="A1175" s="221"/>
      <c r="B1175" s="223"/>
      <c r="C1175" s="30" t="s">
        <v>342</v>
      </c>
      <c r="D1175" s="41" t="s">
        <v>279</v>
      </c>
      <c r="E1175" s="31">
        <v>2.1000000000000001E-2</v>
      </c>
      <c r="F1175" s="28">
        <v>4.18</v>
      </c>
      <c r="G1175" s="28">
        <f t="shared" si="19"/>
        <v>8.7779999999999997E-2</v>
      </c>
      <c r="H1175" s="29"/>
      <c r="I1175" s="25"/>
      <c r="J1175" s="138">
        <v>0</v>
      </c>
    </row>
    <row r="1176" spans="1:10" ht="15.75" hidden="1" thickBot="1" x14ac:dyDescent="0.3">
      <c r="A1176" s="221"/>
      <c r="B1176" s="223"/>
      <c r="C1176" s="30" t="s">
        <v>39</v>
      </c>
      <c r="D1176" s="41" t="s">
        <v>12</v>
      </c>
      <c r="E1176" s="31">
        <v>0.16669999999999999</v>
      </c>
      <c r="F1176" s="25">
        <v>24.300999999999998</v>
      </c>
      <c r="G1176" s="28">
        <f t="shared" si="19"/>
        <v>4.0509766999999997</v>
      </c>
      <c r="H1176" s="29"/>
      <c r="I1176" s="25"/>
      <c r="J1176" s="138">
        <v>0</v>
      </c>
    </row>
    <row r="1177" spans="1:10" ht="15.75" hidden="1" thickBot="1" x14ac:dyDescent="0.3">
      <c r="A1177" s="221"/>
      <c r="B1177" s="223"/>
      <c r="C1177" s="30" t="s">
        <v>23</v>
      </c>
      <c r="D1177" s="41" t="s">
        <v>12</v>
      </c>
      <c r="E1177" s="31">
        <v>5.2499999999999998E-2</v>
      </c>
      <c r="F1177" s="25">
        <v>18.420500000000001</v>
      </c>
      <c r="G1177" s="28">
        <f t="shared" si="19"/>
        <v>0.96707624999999997</v>
      </c>
      <c r="H1177" s="29"/>
      <c r="I1177" s="25"/>
      <c r="J1177" s="138">
        <v>0</v>
      </c>
    </row>
    <row r="1178" spans="1:10" ht="15.75" hidden="1" thickBot="1" x14ac:dyDescent="0.3">
      <c r="A1178" s="227"/>
      <c r="B1178" s="224"/>
      <c r="C1178" s="30"/>
      <c r="D1178" s="30"/>
      <c r="E1178" s="31"/>
      <c r="F1178" s="25" t="s">
        <v>521</v>
      </c>
      <c r="G1178" s="25" t="str">
        <f t="shared" si="19"/>
        <v/>
      </c>
      <c r="H1178" s="29"/>
      <c r="I1178" s="25"/>
      <c r="J1178" s="138">
        <v>0</v>
      </c>
    </row>
    <row r="1179" spans="1:10" ht="15.75" hidden="1" thickBot="1" x14ac:dyDescent="0.3">
      <c r="A1179" s="220" t="s">
        <v>368</v>
      </c>
      <c r="B1179" s="222" t="e">
        <f>INDEX(Orçamentária!A:B,MATCH(Composições!A1179,Orçamentária!A:A,0),2)</f>
        <v>#N/A</v>
      </c>
      <c r="C1179" s="35"/>
      <c r="D1179" s="20" t="s">
        <v>20</v>
      </c>
      <c r="E1179" s="21"/>
      <c r="F1179" s="36" t="s">
        <v>521</v>
      </c>
      <c r="G1179" s="22" t="str">
        <f t="shared" si="19"/>
        <v/>
      </c>
      <c r="H1179" s="23"/>
      <c r="I1179" s="24"/>
      <c r="J1179" s="138">
        <v>0</v>
      </c>
    </row>
    <row r="1180" spans="1:10" ht="15.75" hidden="1" thickBot="1" x14ac:dyDescent="0.3">
      <c r="A1180" s="221"/>
      <c r="B1180" s="223"/>
      <c r="C1180" s="26"/>
      <c r="D1180" s="26"/>
      <c r="E1180" s="27"/>
      <c r="F1180" s="37" t="s">
        <v>521</v>
      </c>
      <c r="G1180" s="25" t="str">
        <f t="shared" si="19"/>
        <v/>
      </c>
      <c r="H1180" s="29"/>
      <c r="I1180" s="25"/>
      <c r="J1180" s="138">
        <v>0</v>
      </c>
    </row>
    <row r="1181" spans="1:10" ht="26.25" hidden="1" thickBot="1" x14ac:dyDescent="0.3">
      <c r="A1181" s="221"/>
      <c r="B1181" s="223"/>
      <c r="C1181" s="30" t="s">
        <v>369</v>
      </c>
      <c r="D1181" s="41" t="s">
        <v>144</v>
      </c>
      <c r="E1181" s="31">
        <v>1</v>
      </c>
      <c r="F1181" s="28" t="s">
        <v>521</v>
      </c>
      <c r="G1181" s="28" t="str">
        <f t="shared" si="19"/>
        <v/>
      </c>
      <c r="H1181" s="33">
        <f>SUM(G1181:G1184)</f>
        <v>2.9788171499999998</v>
      </c>
      <c r="I1181" s="34"/>
      <c r="J1181" s="138">
        <v>0</v>
      </c>
    </row>
    <row r="1182" spans="1:10" ht="15.75" hidden="1" thickBot="1" x14ac:dyDescent="0.3">
      <c r="A1182" s="221"/>
      <c r="B1182" s="223"/>
      <c r="C1182" s="30" t="s">
        <v>342</v>
      </c>
      <c r="D1182" s="41" t="s">
        <v>279</v>
      </c>
      <c r="E1182" s="31">
        <v>2.1000000000000001E-2</v>
      </c>
      <c r="F1182" s="28">
        <v>4.18</v>
      </c>
      <c r="G1182" s="28">
        <f t="shared" si="19"/>
        <v>8.7779999999999997E-2</v>
      </c>
      <c r="H1182" s="29"/>
      <c r="I1182" s="25"/>
      <c r="J1182" s="138">
        <v>0</v>
      </c>
    </row>
    <row r="1183" spans="1:10" ht="15.75" hidden="1" thickBot="1" x14ac:dyDescent="0.3">
      <c r="A1183" s="221"/>
      <c r="B1183" s="223"/>
      <c r="C1183" s="30" t="s">
        <v>39</v>
      </c>
      <c r="D1183" s="41" t="s">
        <v>12</v>
      </c>
      <c r="E1183" s="31">
        <v>9.6000000000000002E-2</v>
      </c>
      <c r="F1183" s="25">
        <v>24.300999999999998</v>
      </c>
      <c r="G1183" s="28">
        <f t="shared" si="19"/>
        <v>2.3328959999999999</v>
      </c>
      <c r="H1183" s="29"/>
      <c r="I1183" s="25"/>
      <c r="J1183" s="138">
        <v>0</v>
      </c>
    </row>
    <row r="1184" spans="1:10" ht="15.75" hidden="1" thickBot="1" x14ac:dyDescent="0.3">
      <c r="A1184" s="221"/>
      <c r="B1184" s="223"/>
      <c r="C1184" s="30" t="s">
        <v>23</v>
      </c>
      <c r="D1184" s="41" t="s">
        <v>12</v>
      </c>
      <c r="E1184" s="31">
        <v>3.0300000000000001E-2</v>
      </c>
      <c r="F1184" s="25">
        <v>18.420500000000001</v>
      </c>
      <c r="G1184" s="28">
        <f t="shared" si="19"/>
        <v>0.55814114999999997</v>
      </c>
      <c r="H1184" s="29"/>
      <c r="I1184" s="25"/>
      <c r="J1184" s="138">
        <v>0</v>
      </c>
    </row>
    <row r="1185" spans="1:10" ht="15.75" hidden="1" thickBot="1" x14ac:dyDescent="0.3">
      <c r="A1185" s="227"/>
      <c r="B1185" s="224"/>
      <c r="C1185" s="30"/>
      <c r="D1185" s="30"/>
      <c r="E1185" s="31"/>
      <c r="F1185" s="25" t="s">
        <v>521</v>
      </c>
      <c r="G1185" s="25" t="str">
        <f t="shared" si="19"/>
        <v/>
      </c>
      <c r="H1185" s="29"/>
      <c r="I1185" s="25"/>
      <c r="J1185" s="138">
        <v>0</v>
      </c>
    </row>
    <row r="1186" spans="1:10" ht="15.75" hidden="1" thickBot="1" x14ac:dyDescent="0.3">
      <c r="A1186" s="220" t="s">
        <v>370</v>
      </c>
      <c r="B1186" s="222" t="e">
        <f>INDEX(Orçamentária!A:B,MATCH(Composições!A1186,Orçamentária!A:A,0),2)</f>
        <v>#N/A</v>
      </c>
      <c r="C1186" s="35"/>
      <c r="D1186" s="20" t="s">
        <v>20</v>
      </c>
      <c r="E1186" s="21"/>
      <c r="F1186" s="36" t="s">
        <v>521</v>
      </c>
      <c r="G1186" s="22" t="str">
        <f t="shared" si="19"/>
        <v/>
      </c>
      <c r="H1186" s="23"/>
      <c r="I1186" s="24"/>
      <c r="J1186" s="138">
        <v>0</v>
      </c>
    </row>
    <row r="1187" spans="1:10" ht="15.75" hidden="1" thickBot="1" x14ac:dyDescent="0.3">
      <c r="A1187" s="221"/>
      <c r="B1187" s="223"/>
      <c r="C1187" s="26"/>
      <c r="D1187" s="26"/>
      <c r="E1187" s="27"/>
      <c r="F1187" s="37" t="s">
        <v>521</v>
      </c>
      <c r="G1187" s="25" t="str">
        <f t="shared" si="19"/>
        <v/>
      </c>
      <c r="H1187" s="29"/>
      <c r="I1187" s="25"/>
      <c r="J1187" s="138">
        <v>0</v>
      </c>
    </row>
    <row r="1188" spans="1:10" ht="26.25" hidden="1" thickBot="1" x14ac:dyDescent="0.3">
      <c r="A1188" s="221"/>
      <c r="B1188" s="223"/>
      <c r="C1188" s="30" t="s">
        <v>371</v>
      </c>
      <c r="D1188" s="41" t="s">
        <v>144</v>
      </c>
      <c r="E1188" s="31">
        <v>1</v>
      </c>
      <c r="F1188" s="28" t="s">
        <v>521</v>
      </c>
      <c r="G1188" s="28" t="str">
        <f t="shared" si="19"/>
        <v/>
      </c>
      <c r="H1188" s="33">
        <f>SUM(G1188:G1191)</f>
        <v>2.9788171499999998</v>
      </c>
      <c r="I1188" s="34"/>
      <c r="J1188" s="138">
        <v>0</v>
      </c>
    </row>
    <row r="1189" spans="1:10" ht="15.75" hidden="1" thickBot="1" x14ac:dyDescent="0.3">
      <c r="A1189" s="221"/>
      <c r="B1189" s="223"/>
      <c r="C1189" s="30" t="s">
        <v>342</v>
      </c>
      <c r="D1189" s="41" t="s">
        <v>279</v>
      </c>
      <c r="E1189" s="31">
        <v>2.1000000000000001E-2</v>
      </c>
      <c r="F1189" s="28">
        <v>4.18</v>
      </c>
      <c r="G1189" s="28">
        <f t="shared" si="19"/>
        <v>8.7779999999999997E-2</v>
      </c>
      <c r="H1189" s="29"/>
      <c r="I1189" s="25"/>
      <c r="J1189" s="138">
        <v>0</v>
      </c>
    </row>
    <row r="1190" spans="1:10" ht="15.75" hidden="1" thickBot="1" x14ac:dyDescent="0.3">
      <c r="A1190" s="221"/>
      <c r="B1190" s="223"/>
      <c r="C1190" s="30" t="s">
        <v>39</v>
      </c>
      <c r="D1190" s="41" t="s">
        <v>12</v>
      </c>
      <c r="E1190" s="31">
        <v>9.6000000000000002E-2</v>
      </c>
      <c r="F1190" s="25">
        <v>24.300999999999998</v>
      </c>
      <c r="G1190" s="28">
        <f t="shared" si="19"/>
        <v>2.3328959999999999</v>
      </c>
      <c r="H1190" s="29"/>
      <c r="I1190" s="25"/>
      <c r="J1190" s="138">
        <v>0</v>
      </c>
    </row>
    <row r="1191" spans="1:10" ht="15.75" hidden="1" thickBot="1" x14ac:dyDescent="0.3">
      <c r="A1191" s="221"/>
      <c r="B1191" s="223"/>
      <c r="C1191" s="30" t="s">
        <v>23</v>
      </c>
      <c r="D1191" s="41" t="s">
        <v>12</v>
      </c>
      <c r="E1191" s="31">
        <v>3.0300000000000001E-2</v>
      </c>
      <c r="F1191" s="25">
        <v>18.420500000000001</v>
      </c>
      <c r="G1191" s="28">
        <f t="shared" si="19"/>
        <v>0.55814114999999997</v>
      </c>
      <c r="H1191" s="29"/>
      <c r="I1191" s="25"/>
      <c r="J1191" s="138">
        <v>0</v>
      </c>
    </row>
    <row r="1192" spans="1:10" ht="15.75" hidden="1" thickBot="1" x14ac:dyDescent="0.3">
      <c r="A1192" s="227"/>
      <c r="B1192" s="224"/>
      <c r="C1192" s="30"/>
      <c r="D1192" s="30"/>
      <c r="E1192" s="31"/>
      <c r="F1192" s="25" t="s">
        <v>521</v>
      </c>
      <c r="G1192" s="25" t="str">
        <f t="shared" si="19"/>
        <v/>
      </c>
      <c r="H1192" s="29"/>
      <c r="I1192" s="25"/>
      <c r="J1192" s="138">
        <v>0</v>
      </c>
    </row>
    <row r="1193" spans="1:10" ht="15.75" hidden="1" thickBot="1" x14ac:dyDescent="0.3">
      <c r="A1193" s="220" t="s">
        <v>372</v>
      </c>
      <c r="B1193" s="222" t="e">
        <f>INDEX(Orçamentária!A:B,MATCH(Composições!A1193,Orçamentária!A:A,0),2)</f>
        <v>#N/A</v>
      </c>
      <c r="C1193" s="35"/>
      <c r="D1193" s="20" t="s">
        <v>20</v>
      </c>
      <c r="E1193" s="21"/>
      <c r="F1193" s="36" t="s">
        <v>521</v>
      </c>
      <c r="G1193" s="22" t="str">
        <f t="shared" si="19"/>
        <v/>
      </c>
      <c r="H1193" s="23"/>
      <c r="I1193" s="24"/>
      <c r="J1193" s="138">
        <v>0</v>
      </c>
    </row>
    <row r="1194" spans="1:10" ht="15.75" hidden="1" thickBot="1" x14ac:dyDescent="0.3">
      <c r="A1194" s="221"/>
      <c r="B1194" s="223"/>
      <c r="C1194" s="26"/>
      <c r="D1194" s="26"/>
      <c r="E1194" s="27"/>
      <c r="F1194" s="37" t="s">
        <v>521</v>
      </c>
      <c r="G1194" s="25" t="str">
        <f t="shared" si="19"/>
        <v/>
      </c>
      <c r="H1194" s="29"/>
      <c r="I1194" s="25"/>
      <c r="J1194" s="138">
        <v>0</v>
      </c>
    </row>
    <row r="1195" spans="1:10" ht="26.25" hidden="1" thickBot="1" x14ac:dyDescent="0.3">
      <c r="A1195" s="221"/>
      <c r="B1195" s="223"/>
      <c r="C1195" s="30" t="s">
        <v>373</v>
      </c>
      <c r="D1195" s="41" t="s">
        <v>144</v>
      </c>
      <c r="E1195" s="31">
        <v>1</v>
      </c>
      <c r="F1195" s="28" t="s">
        <v>521</v>
      </c>
      <c r="G1195" s="28" t="str">
        <f t="shared" si="19"/>
        <v/>
      </c>
      <c r="H1195" s="33">
        <f>SUM(G1195:G1198)</f>
        <v>2.9788171499999998</v>
      </c>
      <c r="I1195" s="34"/>
      <c r="J1195" s="138">
        <v>0</v>
      </c>
    </row>
    <row r="1196" spans="1:10" ht="15.75" hidden="1" thickBot="1" x14ac:dyDescent="0.3">
      <c r="A1196" s="221"/>
      <c r="B1196" s="223"/>
      <c r="C1196" s="30" t="s">
        <v>342</v>
      </c>
      <c r="D1196" s="41" t="s">
        <v>279</v>
      </c>
      <c r="E1196" s="31">
        <v>2.1000000000000001E-2</v>
      </c>
      <c r="F1196" s="28">
        <v>4.18</v>
      </c>
      <c r="G1196" s="28">
        <f t="shared" si="19"/>
        <v>8.7779999999999997E-2</v>
      </c>
      <c r="H1196" s="29"/>
      <c r="I1196" s="25"/>
      <c r="J1196" s="138">
        <v>0</v>
      </c>
    </row>
    <row r="1197" spans="1:10" ht="15.75" hidden="1" thickBot="1" x14ac:dyDescent="0.3">
      <c r="A1197" s="221"/>
      <c r="B1197" s="223"/>
      <c r="C1197" s="30" t="s">
        <v>39</v>
      </c>
      <c r="D1197" s="41" t="s">
        <v>12</v>
      </c>
      <c r="E1197" s="31">
        <v>9.6000000000000002E-2</v>
      </c>
      <c r="F1197" s="25">
        <v>24.300999999999998</v>
      </c>
      <c r="G1197" s="28">
        <f t="shared" si="19"/>
        <v>2.3328959999999999</v>
      </c>
      <c r="H1197" s="29"/>
      <c r="I1197" s="25"/>
      <c r="J1197" s="138">
        <v>0</v>
      </c>
    </row>
    <row r="1198" spans="1:10" ht="15.75" hidden="1" thickBot="1" x14ac:dyDescent="0.3">
      <c r="A1198" s="221"/>
      <c r="B1198" s="223"/>
      <c r="C1198" s="30" t="s">
        <v>23</v>
      </c>
      <c r="D1198" s="41" t="s">
        <v>12</v>
      </c>
      <c r="E1198" s="31">
        <v>3.0300000000000001E-2</v>
      </c>
      <c r="F1198" s="25">
        <v>18.420500000000001</v>
      </c>
      <c r="G1198" s="28">
        <f t="shared" si="19"/>
        <v>0.55814114999999997</v>
      </c>
      <c r="H1198" s="29"/>
      <c r="I1198" s="25"/>
      <c r="J1198" s="138">
        <v>0</v>
      </c>
    </row>
    <row r="1199" spans="1:10" ht="15.75" hidden="1" thickBot="1" x14ac:dyDescent="0.3">
      <c r="A1199" s="227"/>
      <c r="B1199" s="224"/>
      <c r="C1199" s="30"/>
      <c r="D1199" s="30"/>
      <c r="E1199" s="31"/>
      <c r="F1199" s="25" t="s">
        <v>521</v>
      </c>
      <c r="G1199" s="25" t="str">
        <f t="shared" si="19"/>
        <v/>
      </c>
      <c r="H1199" s="29"/>
      <c r="I1199" s="25"/>
      <c r="J1199" s="138">
        <v>0</v>
      </c>
    </row>
    <row r="1200" spans="1:10" ht="15.75" hidden="1" thickBot="1" x14ac:dyDescent="0.3">
      <c r="A1200" s="220" t="s">
        <v>374</v>
      </c>
      <c r="B1200" s="222" t="e">
        <f>INDEX(Orçamentária!A:B,MATCH(Composições!A1200,Orçamentária!A:A,0),2)</f>
        <v>#N/A</v>
      </c>
      <c r="C1200" s="35"/>
      <c r="D1200" s="20" t="s">
        <v>20</v>
      </c>
      <c r="E1200" s="21"/>
      <c r="F1200" s="36" t="s">
        <v>521</v>
      </c>
      <c r="G1200" s="22" t="str">
        <f t="shared" si="19"/>
        <v/>
      </c>
      <c r="H1200" s="23"/>
      <c r="I1200" s="24"/>
      <c r="J1200" s="138">
        <v>0</v>
      </c>
    </row>
    <row r="1201" spans="1:10" ht="15.75" hidden="1" thickBot="1" x14ac:dyDescent="0.3">
      <c r="A1201" s="221"/>
      <c r="B1201" s="223"/>
      <c r="C1201" s="26"/>
      <c r="D1201" s="26"/>
      <c r="E1201" s="27"/>
      <c r="F1201" s="37" t="s">
        <v>521</v>
      </c>
      <c r="G1201" s="25" t="str">
        <f t="shared" si="19"/>
        <v/>
      </c>
      <c r="H1201" s="29"/>
      <c r="I1201" s="25"/>
      <c r="J1201" s="138">
        <v>0</v>
      </c>
    </row>
    <row r="1202" spans="1:10" ht="26.25" hidden="1" thickBot="1" x14ac:dyDescent="0.3">
      <c r="A1202" s="221"/>
      <c r="B1202" s="223"/>
      <c r="C1202" s="30" t="s">
        <v>2665</v>
      </c>
      <c r="D1202" s="41" t="s">
        <v>279</v>
      </c>
      <c r="E1202" s="31">
        <v>1</v>
      </c>
      <c r="F1202" s="28">
        <v>115.539</v>
      </c>
      <c r="G1202" s="28">
        <f t="shared" si="19"/>
        <v>115.539</v>
      </c>
      <c r="H1202" s="33">
        <f>SUM(G1202:G1205)</f>
        <v>118.51781715</v>
      </c>
      <c r="I1202" s="34"/>
      <c r="J1202" s="138">
        <v>0</v>
      </c>
    </row>
    <row r="1203" spans="1:10" ht="15.75" hidden="1" thickBot="1" x14ac:dyDescent="0.3">
      <c r="A1203" s="221"/>
      <c r="B1203" s="223"/>
      <c r="C1203" s="30" t="s">
        <v>342</v>
      </c>
      <c r="D1203" s="41" t="s">
        <v>279</v>
      </c>
      <c r="E1203" s="31">
        <v>2.1000000000000001E-2</v>
      </c>
      <c r="F1203" s="28">
        <v>4.18</v>
      </c>
      <c r="G1203" s="28">
        <f t="shared" si="19"/>
        <v>8.7779999999999997E-2</v>
      </c>
      <c r="H1203" s="29"/>
      <c r="I1203" s="25"/>
      <c r="J1203" s="138">
        <v>0</v>
      </c>
    </row>
    <row r="1204" spans="1:10" ht="15.75" hidden="1" thickBot="1" x14ac:dyDescent="0.3">
      <c r="A1204" s="221"/>
      <c r="B1204" s="223"/>
      <c r="C1204" s="30" t="s">
        <v>39</v>
      </c>
      <c r="D1204" s="41" t="s">
        <v>12</v>
      </c>
      <c r="E1204" s="31">
        <v>9.6000000000000002E-2</v>
      </c>
      <c r="F1204" s="25">
        <v>24.300999999999998</v>
      </c>
      <c r="G1204" s="28">
        <f t="shared" si="19"/>
        <v>2.3328959999999999</v>
      </c>
      <c r="H1204" s="29"/>
      <c r="I1204" s="25"/>
      <c r="J1204" s="138">
        <v>0</v>
      </c>
    </row>
    <row r="1205" spans="1:10" ht="15.75" hidden="1" thickBot="1" x14ac:dyDescent="0.3">
      <c r="A1205" s="221"/>
      <c r="B1205" s="223"/>
      <c r="C1205" s="30" t="s">
        <v>23</v>
      </c>
      <c r="D1205" s="41" t="s">
        <v>12</v>
      </c>
      <c r="E1205" s="31">
        <v>3.0300000000000001E-2</v>
      </c>
      <c r="F1205" s="25">
        <v>18.420500000000001</v>
      </c>
      <c r="G1205" s="28">
        <f t="shared" si="19"/>
        <v>0.55814114999999997</v>
      </c>
      <c r="H1205" s="29"/>
      <c r="I1205" s="25"/>
      <c r="J1205" s="138">
        <v>0</v>
      </c>
    </row>
    <row r="1206" spans="1:10" ht="15.75" hidden="1" thickBot="1" x14ac:dyDescent="0.3">
      <c r="A1206" s="227"/>
      <c r="B1206" s="224"/>
      <c r="C1206" s="30"/>
      <c r="D1206" s="30"/>
      <c r="E1206" s="31"/>
      <c r="F1206" s="25" t="s">
        <v>521</v>
      </c>
      <c r="G1206" s="25" t="str">
        <f t="shared" si="19"/>
        <v/>
      </c>
      <c r="H1206" s="29"/>
      <c r="I1206" s="25"/>
      <c r="J1206" s="138">
        <v>0</v>
      </c>
    </row>
    <row r="1207" spans="1:10" ht="15.75" hidden="1" thickBot="1" x14ac:dyDescent="0.3">
      <c r="A1207" s="220" t="s">
        <v>375</v>
      </c>
      <c r="B1207" s="222" t="e">
        <f>INDEX(Orçamentária!A:B,MATCH(Composições!A1207,Orçamentária!A:A,0),2)</f>
        <v>#N/A</v>
      </c>
      <c r="C1207" s="35"/>
      <c r="D1207" s="20" t="s">
        <v>20</v>
      </c>
      <c r="E1207" s="21"/>
      <c r="F1207" s="36" t="s">
        <v>521</v>
      </c>
      <c r="G1207" s="22" t="str">
        <f t="shared" si="19"/>
        <v/>
      </c>
      <c r="H1207" s="23"/>
      <c r="I1207" s="24"/>
      <c r="J1207" s="138">
        <v>0</v>
      </c>
    </row>
    <row r="1208" spans="1:10" ht="15.75" hidden="1" thickBot="1" x14ac:dyDescent="0.3">
      <c r="A1208" s="221"/>
      <c r="B1208" s="223"/>
      <c r="C1208" s="26"/>
      <c r="D1208" s="26"/>
      <c r="E1208" s="27"/>
      <c r="F1208" s="37" t="s">
        <v>521</v>
      </c>
      <c r="G1208" s="25" t="str">
        <f t="shared" si="19"/>
        <v/>
      </c>
      <c r="H1208" s="29"/>
      <c r="I1208" s="25"/>
      <c r="J1208" s="138">
        <v>0</v>
      </c>
    </row>
    <row r="1209" spans="1:10" ht="26.25" hidden="1" thickBot="1" x14ac:dyDescent="0.3">
      <c r="A1209" s="221"/>
      <c r="B1209" s="223"/>
      <c r="C1209" s="30" t="s">
        <v>376</v>
      </c>
      <c r="D1209" s="41" t="s">
        <v>144</v>
      </c>
      <c r="E1209" s="31">
        <v>1</v>
      </c>
      <c r="F1209" s="28" t="s">
        <v>521</v>
      </c>
      <c r="G1209" s="28" t="str">
        <f t="shared" si="19"/>
        <v/>
      </c>
      <c r="H1209" s="33">
        <f>SUM(G1209:G1212)</f>
        <v>3.59244875</v>
      </c>
      <c r="I1209" s="34"/>
      <c r="J1209" s="138">
        <v>0</v>
      </c>
    </row>
    <row r="1210" spans="1:10" ht="15.75" hidden="1" thickBot="1" x14ac:dyDescent="0.3">
      <c r="A1210" s="221"/>
      <c r="B1210" s="223"/>
      <c r="C1210" s="30" t="s">
        <v>342</v>
      </c>
      <c r="D1210" s="41" t="s">
        <v>279</v>
      </c>
      <c r="E1210" s="31">
        <v>2.1000000000000001E-2</v>
      </c>
      <c r="F1210" s="28">
        <v>4.18</v>
      </c>
      <c r="G1210" s="28">
        <f t="shared" si="19"/>
        <v>8.7779999999999997E-2</v>
      </c>
      <c r="H1210" s="29"/>
      <c r="I1210" s="25"/>
      <c r="J1210" s="138">
        <v>0</v>
      </c>
    </row>
    <row r="1211" spans="1:10" ht="15.75" hidden="1" thickBot="1" x14ac:dyDescent="0.3">
      <c r="A1211" s="221"/>
      <c r="B1211" s="223"/>
      <c r="C1211" s="30" t="s">
        <v>39</v>
      </c>
      <c r="D1211" s="41" t="s">
        <v>12</v>
      </c>
      <c r="E1211" s="31">
        <v>0.1164</v>
      </c>
      <c r="F1211" s="25">
        <v>24.300999999999998</v>
      </c>
      <c r="G1211" s="28">
        <f t="shared" si="19"/>
        <v>2.8286363999999997</v>
      </c>
      <c r="H1211" s="29"/>
      <c r="I1211" s="25"/>
      <c r="J1211" s="138">
        <v>0</v>
      </c>
    </row>
    <row r="1212" spans="1:10" ht="15.75" hidden="1" thickBot="1" x14ac:dyDescent="0.3">
      <c r="A1212" s="221"/>
      <c r="B1212" s="223"/>
      <c r="C1212" s="30" t="s">
        <v>23</v>
      </c>
      <c r="D1212" s="41" t="s">
        <v>12</v>
      </c>
      <c r="E1212" s="31">
        <v>3.6700000000000003E-2</v>
      </c>
      <c r="F1212" s="25">
        <v>18.420500000000001</v>
      </c>
      <c r="G1212" s="28">
        <f t="shared" si="19"/>
        <v>0.67603235000000006</v>
      </c>
      <c r="H1212" s="29"/>
      <c r="I1212" s="25"/>
      <c r="J1212" s="138">
        <v>0</v>
      </c>
    </row>
    <row r="1213" spans="1:10" ht="15.75" hidden="1" thickBot="1" x14ac:dyDescent="0.3">
      <c r="A1213" s="227"/>
      <c r="B1213" s="224"/>
      <c r="C1213" s="30"/>
      <c r="D1213" s="30"/>
      <c r="E1213" s="31"/>
      <c r="F1213" s="25" t="s">
        <v>521</v>
      </c>
      <c r="G1213" s="25" t="str">
        <f t="shared" si="19"/>
        <v/>
      </c>
      <c r="H1213" s="29"/>
      <c r="I1213" s="25"/>
      <c r="J1213" s="138">
        <v>0</v>
      </c>
    </row>
    <row r="1214" spans="1:10" ht="15.75" hidden="1" thickBot="1" x14ac:dyDescent="0.3">
      <c r="A1214" s="220" t="s">
        <v>377</v>
      </c>
      <c r="B1214" s="222" t="e">
        <f>INDEX(Orçamentária!A:B,MATCH(Composições!A1214,Orçamentária!A:A,0),2)</f>
        <v>#N/A</v>
      </c>
      <c r="C1214" s="35"/>
      <c r="D1214" s="20" t="s">
        <v>20</v>
      </c>
      <c r="E1214" s="21"/>
      <c r="F1214" s="36" t="s">
        <v>521</v>
      </c>
      <c r="G1214" s="22" t="str">
        <f t="shared" si="19"/>
        <v/>
      </c>
      <c r="H1214" s="23"/>
      <c r="I1214" s="24"/>
      <c r="J1214" s="138">
        <v>0</v>
      </c>
    </row>
    <row r="1215" spans="1:10" ht="15.75" hidden="1" thickBot="1" x14ac:dyDescent="0.3">
      <c r="A1215" s="221"/>
      <c r="B1215" s="223"/>
      <c r="C1215" s="26"/>
      <c r="D1215" s="26"/>
      <c r="E1215" s="27"/>
      <c r="F1215" s="37" t="s">
        <v>521</v>
      </c>
      <c r="G1215" s="25" t="str">
        <f t="shared" si="19"/>
        <v/>
      </c>
      <c r="H1215" s="29"/>
      <c r="I1215" s="25"/>
      <c r="J1215" s="138">
        <v>0</v>
      </c>
    </row>
    <row r="1216" spans="1:10" ht="15.75" hidden="1" thickBot="1" x14ac:dyDescent="0.3">
      <c r="A1216" s="221"/>
      <c r="B1216" s="223"/>
      <c r="C1216" s="30" t="s">
        <v>342</v>
      </c>
      <c r="D1216" s="41" t="s">
        <v>279</v>
      </c>
      <c r="E1216" s="31">
        <v>2.1000000000000001E-2</v>
      </c>
      <c r="F1216" s="28">
        <v>4.18</v>
      </c>
      <c r="G1216" s="28">
        <f t="shared" si="19"/>
        <v>8.7779999999999997E-2</v>
      </c>
      <c r="H1216" s="33">
        <f>SUM(G1216:G1219)</f>
        <v>50.887708549999999</v>
      </c>
      <c r="I1216" s="34"/>
      <c r="J1216" s="138">
        <v>0</v>
      </c>
    </row>
    <row r="1217" spans="1:10" ht="15.75" hidden="1" thickBot="1" x14ac:dyDescent="0.3">
      <c r="A1217" s="221"/>
      <c r="B1217" s="223"/>
      <c r="C1217" s="30" t="s">
        <v>39</v>
      </c>
      <c r="D1217" s="41" t="s">
        <v>12</v>
      </c>
      <c r="E1217" s="31">
        <v>0.1525</v>
      </c>
      <c r="F1217" s="25">
        <v>24.300999999999998</v>
      </c>
      <c r="G1217" s="28">
        <f t="shared" si="19"/>
        <v>3.7059024999999997</v>
      </c>
      <c r="H1217" s="29"/>
      <c r="I1217" s="25"/>
      <c r="J1217" s="138">
        <v>0</v>
      </c>
    </row>
    <row r="1218" spans="1:10" ht="15.75" hidden="1" thickBot="1" x14ac:dyDescent="0.3">
      <c r="A1218" s="221"/>
      <c r="B1218" s="223"/>
      <c r="C1218" s="30" t="s">
        <v>23</v>
      </c>
      <c r="D1218" s="30" t="s">
        <v>12</v>
      </c>
      <c r="E1218" s="31">
        <v>4.8099999999999997E-2</v>
      </c>
      <c r="F1218" s="25">
        <v>18.420500000000001</v>
      </c>
      <c r="G1218" s="28">
        <f t="shared" si="19"/>
        <v>0.88602605000000001</v>
      </c>
      <c r="H1218" s="29"/>
      <c r="I1218" s="25"/>
      <c r="J1218" s="138">
        <v>0</v>
      </c>
    </row>
    <row r="1219" spans="1:10" ht="39" hidden="1" thickBot="1" x14ac:dyDescent="0.3">
      <c r="A1219" s="221"/>
      <c r="B1219" s="223"/>
      <c r="C1219" s="30" t="s">
        <v>2666</v>
      </c>
      <c r="D1219" s="30" t="s">
        <v>20</v>
      </c>
      <c r="E1219" s="31">
        <v>1</v>
      </c>
      <c r="F1219" s="28">
        <v>46.207999999999998</v>
      </c>
      <c r="G1219" s="25">
        <f t="shared" si="19"/>
        <v>46.207999999999998</v>
      </c>
      <c r="H1219" s="29"/>
      <c r="I1219" s="25"/>
      <c r="J1219" s="138">
        <v>0</v>
      </c>
    </row>
    <row r="1220" spans="1:10" ht="15.75" hidden="1" thickBot="1" x14ac:dyDescent="0.3">
      <c r="A1220" s="227"/>
      <c r="B1220" s="224"/>
      <c r="C1220" s="30"/>
      <c r="D1220" s="30"/>
      <c r="E1220" s="31"/>
      <c r="F1220" s="25" t="s">
        <v>521</v>
      </c>
      <c r="G1220" s="25" t="str">
        <f t="shared" si="19"/>
        <v/>
      </c>
      <c r="H1220" s="29"/>
      <c r="I1220" s="25"/>
      <c r="J1220" s="138">
        <v>0</v>
      </c>
    </row>
    <row r="1221" spans="1:10" ht="15.75" hidden="1" thickBot="1" x14ac:dyDescent="0.3">
      <c r="A1221" s="220" t="s">
        <v>378</v>
      </c>
      <c r="B1221" s="222" t="e">
        <f>INDEX(Orçamentária!A:B,MATCH(Composições!A1221,Orçamentária!A:A,0),2)</f>
        <v>#N/A</v>
      </c>
      <c r="C1221" s="35"/>
      <c r="D1221" s="20" t="s">
        <v>20</v>
      </c>
      <c r="E1221" s="21"/>
      <c r="F1221" s="36" t="s">
        <v>521</v>
      </c>
      <c r="G1221" s="22" t="str">
        <f t="shared" si="19"/>
        <v/>
      </c>
      <c r="H1221" s="23"/>
      <c r="I1221" s="24"/>
      <c r="J1221" s="138">
        <v>0</v>
      </c>
    </row>
    <row r="1222" spans="1:10" ht="15.75" hidden="1" thickBot="1" x14ac:dyDescent="0.3">
      <c r="A1222" s="221"/>
      <c r="B1222" s="223"/>
      <c r="C1222" s="26"/>
      <c r="D1222" s="26"/>
      <c r="E1222" s="27"/>
      <c r="F1222" s="37" t="s">
        <v>521</v>
      </c>
      <c r="G1222" s="25" t="str">
        <f t="shared" si="19"/>
        <v/>
      </c>
      <c r="H1222" s="29"/>
      <c r="I1222" s="25"/>
      <c r="J1222" s="138">
        <v>0</v>
      </c>
    </row>
    <row r="1223" spans="1:10" ht="26.25" hidden="1" thickBot="1" x14ac:dyDescent="0.3">
      <c r="A1223" s="221"/>
      <c r="B1223" s="223"/>
      <c r="C1223" s="154" t="s">
        <v>2300</v>
      </c>
      <c r="D1223" s="41" t="s">
        <v>144</v>
      </c>
      <c r="E1223" s="31">
        <v>1</v>
      </c>
      <c r="F1223" s="28" t="s">
        <v>521</v>
      </c>
      <c r="G1223" s="28" t="str">
        <f t="shared" si="19"/>
        <v/>
      </c>
      <c r="H1223" s="33">
        <f>SUM(G1223:G1225)</f>
        <v>21.698</v>
      </c>
      <c r="I1223" s="34"/>
      <c r="J1223" s="138">
        <v>0</v>
      </c>
    </row>
    <row r="1224" spans="1:10" ht="26.25" hidden="1" thickBot="1" x14ac:dyDescent="0.3">
      <c r="A1224" s="221"/>
      <c r="B1224" s="223"/>
      <c r="C1224" s="30" t="s">
        <v>107</v>
      </c>
      <c r="D1224" s="41" t="s">
        <v>12</v>
      </c>
      <c r="E1224" s="31">
        <v>0.5</v>
      </c>
      <c r="F1224" s="25">
        <v>19.094999999999999</v>
      </c>
      <c r="G1224" s="28">
        <f t="shared" si="19"/>
        <v>9.5474999999999994</v>
      </c>
      <c r="H1224" s="29"/>
      <c r="I1224" s="25"/>
      <c r="J1224" s="138">
        <v>0</v>
      </c>
    </row>
    <row r="1225" spans="1:10" ht="15.75" hidden="1" thickBot="1" x14ac:dyDescent="0.3">
      <c r="A1225" s="221"/>
      <c r="B1225" s="223"/>
      <c r="C1225" s="30" t="s">
        <v>39</v>
      </c>
      <c r="D1225" s="41" t="s">
        <v>12</v>
      </c>
      <c r="E1225" s="31">
        <v>0.5</v>
      </c>
      <c r="F1225" s="25">
        <v>24.300999999999998</v>
      </c>
      <c r="G1225" s="28">
        <f t="shared" si="19"/>
        <v>12.150499999999999</v>
      </c>
      <c r="H1225" s="29"/>
      <c r="I1225" s="25"/>
      <c r="J1225" s="138">
        <v>0</v>
      </c>
    </row>
    <row r="1226" spans="1:10" ht="15.75" hidden="1" thickBot="1" x14ac:dyDescent="0.3">
      <c r="A1226" s="227"/>
      <c r="B1226" s="224"/>
      <c r="C1226" s="30"/>
      <c r="D1226" s="30"/>
      <c r="E1226" s="31"/>
      <c r="F1226" s="25" t="s">
        <v>521</v>
      </c>
      <c r="G1226" s="25" t="str">
        <f t="shared" si="19"/>
        <v/>
      </c>
      <c r="H1226" s="29"/>
      <c r="I1226" s="25"/>
      <c r="J1226" s="138">
        <v>0</v>
      </c>
    </row>
    <row r="1227" spans="1:10" ht="15.75" hidden="1" thickBot="1" x14ac:dyDescent="0.3">
      <c r="A1227" s="220" t="s">
        <v>380</v>
      </c>
      <c r="B1227" s="222" t="e">
        <f>INDEX(Orçamentária!A:B,MATCH(Composições!A1227,Orçamentária!A:A,0),2)</f>
        <v>#N/A</v>
      </c>
      <c r="C1227" s="35"/>
      <c r="D1227" s="20" t="s">
        <v>20</v>
      </c>
      <c r="E1227" s="21"/>
      <c r="F1227" s="36" t="s">
        <v>521</v>
      </c>
      <c r="G1227" s="22" t="str">
        <f t="shared" si="19"/>
        <v/>
      </c>
      <c r="H1227" s="23"/>
      <c r="I1227" s="24"/>
      <c r="J1227" s="138">
        <v>0</v>
      </c>
    </row>
    <row r="1228" spans="1:10" ht="15.75" hidden="1" thickBot="1" x14ac:dyDescent="0.3">
      <c r="A1228" s="221"/>
      <c r="B1228" s="223"/>
      <c r="C1228" s="26"/>
      <c r="D1228" s="26"/>
      <c r="E1228" s="27"/>
      <c r="F1228" s="37" t="s">
        <v>521</v>
      </c>
      <c r="G1228" s="25" t="str">
        <f t="shared" si="19"/>
        <v/>
      </c>
      <c r="H1228" s="29"/>
      <c r="I1228" s="25"/>
      <c r="J1228" s="138">
        <v>0</v>
      </c>
    </row>
    <row r="1229" spans="1:10" ht="15.75" hidden="1" thickBot="1" x14ac:dyDescent="0.3">
      <c r="A1229" s="221"/>
      <c r="B1229" s="223"/>
      <c r="C1229" s="154" t="s">
        <v>2298</v>
      </c>
      <c r="D1229" s="41" t="s">
        <v>279</v>
      </c>
      <c r="E1229" s="31">
        <v>1</v>
      </c>
      <c r="F1229" s="28" t="s">
        <v>521</v>
      </c>
      <c r="G1229" s="28" t="str">
        <f t="shared" si="19"/>
        <v/>
      </c>
      <c r="H1229" s="33">
        <f>SUM(G1229:G1231)</f>
        <v>21.698</v>
      </c>
      <c r="I1229" s="34"/>
      <c r="J1229" s="138">
        <v>0</v>
      </c>
    </row>
    <row r="1230" spans="1:10" ht="26.25" hidden="1" thickBot="1" x14ac:dyDescent="0.3">
      <c r="A1230" s="221"/>
      <c r="B1230" s="223"/>
      <c r="C1230" s="30" t="s">
        <v>107</v>
      </c>
      <c r="D1230" s="41" t="s">
        <v>12</v>
      </c>
      <c r="E1230" s="31">
        <v>0.5</v>
      </c>
      <c r="F1230" s="25">
        <v>19.094999999999999</v>
      </c>
      <c r="G1230" s="28">
        <f t="shared" si="19"/>
        <v>9.5474999999999994</v>
      </c>
      <c r="H1230" s="29"/>
      <c r="I1230" s="25"/>
      <c r="J1230" s="138">
        <v>0</v>
      </c>
    </row>
    <row r="1231" spans="1:10" ht="15.75" hidden="1" thickBot="1" x14ac:dyDescent="0.3">
      <c r="A1231" s="221"/>
      <c r="B1231" s="223"/>
      <c r="C1231" s="30" t="s">
        <v>39</v>
      </c>
      <c r="D1231" s="41" t="s">
        <v>12</v>
      </c>
      <c r="E1231" s="31">
        <v>0.5</v>
      </c>
      <c r="F1231" s="25">
        <v>24.300999999999998</v>
      </c>
      <c r="G1231" s="28">
        <f t="shared" si="19"/>
        <v>12.150499999999999</v>
      </c>
      <c r="H1231" s="29"/>
      <c r="I1231" s="25"/>
      <c r="J1231" s="138">
        <v>0</v>
      </c>
    </row>
    <row r="1232" spans="1:10" ht="15.75" hidden="1" thickBot="1" x14ac:dyDescent="0.3">
      <c r="A1232" s="227"/>
      <c r="B1232" s="224"/>
      <c r="C1232" s="30"/>
      <c r="D1232" s="30"/>
      <c r="E1232" s="31"/>
      <c r="F1232" s="25" t="s">
        <v>521</v>
      </c>
      <c r="G1232" s="25" t="str">
        <f t="shared" si="19"/>
        <v/>
      </c>
      <c r="H1232" s="29"/>
      <c r="I1232" s="25"/>
      <c r="J1232" s="138">
        <v>0</v>
      </c>
    </row>
    <row r="1233" spans="1:10" ht="15.75" hidden="1" thickBot="1" x14ac:dyDescent="0.3">
      <c r="A1233" s="220" t="s">
        <v>381</v>
      </c>
      <c r="B1233" s="222" t="e">
        <f>INDEX(Orçamentária!A:B,MATCH(Composições!A1233,Orçamentária!A:A,0),2)</f>
        <v>#N/A</v>
      </c>
      <c r="C1233" s="35"/>
      <c r="D1233" s="20" t="s">
        <v>20</v>
      </c>
      <c r="E1233" s="21"/>
      <c r="F1233" s="36" t="s">
        <v>521</v>
      </c>
      <c r="G1233" s="22" t="str">
        <f t="shared" si="19"/>
        <v/>
      </c>
      <c r="H1233" s="23"/>
      <c r="I1233" s="24"/>
      <c r="J1233" s="138">
        <v>0</v>
      </c>
    </row>
    <row r="1234" spans="1:10" ht="15.75" hidden="1" thickBot="1" x14ac:dyDescent="0.3">
      <c r="A1234" s="221"/>
      <c r="B1234" s="223"/>
      <c r="C1234" s="26"/>
      <c r="D1234" s="26"/>
      <c r="E1234" s="27"/>
      <c r="F1234" s="37" t="s">
        <v>521</v>
      </c>
      <c r="G1234" s="25" t="str">
        <f t="shared" ref="G1234:G1297" si="20">IF(ISNUMBER(F1234),E1234*F1234,"")</f>
        <v/>
      </c>
      <c r="H1234" s="29"/>
      <c r="I1234" s="25"/>
      <c r="J1234" s="138">
        <v>0</v>
      </c>
    </row>
    <row r="1235" spans="1:10" ht="26.25" hidden="1" thickBot="1" x14ac:dyDescent="0.3">
      <c r="A1235" s="221"/>
      <c r="B1235" s="223"/>
      <c r="C1235" s="154" t="s">
        <v>2299</v>
      </c>
      <c r="D1235" s="41" t="s">
        <v>144</v>
      </c>
      <c r="E1235" s="31">
        <v>1</v>
      </c>
      <c r="F1235" s="28" t="s">
        <v>521</v>
      </c>
      <c r="G1235" s="28" t="str">
        <f t="shared" si="20"/>
        <v/>
      </c>
      <c r="H1235" s="33">
        <f>SUM(G1235:G1237)</f>
        <v>21.698</v>
      </c>
      <c r="I1235" s="34"/>
      <c r="J1235" s="138">
        <v>0</v>
      </c>
    </row>
    <row r="1236" spans="1:10" ht="26.25" hidden="1" thickBot="1" x14ac:dyDescent="0.3">
      <c r="A1236" s="221"/>
      <c r="B1236" s="223"/>
      <c r="C1236" s="30" t="s">
        <v>107</v>
      </c>
      <c r="D1236" s="41" t="s">
        <v>12</v>
      </c>
      <c r="E1236" s="31">
        <v>0.5</v>
      </c>
      <c r="F1236" s="25">
        <v>19.094999999999999</v>
      </c>
      <c r="G1236" s="28">
        <f t="shared" si="20"/>
        <v>9.5474999999999994</v>
      </c>
      <c r="H1236" s="29"/>
      <c r="I1236" s="25"/>
      <c r="J1236" s="138">
        <v>0</v>
      </c>
    </row>
    <row r="1237" spans="1:10" ht="15.75" hidden="1" thickBot="1" x14ac:dyDescent="0.3">
      <c r="A1237" s="221"/>
      <c r="B1237" s="223"/>
      <c r="C1237" s="30" t="s">
        <v>39</v>
      </c>
      <c r="D1237" s="41" t="s">
        <v>12</v>
      </c>
      <c r="E1237" s="31">
        <v>0.5</v>
      </c>
      <c r="F1237" s="25">
        <v>24.300999999999998</v>
      </c>
      <c r="G1237" s="28">
        <f t="shared" si="20"/>
        <v>12.150499999999999</v>
      </c>
      <c r="H1237" s="29"/>
      <c r="I1237" s="25"/>
      <c r="J1237" s="138">
        <v>0</v>
      </c>
    </row>
    <row r="1238" spans="1:10" ht="15.75" hidden="1" thickBot="1" x14ac:dyDescent="0.3">
      <c r="A1238" s="227"/>
      <c r="B1238" s="224"/>
      <c r="C1238" s="30"/>
      <c r="D1238" s="30"/>
      <c r="E1238" s="31"/>
      <c r="F1238" s="25" t="s">
        <v>521</v>
      </c>
      <c r="G1238" s="25" t="str">
        <f t="shared" si="20"/>
        <v/>
      </c>
      <c r="H1238" s="29"/>
      <c r="I1238" s="25"/>
      <c r="J1238" s="138">
        <v>0</v>
      </c>
    </row>
    <row r="1239" spans="1:10" ht="15.75" hidden="1" thickBot="1" x14ac:dyDescent="0.3">
      <c r="A1239" s="220" t="s">
        <v>382</v>
      </c>
      <c r="B1239" s="222" t="e">
        <f>INDEX(Orçamentária!A:B,MATCH(Composições!A1239,Orçamentária!A:A,0),2)</f>
        <v>#N/A</v>
      </c>
      <c r="C1239" s="35"/>
      <c r="D1239" s="20" t="s">
        <v>20</v>
      </c>
      <c r="E1239" s="21"/>
      <c r="F1239" s="36" t="s">
        <v>521</v>
      </c>
      <c r="G1239" s="22" t="str">
        <f t="shared" si="20"/>
        <v/>
      </c>
      <c r="H1239" s="23"/>
      <c r="I1239" s="24"/>
      <c r="J1239" s="138">
        <v>0</v>
      </c>
    </row>
    <row r="1240" spans="1:10" ht="15.75" hidden="1" thickBot="1" x14ac:dyDescent="0.3">
      <c r="A1240" s="221"/>
      <c r="B1240" s="223"/>
      <c r="C1240" s="26"/>
      <c r="D1240" s="26"/>
      <c r="E1240" s="27"/>
      <c r="F1240" s="37" t="s">
        <v>521</v>
      </c>
      <c r="G1240" s="25" t="str">
        <f t="shared" si="20"/>
        <v/>
      </c>
      <c r="H1240" s="29"/>
      <c r="I1240" s="25"/>
      <c r="J1240" s="138">
        <v>0</v>
      </c>
    </row>
    <row r="1241" spans="1:10" ht="15.75" hidden="1" thickBot="1" x14ac:dyDescent="0.3">
      <c r="A1241" s="221"/>
      <c r="B1241" s="223"/>
      <c r="C1241" s="154" t="s">
        <v>2298</v>
      </c>
      <c r="D1241" s="41" t="s">
        <v>144</v>
      </c>
      <c r="E1241" s="31">
        <v>1</v>
      </c>
      <c r="F1241" s="28" t="s">
        <v>521</v>
      </c>
      <c r="G1241" s="28" t="str">
        <f t="shared" si="20"/>
        <v/>
      </c>
      <c r="H1241" s="33">
        <f>SUM(G1241:G1243)</f>
        <v>21.698</v>
      </c>
      <c r="I1241" s="34"/>
      <c r="J1241" s="138">
        <v>0</v>
      </c>
    </row>
    <row r="1242" spans="1:10" ht="26.25" hidden="1" thickBot="1" x14ac:dyDescent="0.3">
      <c r="A1242" s="221"/>
      <c r="B1242" s="223"/>
      <c r="C1242" s="30" t="s">
        <v>107</v>
      </c>
      <c r="D1242" s="41" t="s">
        <v>12</v>
      </c>
      <c r="E1242" s="31">
        <v>0.5</v>
      </c>
      <c r="F1242" s="25">
        <v>19.094999999999999</v>
      </c>
      <c r="G1242" s="28">
        <f t="shared" si="20"/>
        <v>9.5474999999999994</v>
      </c>
      <c r="H1242" s="29"/>
      <c r="I1242" s="25"/>
      <c r="J1242" s="138">
        <v>0</v>
      </c>
    </row>
    <row r="1243" spans="1:10" ht="15.75" hidden="1" thickBot="1" x14ac:dyDescent="0.3">
      <c r="A1243" s="221"/>
      <c r="B1243" s="223"/>
      <c r="C1243" s="30" t="s">
        <v>39</v>
      </c>
      <c r="D1243" s="41" t="s">
        <v>12</v>
      </c>
      <c r="E1243" s="31">
        <v>0.5</v>
      </c>
      <c r="F1243" s="25">
        <v>24.300999999999998</v>
      </c>
      <c r="G1243" s="28">
        <f t="shared" si="20"/>
        <v>12.150499999999999</v>
      </c>
      <c r="H1243" s="29"/>
      <c r="I1243" s="25"/>
      <c r="J1243" s="138">
        <v>0</v>
      </c>
    </row>
    <row r="1244" spans="1:10" ht="15.75" hidden="1" thickBot="1" x14ac:dyDescent="0.3">
      <c r="A1244" s="227"/>
      <c r="B1244" s="224"/>
      <c r="C1244" s="30"/>
      <c r="D1244" s="30"/>
      <c r="E1244" s="31"/>
      <c r="F1244" s="25" t="s">
        <v>521</v>
      </c>
      <c r="G1244" s="25" t="str">
        <f t="shared" si="20"/>
        <v/>
      </c>
      <c r="H1244" s="29"/>
      <c r="I1244" s="25"/>
      <c r="J1244" s="138">
        <v>0</v>
      </c>
    </row>
    <row r="1245" spans="1:10" ht="15.75" hidden="1" thickBot="1" x14ac:dyDescent="0.3">
      <c r="A1245" s="220" t="s">
        <v>383</v>
      </c>
      <c r="B1245" s="222" t="e">
        <f>INDEX(Orçamentária!A:B,MATCH(Composições!A1245,Orçamentária!A:A,0),2)</f>
        <v>#N/A</v>
      </c>
      <c r="C1245" s="35"/>
      <c r="D1245" s="20" t="s">
        <v>20</v>
      </c>
      <c r="E1245" s="21"/>
      <c r="F1245" s="36" t="s">
        <v>521</v>
      </c>
      <c r="G1245" s="22" t="str">
        <f t="shared" si="20"/>
        <v/>
      </c>
      <c r="H1245" s="23"/>
      <c r="I1245" s="24"/>
      <c r="J1245" s="138">
        <v>0</v>
      </c>
    </row>
    <row r="1246" spans="1:10" ht="15.75" hidden="1" thickBot="1" x14ac:dyDescent="0.3">
      <c r="A1246" s="221"/>
      <c r="B1246" s="223"/>
      <c r="C1246" s="26"/>
      <c r="D1246" s="26"/>
      <c r="E1246" s="27"/>
      <c r="F1246" s="37" t="s">
        <v>521</v>
      </c>
      <c r="G1246" s="25" t="str">
        <f t="shared" si="20"/>
        <v/>
      </c>
      <c r="H1246" s="29"/>
      <c r="I1246" s="25"/>
      <c r="J1246" s="138">
        <v>0</v>
      </c>
    </row>
    <row r="1247" spans="1:10" ht="15.75" hidden="1" thickBot="1" x14ac:dyDescent="0.3">
      <c r="A1247" s="221"/>
      <c r="B1247" s="223"/>
      <c r="C1247" s="30" t="s">
        <v>384</v>
      </c>
      <c r="D1247" s="41" t="s">
        <v>279</v>
      </c>
      <c r="E1247" s="31">
        <v>1</v>
      </c>
      <c r="F1247" s="28">
        <v>39.947499999999998</v>
      </c>
      <c r="G1247" s="28">
        <f t="shared" si="20"/>
        <v>39.947499999999998</v>
      </c>
      <c r="H1247" s="33">
        <f>SUM(G1247:G1250)</f>
        <v>45.385957400000002</v>
      </c>
      <c r="I1247" s="34"/>
      <c r="J1247" s="138">
        <v>0</v>
      </c>
    </row>
    <row r="1248" spans="1:10" ht="15.75" hidden="1" thickBot="1" x14ac:dyDescent="0.3">
      <c r="A1248" s="221"/>
      <c r="B1248" s="223"/>
      <c r="C1248" s="30" t="s">
        <v>342</v>
      </c>
      <c r="D1248" s="41" t="s">
        <v>279</v>
      </c>
      <c r="E1248" s="31">
        <v>4.8000000000000001E-2</v>
      </c>
      <c r="F1248" s="28">
        <v>4.18</v>
      </c>
      <c r="G1248" s="28">
        <f t="shared" si="20"/>
        <v>0.20063999999999999</v>
      </c>
      <c r="H1248" s="29"/>
      <c r="I1248" s="25"/>
      <c r="J1248" s="138">
        <v>0</v>
      </c>
    </row>
    <row r="1249" spans="1:10" ht="15.75" hidden="1" thickBot="1" x14ac:dyDescent="0.3">
      <c r="A1249" s="221"/>
      <c r="B1249" s="223"/>
      <c r="C1249" s="30" t="s">
        <v>39</v>
      </c>
      <c r="D1249" s="41" t="s">
        <v>12</v>
      </c>
      <c r="E1249" s="31">
        <v>0.17399999999999999</v>
      </c>
      <c r="F1249" s="25">
        <v>24.300999999999998</v>
      </c>
      <c r="G1249" s="28">
        <f t="shared" si="20"/>
        <v>4.2283739999999996</v>
      </c>
      <c r="H1249" s="29"/>
      <c r="I1249" s="25"/>
      <c r="J1249" s="138">
        <v>0</v>
      </c>
    </row>
    <row r="1250" spans="1:10" ht="15.75" hidden="1" thickBot="1" x14ac:dyDescent="0.3">
      <c r="A1250" s="221"/>
      <c r="B1250" s="223"/>
      <c r="C1250" s="30" t="s">
        <v>23</v>
      </c>
      <c r="D1250" s="41" t="s">
        <v>12</v>
      </c>
      <c r="E1250" s="31">
        <v>5.4800000000000001E-2</v>
      </c>
      <c r="F1250" s="25">
        <v>18.420500000000001</v>
      </c>
      <c r="G1250" s="28">
        <f t="shared" si="20"/>
        <v>1.0094434000000001</v>
      </c>
      <c r="H1250" s="29"/>
      <c r="I1250" s="25"/>
      <c r="J1250" s="138">
        <v>0</v>
      </c>
    </row>
    <row r="1251" spans="1:10" ht="15.75" hidden="1" thickBot="1" x14ac:dyDescent="0.3">
      <c r="A1251" s="227"/>
      <c r="B1251" s="224"/>
      <c r="C1251" s="30"/>
      <c r="D1251" s="30"/>
      <c r="E1251" s="31"/>
      <c r="F1251" s="25" t="s">
        <v>521</v>
      </c>
      <c r="G1251" s="25" t="str">
        <f t="shared" si="20"/>
        <v/>
      </c>
      <c r="H1251" s="29"/>
      <c r="I1251" s="25"/>
      <c r="J1251" s="138">
        <v>0</v>
      </c>
    </row>
    <row r="1252" spans="1:10" ht="15.75" hidden="1" thickBot="1" x14ac:dyDescent="0.3">
      <c r="A1252" s="220" t="s">
        <v>385</v>
      </c>
      <c r="B1252" s="222" t="e">
        <f>INDEX(Orçamentária!A:B,MATCH(Composições!A1252,Orçamentária!A:A,0),2)</f>
        <v>#N/A</v>
      </c>
      <c r="C1252" s="35"/>
      <c r="D1252" s="20" t="s">
        <v>20</v>
      </c>
      <c r="E1252" s="21"/>
      <c r="F1252" s="36" t="s">
        <v>521</v>
      </c>
      <c r="G1252" s="22" t="str">
        <f t="shared" si="20"/>
        <v/>
      </c>
      <c r="H1252" s="23"/>
      <c r="I1252" s="24"/>
      <c r="J1252" s="138">
        <v>0</v>
      </c>
    </row>
    <row r="1253" spans="1:10" ht="15.75" hidden="1" thickBot="1" x14ac:dyDescent="0.3">
      <c r="A1253" s="221"/>
      <c r="B1253" s="223"/>
      <c r="C1253" s="26"/>
      <c r="D1253" s="26"/>
      <c r="E1253" s="27"/>
      <c r="F1253" s="37" t="s">
        <v>521</v>
      </c>
      <c r="G1253" s="25" t="str">
        <f t="shared" si="20"/>
        <v/>
      </c>
      <c r="H1253" s="29"/>
      <c r="I1253" s="25"/>
      <c r="J1253" s="138">
        <v>0</v>
      </c>
    </row>
    <row r="1254" spans="1:10" ht="15.75" hidden="1" thickBot="1" x14ac:dyDescent="0.3">
      <c r="A1254" s="221"/>
      <c r="B1254" s="223"/>
      <c r="C1254" s="30" t="s">
        <v>342</v>
      </c>
      <c r="D1254" s="41" t="s">
        <v>279</v>
      </c>
      <c r="E1254" s="31">
        <v>3.32E-2</v>
      </c>
      <c r="F1254" s="28">
        <v>4.18</v>
      </c>
      <c r="G1254" s="28">
        <f t="shared" si="20"/>
        <v>0.13877599999999998</v>
      </c>
      <c r="H1254" s="33">
        <f>SUM(G1254:G1257)</f>
        <v>54.111874599999993</v>
      </c>
      <c r="I1254" s="34"/>
      <c r="J1254" s="138">
        <v>0</v>
      </c>
    </row>
    <row r="1255" spans="1:10" ht="26.25" hidden="1" thickBot="1" x14ac:dyDescent="0.3">
      <c r="A1255" s="221"/>
      <c r="B1255" s="223"/>
      <c r="C1255" s="30" t="s">
        <v>2316</v>
      </c>
      <c r="D1255" s="30" t="s">
        <v>20</v>
      </c>
      <c r="E1255" s="31">
        <v>1</v>
      </c>
      <c r="F1255" s="28">
        <v>50.264499999999991</v>
      </c>
      <c r="G1255" s="28">
        <f t="shared" si="20"/>
        <v>50.264499999999991</v>
      </c>
      <c r="H1255" s="29"/>
      <c r="I1255" s="25"/>
      <c r="J1255" s="138">
        <v>0</v>
      </c>
    </row>
    <row r="1256" spans="1:10" ht="15.75" hidden="1" thickBot="1" x14ac:dyDescent="0.3">
      <c r="A1256" s="221"/>
      <c r="B1256" s="223"/>
      <c r="C1256" s="30" t="s">
        <v>39</v>
      </c>
      <c r="D1256" s="41" t="s">
        <v>12</v>
      </c>
      <c r="E1256" s="31">
        <v>0.1232</v>
      </c>
      <c r="F1256" s="25">
        <v>24.300999999999998</v>
      </c>
      <c r="G1256" s="28">
        <f t="shared" si="20"/>
        <v>2.9938832</v>
      </c>
      <c r="H1256" s="29"/>
      <c r="I1256" s="25"/>
      <c r="J1256" s="138">
        <v>0</v>
      </c>
    </row>
    <row r="1257" spans="1:10" ht="15.75" hidden="1" thickBot="1" x14ac:dyDescent="0.3">
      <c r="A1257" s="221"/>
      <c r="B1257" s="223"/>
      <c r="C1257" s="30" t="s">
        <v>23</v>
      </c>
      <c r="D1257" s="30" t="s">
        <v>12</v>
      </c>
      <c r="E1257" s="31">
        <v>3.8800000000000001E-2</v>
      </c>
      <c r="F1257" s="25">
        <v>18.420500000000001</v>
      </c>
      <c r="G1257" s="28">
        <f t="shared" si="20"/>
        <v>0.7147154</v>
      </c>
      <c r="H1257" s="29"/>
      <c r="I1257" s="25"/>
      <c r="J1257" s="138">
        <v>0</v>
      </c>
    </row>
    <row r="1258" spans="1:10" ht="15.75" hidden="1" thickBot="1" x14ac:dyDescent="0.3">
      <c r="A1258" s="227"/>
      <c r="B1258" s="224"/>
      <c r="C1258" s="30"/>
      <c r="D1258" s="30"/>
      <c r="E1258" s="31"/>
      <c r="F1258" s="25" t="s">
        <v>521</v>
      </c>
      <c r="G1258" s="25" t="str">
        <f t="shared" si="20"/>
        <v/>
      </c>
      <c r="H1258" s="29"/>
      <c r="I1258" s="25"/>
      <c r="J1258" s="138">
        <v>0</v>
      </c>
    </row>
    <row r="1259" spans="1:10" ht="15.75" hidden="1" thickBot="1" x14ac:dyDescent="0.3">
      <c r="A1259" s="220" t="s">
        <v>386</v>
      </c>
      <c r="B1259" s="222" t="e">
        <f>INDEX(Orçamentária!A:B,MATCH(Composições!A1259,Orçamentária!A:A,0),2)</f>
        <v>#N/A</v>
      </c>
      <c r="C1259" s="35"/>
      <c r="D1259" s="20" t="s">
        <v>20</v>
      </c>
      <c r="E1259" s="21"/>
      <c r="F1259" s="36" t="s">
        <v>521</v>
      </c>
      <c r="G1259" s="22" t="str">
        <f t="shared" si="20"/>
        <v/>
      </c>
      <c r="H1259" s="23"/>
      <c r="I1259" s="24"/>
      <c r="J1259" s="138">
        <v>0</v>
      </c>
    </row>
    <row r="1260" spans="1:10" ht="15.75" hidden="1" thickBot="1" x14ac:dyDescent="0.3">
      <c r="A1260" s="221"/>
      <c r="B1260" s="223"/>
      <c r="C1260" s="26"/>
      <c r="D1260" s="26"/>
      <c r="E1260" s="27"/>
      <c r="F1260" s="37" t="s">
        <v>521</v>
      </c>
      <c r="G1260" s="25" t="str">
        <f t="shared" si="20"/>
        <v/>
      </c>
      <c r="H1260" s="29"/>
      <c r="I1260" s="25"/>
      <c r="J1260" s="138">
        <v>0</v>
      </c>
    </row>
    <row r="1261" spans="1:10" ht="26.25" hidden="1" thickBot="1" x14ac:dyDescent="0.3">
      <c r="A1261" s="221"/>
      <c r="B1261" s="223"/>
      <c r="C1261" s="30" t="s">
        <v>387</v>
      </c>
      <c r="D1261" s="41" t="s">
        <v>279</v>
      </c>
      <c r="E1261" s="31">
        <v>1</v>
      </c>
      <c r="F1261" s="28">
        <v>224.62749999999997</v>
      </c>
      <c r="G1261" s="25">
        <f t="shared" si="20"/>
        <v>224.62749999999997</v>
      </c>
      <c r="H1261" s="33">
        <f>SUM(G1261:G1264)</f>
        <v>265.0603132</v>
      </c>
      <c r="I1261" s="34"/>
      <c r="J1261" s="138">
        <v>0</v>
      </c>
    </row>
    <row r="1262" spans="1:10" ht="15.75" hidden="1" thickBot="1" x14ac:dyDescent="0.3">
      <c r="A1262" s="221"/>
      <c r="B1262" s="223"/>
      <c r="C1262" s="30" t="s">
        <v>379</v>
      </c>
      <c r="D1262" s="44" t="s">
        <v>279</v>
      </c>
      <c r="E1262" s="31">
        <v>1.9199999999999998E-2</v>
      </c>
      <c r="F1262" s="28">
        <v>15.408999999999999</v>
      </c>
      <c r="G1262" s="25">
        <f t="shared" si="20"/>
        <v>0.29585279999999997</v>
      </c>
      <c r="H1262" s="29"/>
      <c r="I1262" s="25"/>
      <c r="J1262" s="138">
        <v>0</v>
      </c>
    </row>
    <row r="1263" spans="1:10" ht="26.25" hidden="1" thickBot="1" x14ac:dyDescent="0.3">
      <c r="A1263" s="221"/>
      <c r="B1263" s="223"/>
      <c r="C1263" s="30" t="s">
        <v>107</v>
      </c>
      <c r="D1263" s="41" t="s">
        <v>12</v>
      </c>
      <c r="E1263" s="31">
        <v>0.92490000000000006</v>
      </c>
      <c r="F1263" s="25">
        <v>19.094999999999999</v>
      </c>
      <c r="G1263" s="25">
        <f t="shared" si="20"/>
        <v>17.6609655</v>
      </c>
      <c r="H1263" s="29"/>
      <c r="I1263" s="25"/>
      <c r="J1263" s="138">
        <v>0</v>
      </c>
    </row>
    <row r="1264" spans="1:10" ht="15.75" hidden="1" thickBot="1" x14ac:dyDescent="0.3">
      <c r="A1264" s="221"/>
      <c r="B1264" s="223"/>
      <c r="C1264" s="30" t="s">
        <v>39</v>
      </c>
      <c r="D1264" s="41" t="s">
        <v>12</v>
      </c>
      <c r="E1264" s="31">
        <v>0.92490000000000006</v>
      </c>
      <c r="F1264" s="25">
        <v>24.300999999999998</v>
      </c>
      <c r="G1264" s="28">
        <f t="shared" si="20"/>
        <v>22.4759949</v>
      </c>
      <c r="H1264" s="29"/>
      <c r="I1264" s="25"/>
      <c r="J1264" s="138">
        <v>0</v>
      </c>
    </row>
    <row r="1265" spans="1:10" ht="15.75" hidden="1" thickBot="1" x14ac:dyDescent="0.3">
      <c r="A1265" s="227"/>
      <c r="B1265" s="224"/>
      <c r="C1265" s="30"/>
      <c r="D1265" s="30"/>
      <c r="E1265" s="31"/>
      <c r="F1265" s="25" t="s">
        <v>521</v>
      </c>
      <c r="G1265" s="25" t="str">
        <f t="shared" si="20"/>
        <v/>
      </c>
      <c r="H1265" s="29"/>
      <c r="I1265" s="25"/>
      <c r="J1265" s="138">
        <v>0</v>
      </c>
    </row>
    <row r="1266" spans="1:10" ht="15.75" hidden="1" thickBot="1" x14ac:dyDescent="0.3">
      <c r="A1266" s="220" t="s">
        <v>388</v>
      </c>
      <c r="B1266" s="222" t="e">
        <f>INDEX(Orçamentária!A:B,MATCH(Composições!A1266,Orçamentária!A:A,0),2)</f>
        <v>#N/A</v>
      </c>
      <c r="C1266" s="35"/>
      <c r="D1266" s="20" t="s">
        <v>20</v>
      </c>
      <c r="E1266" s="21"/>
      <c r="F1266" s="36" t="s">
        <v>521</v>
      </c>
      <c r="G1266" s="22" t="str">
        <f t="shared" si="20"/>
        <v/>
      </c>
      <c r="H1266" s="23"/>
      <c r="I1266" s="24"/>
      <c r="J1266" s="138">
        <v>0</v>
      </c>
    </row>
    <row r="1267" spans="1:10" ht="15.75" hidden="1" thickBot="1" x14ac:dyDescent="0.3">
      <c r="A1267" s="221"/>
      <c r="B1267" s="223"/>
      <c r="C1267" s="26"/>
      <c r="D1267" s="26"/>
      <c r="E1267" s="27"/>
      <c r="F1267" s="37" t="s">
        <v>521</v>
      </c>
      <c r="G1267" s="25" t="str">
        <f t="shared" si="20"/>
        <v/>
      </c>
      <c r="H1267" s="29"/>
      <c r="I1267" s="25"/>
      <c r="J1267" s="138">
        <v>0</v>
      </c>
    </row>
    <row r="1268" spans="1:10" ht="15.75" hidden="1" thickBot="1" x14ac:dyDescent="0.3">
      <c r="A1268" s="221"/>
      <c r="B1268" s="223"/>
      <c r="C1268" s="30" t="s">
        <v>30</v>
      </c>
      <c r="D1268" s="30" t="s">
        <v>12</v>
      </c>
      <c r="E1268" s="31">
        <v>0.28999999999999998</v>
      </c>
      <c r="F1268" s="25">
        <v>25.146499999999996</v>
      </c>
      <c r="G1268" s="25">
        <f t="shared" si="20"/>
        <v>7.2924849999999983</v>
      </c>
      <c r="H1268" s="33">
        <f>SUM(G1268:G1270)</f>
        <v>12.920949999999998</v>
      </c>
      <c r="I1268" s="34"/>
      <c r="J1268" s="138">
        <v>0</v>
      </c>
    </row>
    <row r="1269" spans="1:10" ht="15.75" hidden="1" thickBot="1" x14ac:dyDescent="0.3">
      <c r="A1269" s="221"/>
      <c r="B1269" s="223"/>
      <c r="C1269" s="30" t="s">
        <v>74</v>
      </c>
      <c r="D1269" s="41" t="s">
        <v>12</v>
      </c>
      <c r="E1269" s="31">
        <v>0.28999999999999998</v>
      </c>
      <c r="F1269" s="25">
        <v>19.4085</v>
      </c>
      <c r="G1269" s="25">
        <f t="shared" si="20"/>
        <v>5.6284649999999994</v>
      </c>
      <c r="H1269" s="29"/>
      <c r="I1269" s="25"/>
      <c r="J1269" s="138">
        <v>0</v>
      </c>
    </row>
    <row r="1270" spans="1:10" ht="26.25" hidden="1" thickBot="1" x14ac:dyDescent="0.3">
      <c r="A1270" s="221"/>
      <c r="B1270" s="223"/>
      <c r="C1270" s="30" t="s">
        <v>389</v>
      </c>
      <c r="D1270" s="30" t="s">
        <v>144</v>
      </c>
      <c r="E1270" s="31">
        <v>1</v>
      </c>
      <c r="F1270" s="28" t="s">
        <v>521</v>
      </c>
      <c r="G1270" s="25" t="str">
        <f t="shared" si="20"/>
        <v/>
      </c>
      <c r="H1270" s="29"/>
      <c r="I1270" s="25"/>
      <c r="J1270" s="138">
        <v>0</v>
      </c>
    </row>
    <row r="1271" spans="1:10" ht="15.75" hidden="1" thickBot="1" x14ac:dyDescent="0.3">
      <c r="A1271" s="227"/>
      <c r="B1271" s="224"/>
      <c r="C1271" s="30"/>
      <c r="D1271" s="30"/>
      <c r="E1271" s="31"/>
      <c r="F1271" s="25" t="s">
        <v>521</v>
      </c>
      <c r="G1271" s="25" t="str">
        <f t="shared" si="20"/>
        <v/>
      </c>
      <c r="H1271" s="29"/>
      <c r="I1271" s="25"/>
      <c r="J1271" s="138">
        <v>0</v>
      </c>
    </row>
    <row r="1272" spans="1:10" ht="15.75" hidden="1" thickBot="1" x14ac:dyDescent="0.3">
      <c r="A1272" s="220" t="s">
        <v>390</v>
      </c>
      <c r="B1272" s="222" t="e">
        <f>INDEX(Orçamentária!A:B,MATCH(Composições!A1272,Orçamentária!A:A,0),2)</f>
        <v>#N/A</v>
      </c>
      <c r="C1272" s="35"/>
      <c r="D1272" s="20" t="s">
        <v>20</v>
      </c>
      <c r="E1272" s="21"/>
      <c r="F1272" s="36" t="s">
        <v>521</v>
      </c>
      <c r="G1272" s="22" t="str">
        <f t="shared" si="20"/>
        <v/>
      </c>
      <c r="H1272" s="23"/>
      <c r="I1272" s="24"/>
      <c r="J1272" s="138">
        <v>0</v>
      </c>
    </row>
    <row r="1273" spans="1:10" ht="15.75" hidden="1" thickBot="1" x14ac:dyDescent="0.3">
      <c r="A1273" s="221"/>
      <c r="B1273" s="223"/>
      <c r="C1273" s="26"/>
      <c r="D1273" s="26"/>
      <c r="E1273" s="27"/>
      <c r="F1273" s="37" t="s">
        <v>521</v>
      </c>
      <c r="G1273" s="25" t="str">
        <f t="shared" si="20"/>
        <v/>
      </c>
      <c r="H1273" s="29"/>
      <c r="I1273" s="25"/>
      <c r="J1273" s="138">
        <v>0</v>
      </c>
    </row>
    <row r="1274" spans="1:10" ht="26.25" hidden="1" thickBot="1" x14ac:dyDescent="0.3">
      <c r="A1274" s="221"/>
      <c r="B1274" s="223"/>
      <c r="C1274" s="30" t="s">
        <v>391</v>
      </c>
      <c r="D1274" s="41" t="s">
        <v>144</v>
      </c>
      <c r="E1274" s="31">
        <v>1</v>
      </c>
      <c r="F1274" s="28" t="s">
        <v>521</v>
      </c>
      <c r="G1274" s="28" t="str">
        <f t="shared" si="20"/>
        <v/>
      </c>
      <c r="H1274" s="33">
        <f>SUM(G1274:G1277)</f>
        <v>46.673499999999997</v>
      </c>
      <c r="I1274" s="34"/>
      <c r="J1274" s="138">
        <v>0</v>
      </c>
    </row>
    <row r="1275" spans="1:10" ht="26.25" hidden="1" thickBot="1" x14ac:dyDescent="0.3">
      <c r="A1275" s="221"/>
      <c r="B1275" s="223"/>
      <c r="C1275" s="30" t="s">
        <v>392</v>
      </c>
      <c r="D1275" s="41" t="s">
        <v>279</v>
      </c>
      <c r="E1275" s="31">
        <v>6</v>
      </c>
      <c r="F1275" s="28">
        <v>0.5605</v>
      </c>
      <c r="G1275" s="28">
        <f t="shared" si="20"/>
        <v>3.363</v>
      </c>
      <c r="H1275" s="29"/>
      <c r="I1275" s="25"/>
      <c r="J1275" s="138">
        <v>0</v>
      </c>
    </row>
    <row r="1276" spans="1:10" ht="15.75" hidden="1" thickBot="1" x14ac:dyDescent="0.3">
      <c r="A1276" s="221"/>
      <c r="B1276" s="223"/>
      <c r="C1276" s="30" t="s">
        <v>22</v>
      </c>
      <c r="D1276" s="30" t="s">
        <v>12</v>
      </c>
      <c r="E1276" s="31">
        <v>1</v>
      </c>
      <c r="F1276" s="25">
        <v>24.889999999999997</v>
      </c>
      <c r="G1276" s="28">
        <f t="shared" si="20"/>
        <v>24.889999999999997</v>
      </c>
      <c r="H1276" s="29"/>
      <c r="I1276" s="25"/>
      <c r="J1276" s="138">
        <v>0</v>
      </c>
    </row>
    <row r="1277" spans="1:10" ht="15.75" hidden="1" thickBot="1" x14ac:dyDescent="0.3">
      <c r="A1277" s="221"/>
      <c r="B1277" s="223"/>
      <c r="C1277" s="30" t="s">
        <v>23</v>
      </c>
      <c r="D1277" s="30" t="s">
        <v>12</v>
      </c>
      <c r="E1277" s="31">
        <v>1</v>
      </c>
      <c r="F1277" s="25">
        <v>18.420500000000001</v>
      </c>
      <c r="G1277" s="28">
        <f t="shared" si="20"/>
        <v>18.420500000000001</v>
      </c>
      <c r="H1277" s="29"/>
      <c r="I1277" s="25"/>
      <c r="J1277" s="138">
        <v>0</v>
      </c>
    </row>
    <row r="1278" spans="1:10" ht="15.75" hidden="1" thickBot="1" x14ac:dyDescent="0.3">
      <c r="A1278" s="227"/>
      <c r="B1278" s="224"/>
      <c r="C1278" s="30"/>
      <c r="D1278" s="30"/>
      <c r="E1278" s="31"/>
      <c r="F1278" s="25" t="s">
        <v>521</v>
      </c>
      <c r="G1278" s="25" t="str">
        <f t="shared" si="20"/>
        <v/>
      </c>
      <c r="H1278" s="29"/>
      <c r="I1278" s="25"/>
      <c r="J1278" s="138">
        <v>0</v>
      </c>
    </row>
    <row r="1279" spans="1:10" ht="15.75" hidden="1" thickBot="1" x14ac:dyDescent="0.3">
      <c r="A1279" s="220" t="s">
        <v>393</v>
      </c>
      <c r="B1279" s="222" t="e">
        <f>INDEX(Orçamentária!A:B,MATCH(Composições!A1279,Orçamentária!A:A,0),2)</f>
        <v>#N/A</v>
      </c>
      <c r="C1279" s="35"/>
      <c r="D1279" s="20" t="s">
        <v>20</v>
      </c>
      <c r="E1279" s="21"/>
      <c r="F1279" s="36" t="s">
        <v>521</v>
      </c>
      <c r="G1279" s="22" t="str">
        <f t="shared" si="20"/>
        <v/>
      </c>
      <c r="H1279" s="23"/>
      <c r="I1279" s="24"/>
      <c r="J1279" s="138">
        <v>0</v>
      </c>
    </row>
    <row r="1280" spans="1:10" ht="15.75" hidden="1" thickBot="1" x14ac:dyDescent="0.3">
      <c r="A1280" s="221"/>
      <c r="B1280" s="223"/>
      <c r="C1280" s="26"/>
      <c r="D1280" s="26"/>
      <c r="E1280" s="27"/>
      <c r="F1280" s="37" t="s">
        <v>521</v>
      </c>
      <c r="G1280" s="25" t="str">
        <f t="shared" si="20"/>
        <v/>
      </c>
      <c r="H1280" s="29"/>
      <c r="I1280" s="25"/>
      <c r="J1280" s="138">
        <v>0</v>
      </c>
    </row>
    <row r="1281" spans="1:10" ht="26.25" hidden="1" thickBot="1" x14ac:dyDescent="0.3">
      <c r="A1281" s="221"/>
      <c r="B1281" s="223"/>
      <c r="C1281" s="30" t="s">
        <v>394</v>
      </c>
      <c r="D1281" s="41" t="s">
        <v>144</v>
      </c>
      <c r="E1281" s="31">
        <v>1</v>
      </c>
      <c r="F1281" s="28" t="s">
        <v>521</v>
      </c>
      <c r="G1281" s="28" t="str">
        <f t="shared" si="20"/>
        <v/>
      </c>
      <c r="H1281" s="33">
        <f>SUM(G1281:G1284)</f>
        <v>46.673499999999997</v>
      </c>
      <c r="I1281" s="34"/>
      <c r="J1281" s="138">
        <v>0</v>
      </c>
    </row>
    <row r="1282" spans="1:10" ht="26.25" hidden="1" thickBot="1" x14ac:dyDescent="0.3">
      <c r="A1282" s="221"/>
      <c r="B1282" s="223"/>
      <c r="C1282" s="30" t="s">
        <v>392</v>
      </c>
      <c r="D1282" s="41" t="s">
        <v>279</v>
      </c>
      <c r="E1282" s="31">
        <v>6</v>
      </c>
      <c r="F1282" s="28">
        <v>0.5605</v>
      </c>
      <c r="G1282" s="28">
        <f t="shared" si="20"/>
        <v>3.363</v>
      </c>
      <c r="H1282" s="29"/>
      <c r="I1282" s="25"/>
      <c r="J1282" s="138">
        <v>0</v>
      </c>
    </row>
    <row r="1283" spans="1:10" ht="15.75" hidden="1" thickBot="1" x14ac:dyDescent="0.3">
      <c r="A1283" s="221"/>
      <c r="B1283" s="223"/>
      <c r="C1283" s="30" t="s">
        <v>22</v>
      </c>
      <c r="D1283" s="30" t="s">
        <v>12</v>
      </c>
      <c r="E1283" s="31">
        <v>1</v>
      </c>
      <c r="F1283" s="25">
        <v>24.889999999999997</v>
      </c>
      <c r="G1283" s="28">
        <f t="shared" si="20"/>
        <v>24.889999999999997</v>
      </c>
      <c r="H1283" s="29"/>
      <c r="I1283" s="25"/>
      <c r="J1283" s="138">
        <v>0</v>
      </c>
    </row>
    <row r="1284" spans="1:10" ht="15.75" hidden="1" thickBot="1" x14ac:dyDescent="0.3">
      <c r="A1284" s="221"/>
      <c r="B1284" s="223"/>
      <c r="C1284" s="30" t="s">
        <v>23</v>
      </c>
      <c r="D1284" s="30" t="s">
        <v>12</v>
      </c>
      <c r="E1284" s="31">
        <v>1</v>
      </c>
      <c r="F1284" s="25">
        <v>18.420500000000001</v>
      </c>
      <c r="G1284" s="28">
        <f t="shared" si="20"/>
        <v>18.420500000000001</v>
      </c>
      <c r="H1284" s="29"/>
      <c r="I1284" s="25"/>
      <c r="J1284" s="138">
        <v>0</v>
      </c>
    </row>
    <row r="1285" spans="1:10" ht="15.75" hidden="1" thickBot="1" x14ac:dyDescent="0.3">
      <c r="A1285" s="227"/>
      <c r="B1285" s="224"/>
      <c r="C1285" s="30"/>
      <c r="D1285" s="30"/>
      <c r="E1285" s="31"/>
      <c r="F1285" s="25" t="s">
        <v>521</v>
      </c>
      <c r="G1285" s="25" t="str">
        <f t="shared" si="20"/>
        <v/>
      </c>
      <c r="H1285" s="29"/>
      <c r="I1285" s="25"/>
      <c r="J1285" s="138">
        <v>0</v>
      </c>
    </row>
    <row r="1286" spans="1:10" ht="15.75" hidden="1" thickBot="1" x14ac:dyDescent="0.3">
      <c r="A1286" s="220" t="s">
        <v>395</v>
      </c>
      <c r="B1286" s="222" t="e">
        <f>INDEX(Orçamentária!A:B,MATCH(Composições!A1286,Orçamentária!A:A,0),2)</f>
        <v>#N/A</v>
      </c>
      <c r="C1286" s="35"/>
      <c r="D1286" s="20" t="s">
        <v>20</v>
      </c>
      <c r="E1286" s="21"/>
      <c r="F1286" s="36" t="s">
        <v>521</v>
      </c>
      <c r="G1286" s="22" t="str">
        <f t="shared" si="20"/>
        <v/>
      </c>
      <c r="H1286" s="23"/>
      <c r="I1286" s="24"/>
      <c r="J1286" s="138">
        <v>0</v>
      </c>
    </row>
    <row r="1287" spans="1:10" ht="15.75" hidden="1" thickBot="1" x14ac:dyDescent="0.3">
      <c r="A1287" s="221"/>
      <c r="B1287" s="223"/>
      <c r="C1287" s="26"/>
      <c r="D1287" s="26"/>
      <c r="E1287" s="27"/>
      <c r="F1287" s="37" t="s">
        <v>521</v>
      </c>
      <c r="G1287" s="25" t="str">
        <f t="shared" si="20"/>
        <v/>
      </c>
      <c r="H1287" s="29"/>
      <c r="I1287" s="25"/>
      <c r="J1287" s="138">
        <v>0</v>
      </c>
    </row>
    <row r="1288" spans="1:10" ht="26.25" hidden="1" thickBot="1" x14ac:dyDescent="0.3">
      <c r="A1288" s="221"/>
      <c r="B1288" s="223"/>
      <c r="C1288" s="30" t="s">
        <v>396</v>
      </c>
      <c r="D1288" s="41" t="s">
        <v>144</v>
      </c>
      <c r="E1288" s="31">
        <v>1</v>
      </c>
      <c r="F1288" s="28" t="s">
        <v>521</v>
      </c>
      <c r="G1288" s="28" t="str">
        <f t="shared" si="20"/>
        <v/>
      </c>
      <c r="H1288" s="33">
        <f>SUM(G1288:G1291)</f>
        <v>46.673499999999997</v>
      </c>
      <c r="I1288" s="34"/>
      <c r="J1288" s="138">
        <v>0</v>
      </c>
    </row>
    <row r="1289" spans="1:10" ht="26.25" hidden="1" thickBot="1" x14ac:dyDescent="0.3">
      <c r="A1289" s="221"/>
      <c r="B1289" s="223"/>
      <c r="C1289" s="30" t="s">
        <v>392</v>
      </c>
      <c r="D1289" s="41" t="s">
        <v>279</v>
      </c>
      <c r="E1289" s="31">
        <v>6</v>
      </c>
      <c r="F1289" s="28">
        <v>0.5605</v>
      </c>
      <c r="G1289" s="28">
        <f t="shared" si="20"/>
        <v>3.363</v>
      </c>
      <c r="H1289" s="29"/>
      <c r="I1289" s="25"/>
      <c r="J1289" s="138">
        <v>0</v>
      </c>
    </row>
    <row r="1290" spans="1:10" ht="15.75" hidden="1" thickBot="1" x14ac:dyDescent="0.3">
      <c r="A1290" s="221"/>
      <c r="B1290" s="223"/>
      <c r="C1290" s="30" t="s">
        <v>22</v>
      </c>
      <c r="D1290" s="30" t="s">
        <v>12</v>
      </c>
      <c r="E1290" s="31">
        <v>1</v>
      </c>
      <c r="F1290" s="25">
        <v>24.889999999999997</v>
      </c>
      <c r="G1290" s="28">
        <f t="shared" si="20"/>
        <v>24.889999999999997</v>
      </c>
      <c r="H1290" s="29"/>
      <c r="I1290" s="25"/>
      <c r="J1290" s="138">
        <v>0</v>
      </c>
    </row>
    <row r="1291" spans="1:10" ht="15.75" hidden="1" thickBot="1" x14ac:dyDescent="0.3">
      <c r="A1291" s="221"/>
      <c r="B1291" s="223"/>
      <c r="C1291" s="30" t="s">
        <v>23</v>
      </c>
      <c r="D1291" s="30" t="s">
        <v>12</v>
      </c>
      <c r="E1291" s="31">
        <v>1</v>
      </c>
      <c r="F1291" s="25">
        <v>18.420500000000001</v>
      </c>
      <c r="G1291" s="28">
        <f t="shared" si="20"/>
        <v>18.420500000000001</v>
      </c>
      <c r="H1291" s="29"/>
      <c r="I1291" s="25"/>
      <c r="J1291" s="138">
        <v>0</v>
      </c>
    </row>
    <row r="1292" spans="1:10" ht="15.75" hidden="1" thickBot="1" x14ac:dyDescent="0.3">
      <c r="A1292" s="227"/>
      <c r="B1292" s="224"/>
      <c r="C1292" s="30"/>
      <c r="D1292" s="30"/>
      <c r="E1292" s="31"/>
      <c r="F1292" s="25" t="s">
        <v>521</v>
      </c>
      <c r="G1292" s="25" t="str">
        <f t="shared" si="20"/>
        <v/>
      </c>
      <c r="H1292" s="29"/>
      <c r="I1292" s="25"/>
      <c r="J1292" s="138">
        <v>0</v>
      </c>
    </row>
    <row r="1293" spans="1:10" ht="15.75" hidden="1" thickBot="1" x14ac:dyDescent="0.3">
      <c r="A1293" s="220" t="s">
        <v>397</v>
      </c>
      <c r="B1293" s="222" t="e">
        <f>INDEX(Orçamentária!A:B,MATCH(Composições!A1293,Orçamentária!A:A,0),2)</f>
        <v>#N/A</v>
      </c>
      <c r="C1293" s="35"/>
      <c r="D1293" s="20" t="s">
        <v>20</v>
      </c>
      <c r="E1293" s="21"/>
      <c r="F1293" s="36" t="s">
        <v>521</v>
      </c>
      <c r="G1293" s="22" t="str">
        <f t="shared" si="20"/>
        <v/>
      </c>
      <c r="H1293" s="23"/>
      <c r="I1293" s="24"/>
      <c r="J1293" s="138">
        <v>0</v>
      </c>
    </row>
    <row r="1294" spans="1:10" ht="15.75" hidden="1" thickBot="1" x14ac:dyDescent="0.3">
      <c r="A1294" s="221"/>
      <c r="B1294" s="223"/>
      <c r="C1294" s="26"/>
      <c r="D1294" s="26"/>
      <c r="E1294" s="27"/>
      <c r="F1294" s="37" t="s">
        <v>521</v>
      </c>
      <c r="G1294" s="25" t="str">
        <f t="shared" si="20"/>
        <v/>
      </c>
      <c r="H1294" s="29"/>
      <c r="I1294" s="25"/>
      <c r="J1294" s="138">
        <v>0</v>
      </c>
    </row>
    <row r="1295" spans="1:10" ht="15.75" hidden="1" thickBot="1" x14ac:dyDescent="0.3">
      <c r="A1295" s="221"/>
      <c r="B1295" s="223"/>
      <c r="C1295" s="30" t="s">
        <v>22</v>
      </c>
      <c r="D1295" s="30" t="s">
        <v>12</v>
      </c>
      <c r="E1295" s="31">
        <v>1</v>
      </c>
      <c r="F1295" s="25">
        <v>24.889999999999997</v>
      </c>
      <c r="G1295" s="28">
        <f t="shared" si="20"/>
        <v>24.889999999999997</v>
      </c>
      <c r="H1295" s="33">
        <f>SUM(G1295:G1298)</f>
        <v>46.673499999999997</v>
      </c>
      <c r="I1295" s="34"/>
      <c r="J1295" s="138">
        <v>0</v>
      </c>
    </row>
    <row r="1296" spans="1:10" ht="15.75" hidden="1" thickBot="1" x14ac:dyDescent="0.3">
      <c r="A1296" s="221"/>
      <c r="B1296" s="223"/>
      <c r="C1296" s="30" t="s">
        <v>23</v>
      </c>
      <c r="D1296" s="30" t="s">
        <v>12</v>
      </c>
      <c r="E1296" s="31">
        <v>1</v>
      </c>
      <c r="F1296" s="25">
        <v>18.420500000000001</v>
      </c>
      <c r="G1296" s="28">
        <f t="shared" si="20"/>
        <v>18.420500000000001</v>
      </c>
      <c r="H1296" s="29"/>
      <c r="I1296" s="25"/>
      <c r="J1296" s="138">
        <v>0</v>
      </c>
    </row>
    <row r="1297" spans="1:10" ht="26.25" hidden="1" thickBot="1" x14ac:dyDescent="0.3">
      <c r="A1297" s="221"/>
      <c r="B1297" s="223"/>
      <c r="C1297" s="30" t="s">
        <v>398</v>
      </c>
      <c r="D1297" s="30" t="s">
        <v>20</v>
      </c>
      <c r="E1297" s="31">
        <v>1</v>
      </c>
      <c r="F1297" s="28" t="s">
        <v>521</v>
      </c>
      <c r="G1297" s="25" t="str">
        <f t="shared" si="20"/>
        <v/>
      </c>
      <c r="H1297" s="29"/>
      <c r="I1297" s="25"/>
      <c r="J1297" s="138">
        <v>0</v>
      </c>
    </row>
    <row r="1298" spans="1:10" ht="26.25" hidden="1" thickBot="1" x14ac:dyDescent="0.3">
      <c r="A1298" s="221"/>
      <c r="B1298" s="223"/>
      <c r="C1298" s="30" t="s">
        <v>392</v>
      </c>
      <c r="D1298" s="41" t="s">
        <v>279</v>
      </c>
      <c r="E1298" s="31">
        <v>6</v>
      </c>
      <c r="F1298" s="28">
        <v>0.5605</v>
      </c>
      <c r="G1298" s="28">
        <f t="shared" ref="G1298:G1361" si="21">IF(ISNUMBER(F1298),E1298*F1298,"")</f>
        <v>3.363</v>
      </c>
      <c r="H1298" s="29"/>
      <c r="I1298" s="25"/>
      <c r="J1298" s="138">
        <v>0</v>
      </c>
    </row>
    <row r="1299" spans="1:10" ht="15.75" hidden="1" thickBot="1" x14ac:dyDescent="0.3">
      <c r="A1299" s="227"/>
      <c r="B1299" s="224"/>
      <c r="C1299" s="30"/>
      <c r="D1299" s="30"/>
      <c r="E1299" s="31"/>
      <c r="F1299" s="25" t="s">
        <v>521</v>
      </c>
      <c r="G1299" s="25" t="str">
        <f t="shared" si="21"/>
        <v/>
      </c>
      <c r="H1299" s="29"/>
      <c r="I1299" s="25"/>
      <c r="J1299" s="138">
        <v>0</v>
      </c>
    </row>
    <row r="1300" spans="1:10" ht="15.75" hidden="1" thickBot="1" x14ac:dyDescent="0.3">
      <c r="A1300" s="220" t="s">
        <v>399</v>
      </c>
      <c r="B1300" s="222" t="e">
        <f>INDEX(Orçamentária!A:B,MATCH(Composições!A1300,Orçamentária!A:A,0),2)</f>
        <v>#N/A</v>
      </c>
      <c r="C1300" s="35"/>
      <c r="D1300" s="20" t="s">
        <v>20</v>
      </c>
      <c r="E1300" s="21"/>
      <c r="F1300" s="36" t="s">
        <v>521</v>
      </c>
      <c r="G1300" s="22" t="str">
        <f t="shared" si="21"/>
        <v/>
      </c>
      <c r="H1300" s="23"/>
      <c r="I1300" s="24"/>
      <c r="J1300" s="138">
        <v>0</v>
      </c>
    </row>
    <row r="1301" spans="1:10" ht="15.75" hidden="1" thickBot="1" x14ac:dyDescent="0.3">
      <c r="A1301" s="221"/>
      <c r="B1301" s="223"/>
      <c r="C1301" s="26"/>
      <c r="D1301" s="26"/>
      <c r="E1301" s="27"/>
      <c r="F1301" s="37" t="s">
        <v>521</v>
      </c>
      <c r="G1301" s="25" t="str">
        <f t="shared" si="21"/>
        <v/>
      </c>
      <c r="H1301" s="29"/>
      <c r="I1301" s="25"/>
      <c r="J1301" s="138">
        <v>0</v>
      </c>
    </row>
    <row r="1302" spans="1:10" ht="26.25" hidden="1" thickBot="1" x14ac:dyDescent="0.3">
      <c r="A1302" s="221"/>
      <c r="B1302" s="223"/>
      <c r="C1302" s="30" t="s">
        <v>400</v>
      </c>
      <c r="D1302" s="41" t="s">
        <v>144</v>
      </c>
      <c r="E1302" s="31">
        <v>1</v>
      </c>
      <c r="F1302" s="28" t="s">
        <v>521</v>
      </c>
      <c r="G1302" s="28" t="str">
        <f t="shared" si="21"/>
        <v/>
      </c>
      <c r="H1302" s="33">
        <f>SUM(G1302:G1306)</f>
        <v>44.255010900000002</v>
      </c>
      <c r="I1302" s="34"/>
      <c r="J1302" s="138">
        <v>0</v>
      </c>
    </row>
    <row r="1303" spans="1:10" ht="26.25" hidden="1" thickBot="1" x14ac:dyDescent="0.3">
      <c r="A1303" s="221"/>
      <c r="B1303" s="223"/>
      <c r="C1303" s="30" t="s">
        <v>340</v>
      </c>
      <c r="D1303" s="41" t="s">
        <v>279</v>
      </c>
      <c r="E1303" s="31">
        <v>2</v>
      </c>
      <c r="F1303" s="28">
        <v>14.706</v>
      </c>
      <c r="G1303" s="28">
        <f t="shared" si="21"/>
        <v>29.411999999999999</v>
      </c>
      <c r="H1303" s="29"/>
      <c r="I1303" s="25"/>
      <c r="J1303" s="138">
        <v>0</v>
      </c>
    </row>
    <row r="1304" spans="1:10" ht="15.75" hidden="1" thickBot="1" x14ac:dyDescent="0.3">
      <c r="A1304" s="221"/>
      <c r="B1304" s="223"/>
      <c r="C1304" s="30" t="s">
        <v>1833</v>
      </c>
      <c r="D1304" s="41" t="s">
        <v>42</v>
      </c>
      <c r="E1304" s="31">
        <v>3.04E-2</v>
      </c>
      <c r="F1304" s="28">
        <v>64.619</v>
      </c>
      <c r="G1304" s="28">
        <f t="shared" si="21"/>
        <v>1.9644176</v>
      </c>
      <c r="H1304" s="29"/>
      <c r="I1304" s="25"/>
      <c r="J1304" s="138">
        <v>0</v>
      </c>
    </row>
    <row r="1305" spans="1:10" ht="15.75" hidden="1" thickBot="1" x14ac:dyDescent="0.3">
      <c r="A1305" s="221"/>
      <c r="B1305" s="223"/>
      <c r="C1305" s="30" t="s">
        <v>39</v>
      </c>
      <c r="D1305" s="41" t="s">
        <v>12</v>
      </c>
      <c r="E1305" s="31">
        <v>0.38700000000000001</v>
      </c>
      <c r="F1305" s="25">
        <v>24.300999999999998</v>
      </c>
      <c r="G1305" s="28">
        <f t="shared" si="21"/>
        <v>9.4044869999999996</v>
      </c>
      <c r="H1305" s="29"/>
      <c r="I1305" s="25"/>
      <c r="J1305" s="138">
        <v>0</v>
      </c>
    </row>
    <row r="1306" spans="1:10" ht="15.75" hidden="1" thickBot="1" x14ac:dyDescent="0.3">
      <c r="A1306" s="221"/>
      <c r="B1306" s="223"/>
      <c r="C1306" s="30" t="s">
        <v>23</v>
      </c>
      <c r="D1306" s="41" t="s">
        <v>12</v>
      </c>
      <c r="E1306" s="31">
        <v>0.18859999999999999</v>
      </c>
      <c r="F1306" s="25">
        <v>18.420500000000001</v>
      </c>
      <c r="G1306" s="28">
        <f t="shared" si="21"/>
        <v>3.4741062999999999</v>
      </c>
      <c r="H1306" s="29"/>
      <c r="I1306" s="25"/>
      <c r="J1306" s="138">
        <v>0</v>
      </c>
    </row>
    <row r="1307" spans="1:10" ht="15.75" hidden="1" thickBot="1" x14ac:dyDescent="0.3">
      <c r="A1307" s="227"/>
      <c r="B1307" s="224"/>
      <c r="C1307" s="30"/>
      <c r="D1307" s="30"/>
      <c r="E1307" s="31"/>
      <c r="F1307" s="25" t="s">
        <v>521</v>
      </c>
      <c r="G1307" s="25" t="str">
        <f t="shared" si="21"/>
        <v/>
      </c>
      <c r="H1307" s="29"/>
      <c r="I1307" s="25"/>
      <c r="J1307" s="138">
        <v>0</v>
      </c>
    </row>
    <row r="1308" spans="1:10" ht="15.75" hidden="1" thickBot="1" x14ac:dyDescent="0.3">
      <c r="A1308" s="220" t="s">
        <v>401</v>
      </c>
      <c r="B1308" s="222" t="e">
        <f>INDEX(Orçamentária!A:B,MATCH(Composições!A1308,Orçamentária!A:A,0),2)</f>
        <v>#N/A</v>
      </c>
      <c r="C1308" s="35"/>
      <c r="D1308" s="20" t="s">
        <v>20</v>
      </c>
      <c r="E1308" s="21"/>
      <c r="F1308" s="36" t="s">
        <v>521</v>
      </c>
      <c r="G1308" s="22" t="str">
        <f t="shared" si="21"/>
        <v/>
      </c>
      <c r="H1308" s="23"/>
      <c r="I1308" s="24"/>
      <c r="J1308" s="138">
        <v>0</v>
      </c>
    </row>
    <row r="1309" spans="1:10" ht="15.75" hidden="1" thickBot="1" x14ac:dyDescent="0.3">
      <c r="A1309" s="221"/>
      <c r="B1309" s="223"/>
      <c r="C1309" s="26"/>
      <c r="D1309" s="26"/>
      <c r="E1309" s="27"/>
      <c r="F1309" s="37" t="s">
        <v>521</v>
      </c>
      <c r="G1309" s="25" t="str">
        <f t="shared" si="21"/>
        <v/>
      </c>
      <c r="H1309" s="29"/>
      <c r="I1309" s="25"/>
      <c r="J1309" s="138">
        <v>0</v>
      </c>
    </row>
    <row r="1310" spans="1:10" ht="15.75" hidden="1" thickBot="1" x14ac:dyDescent="0.3">
      <c r="A1310" s="221"/>
      <c r="B1310" s="223"/>
      <c r="C1310" s="30" t="s">
        <v>39</v>
      </c>
      <c r="D1310" s="41" t="s">
        <v>12</v>
      </c>
      <c r="E1310" s="31">
        <v>1.4666999999999999</v>
      </c>
      <c r="F1310" s="25">
        <v>24.300999999999998</v>
      </c>
      <c r="G1310" s="28">
        <f t="shared" si="21"/>
        <v>35.642276699999996</v>
      </c>
      <c r="H1310" s="33">
        <f>SUM(G1310:G1315)</f>
        <v>141.47892195</v>
      </c>
      <c r="I1310" s="34"/>
      <c r="J1310" s="138">
        <v>0</v>
      </c>
    </row>
    <row r="1311" spans="1:10" ht="15.75" hidden="1" thickBot="1" x14ac:dyDescent="0.3">
      <c r="A1311" s="221"/>
      <c r="B1311" s="223"/>
      <c r="C1311" s="30" t="s">
        <v>23</v>
      </c>
      <c r="D1311" s="41" t="s">
        <v>12</v>
      </c>
      <c r="E1311" s="31">
        <v>0.65169999999999995</v>
      </c>
      <c r="F1311" s="25">
        <v>18.420500000000001</v>
      </c>
      <c r="G1311" s="28">
        <f t="shared" si="21"/>
        <v>12.00463985</v>
      </c>
      <c r="H1311" s="29"/>
      <c r="I1311" s="25"/>
      <c r="J1311" s="138">
        <v>0</v>
      </c>
    </row>
    <row r="1312" spans="1:10" ht="26.25" hidden="1" thickBot="1" x14ac:dyDescent="0.3">
      <c r="A1312" s="221"/>
      <c r="B1312" s="223"/>
      <c r="C1312" s="30" t="s">
        <v>400</v>
      </c>
      <c r="D1312" s="41" t="s">
        <v>144</v>
      </c>
      <c r="E1312" s="31">
        <v>1</v>
      </c>
      <c r="F1312" s="28" t="s">
        <v>521</v>
      </c>
      <c r="G1312" s="28" t="str">
        <f t="shared" si="21"/>
        <v/>
      </c>
      <c r="H1312" s="29"/>
      <c r="I1312" s="25"/>
      <c r="J1312" s="138">
        <v>0</v>
      </c>
    </row>
    <row r="1313" spans="1:10" ht="26.25" hidden="1" thickBot="1" x14ac:dyDescent="0.3">
      <c r="A1313" s="221"/>
      <c r="B1313" s="223"/>
      <c r="C1313" s="30" t="s">
        <v>340</v>
      </c>
      <c r="D1313" s="41" t="s">
        <v>279</v>
      </c>
      <c r="E1313" s="31">
        <v>6</v>
      </c>
      <c r="F1313" s="28">
        <v>14.706</v>
      </c>
      <c r="G1313" s="28">
        <f t="shared" si="21"/>
        <v>88.23599999999999</v>
      </c>
      <c r="H1313" s="29"/>
      <c r="I1313" s="25"/>
      <c r="J1313" s="138">
        <v>0</v>
      </c>
    </row>
    <row r="1314" spans="1:10" ht="15.75" hidden="1" thickBot="1" x14ac:dyDescent="0.3">
      <c r="A1314" s="221"/>
      <c r="B1314" s="223"/>
      <c r="C1314" s="30" t="s">
        <v>1833</v>
      </c>
      <c r="D1314" s="41" t="s">
        <v>42</v>
      </c>
      <c r="E1314" s="31">
        <v>8.6599999999999996E-2</v>
      </c>
      <c r="F1314" s="28">
        <v>64.619</v>
      </c>
      <c r="G1314" s="28">
        <f t="shared" si="21"/>
        <v>5.5960054000000001</v>
      </c>
      <c r="H1314" s="29"/>
      <c r="I1314" s="25"/>
      <c r="J1314" s="138">
        <v>0</v>
      </c>
    </row>
    <row r="1315" spans="1:10" ht="26.25" hidden="1" thickBot="1" x14ac:dyDescent="0.3">
      <c r="A1315" s="221"/>
      <c r="B1315" s="223"/>
      <c r="C1315" s="30" t="s">
        <v>402</v>
      </c>
      <c r="D1315" s="30" t="s">
        <v>20</v>
      </c>
      <c r="E1315" s="31">
        <v>1</v>
      </c>
      <c r="F1315" s="28" t="s">
        <v>521</v>
      </c>
      <c r="G1315" s="25" t="str">
        <f t="shared" si="21"/>
        <v/>
      </c>
      <c r="H1315" s="29"/>
      <c r="I1315" s="25"/>
      <c r="J1315" s="138">
        <v>0</v>
      </c>
    </row>
    <row r="1316" spans="1:10" ht="15.75" hidden="1" thickBot="1" x14ac:dyDescent="0.3">
      <c r="A1316" s="221"/>
      <c r="B1316" s="223"/>
      <c r="C1316" s="30"/>
      <c r="D1316" s="30"/>
      <c r="E1316" s="31"/>
      <c r="F1316" s="28" t="s">
        <v>521</v>
      </c>
      <c r="G1316" s="25" t="str">
        <f t="shared" si="21"/>
        <v/>
      </c>
      <c r="H1316" s="29"/>
      <c r="I1316" s="25"/>
      <c r="J1316" s="138">
        <v>0</v>
      </c>
    </row>
    <row r="1317" spans="1:10" ht="15.75" hidden="1" thickBot="1" x14ac:dyDescent="0.3">
      <c r="A1317" s="220" t="s">
        <v>403</v>
      </c>
      <c r="B1317" s="222" t="e">
        <f>INDEX(Orçamentária!A:B,MATCH(Composições!A1317,Orçamentária!A:A,0),2)</f>
        <v>#N/A</v>
      </c>
      <c r="C1317" s="35"/>
      <c r="D1317" s="20" t="s">
        <v>20</v>
      </c>
      <c r="E1317" s="21"/>
      <c r="F1317" s="36" t="s">
        <v>521</v>
      </c>
      <c r="G1317" s="22" t="str">
        <f t="shared" si="21"/>
        <v/>
      </c>
      <c r="H1317" s="23"/>
      <c r="I1317" s="24"/>
      <c r="J1317" s="138">
        <v>0</v>
      </c>
    </row>
    <row r="1318" spans="1:10" ht="15.75" hidden="1" thickBot="1" x14ac:dyDescent="0.3">
      <c r="A1318" s="221"/>
      <c r="B1318" s="223"/>
      <c r="C1318" s="26"/>
      <c r="D1318" s="26"/>
      <c r="E1318" s="27"/>
      <c r="F1318" s="37" t="s">
        <v>521</v>
      </c>
      <c r="G1318" s="25" t="str">
        <f t="shared" si="21"/>
        <v/>
      </c>
      <c r="H1318" s="29"/>
      <c r="I1318" s="25"/>
      <c r="J1318" s="138">
        <v>0</v>
      </c>
    </row>
    <row r="1319" spans="1:10" ht="15.75" hidden="1" thickBot="1" x14ac:dyDescent="0.3">
      <c r="A1319" s="221"/>
      <c r="B1319" s="223"/>
      <c r="C1319" s="30" t="s">
        <v>404</v>
      </c>
      <c r="D1319" s="41" t="s">
        <v>144</v>
      </c>
      <c r="E1319" s="31">
        <v>1</v>
      </c>
      <c r="F1319" s="28" t="s">
        <v>521</v>
      </c>
      <c r="G1319" s="28" t="str">
        <f t="shared" si="21"/>
        <v/>
      </c>
      <c r="H1319" s="33">
        <f>SUM(G1319:G1321)</f>
        <v>9.5186579999999985</v>
      </c>
      <c r="I1319" s="34"/>
      <c r="J1319" s="138">
        <v>0</v>
      </c>
    </row>
    <row r="1320" spans="1:10" ht="15.75" hidden="1" thickBot="1" x14ac:dyDescent="0.3">
      <c r="A1320" s="221"/>
      <c r="B1320" s="223"/>
      <c r="C1320" s="30" t="s">
        <v>39</v>
      </c>
      <c r="D1320" s="41" t="s">
        <v>12</v>
      </c>
      <c r="E1320" s="31">
        <v>0.31619999999999998</v>
      </c>
      <c r="F1320" s="25">
        <v>24.300999999999998</v>
      </c>
      <c r="G1320" s="28">
        <f t="shared" si="21"/>
        <v>7.6839761999999991</v>
      </c>
      <c r="H1320" s="29"/>
      <c r="I1320" s="25"/>
      <c r="J1320" s="138">
        <v>0</v>
      </c>
    </row>
    <row r="1321" spans="1:10" ht="15.75" hidden="1" thickBot="1" x14ac:dyDescent="0.3">
      <c r="A1321" s="221"/>
      <c r="B1321" s="223"/>
      <c r="C1321" s="30" t="s">
        <v>23</v>
      </c>
      <c r="D1321" s="41" t="s">
        <v>12</v>
      </c>
      <c r="E1321" s="31">
        <v>9.9599999999999994E-2</v>
      </c>
      <c r="F1321" s="25">
        <v>18.420500000000001</v>
      </c>
      <c r="G1321" s="28">
        <f t="shared" si="21"/>
        <v>1.8346818</v>
      </c>
      <c r="H1321" s="29"/>
      <c r="I1321" s="25"/>
      <c r="J1321" s="138">
        <v>0</v>
      </c>
    </row>
    <row r="1322" spans="1:10" ht="15.75" hidden="1" thickBot="1" x14ac:dyDescent="0.3">
      <c r="A1322" s="227"/>
      <c r="B1322" s="224"/>
      <c r="C1322" s="30"/>
      <c r="D1322" s="30"/>
      <c r="E1322" s="31"/>
      <c r="F1322" s="25" t="s">
        <v>521</v>
      </c>
      <c r="G1322" s="25" t="str">
        <f t="shared" si="21"/>
        <v/>
      </c>
      <c r="H1322" s="29"/>
      <c r="I1322" s="25"/>
      <c r="J1322" s="138">
        <v>0</v>
      </c>
    </row>
    <row r="1323" spans="1:10" ht="15.75" hidden="1" thickBot="1" x14ac:dyDescent="0.3">
      <c r="A1323" s="220" t="s">
        <v>405</v>
      </c>
      <c r="B1323" s="222" t="e">
        <f>INDEX(Orçamentária!A:B,MATCH(Composições!A1323,Orçamentária!A:A,0),2)</f>
        <v>#N/A</v>
      </c>
      <c r="C1323" s="35"/>
      <c r="D1323" s="20" t="s">
        <v>20</v>
      </c>
      <c r="E1323" s="21"/>
      <c r="F1323" s="36" t="s">
        <v>521</v>
      </c>
      <c r="G1323" s="22" t="str">
        <f t="shared" si="21"/>
        <v/>
      </c>
      <c r="H1323" s="23"/>
      <c r="I1323" s="24"/>
      <c r="J1323" s="138">
        <v>0</v>
      </c>
    </row>
    <row r="1324" spans="1:10" ht="15.75" hidden="1" thickBot="1" x14ac:dyDescent="0.3">
      <c r="A1324" s="221"/>
      <c r="B1324" s="223"/>
      <c r="C1324" s="26"/>
      <c r="D1324" s="26"/>
      <c r="E1324" s="27"/>
      <c r="F1324" s="37" t="s">
        <v>521</v>
      </c>
      <c r="G1324" s="25" t="str">
        <f t="shared" si="21"/>
        <v/>
      </c>
      <c r="H1324" s="29"/>
      <c r="I1324" s="25"/>
      <c r="J1324" s="138">
        <v>0</v>
      </c>
    </row>
    <row r="1325" spans="1:10" ht="15.75" hidden="1" thickBot="1" x14ac:dyDescent="0.3">
      <c r="A1325" s="221"/>
      <c r="B1325" s="223"/>
      <c r="C1325" s="30" t="s">
        <v>406</v>
      </c>
      <c r="D1325" s="41" t="s">
        <v>144</v>
      </c>
      <c r="E1325" s="31">
        <v>1</v>
      </c>
      <c r="F1325" s="28" t="s">
        <v>521</v>
      </c>
      <c r="G1325" s="28" t="str">
        <f t="shared" si="21"/>
        <v/>
      </c>
      <c r="H1325" s="33">
        <f>SUM(G1325:G1327)</f>
        <v>9.5186579999999985</v>
      </c>
      <c r="I1325" s="34"/>
      <c r="J1325" s="138">
        <v>0</v>
      </c>
    </row>
    <row r="1326" spans="1:10" ht="15.75" hidden="1" thickBot="1" x14ac:dyDescent="0.3">
      <c r="A1326" s="221"/>
      <c r="B1326" s="223"/>
      <c r="C1326" s="30" t="s">
        <v>39</v>
      </c>
      <c r="D1326" s="41" t="s">
        <v>12</v>
      </c>
      <c r="E1326" s="31">
        <v>0.31619999999999998</v>
      </c>
      <c r="F1326" s="25">
        <v>24.300999999999998</v>
      </c>
      <c r="G1326" s="28">
        <f t="shared" si="21"/>
        <v>7.6839761999999991</v>
      </c>
      <c r="H1326" s="29"/>
      <c r="I1326" s="25"/>
      <c r="J1326" s="138">
        <v>0</v>
      </c>
    </row>
    <row r="1327" spans="1:10" ht="15.75" hidden="1" thickBot="1" x14ac:dyDescent="0.3">
      <c r="A1327" s="221"/>
      <c r="B1327" s="223"/>
      <c r="C1327" s="30" t="s">
        <v>23</v>
      </c>
      <c r="D1327" s="41" t="s">
        <v>12</v>
      </c>
      <c r="E1327" s="31">
        <v>9.9599999999999994E-2</v>
      </c>
      <c r="F1327" s="25">
        <v>18.420500000000001</v>
      </c>
      <c r="G1327" s="28">
        <f t="shared" si="21"/>
        <v>1.8346818</v>
      </c>
      <c r="H1327" s="29"/>
      <c r="I1327" s="25"/>
      <c r="J1327" s="138">
        <v>0</v>
      </c>
    </row>
    <row r="1328" spans="1:10" ht="15.75" hidden="1" thickBot="1" x14ac:dyDescent="0.3">
      <c r="A1328" s="227"/>
      <c r="B1328" s="224"/>
      <c r="C1328" s="30"/>
      <c r="D1328" s="30"/>
      <c r="E1328" s="31"/>
      <c r="F1328" s="25" t="s">
        <v>521</v>
      </c>
      <c r="G1328" s="25" t="str">
        <f t="shared" si="21"/>
        <v/>
      </c>
      <c r="H1328" s="29"/>
      <c r="I1328" s="25"/>
      <c r="J1328" s="138">
        <v>0</v>
      </c>
    </row>
    <row r="1329" spans="1:10" ht="15.75" hidden="1" thickBot="1" x14ac:dyDescent="0.3">
      <c r="A1329" s="220" t="s">
        <v>407</v>
      </c>
      <c r="B1329" s="222" t="e">
        <f>INDEX(Orçamentária!A:B,MATCH(Composições!A1329,Orçamentária!A:A,0),2)</f>
        <v>#N/A</v>
      </c>
      <c r="C1329" s="35"/>
      <c r="D1329" s="20" t="s">
        <v>20</v>
      </c>
      <c r="E1329" s="21"/>
      <c r="F1329" s="36" t="s">
        <v>521</v>
      </c>
      <c r="G1329" s="22" t="str">
        <f t="shared" si="21"/>
        <v/>
      </c>
      <c r="H1329" s="23"/>
      <c r="I1329" s="24"/>
      <c r="J1329" s="138">
        <v>0</v>
      </c>
    </row>
    <row r="1330" spans="1:10" ht="15.75" hidden="1" thickBot="1" x14ac:dyDescent="0.3">
      <c r="A1330" s="221"/>
      <c r="B1330" s="223"/>
      <c r="C1330" s="26"/>
      <c r="D1330" s="26"/>
      <c r="E1330" s="27"/>
      <c r="F1330" s="37" t="s">
        <v>521</v>
      </c>
      <c r="G1330" s="25" t="str">
        <f t="shared" si="21"/>
        <v/>
      </c>
      <c r="H1330" s="29"/>
      <c r="I1330" s="25"/>
      <c r="J1330" s="138">
        <v>0</v>
      </c>
    </row>
    <row r="1331" spans="1:10" ht="26.25" hidden="1" thickBot="1" x14ac:dyDescent="0.3">
      <c r="A1331" s="221"/>
      <c r="B1331" s="223"/>
      <c r="C1331" s="30" t="s">
        <v>408</v>
      </c>
      <c r="D1331" s="41" t="s">
        <v>144</v>
      </c>
      <c r="E1331" s="31">
        <v>1</v>
      </c>
      <c r="F1331" s="28" t="s">
        <v>521</v>
      </c>
      <c r="G1331" s="28" t="str">
        <f t="shared" si="21"/>
        <v/>
      </c>
      <c r="H1331" s="33">
        <f>SUM(G1331:G1333)</f>
        <v>9.5186579999999985</v>
      </c>
      <c r="I1331" s="34"/>
      <c r="J1331" s="138">
        <v>0</v>
      </c>
    </row>
    <row r="1332" spans="1:10" ht="15.75" hidden="1" thickBot="1" x14ac:dyDescent="0.3">
      <c r="A1332" s="221"/>
      <c r="B1332" s="223"/>
      <c r="C1332" s="30" t="s">
        <v>39</v>
      </c>
      <c r="D1332" s="41" t="s">
        <v>12</v>
      </c>
      <c r="E1332" s="31">
        <v>0.31619999999999998</v>
      </c>
      <c r="F1332" s="25">
        <v>24.300999999999998</v>
      </c>
      <c r="G1332" s="28">
        <f t="shared" si="21"/>
        <v>7.6839761999999991</v>
      </c>
      <c r="H1332" s="29"/>
      <c r="I1332" s="25"/>
      <c r="J1332" s="138">
        <v>0</v>
      </c>
    </row>
    <row r="1333" spans="1:10" ht="15.75" hidden="1" thickBot="1" x14ac:dyDescent="0.3">
      <c r="A1333" s="221"/>
      <c r="B1333" s="223"/>
      <c r="C1333" s="30" t="s">
        <v>23</v>
      </c>
      <c r="D1333" s="41" t="s">
        <v>12</v>
      </c>
      <c r="E1333" s="31">
        <v>9.9599999999999994E-2</v>
      </c>
      <c r="F1333" s="25">
        <v>18.420500000000001</v>
      </c>
      <c r="G1333" s="28">
        <f t="shared" si="21"/>
        <v>1.8346818</v>
      </c>
      <c r="H1333" s="29"/>
      <c r="I1333" s="25"/>
      <c r="J1333" s="138">
        <v>0</v>
      </c>
    </row>
    <row r="1334" spans="1:10" ht="15.75" hidden="1" thickBot="1" x14ac:dyDescent="0.3">
      <c r="A1334" s="227"/>
      <c r="B1334" s="224"/>
      <c r="C1334" s="30"/>
      <c r="D1334" s="30"/>
      <c r="E1334" s="31"/>
      <c r="F1334" s="25" t="s">
        <v>521</v>
      </c>
      <c r="G1334" s="25" t="str">
        <f t="shared" si="21"/>
        <v/>
      </c>
      <c r="H1334" s="29"/>
      <c r="I1334" s="25"/>
      <c r="J1334" s="138">
        <v>0</v>
      </c>
    </row>
    <row r="1335" spans="1:10" ht="15.75" hidden="1" thickBot="1" x14ac:dyDescent="0.3">
      <c r="A1335" s="220" t="s">
        <v>409</v>
      </c>
      <c r="B1335" s="222" t="e">
        <f>INDEX(Orçamentária!A:B,MATCH(Composições!A1335,Orçamentária!A:A,0),2)</f>
        <v>#N/A</v>
      </c>
      <c r="C1335" s="35"/>
      <c r="D1335" s="20" t="s">
        <v>20</v>
      </c>
      <c r="E1335" s="21"/>
      <c r="F1335" s="36" t="s">
        <v>521</v>
      </c>
      <c r="G1335" s="22" t="str">
        <f t="shared" si="21"/>
        <v/>
      </c>
      <c r="H1335" s="23"/>
      <c r="I1335" s="24"/>
      <c r="J1335" s="138">
        <v>0</v>
      </c>
    </row>
    <row r="1336" spans="1:10" ht="15.75" hidden="1" thickBot="1" x14ac:dyDescent="0.3">
      <c r="A1336" s="221"/>
      <c r="B1336" s="223"/>
      <c r="C1336" s="26"/>
      <c r="D1336" s="26"/>
      <c r="E1336" s="27"/>
      <c r="F1336" s="37" t="s">
        <v>521</v>
      </c>
      <c r="G1336" s="25" t="str">
        <f t="shared" si="21"/>
        <v/>
      </c>
      <c r="H1336" s="29"/>
      <c r="I1336" s="25"/>
      <c r="J1336" s="138">
        <v>0</v>
      </c>
    </row>
    <row r="1337" spans="1:10" ht="26.25" hidden="1" thickBot="1" x14ac:dyDescent="0.3">
      <c r="A1337" s="221"/>
      <c r="B1337" s="223"/>
      <c r="C1337" s="30" t="s">
        <v>410</v>
      </c>
      <c r="D1337" s="41" t="s">
        <v>144</v>
      </c>
      <c r="E1337" s="31">
        <v>1</v>
      </c>
      <c r="F1337" s="28" t="s">
        <v>521</v>
      </c>
      <c r="G1337" s="28" t="str">
        <f t="shared" si="21"/>
        <v/>
      </c>
      <c r="H1337" s="33">
        <f>SUM(G1337:G1339)</f>
        <v>19.034885899999999</v>
      </c>
      <c r="I1337" s="34"/>
      <c r="J1337" s="138">
        <v>0</v>
      </c>
    </row>
    <row r="1338" spans="1:10" ht="15.75" hidden="1" thickBot="1" x14ac:dyDescent="0.3">
      <c r="A1338" s="221"/>
      <c r="B1338" s="223"/>
      <c r="C1338" s="30" t="s">
        <v>39</v>
      </c>
      <c r="D1338" s="41" t="s">
        <v>12</v>
      </c>
      <c r="E1338" s="31">
        <v>0.63229999999999997</v>
      </c>
      <c r="F1338" s="25">
        <v>24.300999999999998</v>
      </c>
      <c r="G1338" s="28">
        <f t="shared" si="21"/>
        <v>15.365522299999999</v>
      </c>
      <c r="H1338" s="29"/>
      <c r="I1338" s="25"/>
      <c r="J1338" s="138">
        <v>0</v>
      </c>
    </row>
    <row r="1339" spans="1:10" ht="15.75" hidden="1" thickBot="1" x14ac:dyDescent="0.3">
      <c r="A1339" s="221"/>
      <c r="B1339" s="223"/>
      <c r="C1339" s="30" t="s">
        <v>23</v>
      </c>
      <c r="D1339" s="41" t="s">
        <v>12</v>
      </c>
      <c r="E1339" s="31">
        <v>0.19919999999999999</v>
      </c>
      <c r="F1339" s="25">
        <v>18.420500000000001</v>
      </c>
      <c r="G1339" s="28">
        <f t="shared" si="21"/>
        <v>3.6693636000000001</v>
      </c>
      <c r="H1339" s="29"/>
      <c r="I1339" s="25"/>
      <c r="J1339" s="138">
        <v>0</v>
      </c>
    </row>
    <row r="1340" spans="1:10" ht="15.75" hidden="1" thickBot="1" x14ac:dyDescent="0.3">
      <c r="A1340" s="227"/>
      <c r="B1340" s="224"/>
      <c r="C1340" s="30"/>
      <c r="D1340" s="30"/>
      <c r="E1340" s="31"/>
      <c r="F1340" s="25" t="s">
        <v>521</v>
      </c>
      <c r="G1340" s="25" t="str">
        <f t="shared" si="21"/>
        <v/>
      </c>
      <c r="H1340" s="29"/>
      <c r="I1340" s="25"/>
      <c r="J1340" s="138">
        <v>0</v>
      </c>
    </row>
    <row r="1341" spans="1:10" ht="15.75" hidden="1" thickBot="1" x14ac:dyDescent="0.3">
      <c r="A1341" s="220" t="s">
        <v>411</v>
      </c>
      <c r="B1341" s="222" t="e">
        <f>INDEX(Orçamentária!A:B,MATCH(Composições!A1341,Orçamentária!A:A,0),2)</f>
        <v>#N/A</v>
      </c>
      <c r="C1341" s="35"/>
      <c r="D1341" s="20" t="s">
        <v>20</v>
      </c>
      <c r="E1341" s="21"/>
      <c r="F1341" s="36" t="s">
        <v>521</v>
      </c>
      <c r="G1341" s="22" t="str">
        <f t="shared" si="21"/>
        <v/>
      </c>
      <c r="H1341" s="23"/>
      <c r="I1341" s="24"/>
      <c r="J1341" s="138">
        <v>0</v>
      </c>
    </row>
    <row r="1342" spans="1:10" ht="15.75" hidden="1" thickBot="1" x14ac:dyDescent="0.3">
      <c r="A1342" s="221"/>
      <c r="B1342" s="223"/>
      <c r="C1342" s="26"/>
      <c r="D1342" s="26"/>
      <c r="E1342" s="27"/>
      <c r="F1342" s="37" t="s">
        <v>521</v>
      </c>
      <c r="G1342" s="25" t="str">
        <f t="shared" si="21"/>
        <v/>
      </c>
      <c r="H1342" s="29"/>
      <c r="I1342" s="25"/>
      <c r="J1342" s="138">
        <v>0</v>
      </c>
    </row>
    <row r="1343" spans="1:10" ht="15.75" hidden="1" thickBot="1" x14ac:dyDescent="0.3">
      <c r="A1343" s="221"/>
      <c r="B1343" s="223"/>
      <c r="C1343" s="30" t="s">
        <v>74</v>
      </c>
      <c r="D1343" s="30" t="s">
        <v>12</v>
      </c>
      <c r="E1343" s="31">
        <v>0.14499999999999999</v>
      </c>
      <c r="F1343" s="25">
        <v>19.4085</v>
      </c>
      <c r="G1343" s="28">
        <f t="shared" si="21"/>
        <v>2.8142324999999997</v>
      </c>
      <c r="H1343" s="33">
        <f>SUM(G1343:G1346)</f>
        <v>10.190658608371798</v>
      </c>
      <c r="I1343" s="34"/>
      <c r="J1343" s="138">
        <v>0</v>
      </c>
    </row>
    <row r="1344" spans="1:10" ht="15.75" hidden="1" thickBot="1" x14ac:dyDescent="0.3">
      <c r="A1344" s="221"/>
      <c r="B1344" s="223"/>
      <c r="C1344" s="30" t="s">
        <v>30</v>
      </c>
      <c r="D1344" s="30" t="s">
        <v>12</v>
      </c>
      <c r="E1344" s="31">
        <v>0.14499999999999999</v>
      </c>
      <c r="F1344" s="25">
        <v>25.146499999999996</v>
      </c>
      <c r="G1344" s="28">
        <f t="shared" si="21"/>
        <v>3.6462424999999992</v>
      </c>
      <c r="H1344" s="29"/>
      <c r="I1344" s="25"/>
      <c r="J1344" s="138">
        <v>0</v>
      </c>
    </row>
    <row r="1345" spans="1:10" ht="26.25" hidden="1" thickBot="1" x14ac:dyDescent="0.3">
      <c r="A1345" s="221"/>
      <c r="B1345" s="223"/>
      <c r="C1345" s="30" t="s">
        <v>108</v>
      </c>
      <c r="D1345" s="30" t="s">
        <v>109</v>
      </c>
      <c r="E1345" s="31">
        <v>8.9999999999999998E-4</v>
      </c>
      <c r="F1345" s="28">
        <v>735.20400930200003</v>
      </c>
      <c r="G1345" s="28">
        <f t="shared" si="21"/>
        <v>0.66168360837179996</v>
      </c>
      <c r="H1345" s="29"/>
      <c r="I1345" s="25"/>
      <c r="J1345" s="138">
        <v>0</v>
      </c>
    </row>
    <row r="1346" spans="1:10" ht="15.75" hidden="1" thickBot="1" x14ac:dyDescent="0.3">
      <c r="A1346" s="221"/>
      <c r="B1346" s="223"/>
      <c r="C1346" s="30" t="s">
        <v>412</v>
      </c>
      <c r="D1346" s="30" t="s">
        <v>20</v>
      </c>
      <c r="E1346" s="31">
        <v>1</v>
      </c>
      <c r="F1346" s="28">
        <v>3.0684999999999998</v>
      </c>
      <c r="G1346" s="25">
        <f t="shared" si="21"/>
        <v>3.0684999999999998</v>
      </c>
      <c r="H1346" s="29"/>
      <c r="I1346" s="25"/>
      <c r="J1346" s="138">
        <v>0</v>
      </c>
    </row>
    <row r="1347" spans="1:10" ht="15.75" hidden="1" thickBot="1" x14ac:dyDescent="0.3">
      <c r="A1347" s="227"/>
      <c r="B1347" s="224"/>
      <c r="C1347" s="30"/>
      <c r="D1347" s="30"/>
      <c r="E1347" s="31"/>
      <c r="F1347" s="25" t="s">
        <v>521</v>
      </c>
      <c r="G1347" s="25" t="str">
        <f t="shared" si="21"/>
        <v/>
      </c>
      <c r="H1347" s="29"/>
      <c r="I1347" s="25"/>
      <c r="J1347" s="138">
        <v>0</v>
      </c>
    </row>
    <row r="1348" spans="1:10" ht="15.75" hidden="1" thickBot="1" x14ac:dyDescent="0.3">
      <c r="A1348" s="220" t="s">
        <v>413</v>
      </c>
      <c r="B1348" s="222" t="e">
        <f>INDEX(Orçamentária!A:B,MATCH(Composições!A1348,Orçamentária!A:A,0),2)</f>
        <v>#N/A</v>
      </c>
      <c r="C1348" s="35"/>
      <c r="D1348" s="20" t="s">
        <v>20</v>
      </c>
      <c r="E1348" s="21"/>
      <c r="F1348" s="36" t="s">
        <v>521</v>
      </c>
      <c r="G1348" s="22" t="str">
        <f t="shared" si="21"/>
        <v/>
      </c>
      <c r="H1348" s="23"/>
      <c r="I1348" s="24"/>
      <c r="J1348" s="138">
        <v>0</v>
      </c>
    </row>
    <row r="1349" spans="1:10" ht="15.75" hidden="1" thickBot="1" x14ac:dyDescent="0.3">
      <c r="A1349" s="221"/>
      <c r="B1349" s="223"/>
      <c r="C1349" s="26"/>
      <c r="D1349" s="26"/>
      <c r="E1349" s="27"/>
      <c r="F1349" s="37" t="s">
        <v>521</v>
      </c>
      <c r="G1349" s="25" t="str">
        <f t="shared" si="21"/>
        <v/>
      </c>
      <c r="H1349" s="29"/>
      <c r="I1349" s="25"/>
      <c r="J1349" s="138">
        <v>0</v>
      </c>
    </row>
    <row r="1350" spans="1:10" ht="15.75" hidden="1" thickBot="1" x14ac:dyDescent="0.3">
      <c r="A1350" s="221"/>
      <c r="B1350" s="223"/>
      <c r="C1350" s="30" t="s">
        <v>74</v>
      </c>
      <c r="D1350" s="30" t="s">
        <v>12</v>
      </c>
      <c r="E1350" s="31">
        <v>0.14499999999999999</v>
      </c>
      <c r="F1350" s="25">
        <v>19.4085</v>
      </c>
      <c r="G1350" s="28">
        <f t="shared" si="21"/>
        <v>2.8142324999999997</v>
      </c>
      <c r="H1350" s="33">
        <f>SUM(G1350:G1352)</f>
        <v>6.4604749999999989</v>
      </c>
      <c r="I1350" s="34"/>
      <c r="J1350" s="138">
        <v>0</v>
      </c>
    </row>
    <row r="1351" spans="1:10" ht="15.75" hidden="1" thickBot="1" x14ac:dyDescent="0.3">
      <c r="A1351" s="221"/>
      <c r="B1351" s="223"/>
      <c r="C1351" s="30" t="s">
        <v>30</v>
      </c>
      <c r="D1351" s="30" t="s">
        <v>12</v>
      </c>
      <c r="E1351" s="31">
        <v>0.14499999999999999</v>
      </c>
      <c r="F1351" s="25">
        <v>25.146499999999996</v>
      </c>
      <c r="G1351" s="28">
        <f t="shared" si="21"/>
        <v>3.6462424999999992</v>
      </c>
      <c r="H1351" s="29"/>
      <c r="I1351" s="25"/>
      <c r="J1351" s="138">
        <v>0</v>
      </c>
    </row>
    <row r="1352" spans="1:10" ht="15.75" hidden="1" thickBot="1" x14ac:dyDescent="0.3">
      <c r="A1352" s="221"/>
      <c r="B1352" s="223"/>
      <c r="C1352" s="30" t="s">
        <v>414</v>
      </c>
      <c r="D1352" s="30" t="s">
        <v>20</v>
      </c>
      <c r="E1352" s="31">
        <v>1</v>
      </c>
      <c r="F1352" s="28" t="s">
        <v>521</v>
      </c>
      <c r="G1352" s="25" t="str">
        <f t="shared" si="21"/>
        <v/>
      </c>
      <c r="H1352" s="29"/>
      <c r="I1352" s="25"/>
      <c r="J1352" s="138">
        <v>0</v>
      </c>
    </row>
    <row r="1353" spans="1:10" ht="15.75" hidden="1" thickBot="1" x14ac:dyDescent="0.3">
      <c r="A1353" s="227"/>
      <c r="B1353" s="224"/>
      <c r="C1353" s="30"/>
      <c r="D1353" s="30"/>
      <c r="E1353" s="31"/>
      <c r="F1353" s="25" t="s">
        <v>521</v>
      </c>
      <c r="G1353" s="25" t="str">
        <f t="shared" si="21"/>
        <v/>
      </c>
      <c r="H1353" s="29"/>
      <c r="I1353" s="25"/>
      <c r="J1353" s="138">
        <v>0</v>
      </c>
    </row>
    <row r="1354" spans="1:10" ht="15.75" hidden="1" thickBot="1" x14ac:dyDescent="0.3">
      <c r="A1354" s="220" t="s">
        <v>415</v>
      </c>
      <c r="B1354" s="222" t="e">
        <f>INDEX(Orçamentária!A:B,MATCH(Composições!A1354,Orçamentária!A:A,0),2)</f>
        <v>#N/A</v>
      </c>
      <c r="C1354" s="35"/>
      <c r="D1354" s="20" t="s">
        <v>20</v>
      </c>
      <c r="E1354" s="21"/>
      <c r="F1354" s="36" t="s">
        <v>521</v>
      </c>
      <c r="G1354" s="22" t="str">
        <f t="shared" si="21"/>
        <v/>
      </c>
      <c r="H1354" s="23"/>
      <c r="I1354" s="24"/>
      <c r="J1354" s="138">
        <v>0</v>
      </c>
    </row>
    <row r="1355" spans="1:10" ht="15.75" hidden="1" thickBot="1" x14ac:dyDescent="0.3">
      <c r="A1355" s="221"/>
      <c r="B1355" s="223"/>
      <c r="C1355" s="26"/>
      <c r="D1355" s="26"/>
      <c r="E1355" s="27"/>
      <c r="F1355" s="37" t="s">
        <v>521</v>
      </c>
      <c r="G1355" s="25" t="str">
        <f t="shared" si="21"/>
        <v/>
      </c>
      <c r="H1355" s="29"/>
      <c r="I1355" s="25"/>
      <c r="J1355" s="138">
        <v>0</v>
      </c>
    </row>
    <row r="1356" spans="1:10" ht="15.75" hidden="1" thickBot="1" x14ac:dyDescent="0.3">
      <c r="A1356" s="221"/>
      <c r="B1356" s="223"/>
      <c r="C1356" s="30" t="s">
        <v>74</v>
      </c>
      <c r="D1356" s="30" t="s">
        <v>12</v>
      </c>
      <c r="E1356" s="31">
        <v>0.16600000000000001</v>
      </c>
      <c r="F1356" s="25">
        <v>19.4085</v>
      </c>
      <c r="G1356" s="28">
        <f t="shared" si="21"/>
        <v>3.2218110000000002</v>
      </c>
      <c r="H1356" s="33">
        <f>SUM(G1356:G1359)</f>
        <v>14.386874811162398</v>
      </c>
      <c r="I1356" s="34"/>
      <c r="J1356" s="138">
        <v>0</v>
      </c>
    </row>
    <row r="1357" spans="1:10" ht="15.75" hidden="1" thickBot="1" x14ac:dyDescent="0.3">
      <c r="A1357" s="221"/>
      <c r="B1357" s="223"/>
      <c r="C1357" s="30" t="s">
        <v>30</v>
      </c>
      <c r="D1357" s="30" t="s">
        <v>12</v>
      </c>
      <c r="E1357" s="31">
        <v>0.16600000000000001</v>
      </c>
      <c r="F1357" s="25">
        <v>25.146499999999996</v>
      </c>
      <c r="G1357" s="28">
        <f t="shared" si="21"/>
        <v>4.1743189999999997</v>
      </c>
      <c r="H1357" s="29"/>
      <c r="I1357" s="25"/>
      <c r="J1357" s="138">
        <v>0</v>
      </c>
    </row>
    <row r="1358" spans="1:10" ht="26.25" hidden="1" thickBot="1" x14ac:dyDescent="0.3">
      <c r="A1358" s="221"/>
      <c r="B1358" s="223"/>
      <c r="C1358" s="30" t="s">
        <v>108</v>
      </c>
      <c r="D1358" s="30" t="s">
        <v>109</v>
      </c>
      <c r="E1358" s="31">
        <v>1.1999999999999999E-3</v>
      </c>
      <c r="F1358" s="28">
        <v>735.20400930200003</v>
      </c>
      <c r="G1358" s="28">
        <f t="shared" si="21"/>
        <v>0.88224481116239994</v>
      </c>
      <c r="H1358" s="29"/>
      <c r="I1358" s="25"/>
      <c r="J1358" s="138">
        <v>0</v>
      </c>
    </row>
    <row r="1359" spans="1:10" ht="15.75" hidden="1" thickBot="1" x14ac:dyDescent="0.3">
      <c r="A1359" s="221"/>
      <c r="B1359" s="223"/>
      <c r="C1359" s="30" t="s">
        <v>416</v>
      </c>
      <c r="D1359" s="30" t="s">
        <v>20</v>
      </c>
      <c r="E1359" s="31">
        <v>1</v>
      </c>
      <c r="F1359" s="28">
        <v>6.1084999999999994</v>
      </c>
      <c r="G1359" s="25">
        <f t="shared" si="21"/>
        <v>6.1084999999999994</v>
      </c>
      <c r="H1359" s="29"/>
      <c r="I1359" s="25"/>
      <c r="J1359" s="138">
        <v>0</v>
      </c>
    </row>
    <row r="1360" spans="1:10" ht="15.75" hidden="1" thickBot="1" x14ac:dyDescent="0.3">
      <c r="A1360" s="227"/>
      <c r="B1360" s="224"/>
      <c r="C1360" s="30"/>
      <c r="D1360" s="30"/>
      <c r="E1360" s="31"/>
      <c r="F1360" s="25" t="s">
        <v>521</v>
      </c>
      <c r="G1360" s="25" t="str">
        <f t="shared" si="21"/>
        <v/>
      </c>
      <c r="H1360" s="29"/>
      <c r="I1360" s="25"/>
      <c r="J1360" s="138">
        <v>0</v>
      </c>
    </row>
    <row r="1361" spans="1:10" ht="15.75" hidden="1" thickBot="1" x14ac:dyDescent="0.3">
      <c r="A1361" s="220" t="s">
        <v>417</v>
      </c>
      <c r="B1361" s="222" t="e">
        <f>INDEX(Orçamentária!A:B,MATCH(Composições!A1361,Orçamentária!A:A,0),2)</f>
        <v>#N/A</v>
      </c>
      <c r="C1361" s="35"/>
      <c r="D1361" s="20" t="s">
        <v>20</v>
      </c>
      <c r="E1361" s="21"/>
      <c r="F1361" s="36" t="s">
        <v>521</v>
      </c>
      <c r="G1361" s="22" t="str">
        <f t="shared" si="21"/>
        <v/>
      </c>
      <c r="H1361" s="23"/>
      <c r="I1361" s="24"/>
      <c r="J1361" s="138">
        <v>0</v>
      </c>
    </row>
    <row r="1362" spans="1:10" ht="15.75" hidden="1" thickBot="1" x14ac:dyDescent="0.3">
      <c r="A1362" s="221"/>
      <c r="B1362" s="223"/>
      <c r="C1362" s="26"/>
      <c r="D1362" s="26"/>
      <c r="E1362" s="27"/>
      <c r="F1362" s="37" t="s">
        <v>521</v>
      </c>
      <c r="G1362" s="25" t="str">
        <f t="shared" ref="G1362:G1425" si="22">IF(ISNUMBER(F1362),E1362*F1362,"")</f>
        <v/>
      </c>
      <c r="H1362" s="29"/>
      <c r="I1362" s="25"/>
      <c r="J1362" s="138">
        <v>0</v>
      </c>
    </row>
    <row r="1363" spans="1:10" ht="15.75" hidden="1" thickBot="1" x14ac:dyDescent="0.3">
      <c r="A1363" s="221"/>
      <c r="B1363" s="223"/>
      <c r="C1363" s="30" t="s">
        <v>74</v>
      </c>
      <c r="D1363" s="30" t="s">
        <v>12</v>
      </c>
      <c r="E1363" s="31">
        <v>0.16600000000000001</v>
      </c>
      <c r="F1363" s="25">
        <v>19.4085</v>
      </c>
      <c r="G1363" s="28">
        <f t="shared" si="22"/>
        <v>3.2218110000000002</v>
      </c>
      <c r="H1363" s="33">
        <f>SUM(G1363:G1365)</f>
        <v>7.3961299999999994</v>
      </c>
      <c r="I1363" s="34"/>
      <c r="J1363" s="138">
        <v>0</v>
      </c>
    </row>
    <row r="1364" spans="1:10" ht="15.75" hidden="1" thickBot="1" x14ac:dyDescent="0.3">
      <c r="A1364" s="221"/>
      <c r="B1364" s="223"/>
      <c r="C1364" s="30" t="s">
        <v>30</v>
      </c>
      <c r="D1364" s="30" t="s">
        <v>12</v>
      </c>
      <c r="E1364" s="31">
        <v>0.16600000000000001</v>
      </c>
      <c r="F1364" s="25">
        <v>25.146499999999996</v>
      </c>
      <c r="G1364" s="28">
        <f t="shared" si="22"/>
        <v>4.1743189999999997</v>
      </c>
      <c r="H1364" s="29"/>
      <c r="I1364" s="25"/>
      <c r="J1364" s="138">
        <v>0</v>
      </c>
    </row>
    <row r="1365" spans="1:10" ht="15.75" hidden="1" thickBot="1" x14ac:dyDescent="0.3">
      <c r="A1365" s="221"/>
      <c r="B1365" s="223"/>
      <c r="C1365" s="30" t="s">
        <v>418</v>
      </c>
      <c r="D1365" s="30" t="s">
        <v>20</v>
      </c>
      <c r="E1365" s="31">
        <v>1</v>
      </c>
      <c r="F1365" s="28" t="s">
        <v>521</v>
      </c>
      <c r="G1365" s="25" t="str">
        <f t="shared" si="22"/>
        <v/>
      </c>
      <c r="H1365" s="29"/>
      <c r="I1365" s="25"/>
      <c r="J1365" s="138">
        <v>0</v>
      </c>
    </row>
    <row r="1366" spans="1:10" ht="15.75" hidden="1" thickBot="1" x14ac:dyDescent="0.3">
      <c r="A1366" s="227"/>
      <c r="B1366" s="224"/>
      <c r="C1366" s="30"/>
      <c r="D1366" s="30"/>
      <c r="E1366" s="31"/>
      <c r="F1366" s="25" t="s">
        <v>521</v>
      </c>
      <c r="G1366" s="25" t="str">
        <f t="shared" si="22"/>
        <v/>
      </c>
      <c r="H1366" s="29"/>
      <c r="I1366" s="25"/>
      <c r="J1366" s="138">
        <v>0</v>
      </c>
    </row>
    <row r="1367" spans="1:10" ht="15.75" hidden="1" thickBot="1" x14ac:dyDescent="0.3">
      <c r="A1367" s="220" t="s">
        <v>419</v>
      </c>
      <c r="B1367" s="222" t="e">
        <f>INDEX(Orçamentária!A:B,MATCH(Composições!A1367,Orçamentária!A:A,0),2)</f>
        <v>#N/A</v>
      </c>
      <c r="C1367" s="35"/>
      <c r="D1367" s="20" t="s">
        <v>20</v>
      </c>
      <c r="E1367" s="21"/>
      <c r="F1367" s="36" t="s">
        <v>521</v>
      </c>
      <c r="G1367" s="22" t="str">
        <f t="shared" si="22"/>
        <v/>
      </c>
      <c r="H1367" s="23"/>
      <c r="I1367" s="24"/>
      <c r="J1367" s="138">
        <v>0</v>
      </c>
    </row>
    <row r="1368" spans="1:10" ht="15.75" hidden="1" thickBot="1" x14ac:dyDescent="0.3">
      <c r="A1368" s="221"/>
      <c r="B1368" s="223"/>
      <c r="C1368" s="26"/>
      <c r="D1368" s="26"/>
      <c r="E1368" s="27"/>
      <c r="F1368" s="37" t="s">
        <v>521</v>
      </c>
      <c r="G1368" s="25" t="str">
        <f t="shared" si="22"/>
        <v/>
      </c>
      <c r="H1368" s="29"/>
      <c r="I1368" s="25"/>
      <c r="J1368" s="138">
        <v>0</v>
      </c>
    </row>
    <row r="1369" spans="1:10" ht="15.75" hidden="1" thickBot="1" x14ac:dyDescent="0.3">
      <c r="A1369" s="221"/>
      <c r="B1369" s="223"/>
      <c r="C1369" s="30" t="s">
        <v>74</v>
      </c>
      <c r="D1369" s="30" t="s">
        <v>12</v>
      </c>
      <c r="E1369" s="31">
        <v>0.34599999999999997</v>
      </c>
      <c r="F1369" s="25">
        <v>19.4085</v>
      </c>
      <c r="G1369" s="28">
        <f t="shared" si="22"/>
        <v>6.7153409999999996</v>
      </c>
      <c r="H1369" s="33">
        <f>SUM(G1369:G1371)</f>
        <v>15.416029999999999</v>
      </c>
      <c r="I1369" s="34"/>
      <c r="J1369" s="138">
        <v>0</v>
      </c>
    </row>
    <row r="1370" spans="1:10" ht="15.75" hidden="1" thickBot="1" x14ac:dyDescent="0.3">
      <c r="A1370" s="221"/>
      <c r="B1370" s="223"/>
      <c r="C1370" s="30" t="s">
        <v>30</v>
      </c>
      <c r="D1370" s="30" t="s">
        <v>12</v>
      </c>
      <c r="E1370" s="31">
        <v>0.34599999999999997</v>
      </c>
      <c r="F1370" s="25">
        <v>25.146499999999996</v>
      </c>
      <c r="G1370" s="28">
        <f t="shared" si="22"/>
        <v>8.7006889999999988</v>
      </c>
      <c r="H1370" s="29"/>
      <c r="I1370" s="25"/>
      <c r="J1370" s="138">
        <v>0</v>
      </c>
    </row>
    <row r="1371" spans="1:10" ht="15.75" hidden="1" thickBot="1" x14ac:dyDescent="0.3">
      <c r="A1371" s="221"/>
      <c r="B1371" s="223"/>
      <c r="C1371" s="30" t="s">
        <v>420</v>
      </c>
      <c r="D1371" s="30" t="s">
        <v>93</v>
      </c>
      <c r="E1371" s="31">
        <v>1</v>
      </c>
      <c r="F1371" s="28" t="s">
        <v>521</v>
      </c>
      <c r="G1371" s="28" t="str">
        <f t="shared" si="22"/>
        <v/>
      </c>
      <c r="H1371" s="29"/>
      <c r="I1371" s="25"/>
      <c r="J1371" s="138">
        <v>0</v>
      </c>
    </row>
    <row r="1372" spans="1:10" ht="15.75" hidden="1" thickBot="1" x14ac:dyDescent="0.3">
      <c r="A1372" s="227"/>
      <c r="B1372" s="224"/>
      <c r="C1372" s="30"/>
      <c r="D1372" s="30"/>
      <c r="E1372" s="31"/>
      <c r="F1372" s="25" t="s">
        <v>521</v>
      </c>
      <c r="G1372" s="25" t="str">
        <f t="shared" si="22"/>
        <v/>
      </c>
      <c r="H1372" s="29"/>
      <c r="I1372" s="25"/>
      <c r="J1372" s="138">
        <v>0</v>
      </c>
    </row>
    <row r="1373" spans="1:10" ht="15.75" hidden="1" thickBot="1" x14ac:dyDescent="0.3">
      <c r="A1373" s="220" t="s">
        <v>421</v>
      </c>
      <c r="B1373" s="222" t="e">
        <f>INDEX(Orçamentária!A:B,MATCH(Composições!A1373,Orçamentária!A:A,0),2)</f>
        <v>#N/A</v>
      </c>
      <c r="C1373" s="35"/>
      <c r="D1373" s="20" t="s">
        <v>20</v>
      </c>
      <c r="E1373" s="21"/>
      <c r="F1373" s="36" t="s">
        <v>521</v>
      </c>
      <c r="G1373" s="22" t="str">
        <f t="shared" si="22"/>
        <v/>
      </c>
      <c r="H1373" s="23"/>
      <c r="I1373" s="24"/>
      <c r="J1373" s="138">
        <v>0</v>
      </c>
    </row>
    <row r="1374" spans="1:10" ht="15.75" hidden="1" thickBot="1" x14ac:dyDescent="0.3">
      <c r="A1374" s="221"/>
      <c r="B1374" s="223"/>
      <c r="C1374" s="26"/>
      <c r="D1374" s="26"/>
      <c r="E1374" s="27"/>
      <c r="F1374" s="37" t="s">
        <v>521</v>
      </c>
      <c r="G1374" s="25" t="str">
        <f t="shared" si="22"/>
        <v/>
      </c>
      <c r="H1374" s="29"/>
      <c r="I1374" s="25"/>
      <c r="J1374" s="138">
        <v>0</v>
      </c>
    </row>
    <row r="1375" spans="1:10" ht="15.75" hidden="1" thickBot="1" x14ac:dyDescent="0.3">
      <c r="A1375" s="221"/>
      <c r="B1375" s="223"/>
      <c r="C1375" s="30" t="s">
        <v>74</v>
      </c>
      <c r="D1375" s="30" t="s">
        <v>12</v>
      </c>
      <c r="E1375" s="31">
        <v>0.34599999999999997</v>
      </c>
      <c r="F1375" s="25">
        <v>19.4085</v>
      </c>
      <c r="G1375" s="28">
        <f t="shared" si="22"/>
        <v>6.7153409999999996</v>
      </c>
      <c r="H1375" s="33">
        <f>SUM(G1375:G1378)</f>
        <v>15.416029999999999</v>
      </c>
      <c r="I1375" s="34"/>
      <c r="J1375" s="138">
        <v>0</v>
      </c>
    </row>
    <row r="1376" spans="1:10" ht="15.75" hidden="1" thickBot="1" x14ac:dyDescent="0.3">
      <c r="A1376" s="221"/>
      <c r="B1376" s="223"/>
      <c r="C1376" s="30" t="s">
        <v>30</v>
      </c>
      <c r="D1376" s="30" t="s">
        <v>12</v>
      </c>
      <c r="E1376" s="31">
        <v>0.34599999999999997</v>
      </c>
      <c r="F1376" s="25">
        <v>25.146499999999996</v>
      </c>
      <c r="G1376" s="28">
        <f t="shared" si="22"/>
        <v>8.7006889999999988</v>
      </c>
      <c r="H1376" s="29"/>
      <c r="I1376" s="25"/>
      <c r="J1376" s="138">
        <v>0</v>
      </c>
    </row>
    <row r="1377" spans="1:10" ht="15.75" hidden="1" thickBot="1" x14ac:dyDescent="0.3">
      <c r="A1377" s="221"/>
      <c r="B1377" s="223"/>
      <c r="C1377" s="30" t="s">
        <v>422</v>
      </c>
      <c r="D1377" s="30" t="s">
        <v>93</v>
      </c>
      <c r="E1377" s="31">
        <v>1</v>
      </c>
      <c r="F1377" s="28" t="s">
        <v>521</v>
      </c>
      <c r="G1377" s="28" t="str">
        <f t="shared" si="22"/>
        <v/>
      </c>
      <c r="H1377" s="29"/>
      <c r="I1377" s="25"/>
      <c r="J1377" s="138">
        <v>0</v>
      </c>
    </row>
    <row r="1378" spans="1:10" ht="15.75" hidden="1" thickBot="1" x14ac:dyDescent="0.3">
      <c r="A1378" s="221"/>
      <c r="B1378" s="223"/>
      <c r="C1378" s="30" t="s">
        <v>2330</v>
      </c>
      <c r="D1378" s="30" t="s">
        <v>20</v>
      </c>
      <c r="E1378" s="31">
        <v>2</v>
      </c>
      <c r="F1378" s="28" t="s">
        <v>521</v>
      </c>
      <c r="G1378" s="28" t="str">
        <f t="shared" si="22"/>
        <v/>
      </c>
      <c r="H1378" s="29"/>
      <c r="I1378" s="25"/>
      <c r="J1378" s="138">
        <v>0</v>
      </c>
    </row>
    <row r="1379" spans="1:10" ht="15.75" hidden="1" thickBot="1" x14ac:dyDescent="0.3">
      <c r="A1379" s="227"/>
      <c r="B1379" s="224"/>
      <c r="C1379" s="30"/>
      <c r="D1379" s="30"/>
      <c r="E1379" s="31"/>
      <c r="F1379" s="25" t="s">
        <v>521</v>
      </c>
      <c r="G1379" s="25" t="str">
        <f t="shared" si="22"/>
        <v/>
      </c>
      <c r="H1379" s="29"/>
      <c r="I1379" s="25"/>
      <c r="J1379" s="138">
        <v>0</v>
      </c>
    </row>
    <row r="1380" spans="1:10" ht="15.75" hidden="1" thickBot="1" x14ac:dyDescent="0.3">
      <c r="A1380" s="220" t="s">
        <v>423</v>
      </c>
      <c r="B1380" s="222" t="e">
        <f>INDEX(Orçamentária!A:B,MATCH(Composições!A1380,Orçamentária!A:A,0),2)</f>
        <v>#N/A</v>
      </c>
      <c r="C1380" s="35"/>
      <c r="D1380" s="20" t="s">
        <v>20</v>
      </c>
      <c r="E1380" s="21"/>
      <c r="F1380" s="36" t="s">
        <v>521</v>
      </c>
      <c r="G1380" s="22" t="str">
        <f t="shared" si="22"/>
        <v/>
      </c>
      <c r="H1380" s="23"/>
      <c r="I1380" s="24"/>
      <c r="J1380" s="138">
        <v>0</v>
      </c>
    </row>
    <row r="1381" spans="1:10" ht="15.75" hidden="1" thickBot="1" x14ac:dyDescent="0.3">
      <c r="A1381" s="221"/>
      <c r="B1381" s="223"/>
      <c r="C1381" s="26"/>
      <c r="D1381" s="26"/>
      <c r="E1381" s="27"/>
      <c r="F1381" s="37" t="s">
        <v>521</v>
      </c>
      <c r="G1381" s="25" t="str">
        <f t="shared" si="22"/>
        <v/>
      </c>
      <c r="H1381" s="29"/>
      <c r="I1381" s="25"/>
      <c r="J1381" s="138">
        <v>0</v>
      </c>
    </row>
    <row r="1382" spans="1:10" ht="15.75" hidden="1" thickBot="1" x14ac:dyDescent="0.3">
      <c r="A1382" s="221"/>
      <c r="B1382" s="223"/>
      <c r="C1382" s="30" t="s">
        <v>30</v>
      </c>
      <c r="D1382" s="30" t="s">
        <v>12</v>
      </c>
      <c r="E1382" s="31">
        <v>0.34599999999999997</v>
      </c>
      <c r="F1382" s="25">
        <v>25.146499999999996</v>
      </c>
      <c r="G1382" s="28">
        <f t="shared" si="22"/>
        <v>8.7006889999999988</v>
      </c>
      <c r="H1382" s="33">
        <f>SUM(G1382:G1384)</f>
        <v>61.700181999999998</v>
      </c>
      <c r="I1382" s="34"/>
      <c r="J1382" s="138">
        <v>0</v>
      </c>
    </row>
    <row r="1383" spans="1:10" ht="15.75" hidden="1" thickBot="1" x14ac:dyDescent="0.3">
      <c r="A1383" s="221"/>
      <c r="B1383" s="223"/>
      <c r="C1383" s="30" t="s">
        <v>23</v>
      </c>
      <c r="D1383" s="30" t="s">
        <v>12</v>
      </c>
      <c r="E1383" s="31">
        <v>0.34599999999999997</v>
      </c>
      <c r="F1383" s="25">
        <v>18.420500000000001</v>
      </c>
      <c r="G1383" s="28">
        <f t="shared" si="22"/>
        <v>6.3734929999999999</v>
      </c>
      <c r="H1383" s="29"/>
      <c r="I1383" s="25"/>
      <c r="J1383" s="138">
        <v>0</v>
      </c>
    </row>
    <row r="1384" spans="1:10" ht="26.25" hidden="1" thickBot="1" x14ac:dyDescent="0.3">
      <c r="A1384" s="221"/>
      <c r="B1384" s="223"/>
      <c r="C1384" s="30" t="s">
        <v>424</v>
      </c>
      <c r="D1384" s="30" t="s">
        <v>20</v>
      </c>
      <c r="E1384" s="31">
        <v>1</v>
      </c>
      <c r="F1384" s="28">
        <v>46.625999999999998</v>
      </c>
      <c r="G1384" s="25">
        <f t="shared" si="22"/>
        <v>46.625999999999998</v>
      </c>
      <c r="H1384" s="29"/>
      <c r="I1384" s="25"/>
      <c r="J1384" s="138">
        <v>0</v>
      </c>
    </row>
    <row r="1385" spans="1:10" ht="15.75" hidden="1" thickBot="1" x14ac:dyDescent="0.3">
      <c r="A1385" s="227"/>
      <c r="B1385" s="224"/>
      <c r="C1385" s="30"/>
      <c r="D1385" s="30"/>
      <c r="E1385" s="31"/>
      <c r="F1385" s="25" t="s">
        <v>521</v>
      </c>
      <c r="G1385" s="25" t="str">
        <f t="shared" si="22"/>
        <v/>
      </c>
      <c r="H1385" s="29"/>
      <c r="I1385" s="25"/>
      <c r="J1385" s="138">
        <v>0</v>
      </c>
    </row>
    <row r="1386" spans="1:10" ht="15.75" hidden="1" thickBot="1" x14ac:dyDescent="0.3">
      <c r="A1386" s="220" t="s">
        <v>425</v>
      </c>
      <c r="B1386" s="222" t="e">
        <f>INDEX(Orçamentária!A:B,MATCH(Composições!A1386,Orçamentária!A:A,0),2)</f>
        <v>#N/A</v>
      </c>
      <c r="C1386" s="35"/>
      <c r="D1386" s="20" t="s">
        <v>20</v>
      </c>
      <c r="E1386" s="21"/>
      <c r="F1386" s="36" t="s">
        <v>521</v>
      </c>
      <c r="G1386" s="22" t="str">
        <f t="shared" si="22"/>
        <v/>
      </c>
      <c r="H1386" s="23"/>
      <c r="I1386" s="24"/>
      <c r="J1386" s="138">
        <v>0</v>
      </c>
    </row>
    <row r="1387" spans="1:10" ht="15.75" hidden="1" thickBot="1" x14ac:dyDescent="0.3">
      <c r="A1387" s="221"/>
      <c r="B1387" s="223"/>
      <c r="C1387" s="26"/>
      <c r="D1387" s="26"/>
      <c r="E1387" s="27"/>
      <c r="F1387" s="37" t="s">
        <v>521</v>
      </c>
      <c r="G1387" s="25" t="str">
        <f t="shared" si="22"/>
        <v/>
      </c>
      <c r="H1387" s="29"/>
      <c r="I1387" s="25"/>
      <c r="J1387" s="138">
        <v>0</v>
      </c>
    </row>
    <row r="1388" spans="1:10" ht="15.75" hidden="1" thickBot="1" x14ac:dyDescent="0.3">
      <c r="A1388" s="221"/>
      <c r="B1388" s="223"/>
      <c r="C1388" s="30" t="s">
        <v>30</v>
      </c>
      <c r="D1388" s="30" t="s">
        <v>12</v>
      </c>
      <c r="E1388" s="31">
        <v>0.34599999999999997</v>
      </c>
      <c r="F1388" s="25">
        <v>25.146499999999996</v>
      </c>
      <c r="G1388" s="25">
        <f t="shared" si="22"/>
        <v>8.7006889999999988</v>
      </c>
      <c r="H1388" s="33">
        <f>SUM(G1388:G1390)</f>
        <v>15.416029999999999</v>
      </c>
      <c r="I1388" s="34"/>
      <c r="J1388" s="138">
        <v>0</v>
      </c>
    </row>
    <row r="1389" spans="1:10" ht="15.75" hidden="1" thickBot="1" x14ac:dyDescent="0.3">
      <c r="A1389" s="221"/>
      <c r="B1389" s="223"/>
      <c r="C1389" s="30" t="s">
        <v>74</v>
      </c>
      <c r="D1389" s="30" t="s">
        <v>12</v>
      </c>
      <c r="E1389" s="31">
        <v>0.34599999999999997</v>
      </c>
      <c r="F1389" s="25">
        <v>19.4085</v>
      </c>
      <c r="G1389" s="25">
        <f t="shared" si="22"/>
        <v>6.7153409999999996</v>
      </c>
      <c r="H1389" s="29"/>
      <c r="I1389" s="25"/>
      <c r="J1389" s="138">
        <v>0</v>
      </c>
    </row>
    <row r="1390" spans="1:10" ht="26.25" hidden="1" thickBot="1" x14ac:dyDescent="0.3">
      <c r="A1390" s="221"/>
      <c r="B1390" s="223"/>
      <c r="C1390" s="30" t="s">
        <v>426</v>
      </c>
      <c r="D1390" s="41" t="s">
        <v>20</v>
      </c>
      <c r="E1390" s="31">
        <v>1</v>
      </c>
      <c r="F1390" s="28" t="s">
        <v>521</v>
      </c>
      <c r="G1390" s="25" t="str">
        <f t="shared" si="22"/>
        <v/>
      </c>
      <c r="H1390" s="29"/>
      <c r="I1390" s="25"/>
      <c r="J1390" s="138">
        <v>0</v>
      </c>
    </row>
    <row r="1391" spans="1:10" ht="15.75" hidden="1" thickBot="1" x14ac:dyDescent="0.3">
      <c r="A1391" s="221"/>
      <c r="B1391" s="223"/>
      <c r="C1391" s="30"/>
      <c r="D1391" s="41"/>
      <c r="E1391" s="31"/>
      <c r="F1391" s="28" t="s">
        <v>521</v>
      </c>
      <c r="G1391" s="25" t="str">
        <f t="shared" si="22"/>
        <v/>
      </c>
      <c r="H1391" s="29"/>
      <c r="I1391" s="25"/>
      <c r="J1391" s="138">
        <v>0</v>
      </c>
    </row>
    <row r="1392" spans="1:10" ht="15.75" hidden="1" thickBot="1" x14ac:dyDescent="0.3">
      <c r="A1392" s="220" t="s">
        <v>427</v>
      </c>
      <c r="B1392" s="222" t="e">
        <f>INDEX(Orçamentária!A:B,MATCH(Composições!A1392,Orçamentária!A:A,0),2)</f>
        <v>#N/A</v>
      </c>
      <c r="C1392" s="35"/>
      <c r="D1392" s="20" t="s">
        <v>93</v>
      </c>
      <c r="E1392" s="21"/>
      <c r="F1392" s="36" t="s">
        <v>521</v>
      </c>
      <c r="G1392" s="22" t="str">
        <f t="shared" si="22"/>
        <v/>
      </c>
      <c r="H1392" s="23"/>
      <c r="I1392" s="24"/>
      <c r="J1392" s="138">
        <v>0</v>
      </c>
    </row>
    <row r="1393" spans="1:10" ht="15.75" hidden="1" thickBot="1" x14ac:dyDescent="0.3">
      <c r="A1393" s="221"/>
      <c r="B1393" s="223"/>
      <c r="C1393" s="26"/>
      <c r="D1393" s="26"/>
      <c r="E1393" s="27"/>
      <c r="F1393" s="37" t="s">
        <v>521</v>
      </c>
      <c r="G1393" s="25" t="str">
        <f t="shared" si="22"/>
        <v/>
      </c>
      <c r="H1393" s="29"/>
      <c r="I1393" s="25"/>
      <c r="J1393" s="138">
        <v>0</v>
      </c>
    </row>
    <row r="1394" spans="1:10" ht="26.25" hidden="1" thickBot="1" x14ac:dyDescent="0.3">
      <c r="A1394" s="221"/>
      <c r="B1394" s="223"/>
      <c r="C1394" s="30" t="s">
        <v>428</v>
      </c>
      <c r="D1394" s="30" t="s">
        <v>93</v>
      </c>
      <c r="E1394" s="31">
        <v>1.1499999999999999</v>
      </c>
      <c r="F1394" s="28" t="s">
        <v>521</v>
      </c>
      <c r="G1394" s="28" t="str">
        <f t="shared" si="22"/>
        <v/>
      </c>
      <c r="H1394" s="33">
        <f>SUM(G1394:G1396)</f>
        <v>8.0198999999999998</v>
      </c>
      <c r="I1394" s="34"/>
      <c r="J1394" s="138">
        <v>0</v>
      </c>
    </row>
    <row r="1395" spans="1:10" ht="15.75" hidden="1" thickBot="1" x14ac:dyDescent="0.3">
      <c r="A1395" s="221"/>
      <c r="B1395" s="223"/>
      <c r="C1395" s="30" t="s">
        <v>74</v>
      </c>
      <c r="D1395" s="41" t="s">
        <v>12</v>
      </c>
      <c r="E1395" s="31">
        <v>0.18</v>
      </c>
      <c r="F1395" s="25">
        <v>19.4085</v>
      </c>
      <c r="G1395" s="28">
        <f t="shared" si="22"/>
        <v>3.4935299999999998</v>
      </c>
      <c r="H1395" s="29"/>
      <c r="I1395" s="25"/>
      <c r="J1395" s="138">
        <v>0</v>
      </c>
    </row>
    <row r="1396" spans="1:10" ht="15.75" hidden="1" thickBot="1" x14ac:dyDescent="0.3">
      <c r="A1396" s="221"/>
      <c r="B1396" s="223"/>
      <c r="C1396" s="30" t="s">
        <v>30</v>
      </c>
      <c r="D1396" s="30" t="s">
        <v>12</v>
      </c>
      <c r="E1396" s="31">
        <v>0.18</v>
      </c>
      <c r="F1396" s="25">
        <v>25.146499999999996</v>
      </c>
      <c r="G1396" s="28">
        <f t="shared" si="22"/>
        <v>4.5263699999999991</v>
      </c>
      <c r="H1396" s="29"/>
      <c r="I1396" s="25"/>
      <c r="J1396" s="138">
        <v>0</v>
      </c>
    </row>
    <row r="1397" spans="1:10" ht="15.75" hidden="1" thickBot="1" x14ac:dyDescent="0.3">
      <c r="A1397" s="227"/>
      <c r="B1397" s="224"/>
      <c r="C1397" s="30"/>
      <c r="D1397" s="30"/>
      <c r="E1397" s="31"/>
      <c r="F1397" s="25" t="s">
        <v>521</v>
      </c>
      <c r="G1397" s="25" t="str">
        <f t="shared" si="22"/>
        <v/>
      </c>
      <c r="H1397" s="29"/>
      <c r="I1397" s="25"/>
      <c r="J1397" s="138">
        <v>0</v>
      </c>
    </row>
    <row r="1398" spans="1:10" ht="15.75" hidden="1" thickBot="1" x14ac:dyDescent="0.3">
      <c r="A1398" s="220" t="s">
        <v>429</v>
      </c>
      <c r="B1398" s="222" t="e">
        <f>INDEX(Orçamentária!A:B,MATCH(Composições!A1398,Orçamentária!A:A,0),2)</f>
        <v>#N/A</v>
      </c>
      <c r="C1398" s="35"/>
      <c r="D1398" s="20" t="s">
        <v>20</v>
      </c>
      <c r="E1398" s="21"/>
      <c r="F1398" s="36" t="s">
        <v>521</v>
      </c>
      <c r="G1398" s="22" t="str">
        <f t="shared" si="22"/>
        <v/>
      </c>
      <c r="H1398" s="23"/>
      <c r="I1398" s="24"/>
      <c r="J1398" s="138">
        <v>0</v>
      </c>
    </row>
    <row r="1399" spans="1:10" ht="15.75" hidden="1" thickBot="1" x14ac:dyDescent="0.3">
      <c r="A1399" s="221"/>
      <c r="B1399" s="223"/>
      <c r="C1399" s="26"/>
      <c r="D1399" s="26"/>
      <c r="E1399" s="27"/>
      <c r="F1399" s="37" t="s">
        <v>521</v>
      </c>
      <c r="G1399" s="25" t="str">
        <f t="shared" si="22"/>
        <v/>
      </c>
      <c r="H1399" s="29"/>
      <c r="I1399" s="25"/>
      <c r="J1399" s="138">
        <v>0</v>
      </c>
    </row>
    <row r="1400" spans="1:10" ht="15.75" hidden="1" thickBot="1" x14ac:dyDescent="0.3">
      <c r="A1400" s="221"/>
      <c r="B1400" s="223"/>
      <c r="C1400" s="30" t="s">
        <v>74</v>
      </c>
      <c r="D1400" s="30" t="s">
        <v>12</v>
      </c>
      <c r="E1400" s="31">
        <v>0.53849999999999998</v>
      </c>
      <c r="F1400" s="25">
        <v>19.4085</v>
      </c>
      <c r="G1400" s="28">
        <f t="shared" si="22"/>
        <v>10.45147725</v>
      </c>
      <c r="H1400" s="33">
        <f>SUM(G1400:G1403)</f>
        <v>44.455867499999997</v>
      </c>
      <c r="I1400" s="34"/>
      <c r="J1400" s="138">
        <v>0</v>
      </c>
    </row>
    <row r="1401" spans="1:10" ht="15.75" hidden="1" thickBot="1" x14ac:dyDescent="0.3">
      <c r="A1401" s="221"/>
      <c r="B1401" s="223"/>
      <c r="C1401" s="30" t="s">
        <v>30</v>
      </c>
      <c r="D1401" s="30" t="s">
        <v>12</v>
      </c>
      <c r="E1401" s="31">
        <v>0.53849999999999998</v>
      </c>
      <c r="F1401" s="25">
        <v>25.146499999999996</v>
      </c>
      <c r="G1401" s="28">
        <f t="shared" si="22"/>
        <v>13.541390249999997</v>
      </c>
      <c r="H1401" s="29"/>
      <c r="I1401" s="25"/>
      <c r="J1401" s="138">
        <v>0</v>
      </c>
    </row>
    <row r="1402" spans="1:10" ht="26.25" hidden="1" thickBot="1" x14ac:dyDescent="0.3">
      <c r="A1402" s="221"/>
      <c r="B1402" s="223"/>
      <c r="C1402" s="30" t="s">
        <v>430</v>
      </c>
      <c r="D1402" s="30" t="s">
        <v>20</v>
      </c>
      <c r="E1402" s="31">
        <v>2</v>
      </c>
      <c r="F1402" s="28">
        <v>0.40849999999999997</v>
      </c>
      <c r="G1402" s="28">
        <f t="shared" si="22"/>
        <v>0.81699999999999995</v>
      </c>
      <c r="H1402" s="29"/>
      <c r="I1402" s="25"/>
      <c r="J1402" s="138">
        <v>0</v>
      </c>
    </row>
    <row r="1403" spans="1:10" ht="26.25" hidden="1" thickBot="1" x14ac:dyDescent="0.3">
      <c r="A1403" s="221"/>
      <c r="B1403" s="223"/>
      <c r="C1403" s="30" t="s">
        <v>431</v>
      </c>
      <c r="D1403" s="30" t="s">
        <v>20</v>
      </c>
      <c r="E1403" s="31">
        <v>1</v>
      </c>
      <c r="F1403" s="28">
        <v>19.645999999999997</v>
      </c>
      <c r="G1403" s="25">
        <f t="shared" si="22"/>
        <v>19.645999999999997</v>
      </c>
      <c r="H1403" s="29"/>
      <c r="I1403" s="25"/>
      <c r="J1403" s="138">
        <v>0</v>
      </c>
    </row>
    <row r="1404" spans="1:10" ht="15.75" hidden="1" thickBot="1" x14ac:dyDescent="0.3">
      <c r="A1404" s="227"/>
      <c r="B1404" s="224"/>
      <c r="C1404" s="30"/>
      <c r="D1404" s="30"/>
      <c r="E1404" s="31"/>
      <c r="F1404" s="25" t="s">
        <v>521</v>
      </c>
      <c r="G1404" s="25" t="str">
        <f t="shared" si="22"/>
        <v/>
      </c>
      <c r="H1404" s="29"/>
      <c r="I1404" s="25"/>
      <c r="J1404" s="138">
        <v>0</v>
      </c>
    </row>
    <row r="1405" spans="1:10" ht="15.75" hidden="1" thickBot="1" x14ac:dyDescent="0.3">
      <c r="A1405" s="220" t="s">
        <v>432</v>
      </c>
      <c r="B1405" s="222" t="e">
        <f>INDEX(Orçamentária!A:B,MATCH(Composições!A1405,Orçamentária!A:A,0),2)</f>
        <v>#N/A</v>
      </c>
      <c r="C1405" s="35"/>
      <c r="D1405" s="20" t="s">
        <v>93</v>
      </c>
      <c r="E1405" s="21"/>
      <c r="F1405" s="36" t="s">
        <v>521</v>
      </c>
      <c r="G1405" s="22" t="str">
        <f t="shared" si="22"/>
        <v/>
      </c>
      <c r="H1405" s="23"/>
      <c r="I1405" s="24"/>
      <c r="J1405" s="138">
        <v>0</v>
      </c>
    </row>
    <row r="1406" spans="1:10" ht="15.75" hidden="1" thickBot="1" x14ac:dyDescent="0.3">
      <c r="A1406" s="221"/>
      <c r="B1406" s="223"/>
      <c r="C1406" s="26"/>
      <c r="D1406" s="26"/>
      <c r="E1406" s="27"/>
      <c r="F1406" s="37" t="s">
        <v>521</v>
      </c>
      <c r="G1406" s="25" t="str">
        <f t="shared" si="22"/>
        <v/>
      </c>
      <c r="H1406" s="29"/>
      <c r="I1406" s="25"/>
      <c r="J1406" s="138">
        <v>0</v>
      </c>
    </row>
    <row r="1407" spans="1:10" ht="15.75" hidden="1" thickBot="1" x14ac:dyDescent="0.3">
      <c r="A1407" s="221"/>
      <c r="B1407" s="223"/>
      <c r="C1407" s="30" t="s">
        <v>30</v>
      </c>
      <c r="D1407" s="30" t="s">
        <v>12</v>
      </c>
      <c r="E1407" s="31">
        <v>0.45</v>
      </c>
      <c r="F1407" s="25">
        <v>25.146499999999996</v>
      </c>
      <c r="G1407" s="25">
        <f t="shared" si="22"/>
        <v>11.315924999999998</v>
      </c>
      <c r="H1407" s="33">
        <f>SUM(G1407:G1418)</f>
        <v>24.917762799999998</v>
      </c>
      <c r="I1407" s="34"/>
      <c r="J1407" s="138">
        <v>0</v>
      </c>
    </row>
    <row r="1408" spans="1:10" ht="15.75" hidden="1" thickBot="1" x14ac:dyDescent="0.3">
      <c r="A1408" s="221"/>
      <c r="B1408" s="223"/>
      <c r="C1408" s="30" t="s">
        <v>74</v>
      </c>
      <c r="D1408" s="41" t="s">
        <v>12</v>
      </c>
      <c r="E1408" s="31">
        <v>0.45</v>
      </c>
      <c r="F1408" s="25">
        <v>19.4085</v>
      </c>
      <c r="G1408" s="25">
        <f t="shared" si="22"/>
        <v>8.7338249999999995</v>
      </c>
      <c r="H1408" s="29"/>
      <c r="I1408" s="25"/>
      <c r="J1408" s="138">
        <v>0</v>
      </c>
    </row>
    <row r="1409" spans="1:10" ht="26.25" hidden="1" thickBot="1" x14ac:dyDescent="0.3">
      <c r="A1409" s="221"/>
      <c r="B1409" s="223"/>
      <c r="C1409" s="30" t="s">
        <v>433</v>
      </c>
      <c r="D1409" s="30" t="s">
        <v>144</v>
      </c>
      <c r="E1409" s="31">
        <v>0.67</v>
      </c>
      <c r="F1409" s="25">
        <v>0</v>
      </c>
      <c r="G1409" s="25">
        <f t="shared" si="22"/>
        <v>0</v>
      </c>
      <c r="H1409" s="56"/>
      <c r="I1409" s="1"/>
      <c r="J1409" s="138">
        <v>0</v>
      </c>
    </row>
    <row r="1410" spans="1:10" ht="26.25" hidden="1" thickBot="1" x14ac:dyDescent="0.3">
      <c r="A1410" s="221"/>
      <c r="B1410" s="223"/>
      <c r="C1410" s="30" t="s">
        <v>434</v>
      </c>
      <c r="D1410" s="30" t="s">
        <v>93</v>
      </c>
      <c r="E1410" s="31">
        <v>1.05</v>
      </c>
      <c r="F1410" s="28" t="s">
        <v>521</v>
      </c>
      <c r="G1410" s="25" t="str">
        <f t="shared" si="22"/>
        <v/>
      </c>
      <c r="H1410" s="29"/>
      <c r="I1410" s="25"/>
      <c r="J1410" s="138">
        <v>0</v>
      </c>
    </row>
    <row r="1411" spans="1:10" ht="15.75" hidden="1" thickBot="1" x14ac:dyDescent="0.3">
      <c r="A1411" s="221"/>
      <c r="B1411" s="223"/>
      <c r="C1411" s="30" t="s">
        <v>435</v>
      </c>
      <c r="D1411" s="30" t="s">
        <v>93</v>
      </c>
      <c r="E1411" s="31">
        <v>0.8</v>
      </c>
      <c r="F1411" s="25">
        <v>0</v>
      </c>
      <c r="G1411" s="25">
        <f t="shared" si="22"/>
        <v>0</v>
      </c>
      <c r="H1411" s="29"/>
      <c r="I1411" s="25"/>
      <c r="J1411" s="138">
        <v>0</v>
      </c>
    </row>
    <row r="1412" spans="1:10" ht="15.75" hidden="1" thickBot="1" x14ac:dyDescent="0.3">
      <c r="A1412" s="221"/>
      <c r="B1412" s="223"/>
      <c r="C1412" s="30" t="s">
        <v>436</v>
      </c>
      <c r="D1412" s="30" t="s">
        <v>279</v>
      </c>
      <c r="E1412" s="31">
        <v>4.0033000000000003</v>
      </c>
      <c r="F1412" s="28">
        <v>0.26600000000000001</v>
      </c>
      <c r="G1412" s="25">
        <f t="shared" si="22"/>
        <v>1.0648778000000001</v>
      </c>
      <c r="H1412" s="29"/>
      <c r="I1412" s="25"/>
      <c r="J1412" s="138">
        <v>0</v>
      </c>
    </row>
    <row r="1413" spans="1:10" ht="15.75" hidden="1" thickBot="1" x14ac:dyDescent="0.3">
      <c r="A1413" s="221"/>
      <c r="B1413" s="223"/>
      <c r="C1413" s="30" t="s">
        <v>437</v>
      </c>
      <c r="D1413" s="30" t="s">
        <v>144</v>
      </c>
      <c r="E1413" s="31">
        <v>4.0033000000000003</v>
      </c>
      <c r="F1413" s="25">
        <v>0.95</v>
      </c>
      <c r="G1413" s="25">
        <f t="shared" si="22"/>
        <v>3.8031350000000002</v>
      </c>
      <c r="H1413" s="29"/>
      <c r="I1413" s="25"/>
      <c r="J1413" s="138">
        <v>0</v>
      </c>
    </row>
    <row r="1414" spans="1:10" ht="15.75" hidden="1" thickBot="1" x14ac:dyDescent="0.3">
      <c r="A1414" s="221"/>
      <c r="B1414" s="223"/>
      <c r="C1414" s="30" t="s">
        <v>438</v>
      </c>
      <c r="D1414" s="30" t="s">
        <v>144</v>
      </c>
      <c r="E1414" s="31">
        <v>0.67</v>
      </c>
      <c r="F1414" s="25">
        <v>0</v>
      </c>
      <c r="G1414" s="25">
        <f t="shared" si="22"/>
        <v>0</v>
      </c>
      <c r="H1414" s="29"/>
      <c r="I1414" s="25"/>
      <c r="J1414" s="138">
        <v>0</v>
      </c>
    </row>
    <row r="1415" spans="1:10" ht="15.75" hidden="1" thickBot="1" x14ac:dyDescent="0.3">
      <c r="A1415" s="221"/>
      <c r="B1415" s="223"/>
      <c r="C1415" s="30" t="s">
        <v>439</v>
      </c>
      <c r="D1415" s="30" t="s">
        <v>144</v>
      </c>
      <c r="E1415" s="31">
        <v>1.05</v>
      </c>
      <c r="F1415" s="25">
        <v>0</v>
      </c>
      <c r="G1415" s="25">
        <f t="shared" si="22"/>
        <v>0</v>
      </c>
      <c r="H1415" s="29"/>
      <c r="I1415" s="25"/>
      <c r="J1415" s="138">
        <v>0</v>
      </c>
    </row>
    <row r="1416" spans="1:10" ht="15.75" hidden="1" thickBot="1" x14ac:dyDescent="0.3">
      <c r="A1416" s="221"/>
      <c r="B1416" s="223"/>
      <c r="C1416" s="30" t="s">
        <v>440</v>
      </c>
      <c r="D1416" s="30" t="s">
        <v>20</v>
      </c>
      <c r="E1416" s="31">
        <v>2.67</v>
      </c>
      <c r="F1416" s="25">
        <v>0</v>
      </c>
      <c r="G1416" s="25">
        <f t="shared" si="22"/>
        <v>0</v>
      </c>
      <c r="H1416" s="29"/>
      <c r="I1416" s="25"/>
      <c r="J1416" s="138">
        <v>0</v>
      </c>
    </row>
    <row r="1417" spans="1:10" ht="15.75" hidden="1" thickBot="1" x14ac:dyDescent="0.3">
      <c r="A1417" s="221"/>
      <c r="B1417" s="223"/>
      <c r="C1417" s="30" t="s">
        <v>441</v>
      </c>
      <c r="D1417" s="30" t="s">
        <v>144</v>
      </c>
      <c r="E1417" s="31">
        <v>0.66669999999999996</v>
      </c>
      <c r="F1417" s="25">
        <v>0</v>
      </c>
      <c r="G1417" s="25">
        <f t="shared" si="22"/>
        <v>0</v>
      </c>
      <c r="H1417" s="29"/>
      <c r="I1417" s="25"/>
      <c r="J1417" s="138">
        <v>0</v>
      </c>
    </row>
    <row r="1418" spans="1:10" ht="26.25" hidden="1" thickBot="1" x14ac:dyDescent="0.3">
      <c r="A1418" s="221"/>
      <c r="B1418" s="223"/>
      <c r="C1418" s="30" t="s">
        <v>442</v>
      </c>
      <c r="D1418" s="30" t="s">
        <v>93</v>
      </c>
      <c r="E1418" s="31">
        <v>1.05</v>
      </c>
      <c r="F1418" s="28" t="s">
        <v>521</v>
      </c>
      <c r="G1418" s="25" t="str">
        <f t="shared" si="22"/>
        <v/>
      </c>
      <c r="H1418" s="29"/>
      <c r="I1418" s="25"/>
      <c r="J1418" s="138">
        <v>0</v>
      </c>
    </row>
    <row r="1419" spans="1:10" ht="15.75" hidden="1" thickBot="1" x14ac:dyDescent="0.3">
      <c r="A1419" s="227"/>
      <c r="B1419" s="224"/>
      <c r="C1419" s="30"/>
      <c r="D1419" s="30"/>
      <c r="E1419" s="31"/>
      <c r="F1419" s="25" t="s">
        <v>521</v>
      </c>
      <c r="G1419" s="25" t="str">
        <f t="shared" si="22"/>
        <v/>
      </c>
      <c r="H1419" s="29"/>
      <c r="I1419" s="25"/>
      <c r="J1419" s="138">
        <v>0</v>
      </c>
    </row>
    <row r="1420" spans="1:10" ht="15.75" hidden="1" thickBot="1" x14ac:dyDescent="0.3">
      <c r="A1420" s="220" t="s">
        <v>443</v>
      </c>
      <c r="B1420" s="222" t="e">
        <f>INDEX(Orçamentária!A:B,MATCH(Composições!A1420,Orçamentária!A:A,0),2)</f>
        <v>#N/A</v>
      </c>
      <c r="C1420" s="35"/>
      <c r="D1420" s="20" t="s">
        <v>93</v>
      </c>
      <c r="E1420" s="21"/>
      <c r="F1420" s="36" t="s">
        <v>521</v>
      </c>
      <c r="G1420" s="22" t="str">
        <f t="shared" si="22"/>
        <v/>
      </c>
      <c r="H1420" s="23"/>
      <c r="I1420" s="24"/>
      <c r="J1420" s="138">
        <v>0</v>
      </c>
    </row>
    <row r="1421" spans="1:10" ht="15.75" hidden="1" thickBot="1" x14ac:dyDescent="0.3">
      <c r="A1421" s="221"/>
      <c r="B1421" s="223"/>
      <c r="C1421" s="26"/>
      <c r="D1421" s="26"/>
      <c r="E1421" s="27"/>
      <c r="F1421" s="37" t="s">
        <v>521</v>
      </c>
      <c r="G1421" s="25" t="str">
        <f t="shared" si="22"/>
        <v/>
      </c>
      <c r="H1421" s="29"/>
      <c r="I1421" s="25"/>
      <c r="J1421" s="138">
        <v>0</v>
      </c>
    </row>
    <row r="1422" spans="1:10" ht="15.75" hidden="1" thickBot="1" x14ac:dyDescent="0.3">
      <c r="A1422" s="221"/>
      <c r="B1422" s="223"/>
      <c r="C1422" s="30" t="s">
        <v>30</v>
      </c>
      <c r="D1422" s="30" t="s">
        <v>12</v>
      </c>
      <c r="E1422" s="31">
        <v>0.6</v>
      </c>
      <c r="F1422" s="25">
        <v>25.146499999999996</v>
      </c>
      <c r="G1422" s="25">
        <f t="shared" si="22"/>
        <v>15.087899999999998</v>
      </c>
      <c r="H1422" s="33">
        <f>SUM(G1422:G1433)</f>
        <v>33.225562199999999</v>
      </c>
      <c r="I1422" s="34"/>
      <c r="J1422" s="138">
        <v>0</v>
      </c>
    </row>
    <row r="1423" spans="1:10" ht="15.75" hidden="1" thickBot="1" x14ac:dyDescent="0.3">
      <c r="A1423" s="221"/>
      <c r="B1423" s="223"/>
      <c r="C1423" s="30" t="s">
        <v>74</v>
      </c>
      <c r="D1423" s="41" t="s">
        <v>12</v>
      </c>
      <c r="E1423" s="31">
        <v>0.6</v>
      </c>
      <c r="F1423" s="25">
        <v>19.4085</v>
      </c>
      <c r="G1423" s="25">
        <f t="shared" si="22"/>
        <v>11.645099999999999</v>
      </c>
      <c r="H1423" s="29"/>
      <c r="I1423" s="25"/>
      <c r="J1423" s="138">
        <v>0</v>
      </c>
    </row>
    <row r="1424" spans="1:10" ht="26.25" hidden="1" thickBot="1" x14ac:dyDescent="0.3">
      <c r="A1424" s="221"/>
      <c r="B1424" s="223"/>
      <c r="C1424" s="30" t="s">
        <v>433</v>
      </c>
      <c r="D1424" s="30" t="s">
        <v>144</v>
      </c>
      <c r="E1424" s="31">
        <v>1.3332999999999999</v>
      </c>
      <c r="F1424" s="25">
        <v>0</v>
      </c>
      <c r="G1424" s="25">
        <f t="shared" si="22"/>
        <v>0</v>
      </c>
      <c r="H1424" s="56"/>
      <c r="I1424" s="1"/>
      <c r="J1424" s="138">
        <v>0</v>
      </c>
    </row>
    <row r="1425" spans="1:10" ht="26.25" hidden="1" thickBot="1" x14ac:dyDescent="0.3">
      <c r="A1425" s="221"/>
      <c r="B1425" s="223"/>
      <c r="C1425" s="30" t="s">
        <v>444</v>
      </c>
      <c r="D1425" s="30" t="s">
        <v>93</v>
      </c>
      <c r="E1425" s="31">
        <v>1.05</v>
      </c>
      <c r="F1425" s="28" t="s">
        <v>521</v>
      </c>
      <c r="G1425" s="25" t="str">
        <f t="shared" si="22"/>
        <v/>
      </c>
      <c r="H1425" s="29"/>
      <c r="I1425" s="25"/>
      <c r="J1425" s="138">
        <v>0</v>
      </c>
    </row>
    <row r="1426" spans="1:10" ht="15.75" hidden="1" thickBot="1" x14ac:dyDescent="0.3">
      <c r="A1426" s="221"/>
      <c r="B1426" s="223"/>
      <c r="C1426" s="30" t="s">
        <v>435</v>
      </c>
      <c r="D1426" s="30" t="s">
        <v>93</v>
      </c>
      <c r="E1426" s="31">
        <v>1.6</v>
      </c>
      <c r="F1426" s="25">
        <v>0</v>
      </c>
      <c r="G1426" s="25">
        <f t="shared" ref="G1426:G1489" si="23">IF(ISNUMBER(F1426),E1426*F1426,"")</f>
        <v>0</v>
      </c>
      <c r="H1426" s="29"/>
      <c r="I1426" s="25"/>
      <c r="J1426" s="138">
        <v>0</v>
      </c>
    </row>
    <row r="1427" spans="1:10" ht="15.75" hidden="1" thickBot="1" x14ac:dyDescent="0.3">
      <c r="A1427" s="221"/>
      <c r="B1427" s="223"/>
      <c r="C1427" s="30" t="s">
        <v>436</v>
      </c>
      <c r="D1427" s="30" t="s">
        <v>279</v>
      </c>
      <c r="E1427" s="31">
        <v>5.3367000000000004</v>
      </c>
      <c r="F1427" s="28">
        <v>0.26600000000000001</v>
      </c>
      <c r="G1427" s="25">
        <f t="shared" si="23"/>
        <v>1.4195622000000001</v>
      </c>
      <c r="H1427" s="29"/>
      <c r="I1427" s="25"/>
      <c r="J1427" s="138">
        <v>0</v>
      </c>
    </row>
    <row r="1428" spans="1:10" ht="15.75" hidden="1" thickBot="1" x14ac:dyDescent="0.3">
      <c r="A1428" s="221"/>
      <c r="B1428" s="223"/>
      <c r="C1428" s="30" t="s">
        <v>437</v>
      </c>
      <c r="D1428" s="30" t="s">
        <v>144</v>
      </c>
      <c r="E1428" s="31">
        <v>5.34</v>
      </c>
      <c r="F1428" s="25">
        <v>0.95</v>
      </c>
      <c r="G1428" s="25">
        <f t="shared" si="23"/>
        <v>5.0729999999999995</v>
      </c>
      <c r="H1428" s="29"/>
      <c r="I1428" s="25"/>
      <c r="J1428" s="138">
        <v>0</v>
      </c>
    </row>
    <row r="1429" spans="1:10" ht="15.75" hidden="1" thickBot="1" x14ac:dyDescent="0.3">
      <c r="A1429" s="221"/>
      <c r="B1429" s="223"/>
      <c r="C1429" s="30" t="s">
        <v>445</v>
      </c>
      <c r="D1429" s="30" t="s">
        <v>144</v>
      </c>
      <c r="E1429" s="31">
        <v>0.67</v>
      </c>
      <c r="F1429" s="25">
        <v>0</v>
      </c>
      <c r="G1429" s="25">
        <f t="shared" si="23"/>
        <v>0</v>
      </c>
      <c r="H1429" s="29"/>
      <c r="I1429" s="25"/>
      <c r="J1429" s="138">
        <v>0</v>
      </c>
    </row>
    <row r="1430" spans="1:10" ht="15.75" hidden="1" thickBot="1" x14ac:dyDescent="0.3">
      <c r="A1430" s="221"/>
      <c r="B1430" s="223"/>
      <c r="C1430" s="30" t="s">
        <v>439</v>
      </c>
      <c r="D1430" s="30" t="s">
        <v>144</v>
      </c>
      <c r="E1430" s="31">
        <v>1.3332999999999999</v>
      </c>
      <c r="F1430" s="25">
        <v>0</v>
      </c>
      <c r="G1430" s="25">
        <f t="shared" si="23"/>
        <v>0</v>
      </c>
      <c r="H1430" s="29"/>
      <c r="I1430" s="25"/>
      <c r="J1430" s="138">
        <v>0</v>
      </c>
    </row>
    <row r="1431" spans="1:10" ht="15.75" hidden="1" thickBot="1" x14ac:dyDescent="0.3">
      <c r="A1431" s="221"/>
      <c r="B1431" s="223"/>
      <c r="C1431" s="30" t="s">
        <v>440</v>
      </c>
      <c r="D1431" s="30" t="s">
        <v>20</v>
      </c>
      <c r="E1431" s="31">
        <v>2.67</v>
      </c>
      <c r="F1431" s="25">
        <v>0</v>
      </c>
      <c r="G1431" s="25">
        <f t="shared" si="23"/>
        <v>0</v>
      </c>
      <c r="H1431" s="29"/>
      <c r="I1431" s="25"/>
      <c r="J1431" s="138">
        <v>0</v>
      </c>
    </row>
    <row r="1432" spans="1:10" ht="15.75" hidden="1" thickBot="1" x14ac:dyDescent="0.3">
      <c r="A1432" s="221"/>
      <c r="B1432" s="223"/>
      <c r="C1432" s="30" t="s">
        <v>446</v>
      </c>
      <c r="D1432" s="30" t="s">
        <v>144</v>
      </c>
      <c r="E1432" s="31">
        <v>0.67</v>
      </c>
      <c r="F1432" s="25">
        <v>0</v>
      </c>
      <c r="G1432" s="25">
        <f t="shared" si="23"/>
        <v>0</v>
      </c>
      <c r="H1432" s="29"/>
      <c r="I1432" s="25"/>
      <c r="J1432" s="138">
        <v>0</v>
      </c>
    </row>
    <row r="1433" spans="1:10" ht="26.25" hidden="1" thickBot="1" x14ac:dyDescent="0.3">
      <c r="A1433" s="221"/>
      <c r="B1433" s="223"/>
      <c r="C1433" s="30" t="s">
        <v>447</v>
      </c>
      <c r="D1433" s="30" t="s">
        <v>93</v>
      </c>
      <c r="E1433" s="31">
        <v>1.05</v>
      </c>
      <c r="F1433" s="28" t="s">
        <v>521</v>
      </c>
      <c r="G1433" s="25" t="str">
        <f t="shared" si="23"/>
        <v/>
      </c>
      <c r="H1433" s="29"/>
      <c r="I1433" s="25"/>
      <c r="J1433" s="138">
        <v>0</v>
      </c>
    </row>
    <row r="1434" spans="1:10" ht="15.75" hidden="1" thickBot="1" x14ac:dyDescent="0.3">
      <c r="A1434" s="227"/>
      <c r="B1434" s="224"/>
      <c r="C1434" s="30"/>
      <c r="D1434" s="30"/>
      <c r="E1434" s="31"/>
      <c r="F1434" s="25" t="s">
        <v>521</v>
      </c>
      <c r="G1434" s="25" t="str">
        <f t="shared" si="23"/>
        <v/>
      </c>
      <c r="H1434" s="29"/>
      <c r="I1434" s="25"/>
      <c r="J1434" s="138">
        <v>0</v>
      </c>
    </row>
    <row r="1435" spans="1:10" ht="15.75" hidden="1" thickBot="1" x14ac:dyDescent="0.3">
      <c r="A1435" s="220" t="s">
        <v>448</v>
      </c>
      <c r="B1435" s="222" t="e">
        <f>INDEX(Orçamentária!A:B,MATCH(Composições!A1435,Orçamentária!A:A,0),2)</f>
        <v>#N/A</v>
      </c>
      <c r="C1435" s="35"/>
      <c r="D1435" s="20" t="s">
        <v>93</v>
      </c>
      <c r="E1435" s="21"/>
      <c r="F1435" s="36" t="s">
        <v>521</v>
      </c>
      <c r="G1435" s="22" t="str">
        <f t="shared" si="23"/>
        <v/>
      </c>
      <c r="H1435" s="23"/>
      <c r="I1435" s="24"/>
      <c r="J1435" s="138">
        <v>0</v>
      </c>
    </row>
    <row r="1436" spans="1:10" ht="15.75" hidden="1" thickBot="1" x14ac:dyDescent="0.3">
      <c r="A1436" s="221"/>
      <c r="B1436" s="223"/>
      <c r="C1436" s="26"/>
      <c r="D1436" s="26"/>
      <c r="E1436" s="27"/>
      <c r="F1436" s="37" t="s">
        <v>521</v>
      </c>
      <c r="G1436" s="25" t="str">
        <f t="shared" si="23"/>
        <v/>
      </c>
      <c r="H1436" s="29"/>
      <c r="I1436" s="25"/>
      <c r="J1436" s="138">
        <v>0</v>
      </c>
    </row>
    <row r="1437" spans="1:10" ht="15.75" hidden="1" thickBot="1" x14ac:dyDescent="0.3">
      <c r="A1437" s="221"/>
      <c r="B1437" s="223"/>
      <c r="C1437" s="30" t="s">
        <v>30</v>
      </c>
      <c r="D1437" s="30" t="s">
        <v>12</v>
      </c>
      <c r="E1437" s="31">
        <v>0.5</v>
      </c>
      <c r="F1437" s="25">
        <v>25.146499999999996</v>
      </c>
      <c r="G1437" s="25">
        <f t="shared" si="23"/>
        <v>12.573249999999998</v>
      </c>
      <c r="H1437" s="33">
        <f>SUM(G1437:G1448)</f>
        <v>28.770062199999998</v>
      </c>
      <c r="I1437" s="34"/>
      <c r="J1437" s="138">
        <v>0</v>
      </c>
    </row>
    <row r="1438" spans="1:10" ht="15.75" hidden="1" thickBot="1" x14ac:dyDescent="0.3">
      <c r="A1438" s="221"/>
      <c r="B1438" s="223"/>
      <c r="C1438" s="30" t="s">
        <v>74</v>
      </c>
      <c r="D1438" s="41" t="s">
        <v>12</v>
      </c>
      <c r="E1438" s="31">
        <v>0.5</v>
      </c>
      <c r="F1438" s="25">
        <v>19.4085</v>
      </c>
      <c r="G1438" s="25">
        <f t="shared" si="23"/>
        <v>9.70425</v>
      </c>
      <c r="H1438" s="29"/>
      <c r="I1438" s="25"/>
      <c r="J1438" s="138">
        <v>0</v>
      </c>
    </row>
    <row r="1439" spans="1:10" ht="26.25" hidden="1" thickBot="1" x14ac:dyDescent="0.3">
      <c r="A1439" s="221"/>
      <c r="B1439" s="223"/>
      <c r="C1439" s="30" t="s">
        <v>433</v>
      </c>
      <c r="D1439" s="30" t="s">
        <v>144</v>
      </c>
      <c r="E1439" s="31">
        <v>1.3332999999999999</v>
      </c>
      <c r="F1439" s="25">
        <v>0</v>
      </c>
      <c r="G1439" s="25">
        <f t="shared" si="23"/>
        <v>0</v>
      </c>
      <c r="H1439" s="56"/>
      <c r="I1439" s="1"/>
      <c r="J1439" s="138">
        <v>0</v>
      </c>
    </row>
    <row r="1440" spans="1:10" ht="26.25" hidden="1" thickBot="1" x14ac:dyDescent="0.3">
      <c r="A1440" s="221"/>
      <c r="B1440" s="223"/>
      <c r="C1440" s="30" t="s">
        <v>449</v>
      </c>
      <c r="D1440" s="30" t="s">
        <v>93</v>
      </c>
      <c r="E1440" s="31">
        <v>1.05</v>
      </c>
      <c r="F1440" s="28" t="s">
        <v>521</v>
      </c>
      <c r="G1440" s="25" t="str">
        <f t="shared" si="23"/>
        <v/>
      </c>
      <c r="H1440" s="29"/>
      <c r="I1440" s="25"/>
      <c r="J1440" s="138">
        <v>0</v>
      </c>
    </row>
    <row r="1441" spans="1:10" ht="15.75" hidden="1" thickBot="1" x14ac:dyDescent="0.3">
      <c r="A1441" s="221"/>
      <c r="B1441" s="223"/>
      <c r="C1441" s="30" t="s">
        <v>435</v>
      </c>
      <c r="D1441" s="30" t="s">
        <v>93</v>
      </c>
      <c r="E1441" s="31">
        <v>1.6</v>
      </c>
      <c r="F1441" s="25">
        <v>0</v>
      </c>
      <c r="G1441" s="25">
        <f t="shared" si="23"/>
        <v>0</v>
      </c>
      <c r="H1441" s="29"/>
      <c r="I1441" s="25"/>
      <c r="J1441" s="138">
        <v>0</v>
      </c>
    </row>
    <row r="1442" spans="1:10" ht="15.75" hidden="1" thickBot="1" x14ac:dyDescent="0.3">
      <c r="A1442" s="221"/>
      <c r="B1442" s="223"/>
      <c r="C1442" s="30" t="s">
        <v>436</v>
      </c>
      <c r="D1442" s="30" t="s">
        <v>279</v>
      </c>
      <c r="E1442" s="31">
        <v>5.3367000000000004</v>
      </c>
      <c r="F1442" s="28">
        <v>0.26600000000000001</v>
      </c>
      <c r="G1442" s="25">
        <f t="shared" si="23"/>
        <v>1.4195622000000001</v>
      </c>
      <c r="H1442" s="29"/>
      <c r="I1442" s="25"/>
      <c r="J1442" s="138">
        <v>0</v>
      </c>
    </row>
    <row r="1443" spans="1:10" ht="15.75" hidden="1" thickBot="1" x14ac:dyDescent="0.3">
      <c r="A1443" s="221"/>
      <c r="B1443" s="223"/>
      <c r="C1443" s="30" t="s">
        <v>437</v>
      </c>
      <c r="D1443" s="30" t="s">
        <v>144</v>
      </c>
      <c r="E1443" s="31">
        <v>5.34</v>
      </c>
      <c r="F1443" s="25">
        <v>0.95</v>
      </c>
      <c r="G1443" s="25">
        <f t="shared" si="23"/>
        <v>5.0729999999999995</v>
      </c>
      <c r="H1443" s="29"/>
      <c r="I1443" s="25"/>
      <c r="J1443" s="138">
        <v>0</v>
      </c>
    </row>
    <row r="1444" spans="1:10" ht="15.75" hidden="1" thickBot="1" x14ac:dyDescent="0.3">
      <c r="A1444" s="221"/>
      <c r="B1444" s="223"/>
      <c r="C1444" s="30" t="s">
        <v>450</v>
      </c>
      <c r="D1444" s="30" t="s">
        <v>144</v>
      </c>
      <c r="E1444" s="31">
        <v>0.67</v>
      </c>
      <c r="F1444" s="25">
        <v>0</v>
      </c>
      <c r="G1444" s="25">
        <f t="shared" si="23"/>
        <v>0</v>
      </c>
      <c r="H1444" s="29"/>
      <c r="I1444" s="25"/>
      <c r="J1444" s="138">
        <v>0</v>
      </c>
    </row>
    <row r="1445" spans="1:10" ht="15.75" hidden="1" thickBot="1" x14ac:dyDescent="0.3">
      <c r="A1445" s="221"/>
      <c r="B1445" s="223"/>
      <c r="C1445" s="30" t="s">
        <v>439</v>
      </c>
      <c r="D1445" s="30" t="s">
        <v>144</v>
      </c>
      <c r="E1445" s="31">
        <v>1.3332999999999999</v>
      </c>
      <c r="F1445" s="25">
        <v>0</v>
      </c>
      <c r="G1445" s="25">
        <f t="shared" si="23"/>
        <v>0</v>
      </c>
      <c r="H1445" s="29"/>
      <c r="I1445" s="25"/>
      <c r="J1445" s="138">
        <v>0</v>
      </c>
    </row>
    <row r="1446" spans="1:10" ht="15.75" hidden="1" thickBot="1" x14ac:dyDescent="0.3">
      <c r="A1446" s="221"/>
      <c r="B1446" s="223"/>
      <c r="C1446" s="30" t="s">
        <v>440</v>
      </c>
      <c r="D1446" s="30" t="s">
        <v>20</v>
      </c>
      <c r="E1446" s="31">
        <v>2.67</v>
      </c>
      <c r="F1446" s="25">
        <v>0</v>
      </c>
      <c r="G1446" s="25">
        <f t="shared" si="23"/>
        <v>0</v>
      </c>
      <c r="H1446" s="29"/>
      <c r="I1446" s="25"/>
      <c r="J1446" s="138">
        <v>0</v>
      </c>
    </row>
    <row r="1447" spans="1:10" ht="15.75" hidden="1" thickBot="1" x14ac:dyDescent="0.3">
      <c r="A1447" s="221"/>
      <c r="B1447" s="223"/>
      <c r="C1447" s="30" t="s">
        <v>441</v>
      </c>
      <c r="D1447" s="30" t="s">
        <v>144</v>
      </c>
      <c r="E1447" s="31">
        <v>0.67</v>
      </c>
      <c r="F1447" s="25">
        <v>0</v>
      </c>
      <c r="G1447" s="25">
        <f t="shared" si="23"/>
        <v>0</v>
      </c>
      <c r="H1447" s="29"/>
      <c r="I1447" s="25"/>
      <c r="J1447" s="138">
        <v>0</v>
      </c>
    </row>
    <row r="1448" spans="1:10" ht="26.25" hidden="1" thickBot="1" x14ac:dyDescent="0.3">
      <c r="A1448" s="221"/>
      <c r="B1448" s="223"/>
      <c r="C1448" s="30" t="s">
        <v>447</v>
      </c>
      <c r="D1448" s="30" t="s">
        <v>93</v>
      </c>
      <c r="E1448" s="31">
        <v>1.05</v>
      </c>
      <c r="F1448" s="28" t="s">
        <v>521</v>
      </c>
      <c r="G1448" s="25" t="str">
        <f t="shared" si="23"/>
        <v/>
      </c>
      <c r="H1448" s="29"/>
      <c r="I1448" s="25"/>
      <c r="J1448" s="138">
        <v>0</v>
      </c>
    </row>
    <row r="1449" spans="1:10" ht="15.75" hidden="1" thickBot="1" x14ac:dyDescent="0.3">
      <c r="A1449" s="227"/>
      <c r="B1449" s="224"/>
      <c r="C1449" s="30"/>
      <c r="D1449" s="30"/>
      <c r="E1449" s="31"/>
      <c r="F1449" s="25" t="s">
        <v>521</v>
      </c>
      <c r="G1449" s="25" t="str">
        <f t="shared" si="23"/>
        <v/>
      </c>
      <c r="H1449" s="29"/>
      <c r="I1449" s="25"/>
      <c r="J1449" s="138">
        <v>0</v>
      </c>
    </row>
    <row r="1450" spans="1:10" ht="15.75" hidden="1" thickBot="1" x14ac:dyDescent="0.3">
      <c r="A1450" s="220" t="s">
        <v>451</v>
      </c>
      <c r="B1450" s="222" t="e">
        <f>INDEX(Orçamentária!A:B,MATCH(Composições!A1450,Orçamentária!A:A,0),2)</f>
        <v>#N/A</v>
      </c>
      <c r="C1450" s="35"/>
      <c r="D1450" s="20" t="s">
        <v>93</v>
      </c>
      <c r="E1450" s="21"/>
      <c r="F1450" s="36" t="s">
        <v>521</v>
      </c>
      <c r="G1450" s="22" t="str">
        <f t="shared" si="23"/>
        <v/>
      </c>
      <c r="H1450" s="23"/>
      <c r="I1450" s="24"/>
      <c r="J1450" s="138">
        <v>0</v>
      </c>
    </row>
    <row r="1451" spans="1:10" ht="15.75" hidden="1" thickBot="1" x14ac:dyDescent="0.3">
      <c r="A1451" s="221"/>
      <c r="B1451" s="223"/>
      <c r="C1451" s="26"/>
      <c r="D1451" s="26"/>
      <c r="E1451" s="27"/>
      <c r="F1451" s="37" t="s">
        <v>521</v>
      </c>
      <c r="G1451" s="25" t="str">
        <f t="shared" si="23"/>
        <v/>
      </c>
      <c r="H1451" s="29"/>
      <c r="I1451" s="25"/>
      <c r="J1451" s="138">
        <v>0</v>
      </c>
    </row>
    <row r="1452" spans="1:10" ht="15.75" hidden="1" thickBot="1" x14ac:dyDescent="0.3">
      <c r="A1452" s="221"/>
      <c r="B1452" s="223"/>
      <c r="C1452" s="30" t="s">
        <v>30</v>
      </c>
      <c r="D1452" s="30" t="s">
        <v>12</v>
      </c>
      <c r="E1452" s="31">
        <v>0.65</v>
      </c>
      <c r="F1452" s="25">
        <v>25.146499999999996</v>
      </c>
      <c r="G1452" s="25">
        <f t="shared" si="23"/>
        <v>16.345224999999999</v>
      </c>
      <c r="H1452" s="33">
        <f>SUM(G1452:G1463)</f>
        <v>35.453312199999999</v>
      </c>
      <c r="I1452" s="34"/>
      <c r="J1452" s="138">
        <v>0</v>
      </c>
    </row>
    <row r="1453" spans="1:10" ht="15.75" hidden="1" thickBot="1" x14ac:dyDescent="0.3">
      <c r="A1453" s="221"/>
      <c r="B1453" s="223"/>
      <c r="C1453" s="30" t="s">
        <v>74</v>
      </c>
      <c r="D1453" s="41" t="s">
        <v>12</v>
      </c>
      <c r="E1453" s="31">
        <v>0.65</v>
      </c>
      <c r="F1453" s="25">
        <v>19.4085</v>
      </c>
      <c r="G1453" s="25">
        <f t="shared" si="23"/>
        <v>12.615525</v>
      </c>
      <c r="H1453" s="29"/>
      <c r="I1453" s="25"/>
      <c r="J1453" s="138">
        <v>0</v>
      </c>
    </row>
    <row r="1454" spans="1:10" ht="26.25" hidden="1" thickBot="1" x14ac:dyDescent="0.3">
      <c r="A1454" s="221"/>
      <c r="B1454" s="223"/>
      <c r="C1454" s="30" t="s">
        <v>433</v>
      </c>
      <c r="D1454" s="30" t="s">
        <v>144</v>
      </c>
      <c r="E1454" s="31">
        <v>1.3332999999999999</v>
      </c>
      <c r="F1454" s="25">
        <v>0</v>
      </c>
      <c r="G1454" s="25">
        <f t="shared" si="23"/>
        <v>0</v>
      </c>
      <c r="H1454" s="56"/>
      <c r="I1454" s="1"/>
      <c r="J1454" s="138">
        <v>0</v>
      </c>
    </row>
    <row r="1455" spans="1:10" ht="26.25" hidden="1" thickBot="1" x14ac:dyDescent="0.3">
      <c r="A1455" s="221"/>
      <c r="B1455" s="223"/>
      <c r="C1455" s="30" t="s">
        <v>452</v>
      </c>
      <c r="D1455" s="30" t="s">
        <v>93</v>
      </c>
      <c r="E1455" s="31">
        <v>1.05</v>
      </c>
      <c r="F1455" s="28" t="s">
        <v>521</v>
      </c>
      <c r="G1455" s="25" t="str">
        <f t="shared" si="23"/>
        <v/>
      </c>
      <c r="H1455" s="29"/>
      <c r="I1455" s="25"/>
      <c r="J1455" s="138">
        <v>0</v>
      </c>
    </row>
    <row r="1456" spans="1:10" ht="15.75" hidden="1" thickBot="1" x14ac:dyDescent="0.3">
      <c r="A1456" s="221"/>
      <c r="B1456" s="223"/>
      <c r="C1456" s="30" t="s">
        <v>435</v>
      </c>
      <c r="D1456" s="30" t="s">
        <v>93</v>
      </c>
      <c r="E1456" s="31">
        <v>1.6</v>
      </c>
      <c r="F1456" s="25">
        <v>0</v>
      </c>
      <c r="G1456" s="25">
        <f t="shared" si="23"/>
        <v>0</v>
      </c>
      <c r="H1456" s="29"/>
      <c r="I1456" s="25"/>
      <c r="J1456" s="138">
        <v>0</v>
      </c>
    </row>
    <row r="1457" spans="1:10" ht="15.75" hidden="1" thickBot="1" x14ac:dyDescent="0.3">
      <c r="A1457" s="221"/>
      <c r="B1457" s="223"/>
      <c r="C1457" s="30" t="s">
        <v>436</v>
      </c>
      <c r="D1457" s="30" t="s">
        <v>279</v>
      </c>
      <c r="E1457" s="31">
        <v>5.3367000000000004</v>
      </c>
      <c r="F1457" s="28">
        <v>0.26600000000000001</v>
      </c>
      <c r="G1457" s="25">
        <f t="shared" si="23"/>
        <v>1.4195622000000001</v>
      </c>
      <c r="H1457" s="29"/>
      <c r="I1457" s="25"/>
      <c r="J1457" s="138">
        <v>0</v>
      </c>
    </row>
    <row r="1458" spans="1:10" ht="15.75" hidden="1" thickBot="1" x14ac:dyDescent="0.3">
      <c r="A1458" s="221"/>
      <c r="B1458" s="223"/>
      <c r="C1458" s="30" t="s">
        <v>437</v>
      </c>
      <c r="D1458" s="30" t="s">
        <v>144</v>
      </c>
      <c r="E1458" s="31">
        <v>5.34</v>
      </c>
      <c r="F1458" s="25">
        <v>0.95</v>
      </c>
      <c r="G1458" s="25">
        <f t="shared" si="23"/>
        <v>5.0729999999999995</v>
      </c>
      <c r="H1458" s="29"/>
      <c r="I1458" s="25"/>
      <c r="J1458" s="138">
        <v>0</v>
      </c>
    </row>
    <row r="1459" spans="1:10" ht="15.75" hidden="1" thickBot="1" x14ac:dyDescent="0.3">
      <c r="A1459" s="221"/>
      <c r="B1459" s="223"/>
      <c r="C1459" s="30" t="s">
        <v>453</v>
      </c>
      <c r="D1459" s="30" t="s">
        <v>144</v>
      </c>
      <c r="E1459" s="31">
        <v>0.67</v>
      </c>
      <c r="F1459" s="25">
        <v>0</v>
      </c>
      <c r="G1459" s="25">
        <f t="shared" si="23"/>
        <v>0</v>
      </c>
      <c r="H1459" s="29"/>
      <c r="I1459" s="25"/>
      <c r="J1459" s="138">
        <v>0</v>
      </c>
    </row>
    <row r="1460" spans="1:10" ht="15.75" hidden="1" thickBot="1" x14ac:dyDescent="0.3">
      <c r="A1460" s="221"/>
      <c r="B1460" s="223"/>
      <c r="C1460" s="30" t="s">
        <v>439</v>
      </c>
      <c r="D1460" s="30" t="s">
        <v>144</v>
      </c>
      <c r="E1460" s="31">
        <v>1.3332999999999999</v>
      </c>
      <c r="F1460" s="25">
        <v>0</v>
      </c>
      <c r="G1460" s="25">
        <f t="shared" si="23"/>
        <v>0</v>
      </c>
      <c r="H1460" s="29"/>
      <c r="I1460" s="25"/>
      <c r="J1460" s="138">
        <v>0</v>
      </c>
    </row>
    <row r="1461" spans="1:10" ht="15.75" hidden="1" thickBot="1" x14ac:dyDescent="0.3">
      <c r="A1461" s="221"/>
      <c r="B1461" s="223"/>
      <c r="C1461" s="30" t="s">
        <v>440</v>
      </c>
      <c r="D1461" s="30" t="s">
        <v>20</v>
      </c>
      <c r="E1461" s="31">
        <v>2.67</v>
      </c>
      <c r="F1461" s="25">
        <v>0</v>
      </c>
      <c r="G1461" s="25">
        <f t="shared" si="23"/>
        <v>0</v>
      </c>
      <c r="H1461" s="29"/>
      <c r="I1461" s="25"/>
      <c r="J1461" s="138">
        <v>0</v>
      </c>
    </row>
    <row r="1462" spans="1:10" ht="15.75" hidden="1" thickBot="1" x14ac:dyDescent="0.3">
      <c r="A1462" s="221"/>
      <c r="B1462" s="223"/>
      <c r="C1462" s="30" t="s">
        <v>446</v>
      </c>
      <c r="D1462" s="30" t="s">
        <v>144</v>
      </c>
      <c r="E1462" s="31">
        <v>0.67</v>
      </c>
      <c r="F1462" s="25">
        <v>0</v>
      </c>
      <c r="G1462" s="25">
        <f t="shared" si="23"/>
        <v>0</v>
      </c>
      <c r="H1462" s="29"/>
      <c r="I1462" s="25"/>
      <c r="J1462" s="138">
        <v>0</v>
      </c>
    </row>
    <row r="1463" spans="1:10" ht="26.25" hidden="1" thickBot="1" x14ac:dyDescent="0.3">
      <c r="A1463" s="221"/>
      <c r="B1463" s="223"/>
      <c r="C1463" s="30" t="s">
        <v>454</v>
      </c>
      <c r="D1463" s="30" t="s">
        <v>93</v>
      </c>
      <c r="E1463" s="31">
        <v>1.05</v>
      </c>
      <c r="F1463" s="28" t="s">
        <v>521</v>
      </c>
      <c r="G1463" s="25" t="str">
        <f t="shared" si="23"/>
        <v/>
      </c>
      <c r="H1463" s="29"/>
      <c r="I1463" s="25"/>
      <c r="J1463" s="138">
        <v>0</v>
      </c>
    </row>
    <row r="1464" spans="1:10" ht="15.75" hidden="1" thickBot="1" x14ac:dyDescent="0.3">
      <c r="A1464" s="227"/>
      <c r="B1464" s="224"/>
      <c r="C1464" s="30"/>
      <c r="D1464" s="30"/>
      <c r="E1464" s="31"/>
      <c r="F1464" s="25" t="s">
        <v>521</v>
      </c>
      <c r="G1464" s="25" t="str">
        <f t="shared" si="23"/>
        <v/>
      </c>
      <c r="H1464" s="29"/>
      <c r="I1464" s="25"/>
      <c r="J1464" s="138">
        <v>0</v>
      </c>
    </row>
    <row r="1465" spans="1:10" ht="15.75" hidden="1" thickBot="1" x14ac:dyDescent="0.3">
      <c r="A1465" s="220" t="s">
        <v>455</v>
      </c>
      <c r="B1465" s="222" t="e">
        <f>INDEX(Orçamentária!A:B,MATCH(Composições!A1465,Orçamentária!A:A,0),2)</f>
        <v>#N/A</v>
      </c>
      <c r="C1465" s="35"/>
      <c r="D1465" s="20" t="s">
        <v>93</v>
      </c>
      <c r="E1465" s="21"/>
      <c r="F1465" s="36" t="s">
        <v>521</v>
      </c>
      <c r="G1465" s="22" t="str">
        <f t="shared" si="23"/>
        <v/>
      </c>
      <c r="H1465" s="23"/>
      <c r="I1465" s="24"/>
      <c r="J1465" s="138">
        <v>0</v>
      </c>
    </row>
    <row r="1466" spans="1:10" ht="15.75" hidden="1" thickBot="1" x14ac:dyDescent="0.3">
      <c r="A1466" s="221"/>
      <c r="B1466" s="223"/>
      <c r="C1466" s="26"/>
      <c r="D1466" s="26"/>
      <c r="E1466" s="27"/>
      <c r="F1466" s="37" t="s">
        <v>521</v>
      </c>
      <c r="G1466" s="25" t="str">
        <f t="shared" si="23"/>
        <v/>
      </c>
      <c r="H1466" s="29"/>
      <c r="I1466" s="25"/>
      <c r="J1466" s="138">
        <v>0</v>
      </c>
    </row>
    <row r="1467" spans="1:10" ht="15.75" hidden="1" thickBot="1" x14ac:dyDescent="0.3">
      <c r="A1467" s="221"/>
      <c r="B1467" s="223"/>
      <c r="C1467" s="30" t="s">
        <v>30</v>
      </c>
      <c r="D1467" s="30" t="s">
        <v>12</v>
      </c>
      <c r="E1467" s="31">
        <v>0.55000000000000004</v>
      </c>
      <c r="F1467" s="25">
        <v>25.146499999999996</v>
      </c>
      <c r="G1467" s="25">
        <f t="shared" si="23"/>
        <v>13.830575</v>
      </c>
      <c r="H1467" s="33">
        <f>SUM(G1467:G1478)</f>
        <v>30.997812200000002</v>
      </c>
      <c r="I1467" s="34"/>
      <c r="J1467" s="138">
        <v>0</v>
      </c>
    </row>
    <row r="1468" spans="1:10" ht="15.75" hidden="1" thickBot="1" x14ac:dyDescent="0.3">
      <c r="A1468" s="221"/>
      <c r="B1468" s="223"/>
      <c r="C1468" s="30" t="s">
        <v>74</v>
      </c>
      <c r="D1468" s="41" t="s">
        <v>12</v>
      </c>
      <c r="E1468" s="31">
        <v>0.55000000000000004</v>
      </c>
      <c r="F1468" s="25">
        <v>19.4085</v>
      </c>
      <c r="G1468" s="25">
        <f t="shared" si="23"/>
        <v>10.674675000000001</v>
      </c>
      <c r="H1468" s="29"/>
      <c r="I1468" s="25"/>
      <c r="J1468" s="138">
        <v>0</v>
      </c>
    </row>
    <row r="1469" spans="1:10" ht="26.25" hidden="1" thickBot="1" x14ac:dyDescent="0.3">
      <c r="A1469" s="221"/>
      <c r="B1469" s="223"/>
      <c r="C1469" s="30" t="s">
        <v>433</v>
      </c>
      <c r="D1469" s="30" t="s">
        <v>144</v>
      </c>
      <c r="E1469" s="31">
        <v>1.3332999999999999</v>
      </c>
      <c r="F1469" s="25">
        <v>0</v>
      </c>
      <c r="G1469" s="25">
        <f t="shared" si="23"/>
        <v>0</v>
      </c>
      <c r="H1469" s="56"/>
      <c r="I1469" s="1"/>
      <c r="J1469" s="138">
        <v>0</v>
      </c>
    </row>
    <row r="1470" spans="1:10" ht="26.25" hidden="1" thickBot="1" x14ac:dyDescent="0.3">
      <c r="A1470" s="221"/>
      <c r="B1470" s="223"/>
      <c r="C1470" s="30" t="s">
        <v>456</v>
      </c>
      <c r="D1470" s="30" t="s">
        <v>93</v>
      </c>
      <c r="E1470" s="31">
        <v>1.05</v>
      </c>
      <c r="F1470" s="28" t="s">
        <v>521</v>
      </c>
      <c r="G1470" s="25" t="str">
        <f t="shared" si="23"/>
        <v/>
      </c>
      <c r="H1470" s="29"/>
      <c r="I1470" s="25"/>
      <c r="J1470" s="138">
        <v>0</v>
      </c>
    </row>
    <row r="1471" spans="1:10" ht="15.75" hidden="1" thickBot="1" x14ac:dyDescent="0.3">
      <c r="A1471" s="221"/>
      <c r="B1471" s="223"/>
      <c r="C1471" s="30" t="s">
        <v>435</v>
      </c>
      <c r="D1471" s="30" t="s">
        <v>93</v>
      </c>
      <c r="E1471" s="31">
        <v>1.6</v>
      </c>
      <c r="F1471" s="25">
        <v>0</v>
      </c>
      <c r="G1471" s="25">
        <f t="shared" si="23"/>
        <v>0</v>
      </c>
      <c r="H1471" s="29"/>
      <c r="I1471" s="25"/>
      <c r="J1471" s="138">
        <v>0</v>
      </c>
    </row>
    <row r="1472" spans="1:10" ht="15.75" hidden="1" thickBot="1" x14ac:dyDescent="0.3">
      <c r="A1472" s="221"/>
      <c r="B1472" s="223"/>
      <c r="C1472" s="30" t="s">
        <v>436</v>
      </c>
      <c r="D1472" s="30" t="s">
        <v>279</v>
      </c>
      <c r="E1472" s="31">
        <v>5.3367000000000004</v>
      </c>
      <c r="F1472" s="28">
        <v>0.26600000000000001</v>
      </c>
      <c r="G1472" s="25">
        <f t="shared" si="23"/>
        <v>1.4195622000000001</v>
      </c>
      <c r="H1472" s="29"/>
      <c r="I1472" s="25"/>
      <c r="J1472" s="138">
        <v>0</v>
      </c>
    </row>
    <row r="1473" spans="1:10" ht="15.75" hidden="1" thickBot="1" x14ac:dyDescent="0.3">
      <c r="A1473" s="221"/>
      <c r="B1473" s="223"/>
      <c r="C1473" s="30" t="s">
        <v>437</v>
      </c>
      <c r="D1473" s="30" t="s">
        <v>144</v>
      </c>
      <c r="E1473" s="31">
        <v>5.34</v>
      </c>
      <c r="F1473" s="25">
        <v>0.95</v>
      </c>
      <c r="G1473" s="25">
        <f t="shared" si="23"/>
        <v>5.0729999999999995</v>
      </c>
      <c r="H1473" s="29"/>
      <c r="I1473" s="25"/>
      <c r="J1473" s="138">
        <v>0</v>
      </c>
    </row>
    <row r="1474" spans="1:10" ht="15.75" hidden="1" thickBot="1" x14ac:dyDescent="0.3">
      <c r="A1474" s="221"/>
      <c r="B1474" s="223"/>
      <c r="C1474" s="30" t="s">
        <v>457</v>
      </c>
      <c r="D1474" s="30" t="s">
        <v>144</v>
      </c>
      <c r="E1474" s="31">
        <v>0.67</v>
      </c>
      <c r="F1474" s="25">
        <v>0</v>
      </c>
      <c r="G1474" s="25">
        <f t="shared" si="23"/>
        <v>0</v>
      </c>
      <c r="H1474" s="29"/>
      <c r="I1474" s="25"/>
      <c r="J1474" s="138">
        <v>0</v>
      </c>
    </row>
    <row r="1475" spans="1:10" ht="15.75" hidden="1" thickBot="1" x14ac:dyDescent="0.3">
      <c r="A1475" s="221"/>
      <c r="B1475" s="223"/>
      <c r="C1475" s="30" t="s">
        <v>439</v>
      </c>
      <c r="D1475" s="30" t="s">
        <v>144</v>
      </c>
      <c r="E1475" s="31">
        <v>1.3332999999999999</v>
      </c>
      <c r="F1475" s="25">
        <v>0</v>
      </c>
      <c r="G1475" s="25">
        <f t="shared" si="23"/>
        <v>0</v>
      </c>
      <c r="H1475" s="29"/>
      <c r="I1475" s="25"/>
      <c r="J1475" s="138">
        <v>0</v>
      </c>
    </row>
    <row r="1476" spans="1:10" ht="15.75" hidden="1" thickBot="1" x14ac:dyDescent="0.3">
      <c r="A1476" s="221"/>
      <c r="B1476" s="223"/>
      <c r="C1476" s="30" t="s">
        <v>440</v>
      </c>
      <c r="D1476" s="30" t="s">
        <v>20</v>
      </c>
      <c r="E1476" s="31">
        <v>2.67</v>
      </c>
      <c r="F1476" s="25">
        <v>0</v>
      </c>
      <c r="G1476" s="25">
        <f t="shared" si="23"/>
        <v>0</v>
      </c>
      <c r="H1476" s="29"/>
      <c r="I1476" s="25"/>
      <c r="J1476" s="138">
        <v>0</v>
      </c>
    </row>
    <row r="1477" spans="1:10" ht="15.75" hidden="1" thickBot="1" x14ac:dyDescent="0.3">
      <c r="A1477" s="221"/>
      <c r="B1477" s="223"/>
      <c r="C1477" s="30" t="s">
        <v>441</v>
      </c>
      <c r="D1477" s="30" t="s">
        <v>144</v>
      </c>
      <c r="E1477" s="31">
        <v>0.67</v>
      </c>
      <c r="F1477" s="25">
        <v>0</v>
      </c>
      <c r="G1477" s="25">
        <f t="shared" si="23"/>
        <v>0</v>
      </c>
      <c r="H1477" s="29"/>
      <c r="I1477" s="25"/>
      <c r="J1477" s="138">
        <v>0</v>
      </c>
    </row>
    <row r="1478" spans="1:10" ht="26.25" hidden="1" thickBot="1" x14ac:dyDescent="0.3">
      <c r="A1478" s="221"/>
      <c r="B1478" s="223"/>
      <c r="C1478" s="30" t="s">
        <v>454</v>
      </c>
      <c r="D1478" s="30" t="s">
        <v>93</v>
      </c>
      <c r="E1478" s="31">
        <v>1.05</v>
      </c>
      <c r="F1478" s="28" t="s">
        <v>521</v>
      </c>
      <c r="G1478" s="25" t="str">
        <f t="shared" si="23"/>
        <v/>
      </c>
      <c r="H1478" s="29"/>
      <c r="I1478" s="25"/>
      <c r="J1478" s="138">
        <v>0</v>
      </c>
    </row>
    <row r="1479" spans="1:10" ht="15.75" hidden="1" thickBot="1" x14ac:dyDescent="0.3">
      <c r="A1479" s="227"/>
      <c r="B1479" s="224"/>
      <c r="C1479" s="30"/>
      <c r="D1479" s="30"/>
      <c r="E1479" s="31"/>
      <c r="F1479" s="25" t="s">
        <v>521</v>
      </c>
      <c r="G1479" s="25" t="str">
        <f t="shared" si="23"/>
        <v/>
      </c>
      <c r="H1479" s="29"/>
      <c r="I1479" s="25"/>
      <c r="J1479" s="138">
        <v>0</v>
      </c>
    </row>
    <row r="1480" spans="1:10" ht="15.75" hidden="1" thickBot="1" x14ac:dyDescent="0.3">
      <c r="A1480" s="220" t="s">
        <v>458</v>
      </c>
      <c r="B1480" s="222" t="e">
        <f>INDEX(Orçamentária!A:B,MATCH(Composições!A1480,Orçamentária!A:A,0),2)</f>
        <v>#N/A</v>
      </c>
      <c r="C1480" s="35"/>
      <c r="D1480" s="20" t="s">
        <v>93</v>
      </c>
      <c r="E1480" s="21"/>
      <c r="F1480" s="36" t="s">
        <v>521</v>
      </c>
      <c r="G1480" s="22" t="str">
        <f t="shared" si="23"/>
        <v/>
      </c>
      <c r="H1480" s="23"/>
      <c r="I1480" s="24"/>
      <c r="J1480" s="138">
        <v>0</v>
      </c>
    </row>
    <row r="1481" spans="1:10" ht="15.75" hidden="1" thickBot="1" x14ac:dyDescent="0.3">
      <c r="A1481" s="221"/>
      <c r="B1481" s="223"/>
      <c r="C1481" s="26"/>
      <c r="D1481" s="26"/>
      <c r="E1481" s="27"/>
      <c r="F1481" s="37" t="s">
        <v>521</v>
      </c>
      <c r="G1481" s="25" t="str">
        <f t="shared" si="23"/>
        <v/>
      </c>
      <c r="H1481" s="29"/>
      <c r="I1481" s="25"/>
      <c r="J1481" s="138">
        <v>0</v>
      </c>
    </row>
    <row r="1482" spans="1:10" ht="15.75" hidden="1" thickBot="1" x14ac:dyDescent="0.3">
      <c r="A1482" s="221"/>
      <c r="B1482" s="223"/>
      <c r="C1482" s="30" t="s">
        <v>30</v>
      </c>
      <c r="D1482" s="30" t="s">
        <v>12</v>
      </c>
      <c r="E1482" s="31">
        <v>0.55000000000000004</v>
      </c>
      <c r="F1482" s="25">
        <v>25.146499999999996</v>
      </c>
      <c r="G1482" s="25">
        <f t="shared" si="23"/>
        <v>13.830575</v>
      </c>
      <c r="H1482" s="33">
        <f>SUM(G1482:G1493)</f>
        <v>31.634312200000004</v>
      </c>
      <c r="I1482" s="34"/>
      <c r="J1482" s="138">
        <v>0</v>
      </c>
    </row>
    <row r="1483" spans="1:10" ht="15.75" hidden="1" thickBot="1" x14ac:dyDescent="0.3">
      <c r="A1483" s="221"/>
      <c r="B1483" s="223"/>
      <c r="C1483" s="30" t="s">
        <v>74</v>
      </c>
      <c r="D1483" s="41" t="s">
        <v>12</v>
      </c>
      <c r="E1483" s="31">
        <v>0.55000000000000004</v>
      </c>
      <c r="F1483" s="25">
        <v>19.4085</v>
      </c>
      <c r="G1483" s="25">
        <f t="shared" si="23"/>
        <v>10.674675000000001</v>
      </c>
      <c r="H1483" s="29"/>
      <c r="I1483" s="25"/>
      <c r="J1483" s="138">
        <v>0</v>
      </c>
    </row>
    <row r="1484" spans="1:10" ht="26.25" hidden="1" thickBot="1" x14ac:dyDescent="0.3">
      <c r="A1484" s="221"/>
      <c r="B1484" s="223"/>
      <c r="C1484" s="30" t="s">
        <v>433</v>
      </c>
      <c r="D1484" s="30" t="s">
        <v>144</v>
      </c>
      <c r="E1484" s="31">
        <v>1.3332999999999999</v>
      </c>
      <c r="F1484" s="25">
        <v>0</v>
      </c>
      <c r="G1484" s="25">
        <f t="shared" si="23"/>
        <v>0</v>
      </c>
      <c r="H1484" s="56"/>
      <c r="I1484" s="1"/>
      <c r="J1484" s="138">
        <v>0</v>
      </c>
    </row>
    <row r="1485" spans="1:10" ht="26.25" hidden="1" thickBot="1" x14ac:dyDescent="0.3">
      <c r="A1485" s="221"/>
      <c r="B1485" s="223"/>
      <c r="C1485" s="30" t="s">
        <v>459</v>
      </c>
      <c r="D1485" s="30" t="s">
        <v>93</v>
      </c>
      <c r="E1485" s="31">
        <v>1.05</v>
      </c>
      <c r="F1485" s="28" t="s">
        <v>521</v>
      </c>
      <c r="G1485" s="25" t="str">
        <f t="shared" si="23"/>
        <v/>
      </c>
      <c r="H1485" s="29"/>
      <c r="I1485" s="25"/>
      <c r="J1485" s="138">
        <v>0</v>
      </c>
    </row>
    <row r="1486" spans="1:10" ht="15.75" hidden="1" thickBot="1" x14ac:dyDescent="0.3">
      <c r="A1486" s="221"/>
      <c r="B1486" s="223"/>
      <c r="C1486" s="30" t="s">
        <v>435</v>
      </c>
      <c r="D1486" s="30" t="s">
        <v>93</v>
      </c>
      <c r="E1486" s="31">
        <v>1.6</v>
      </c>
      <c r="F1486" s="25">
        <v>0</v>
      </c>
      <c r="G1486" s="25">
        <f t="shared" si="23"/>
        <v>0</v>
      </c>
      <c r="H1486" s="29"/>
      <c r="I1486" s="25"/>
      <c r="J1486" s="138">
        <v>0</v>
      </c>
    </row>
    <row r="1487" spans="1:10" ht="15.75" hidden="1" thickBot="1" x14ac:dyDescent="0.3">
      <c r="A1487" s="221"/>
      <c r="B1487" s="223"/>
      <c r="C1487" s="30" t="s">
        <v>436</v>
      </c>
      <c r="D1487" s="30" t="s">
        <v>279</v>
      </c>
      <c r="E1487" s="31">
        <v>5.3367000000000004</v>
      </c>
      <c r="F1487" s="28">
        <v>0.26600000000000001</v>
      </c>
      <c r="G1487" s="25">
        <f t="shared" si="23"/>
        <v>1.4195622000000001</v>
      </c>
      <c r="H1487" s="29"/>
      <c r="I1487" s="25"/>
      <c r="J1487" s="138">
        <v>0</v>
      </c>
    </row>
    <row r="1488" spans="1:10" ht="15.75" hidden="1" thickBot="1" x14ac:dyDescent="0.3">
      <c r="A1488" s="221"/>
      <c r="B1488" s="223"/>
      <c r="C1488" s="30" t="s">
        <v>437</v>
      </c>
      <c r="D1488" s="30" t="s">
        <v>144</v>
      </c>
      <c r="E1488" s="31">
        <v>5.34</v>
      </c>
      <c r="F1488" s="25">
        <v>0.95</v>
      </c>
      <c r="G1488" s="25">
        <f t="shared" si="23"/>
        <v>5.0729999999999995</v>
      </c>
      <c r="H1488" s="29"/>
      <c r="I1488" s="25"/>
      <c r="J1488" s="138">
        <v>0</v>
      </c>
    </row>
    <row r="1489" spans="1:10" ht="15.75" hidden="1" thickBot="1" x14ac:dyDescent="0.3">
      <c r="A1489" s="221"/>
      <c r="B1489" s="223"/>
      <c r="C1489" s="30" t="s">
        <v>460</v>
      </c>
      <c r="D1489" s="30" t="s">
        <v>144</v>
      </c>
      <c r="E1489" s="31">
        <v>0.67</v>
      </c>
      <c r="F1489" s="25">
        <v>0.95</v>
      </c>
      <c r="G1489" s="25">
        <f t="shared" si="23"/>
        <v>0.63649999999999995</v>
      </c>
      <c r="H1489" s="29"/>
      <c r="I1489" s="25"/>
      <c r="J1489" s="138">
        <v>0</v>
      </c>
    </row>
    <row r="1490" spans="1:10" ht="15.75" hidden="1" thickBot="1" x14ac:dyDescent="0.3">
      <c r="A1490" s="221"/>
      <c r="B1490" s="223"/>
      <c r="C1490" s="30" t="s">
        <v>439</v>
      </c>
      <c r="D1490" s="30" t="s">
        <v>144</v>
      </c>
      <c r="E1490" s="31">
        <v>1.3332999999999999</v>
      </c>
      <c r="F1490" s="25">
        <v>0</v>
      </c>
      <c r="G1490" s="25">
        <f t="shared" ref="G1490:G1553" si="24">IF(ISNUMBER(F1490),E1490*F1490,"")</f>
        <v>0</v>
      </c>
      <c r="H1490" s="29"/>
      <c r="I1490" s="25"/>
      <c r="J1490" s="138">
        <v>0</v>
      </c>
    </row>
    <row r="1491" spans="1:10" ht="15.75" hidden="1" thickBot="1" x14ac:dyDescent="0.3">
      <c r="A1491" s="221"/>
      <c r="B1491" s="223"/>
      <c r="C1491" s="30" t="s">
        <v>440</v>
      </c>
      <c r="D1491" s="30" t="s">
        <v>20</v>
      </c>
      <c r="E1491" s="31">
        <v>2.67</v>
      </c>
      <c r="F1491" s="25">
        <v>0</v>
      </c>
      <c r="G1491" s="25">
        <f t="shared" si="24"/>
        <v>0</v>
      </c>
      <c r="H1491" s="29"/>
      <c r="I1491" s="25"/>
      <c r="J1491" s="138">
        <v>0</v>
      </c>
    </row>
    <row r="1492" spans="1:10" ht="15.75" hidden="1" thickBot="1" x14ac:dyDescent="0.3">
      <c r="A1492" s="221"/>
      <c r="B1492" s="223"/>
      <c r="C1492" s="30" t="s">
        <v>441</v>
      </c>
      <c r="D1492" s="30" t="s">
        <v>144</v>
      </c>
      <c r="E1492" s="31">
        <v>0.67</v>
      </c>
      <c r="F1492" s="25">
        <v>0</v>
      </c>
      <c r="G1492" s="25">
        <f t="shared" si="24"/>
        <v>0</v>
      </c>
      <c r="H1492" s="29"/>
      <c r="I1492" s="25"/>
      <c r="J1492" s="138">
        <v>0</v>
      </c>
    </row>
    <row r="1493" spans="1:10" ht="26.25" hidden="1" thickBot="1" x14ac:dyDescent="0.3">
      <c r="A1493" s="221"/>
      <c r="B1493" s="223"/>
      <c r="C1493" s="30" t="s">
        <v>461</v>
      </c>
      <c r="D1493" s="30" t="s">
        <v>93</v>
      </c>
      <c r="E1493" s="31">
        <v>1.05</v>
      </c>
      <c r="F1493" s="28" t="s">
        <v>521</v>
      </c>
      <c r="G1493" s="25" t="str">
        <f t="shared" si="24"/>
        <v/>
      </c>
      <c r="H1493" s="29"/>
      <c r="I1493" s="25"/>
      <c r="J1493" s="138">
        <v>0</v>
      </c>
    </row>
    <row r="1494" spans="1:10" ht="15.75" hidden="1" thickBot="1" x14ac:dyDescent="0.3">
      <c r="A1494" s="227"/>
      <c r="B1494" s="224"/>
      <c r="C1494" s="30"/>
      <c r="D1494" s="30"/>
      <c r="E1494" s="31"/>
      <c r="F1494" s="25" t="s">
        <v>521</v>
      </c>
      <c r="G1494" s="25" t="str">
        <f t="shared" si="24"/>
        <v/>
      </c>
      <c r="H1494" s="29"/>
      <c r="I1494" s="25"/>
      <c r="J1494" s="138">
        <v>0</v>
      </c>
    </row>
    <row r="1495" spans="1:10" ht="15.75" hidden="1" thickBot="1" x14ac:dyDescent="0.3">
      <c r="A1495" s="220" t="s">
        <v>462</v>
      </c>
      <c r="B1495" s="222" t="e">
        <f>INDEX(Orçamentária!A:B,MATCH(Composições!A1495,Orçamentária!A:A,0),2)</f>
        <v>#N/A</v>
      </c>
      <c r="C1495" s="35"/>
      <c r="D1495" s="20" t="s">
        <v>93</v>
      </c>
      <c r="E1495" s="21"/>
      <c r="F1495" s="36" t="s">
        <v>521</v>
      </c>
      <c r="G1495" s="22" t="str">
        <f t="shared" si="24"/>
        <v/>
      </c>
      <c r="H1495" s="23"/>
      <c r="I1495" s="24"/>
      <c r="J1495" s="138">
        <v>0</v>
      </c>
    </row>
    <row r="1496" spans="1:10" ht="15.75" hidden="1" thickBot="1" x14ac:dyDescent="0.3">
      <c r="A1496" s="225"/>
      <c r="B1496" s="223"/>
      <c r="C1496" s="26"/>
      <c r="D1496" s="26"/>
      <c r="E1496" s="27"/>
      <c r="F1496" s="37" t="s">
        <v>521</v>
      </c>
      <c r="G1496" s="25" t="str">
        <f t="shared" si="24"/>
        <v/>
      </c>
      <c r="H1496" s="29"/>
      <c r="I1496" s="25"/>
      <c r="J1496" s="138">
        <v>0</v>
      </c>
    </row>
    <row r="1497" spans="1:10" ht="15.75" hidden="1" thickBot="1" x14ac:dyDescent="0.3">
      <c r="A1497" s="225"/>
      <c r="B1497" s="223"/>
      <c r="C1497" s="30" t="s">
        <v>30</v>
      </c>
      <c r="D1497" s="30" t="s">
        <v>12</v>
      </c>
      <c r="E1497" s="31">
        <v>0.45</v>
      </c>
      <c r="F1497" s="25">
        <v>25.146499999999996</v>
      </c>
      <c r="G1497" s="25">
        <f t="shared" si="24"/>
        <v>11.315924999999998</v>
      </c>
      <c r="H1497" s="33">
        <f>SUM(G1497:G1508)</f>
        <v>24.917762799999998</v>
      </c>
      <c r="I1497" s="34"/>
      <c r="J1497" s="138">
        <v>0</v>
      </c>
    </row>
    <row r="1498" spans="1:10" ht="15.75" hidden="1" thickBot="1" x14ac:dyDescent="0.3">
      <c r="A1498" s="225"/>
      <c r="B1498" s="223"/>
      <c r="C1498" s="30" t="s">
        <v>74</v>
      </c>
      <c r="D1498" s="41" t="s">
        <v>12</v>
      </c>
      <c r="E1498" s="31">
        <v>0.45</v>
      </c>
      <c r="F1498" s="25">
        <v>19.4085</v>
      </c>
      <c r="G1498" s="25">
        <f t="shared" si="24"/>
        <v>8.7338249999999995</v>
      </c>
      <c r="H1498" s="29"/>
      <c r="I1498" s="25"/>
      <c r="J1498" s="138">
        <v>0</v>
      </c>
    </row>
    <row r="1499" spans="1:10" ht="26.25" hidden="1" thickBot="1" x14ac:dyDescent="0.3">
      <c r="A1499" s="225"/>
      <c r="B1499" s="223"/>
      <c r="C1499" s="30" t="s">
        <v>433</v>
      </c>
      <c r="D1499" s="30" t="s">
        <v>144</v>
      </c>
      <c r="E1499" s="31">
        <v>0.67</v>
      </c>
      <c r="F1499" s="25">
        <v>0</v>
      </c>
      <c r="G1499" s="25">
        <f t="shared" si="24"/>
        <v>0</v>
      </c>
      <c r="H1499" s="56"/>
      <c r="I1499" s="1"/>
      <c r="J1499" s="138">
        <v>0</v>
      </c>
    </row>
    <row r="1500" spans="1:10" ht="26.25" hidden="1" thickBot="1" x14ac:dyDescent="0.3">
      <c r="A1500" s="225"/>
      <c r="B1500" s="223"/>
      <c r="C1500" s="30" t="s">
        <v>463</v>
      </c>
      <c r="D1500" s="30" t="s">
        <v>93</v>
      </c>
      <c r="E1500" s="31">
        <v>1.05</v>
      </c>
      <c r="F1500" s="28" t="s">
        <v>521</v>
      </c>
      <c r="G1500" s="25" t="str">
        <f t="shared" si="24"/>
        <v/>
      </c>
      <c r="H1500" s="29"/>
      <c r="I1500" s="25"/>
      <c r="J1500" s="138">
        <v>0</v>
      </c>
    </row>
    <row r="1501" spans="1:10" ht="15.75" hidden="1" thickBot="1" x14ac:dyDescent="0.3">
      <c r="A1501" s="225"/>
      <c r="B1501" s="223"/>
      <c r="C1501" s="30" t="s">
        <v>435</v>
      </c>
      <c r="D1501" s="30" t="s">
        <v>93</v>
      </c>
      <c r="E1501" s="31">
        <v>0.8</v>
      </c>
      <c r="F1501" s="25">
        <v>0</v>
      </c>
      <c r="G1501" s="25">
        <f t="shared" si="24"/>
        <v>0</v>
      </c>
      <c r="H1501" s="29"/>
      <c r="I1501" s="25"/>
      <c r="J1501" s="138">
        <v>0</v>
      </c>
    </row>
    <row r="1502" spans="1:10" ht="15.75" hidden="1" thickBot="1" x14ac:dyDescent="0.3">
      <c r="A1502" s="225"/>
      <c r="B1502" s="223"/>
      <c r="C1502" s="30" t="s">
        <v>436</v>
      </c>
      <c r="D1502" s="30" t="s">
        <v>279</v>
      </c>
      <c r="E1502" s="31">
        <v>4.0033000000000003</v>
      </c>
      <c r="F1502" s="28">
        <v>0.26600000000000001</v>
      </c>
      <c r="G1502" s="25">
        <f t="shared" si="24"/>
        <v>1.0648778000000001</v>
      </c>
      <c r="H1502" s="29"/>
      <c r="I1502" s="25"/>
      <c r="J1502" s="138">
        <v>0</v>
      </c>
    </row>
    <row r="1503" spans="1:10" ht="15.75" hidden="1" thickBot="1" x14ac:dyDescent="0.3">
      <c r="A1503" s="225"/>
      <c r="B1503" s="223"/>
      <c r="C1503" s="30" t="s">
        <v>437</v>
      </c>
      <c r="D1503" s="30" t="s">
        <v>144</v>
      </c>
      <c r="E1503" s="31">
        <v>4.0033000000000003</v>
      </c>
      <c r="F1503" s="25">
        <v>0.95</v>
      </c>
      <c r="G1503" s="25">
        <f t="shared" si="24"/>
        <v>3.8031350000000002</v>
      </c>
      <c r="H1503" s="29"/>
      <c r="I1503" s="25"/>
      <c r="J1503" s="138">
        <v>0</v>
      </c>
    </row>
    <row r="1504" spans="1:10" ht="15.75" hidden="1" thickBot="1" x14ac:dyDescent="0.3">
      <c r="A1504" s="225"/>
      <c r="B1504" s="223"/>
      <c r="C1504" s="30" t="s">
        <v>464</v>
      </c>
      <c r="D1504" s="30" t="s">
        <v>144</v>
      </c>
      <c r="E1504" s="31">
        <v>0.67</v>
      </c>
      <c r="F1504" s="25">
        <v>0</v>
      </c>
      <c r="G1504" s="25">
        <f t="shared" si="24"/>
        <v>0</v>
      </c>
      <c r="H1504" s="29"/>
      <c r="I1504" s="25"/>
      <c r="J1504" s="138">
        <v>0</v>
      </c>
    </row>
    <row r="1505" spans="1:10" ht="15.75" hidden="1" thickBot="1" x14ac:dyDescent="0.3">
      <c r="A1505" s="225"/>
      <c r="B1505" s="223"/>
      <c r="C1505" s="30" t="s">
        <v>439</v>
      </c>
      <c r="D1505" s="30" t="s">
        <v>144</v>
      </c>
      <c r="E1505" s="31">
        <v>1.05</v>
      </c>
      <c r="F1505" s="25">
        <v>0</v>
      </c>
      <c r="G1505" s="25">
        <f t="shared" si="24"/>
        <v>0</v>
      </c>
      <c r="H1505" s="29"/>
      <c r="I1505" s="25"/>
      <c r="J1505" s="138">
        <v>0</v>
      </c>
    </row>
    <row r="1506" spans="1:10" ht="15.75" hidden="1" thickBot="1" x14ac:dyDescent="0.3">
      <c r="A1506" s="225"/>
      <c r="B1506" s="223"/>
      <c r="C1506" s="30" t="s">
        <v>440</v>
      </c>
      <c r="D1506" s="30" t="s">
        <v>20</v>
      </c>
      <c r="E1506" s="31">
        <v>2.67</v>
      </c>
      <c r="F1506" s="25">
        <v>0</v>
      </c>
      <c r="G1506" s="25">
        <f t="shared" si="24"/>
        <v>0</v>
      </c>
      <c r="H1506" s="29"/>
      <c r="I1506" s="25"/>
      <c r="J1506" s="138">
        <v>0</v>
      </c>
    </row>
    <row r="1507" spans="1:10" ht="15.75" hidden="1" thickBot="1" x14ac:dyDescent="0.3">
      <c r="A1507" s="225"/>
      <c r="B1507" s="223"/>
      <c r="C1507" s="30" t="s">
        <v>441</v>
      </c>
      <c r="D1507" s="30" t="s">
        <v>144</v>
      </c>
      <c r="E1507" s="31">
        <v>0.66669999999999996</v>
      </c>
      <c r="F1507" s="25">
        <v>0</v>
      </c>
      <c r="G1507" s="25">
        <f t="shared" si="24"/>
        <v>0</v>
      </c>
      <c r="H1507" s="29"/>
      <c r="I1507" s="25"/>
      <c r="J1507" s="138">
        <v>0</v>
      </c>
    </row>
    <row r="1508" spans="1:10" ht="26.25" hidden="1" thickBot="1" x14ac:dyDescent="0.3">
      <c r="A1508" s="225"/>
      <c r="B1508" s="223"/>
      <c r="C1508" s="30" t="s">
        <v>465</v>
      </c>
      <c r="D1508" s="30" t="s">
        <v>93</v>
      </c>
      <c r="E1508" s="31">
        <v>1.05</v>
      </c>
      <c r="F1508" s="28" t="s">
        <v>521</v>
      </c>
      <c r="G1508" s="25" t="str">
        <f t="shared" si="24"/>
        <v/>
      </c>
      <c r="H1508" s="29"/>
      <c r="I1508" s="25"/>
      <c r="J1508" s="138">
        <v>0</v>
      </c>
    </row>
    <row r="1509" spans="1:10" ht="15.75" hidden="1" thickBot="1" x14ac:dyDescent="0.3">
      <c r="A1509" s="226"/>
      <c r="B1509" s="224"/>
      <c r="C1509" s="30"/>
      <c r="D1509" s="30"/>
      <c r="E1509" s="31"/>
      <c r="F1509" s="25" t="s">
        <v>521</v>
      </c>
      <c r="G1509" s="25" t="str">
        <f t="shared" si="24"/>
        <v/>
      </c>
      <c r="H1509" s="29"/>
      <c r="I1509" s="25"/>
      <c r="J1509" s="138">
        <v>0</v>
      </c>
    </row>
    <row r="1510" spans="1:10" ht="15.75" hidden="1" thickBot="1" x14ac:dyDescent="0.3">
      <c r="A1510" s="220" t="s">
        <v>466</v>
      </c>
      <c r="B1510" s="222" t="e">
        <f>INDEX(Orçamentária!A:B,MATCH(Composições!A1510,Orçamentária!A:A,0),2)</f>
        <v>#N/A</v>
      </c>
      <c r="C1510" s="35"/>
      <c r="D1510" s="20" t="s">
        <v>93</v>
      </c>
      <c r="E1510" s="21"/>
      <c r="F1510" s="36" t="s">
        <v>521</v>
      </c>
      <c r="G1510" s="22" t="str">
        <f t="shared" si="24"/>
        <v/>
      </c>
      <c r="H1510" s="23"/>
      <c r="I1510" s="24"/>
      <c r="J1510" s="138">
        <v>0</v>
      </c>
    </row>
    <row r="1511" spans="1:10" ht="15.75" hidden="1" thickBot="1" x14ac:dyDescent="0.3">
      <c r="A1511" s="221"/>
      <c r="B1511" s="223"/>
      <c r="C1511" s="26"/>
      <c r="D1511" s="26"/>
      <c r="E1511" s="27"/>
      <c r="F1511" s="37" t="s">
        <v>521</v>
      </c>
      <c r="G1511" s="25" t="str">
        <f t="shared" si="24"/>
        <v/>
      </c>
      <c r="H1511" s="29"/>
      <c r="I1511" s="25"/>
      <c r="J1511" s="138">
        <v>0</v>
      </c>
    </row>
    <row r="1512" spans="1:10" ht="15.75" hidden="1" thickBot="1" x14ac:dyDescent="0.3">
      <c r="A1512" s="221"/>
      <c r="B1512" s="223"/>
      <c r="C1512" s="30" t="s">
        <v>467</v>
      </c>
      <c r="D1512" s="30" t="s">
        <v>93</v>
      </c>
      <c r="E1512" s="31">
        <v>1.05</v>
      </c>
      <c r="F1512" s="25">
        <v>0</v>
      </c>
      <c r="G1512" s="28">
        <f t="shared" si="24"/>
        <v>0</v>
      </c>
      <c r="H1512" s="33">
        <f>SUM(G1512:G1516)</f>
        <v>15.568210500000001</v>
      </c>
      <c r="I1512" s="34"/>
      <c r="J1512" s="138">
        <v>0</v>
      </c>
    </row>
    <row r="1513" spans="1:10" ht="15.75" hidden="1" thickBot="1" x14ac:dyDescent="0.3">
      <c r="A1513" s="221"/>
      <c r="B1513" s="223"/>
      <c r="C1513" s="30" t="s">
        <v>30</v>
      </c>
      <c r="D1513" s="30" t="s">
        <v>12</v>
      </c>
      <c r="E1513" s="31">
        <v>0.28210000000000002</v>
      </c>
      <c r="F1513" s="25">
        <v>25.146499999999996</v>
      </c>
      <c r="G1513" s="28">
        <f t="shared" si="24"/>
        <v>7.0938276499999997</v>
      </c>
      <c r="H1513" s="29"/>
      <c r="I1513" s="25"/>
      <c r="J1513" s="138">
        <v>0</v>
      </c>
    </row>
    <row r="1514" spans="1:10" ht="15.75" hidden="1" thickBot="1" x14ac:dyDescent="0.3">
      <c r="A1514" s="221"/>
      <c r="B1514" s="223"/>
      <c r="C1514" s="30" t="s">
        <v>74</v>
      </c>
      <c r="D1514" s="30" t="s">
        <v>12</v>
      </c>
      <c r="E1514" s="31">
        <v>0.28210000000000002</v>
      </c>
      <c r="F1514" s="25">
        <v>19.4085</v>
      </c>
      <c r="G1514" s="28">
        <f t="shared" si="24"/>
        <v>5.4751378500000003</v>
      </c>
      <c r="H1514" s="29"/>
      <c r="I1514" s="25"/>
      <c r="J1514" s="138">
        <v>0</v>
      </c>
    </row>
    <row r="1515" spans="1:10" ht="39" hidden="1" thickBot="1" x14ac:dyDescent="0.3">
      <c r="A1515" s="221"/>
      <c r="B1515" s="223"/>
      <c r="C1515" s="30" t="s">
        <v>468</v>
      </c>
      <c r="D1515" s="30" t="s">
        <v>93</v>
      </c>
      <c r="E1515" s="31">
        <v>2</v>
      </c>
      <c r="F1515" s="28">
        <v>1.4996224999999999</v>
      </c>
      <c r="G1515" s="28">
        <f t="shared" si="24"/>
        <v>2.9992449999999997</v>
      </c>
      <c r="H1515" s="29"/>
      <c r="I1515" s="25"/>
      <c r="J1515" s="138">
        <v>0</v>
      </c>
    </row>
    <row r="1516" spans="1:10" ht="26.25" hidden="1" thickBot="1" x14ac:dyDescent="0.3">
      <c r="A1516" s="221"/>
      <c r="B1516" s="223"/>
      <c r="C1516" s="30" t="s">
        <v>469</v>
      </c>
      <c r="D1516" s="30" t="s">
        <v>279</v>
      </c>
      <c r="E1516" s="31">
        <v>0.33329999999999999</v>
      </c>
      <c r="F1516" s="28" t="s">
        <v>521</v>
      </c>
      <c r="G1516" s="28" t="str">
        <f t="shared" si="24"/>
        <v/>
      </c>
      <c r="H1516" s="29"/>
      <c r="I1516" s="25"/>
      <c r="J1516" s="138">
        <v>0</v>
      </c>
    </row>
    <row r="1517" spans="1:10" ht="15.75" hidden="1" thickBot="1" x14ac:dyDescent="0.3">
      <c r="A1517" s="227"/>
      <c r="B1517" s="224"/>
      <c r="C1517" s="30"/>
      <c r="D1517" s="30"/>
      <c r="E1517" s="31"/>
      <c r="F1517" s="25" t="s">
        <v>521</v>
      </c>
      <c r="G1517" s="25" t="str">
        <f t="shared" si="24"/>
        <v/>
      </c>
      <c r="H1517" s="29"/>
      <c r="I1517" s="25"/>
      <c r="J1517" s="138">
        <v>0</v>
      </c>
    </row>
    <row r="1518" spans="1:10" ht="15.75" hidden="1" thickBot="1" x14ac:dyDescent="0.3">
      <c r="A1518" s="220" t="s">
        <v>470</v>
      </c>
      <c r="B1518" s="222" t="e">
        <f>INDEX(Orçamentária!A:B,MATCH(Composições!A1518,Orçamentária!A:A,0),2)</f>
        <v>#N/A</v>
      </c>
      <c r="C1518" s="35"/>
      <c r="D1518" s="20" t="s">
        <v>93</v>
      </c>
      <c r="E1518" s="21"/>
      <c r="F1518" s="36" t="s">
        <v>521</v>
      </c>
      <c r="G1518" s="22" t="str">
        <f t="shared" si="24"/>
        <v/>
      </c>
      <c r="H1518" s="23"/>
      <c r="I1518" s="24"/>
      <c r="J1518" s="138">
        <v>0</v>
      </c>
    </row>
    <row r="1519" spans="1:10" ht="15.75" hidden="1" thickBot="1" x14ac:dyDescent="0.3">
      <c r="A1519" s="221"/>
      <c r="B1519" s="223"/>
      <c r="C1519" s="26"/>
      <c r="D1519" s="26"/>
      <c r="E1519" s="27"/>
      <c r="F1519" s="37" t="s">
        <v>521</v>
      </c>
      <c r="G1519" s="25" t="str">
        <f t="shared" si="24"/>
        <v/>
      </c>
      <c r="H1519" s="29"/>
      <c r="I1519" s="25"/>
      <c r="J1519" s="138">
        <v>0</v>
      </c>
    </row>
    <row r="1520" spans="1:10" ht="15.75" hidden="1" thickBot="1" x14ac:dyDescent="0.3">
      <c r="A1520" s="221"/>
      <c r="B1520" s="223"/>
      <c r="C1520" s="30" t="s">
        <v>471</v>
      </c>
      <c r="D1520" s="30" t="s">
        <v>93</v>
      </c>
      <c r="E1520" s="31">
        <v>1.05</v>
      </c>
      <c r="F1520" s="25">
        <v>0</v>
      </c>
      <c r="G1520" s="28">
        <f t="shared" si="24"/>
        <v>0</v>
      </c>
      <c r="H1520" s="33">
        <f>SUM(G1520:G1524)</f>
        <v>14.00433</v>
      </c>
      <c r="I1520" s="34"/>
      <c r="J1520" s="138">
        <v>0</v>
      </c>
    </row>
    <row r="1521" spans="1:10" ht="15.75" hidden="1" thickBot="1" x14ac:dyDescent="0.3">
      <c r="A1521" s="221"/>
      <c r="B1521" s="223"/>
      <c r="C1521" s="30" t="s">
        <v>30</v>
      </c>
      <c r="D1521" s="30" t="s">
        <v>12</v>
      </c>
      <c r="E1521" s="31">
        <v>0.247</v>
      </c>
      <c r="F1521" s="25">
        <v>25.146499999999996</v>
      </c>
      <c r="G1521" s="28">
        <f t="shared" si="24"/>
        <v>6.2111854999999991</v>
      </c>
      <c r="H1521" s="29"/>
      <c r="I1521" s="25"/>
      <c r="J1521" s="138">
        <v>0</v>
      </c>
    </row>
    <row r="1522" spans="1:10" ht="15.75" hidden="1" thickBot="1" x14ac:dyDescent="0.3">
      <c r="A1522" s="221"/>
      <c r="B1522" s="223"/>
      <c r="C1522" s="30" t="s">
        <v>74</v>
      </c>
      <c r="D1522" s="30" t="s">
        <v>12</v>
      </c>
      <c r="E1522" s="31">
        <v>0.247</v>
      </c>
      <c r="F1522" s="25">
        <v>19.4085</v>
      </c>
      <c r="G1522" s="28">
        <f t="shared" si="24"/>
        <v>4.7938995000000002</v>
      </c>
      <c r="H1522" s="29"/>
      <c r="I1522" s="25"/>
      <c r="J1522" s="138">
        <v>0</v>
      </c>
    </row>
    <row r="1523" spans="1:10" ht="39" hidden="1" thickBot="1" x14ac:dyDescent="0.3">
      <c r="A1523" s="221"/>
      <c r="B1523" s="223"/>
      <c r="C1523" s="30" t="s">
        <v>468</v>
      </c>
      <c r="D1523" s="30" t="s">
        <v>93</v>
      </c>
      <c r="E1523" s="31">
        <v>2</v>
      </c>
      <c r="F1523" s="28">
        <v>1.4996224999999999</v>
      </c>
      <c r="G1523" s="28">
        <f t="shared" si="24"/>
        <v>2.9992449999999997</v>
      </c>
      <c r="H1523" s="29"/>
      <c r="I1523" s="25"/>
      <c r="J1523" s="138">
        <v>0</v>
      </c>
    </row>
    <row r="1524" spans="1:10" ht="26.25" hidden="1" thickBot="1" x14ac:dyDescent="0.3">
      <c r="A1524" s="221"/>
      <c r="B1524" s="223"/>
      <c r="C1524" s="30" t="s">
        <v>472</v>
      </c>
      <c r="D1524" s="30" t="s">
        <v>279</v>
      </c>
      <c r="E1524" s="31">
        <v>0.33329999999999999</v>
      </c>
      <c r="F1524" s="28" t="s">
        <v>521</v>
      </c>
      <c r="G1524" s="28" t="str">
        <f t="shared" si="24"/>
        <v/>
      </c>
      <c r="H1524" s="29"/>
      <c r="I1524" s="25"/>
      <c r="J1524" s="138">
        <v>0</v>
      </c>
    </row>
    <row r="1525" spans="1:10" ht="15.75" hidden="1" thickBot="1" x14ac:dyDescent="0.3">
      <c r="A1525" s="227"/>
      <c r="B1525" s="224"/>
      <c r="C1525" s="30"/>
      <c r="D1525" s="30"/>
      <c r="E1525" s="31"/>
      <c r="F1525" s="25" t="s">
        <v>521</v>
      </c>
      <c r="G1525" s="25" t="str">
        <f t="shared" si="24"/>
        <v/>
      </c>
      <c r="H1525" s="29"/>
      <c r="I1525" s="25"/>
      <c r="J1525" s="138">
        <v>0</v>
      </c>
    </row>
    <row r="1526" spans="1:10" ht="15.75" hidden="1" thickBot="1" x14ac:dyDescent="0.3">
      <c r="A1526" s="220" t="s">
        <v>473</v>
      </c>
      <c r="B1526" s="222" t="e">
        <f>INDEX(Orçamentária!A:B,MATCH(Composições!A1526,Orçamentária!A:A,0),2)</f>
        <v>#N/A</v>
      </c>
      <c r="C1526" s="35"/>
      <c r="D1526" s="20" t="s">
        <v>93</v>
      </c>
      <c r="E1526" s="21"/>
      <c r="F1526" s="36" t="s">
        <v>521</v>
      </c>
      <c r="G1526" s="22" t="str">
        <f t="shared" si="24"/>
        <v/>
      </c>
      <c r="H1526" s="23"/>
      <c r="I1526" s="24"/>
      <c r="J1526" s="138">
        <v>0</v>
      </c>
    </row>
    <row r="1527" spans="1:10" ht="15.75" hidden="1" thickBot="1" x14ac:dyDescent="0.3">
      <c r="A1527" s="221"/>
      <c r="B1527" s="223"/>
      <c r="C1527" s="26"/>
      <c r="D1527" s="26"/>
      <c r="E1527" s="27"/>
      <c r="F1527" s="37" t="s">
        <v>521</v>
      </c>
      <c r="G1527" s="25" t="str">
        <f t="shared" si="24"/>
        <v/>
      </c>
      <c r="H1527" s="29"/>
      <c r="I1527" s="25"/>
      <c r="J1527" s="138">
        <v>0</v>
      </c>
    </row>
    <row r="1528" spans="1:10" ht="15.75" hidden="1" thickBot="1" x14ac:dyDescent="0.3">
      <c r="A1528" s="221"/>
      <c r="B1528" s="223"/>
      <c r="C1528" s="30" t="s">
        <v>474</v>
      </c>
      <c r="D1528" s="30" t="s">
        <v>93</v>
      </c>
      <c r="E1528" s="31">
        <v>1.05</v>
      </c>
      <c r="F1528" s="25">
        <v>0</v>
      </c>
      <c r="G1528" s="28">
        <f t="shared" si="24"/>
        <v>0</v>
      </c>
      <c r="H1528" s="33">
        <f>SUM(G1528:G1532)</f>
        <v>12.6364915</v>
      </c>
      <c r="I1528" s="34"/>
      <c r="J1528" s="138">
        <v>0</v>
      </c>
    </row>
    <row r="1529" spans="1:10" ht="15.75" hidden="1" thickBot="1" x14ac:dyDescent="0.3">
      <c r="A1529" s="221"/>
      <c r="B1529" s="223"/>
      <c r="C1529" s="30" t="s">
        <v>30</v>
      </c>
      <c r="D1529" s="30" t="s">
        <v>12</v>
      </c>
      <c r="E1529" s="31">
        <v>0.21629999999999999</v>
      </c>
      <c r="F1529" s="25">
        <v>25.146499999999996</v>
      </c>
      <c r="G1529" s="28">
        <f t="shared" si="24"/>
        <v>5.4391879499999991</v>
      </c>
      <c r="H1529" s="29"/>
      <c r="I1529" s="25"/>
      <c r="J1529" s="138">
        <v>0</v>
      </c>
    </row>
    <row r="1530" spans="1:10" ht="15.75" hidden="1" thickBot="1" x14ac:dyDescent="0.3">
      <c r="A1530" s="221"/>
      <c r="B1530" s="223"/>
      <c r="C1530" s="30" t="s">
        <v>74</v>
      </c>
      <c r="D1530" s="30" t="s">
        <v>12</v>
      </c>
      <c r="E1530" s="31">
        <v>0.21629999999999999</v>
      </c>
      <c r="F1530" s="25">
        <v>19.4085</v>
      </c>
      <c r="G1530" s="28">
        <f t="shared" si="24"/>
        <v>4.1980585499999998</v>
      </c>
      <c r="H1530" s="29"/>
      <c r="I1530" s="25"/>
      <c r="J1530" s="138">
        <v>0</v>
      </c>
    </row>
    <row r="1531" spans="1:10" ht="39" hidden="1" thickBot="1" x14ac:dyDescent="0.3">
      <c r="A1531" s="221"/>
      <c r="B1531" s="223"/>
      <c r="C1531" s="30" t="s">
        <v>468</v>
      </c>
      <c r="D1531" s="30" t="s">
        <v>93</v>
      </c>
      <c r="E1531" s="31">
        <v>2</v>
      </c>
      <c r="F1531" s="28">
        <v>1.4996224999999999</v>
      </c>
      <c r="G1531" s="28">
        <f t="shared" si="24"/>
        <v>2.9992449999999997</v>
      </c>
      <c r="H1531" s="29"/>
      <c r="I1531" s="25"/>
      <c r="J1531" s="138">
        <v>0</v>
      </c>
    </row>
    <row r="1532" spans="1:10" ht="26.25" hidden="1" thickBot="1" x14ac:dyDescent="0.3">
      <c r="A1532" s="221"/>
      <c r="B1532" s="223"/>
      <c r="C1532" s="30" t="s">
        <v>475</v>
      </c>
      <c r="D1532" s="30" t="s">
        <v>279</v>
      </c>
      <c r="E1532" s="31">
        <v>0.33329999999999999</v>
      </c>
      <c r="F1532" s="28" t="s">
        <v>521</v>
      </c>
      <c r="G1532" s="28" t="str">
        <f t="shared" si="24"/>
        <v/>
      </c>
      <c r="H1532" s="29"/>
      <c r="I1532" s="25"/>
      <c r="J1532" s="138">
        <v>0</v>
      </c>
    </row>
    <row r="1533" spans="1:10" ht="15.75" hidden="1" thickBot="1" x14ac:dyDescent="0.3">
      <c r="A1533" s="227"/>
      <c r="B1533" s="224"/>
      <c r="C1533" s="30"/>
      <c r="D1533" s="30"/>
      <c r="E1533" s="31"/>
      <c r="F1533" s="25" t="s">
        <v>521</v>
      </c>
      <c r="G1533" s="25" t="str">
        <f t="shared" si="24"/>
        <v/>
      </c>
      <c r="H1533" s="29"/>
      <c r="I1533" s="25"/>
      <c r="J1533" s="138">
        <v>0</v>
      </c>
    </row>
    <row r="1534" spans="1:10" ht="15.75" hidden="1" thickBot="1" x14ac:dyDescent="0.3">
      <c r="A1534" s="220" t="s">
        <v>476</v>
      </c>
      <c r="B1534" s="222" t="e">
        <f>INDEX(Orçamentária!A:B,MATCH(Composições!A1534,Orçamentária!A:A,0),2)</f>
        <v>#N/A</v>
      </c>
      <c r="C1534" s="35"/>
      <c r="D1534" s="20" t="s">
        <v>93</v>
      </c>
      <c r="E1534" s="21"/>
      <c r="F1534" s="36" t="s">
        <v>521</v>
      </c>
      <c r="G1534" s="22" t="str">
        <f t="shared" si="24"/>
        <v/>
      </c>
      <c r="H1534" s="23"/>
      <c r="I1534" s="24"/>
      <c r="J1534" s="138">
        <v>0</v>
      </c>
    </row>
    <row r="1535" spans="1:10" ht="15.75" hidden="1" thickBot="1" x14ac:dyDescent="0.3">
      <c r="A1535" s="221"/>
      <c r="B1535" s="223"/>
      <c r="C1535" s="26"/>
      <c r="D1535" s="26"/>
      <c r="E1535" s="27"/>
      <c r="F1535" s="37" t="s">
        <v>521</v>
      </c>
      <c r="G1535" s="25" t="str">
        <f t="shared" si="24"/>
        <v/>
      </c>
      <c r="H1535" s="29"/>
      <c r="I1535" s="25"/>
      <c r="J1535" s="138">
        <v>0</v>
      </c>
    </row>
    <row r="1536" spans="1:10" ht="15.75" hidden="1" thickBot="1" x14ac:dyDescent="0.3">
      <c r="A1536" s="221"/>
      <c r="B1536" s="223"/>
      <c r="C1536" s="30" t="s">
        <v>477</v>
      </c>
      <c r="D1536" s="30" t="s">
        <v>93</v>
      </c>
      <c r="E1536" s="31">
        <v>1.05</v>
      </c>
      <c r="F1536" s="25">
        <v>0</v>
      </c>
      <c r="G1536" s="28">
        <f t="shared" si="24"/>
        <v>0</v>
      </c>
      <c r="H1536" s="33">
        <f>SUM(G1536:G1540)</f>
        <v>18.4467295</v>
      </c>
      <c r="I1536" s="34"/>
      <c r="J1536" s="138">
        <v>0</v>
      </c>
    </row>
    <row r="1537" spans="1:10" ht="15.75" hidden="1" thickBot="1" x14ac:dyDescent="0.3">
      <c r="A1537" s="221"/>
      <c r="B1537" s="223"/>
      <c r="C1537" s="30" t="s">
        <v>30</v>
      </c>
      <c r="D1537" s="30" t="s">
        <v>12</v>
      </c>
      <c r="E1537" s="31">
        <v>0.28210000000000002</v>
      </c>
      <c r="F1537" s="25">
        <v>25.146499999999996</v>
      </c>
      <c r="G1537" s="28">
        <f t="shared" si="24"/>
        <v>7.0938276499999997</v>
      </c>
      <c r="H1537" s="29"/>
      <c r="I1537" s="25"/>
      <c r="J1537" s="138">
        <v>0</v>
      </c>
    </row>
    <row r="1538" spans="1:10" ht="15.75" hidden="1" thickBot="1" x14ac:dyDescent="0.3">
      <c r="A1538" s="221"/>
      <c r="B1538" s="223"/>
      <c r="C1538" s="30" t="s">
        <v>74</v>
      </c>
      <c r="D1538" s="30" t="s">
        <v>12</v>
      </c>
      <c r="E1538" s="31">
        <v>0.28210000000000002</v>
      </c>
      <c r="F1538" s="25">
        <v>19.4085</v>
      </c>
      <c r="G1538" s="28">
        <f t="shared" si="24"/>
        <v>5.4751378500000003</v>
      </c>
      <c r="H1538" s="29"/>
      <c r="I1538" s="25"/>
      <c r="J1538" s="138">
        <v>0</v>
      </c>
    </row>
    <row r="1539" spans="1:10" ht="51.75" hidden="1" thickBot="1" x14ac:dyDescent="0.3">
      <c r="A1539" s="221"/>
      <c r="B1539" s="223"/>
      <c r="C1539" s="30" t="s">
        <v>478</v>
      </c>
      <c r="D1539" s="30" t="s">
        <v>479</v>
      </c>
      <c r="E1539" s="31">
        <v>2</v>
      </c>
      <c r="F1539" s="28">
        <v>2.938882</v>
      </c>
      <c r="G1539" s="28">
        <f t="shared" si="24"/>
        <v>5.877764</v>
      </c>
      <c r="H1539" s="29"/>
      <c r="I1539" s="25"/>
      <c r="J1539" s="138">
        <v>0</v>
      </c>
    </row>
    <row r="1540" spans="1:10" ht="39" hidden="1" thickBot="1" x14ac:dyDescent="0.3">
      <c r="A1540" s="221"/>
      <c r="B1540" s="223"/>
      <c r="C1540" s="30" t="s">
        <v>1590</v>
      </c>
      <c r="D1540" s="30" t="s">
        <v>279</v>
      </c>
      <c r="E1540" s="31">
        <f>0.3333*1.25</f>
        <v>0.41662499999999997</v>
      </c>
      <c r="F1540" s="28" t="s">
        <v>521</v>
      </c>
      <c r="G1540" s="25" t="str">
        <f t="shared" si="24"/>
        <v/>
      </c>
      <c r="H1540" s="29"/>
      <c r="I1540" s="25"/>
      <c r="J1540" s="138">
        <v>0</v>
      </c>
    </row>
    <row r="1541" spans="1:10" ht="15.75" hidden="1" thickBot="1" x14ac:dyDescent="0.3">
      <c r="A1541" s="227"/>
      <c r="B1541" s="224"/>
      <c r="C1541" s="30"/>
      <c r="D1541" s="30"/>
      <c r="E1541" s="31"/>
      <c r="F1541" s="25" t="s">
        <v>521</v>
      </c>
      <c r="G1541" s="25" t="str">
        <f t="shared" si="24"/>
        <v/>
      </c>
      <c r="H1541" s="29"/>
      <c r="I1541" s="25"/>
      <c r="J1541" s="138">
        <v>0</v>
      </c>
    </row>
    <row r="1542" spans="1:10" ht="15.75" hidden="1" thickBot="1" x14ac:dyDescent="0.3">
      <c r="A1542" s="220" t="s">
        <v>480</v>
      </c>
      <c r="B1542" s="222" t="e">
        <f>INDEX(Orçamentária!A:B,MATCH(Composições!A1542,Orçamentária!A:A,0),2)</f>
        <v>#N/A</v>
      </c>
      <c r="C1542" s="35"/>
      <c r="D1542" s="20" t="s">
        <v>93</v>
      </c>
      <c r="E1542" s="21"/>
      <c r="F1542" s="36" t="s">
        <v>521</v>
      </c>
      <c r="G1542" s="22" t="str">
        <f t="shared" si="24"/>
        <v/>
      </c>
      <c r="H1542" s="23"/>
      <c r="I1542" s="24"/>
      <c r="J1542" s="138">
        <v>0</v>
      </c>
    </row>
    <row r="1543" spans="1:10" ht="15.75" hidden="1" thickBot="1" x14ac:dyDescent="0.3">
      <c r="A1543" s="221"/>
      <c r="B1543" s="223"/>
      <c r="C1543" s="26"/>
      <c r="D1543" s="26"/>
      <c r="E1543" s="27"/>
      <c r="F1543" s="37" t="s">
        <v>521</v>
      </c>
      <c r="G1543" s="25" t="str">
        <f t="shared" si="24"/>
        <v/>
      </c>
      <c r="H1543" s="29"/>
      <c r="I1543" s="25"/>
      <c r="J1543" s="138">
        <v>0</v>
      </c>
    </row>
    <row r="1544" spans="1:10" ht="15.75" hidden="1" thickBot="1" x14ac:dyDescent="0.3">
      <c r="A1544" s="221"/>
      <c r="B1544" s="223"/>
      <c r="C1544" s="30" t="s">
        <v>481</v>
      </c>
      <c r="D1544" s="30" t="s">
        <v>93</v>
      </c>
      <c r="E1544" s="31">
        <v>1.05</v>
      </c>
      <c r="F1544" s="25">
        <v>0</v>
      </c>
      <c r="G1544" s="28">
        <f t="shared" si="24"/>
        <v>0</v>
      </c>
      <c r="H1544" s="33">
        <f>SUM(G1544:G1548)</f>
        <v>11.660736999999999</v>
      </c>
      <c r="I1544" s="34"/>
      <c r="J1544" s="138">
        <v>0</v>
      </c>
    </row>
    <row r="1545" spans="1:10" ht="15.75" hidden="1" thickBot="1" x14ac:dyDescent="0.3">
      <c r="A1545" s="221"/>
      <c r="B1545" s="223"/>
      <c r="C1545" s="30" t="s">
        <v>30</v>
      </c>
      <c r="D1545" s="30" t="s">
        <v>12</v>
      </c>
      <c r="E1545" s="31">
        <v>0.19439999999999999</v>
      </c>
      <c r="F1545" s="25">
        <v>25.146499999999996</v>
      </c>
      <c r="G1545" s="28">
        <f t="shared" si="24"/>
        <v>4.8884795999999993</v>
      </c>
      <c r="H1545" s="29"/>
      <c r="I1545" s="25"/>
      <c r="J1545" s="138">
        <v>0</v>
      </c>
    </row>
    <row r="1546" spans="1:10" ht="15.75" hidden="1" thickBot="1" x14ac:dyDescent="0.3">
      <c r="A1546" s="221"/>
      <c r="B1546" s="223"/>
      <c r="C1546" s="30" t="s">
        <v>74</v>
      </c>
      <c r="D1546" s="30" t="s">
        <v>12</v>
      </c>
      <c r="E1546" s="31">
        <v>0.19439999999999999</v>
      </c>
      <c r="F1546" s="25">
        <v>19.4085</v>
      </c>
      <c r="G1546" s="28">
        <f t="shared" si="24"/>
        <v>3.7730123999999998</v>
      </c>
      <c r="H1546" s="29"/>
      <c r="I1546" s="25"/>
      <c r="J1546" s="138">
        <v>0</v>
      </c>
    </row>
    <row r="1547" spans="1:10" ht="39" hidden="1" thickBot="1" x14ac:dyDescent="0.3">
      <c r="A1547" s="221"/>
      <c r="B1547" s="223"/>
      <c r="C1547" s="30" t="s">
        <v>468</v>
      </c>
      <c r="D1547" s="30" t="s">
        <v>93</v>
      </c>
      <c r="E1547" s="31">
        <v>2</v>
      </c>
      <c r="F1547" s="28">
        <v>1.4996224999999999</v>
      </c>
      <c r="G1547" s="28">
        <f t="shared" si="24"/>
        <v>2.9992449999999997</v>
      </c>
      <c r="H1547" s="29"/>
      <c r="I1547" s="25"/>
      <c r="J1547" s="138">
        <v>0</v>
      </c>
    </row>
    <row r="1548" spans="1:10" ht="26.25" hidden="1" thickBot="1" x14ac:dyDescent="0.3">
      <c r="A1548" s="221"/>
      <c r="B1548" s="223"/>
      <c r="C1548" s="30" t="s">
        <v>482</v>
      </c>
      <c r="D1548" s="30" t="s">
        <v>279</v>
      </c>
      <c r="E1548" s="31">
        <v>0.33329999999999999</v>
      </c>
      <c r="F1548" s="28" t="s">
        <v>521</v>
      </c>
      <c r="G1548" s="28" t="str">
        <f t="shared" si="24"/>
        <v/>
      </c>
      <c r="H1548" s="29"/>
      <c r="I1548" s="25"/>
      <c r="J1548" s="138">
        <v>0</v>
      </c>
    </row>
    <row r="1549" spans="1:10" ht="15.75" hidden="1" thickBot="1" x14ac:dyDescent="0.3">
      <c r="A1549" s="227"/>
      <c r="B1549" s="224"/>
      <c r="C1549" s="30"/>
      <c r="D1549" s="30"/>
      <c r="E1549" s="31"/>
      <c r="F1549" s="25" t="s">
        <v>521</v>
      </c>
      <c r="G1549" s="25" t="str">
        <f t="shared" si="24"/>
        <v/>
      </c>
      <c r="H1549" s="29"/>
      <c r="I1549" s="25"/>
      <c r="J1549" s="138">
        <v>0</v>
      </c>
    </row>
    <row r="1550" spans="1:10" ht="15.75" hidden="1" thickBot="1" x14ac:dyDescent="0.3">
      <c r="A1550" s="220" t="s">
        <v>483</v>
      </c>
      <c r="B1550" s="222" t="e">
        <f>INDEX(Orçamentária!A:B,MATCH(Composições!A1550,Orçamentária!A:A,0),2)</f>
        <v>#N/A</v>
      </c>
      <c r="C1550" s="35"/>
      <c r="D1550" s="20" t="s">
        <v>93</v>
      </c>
      <c r="E1550" s="21"/>
      <c r="F1550" s="36" t="s">
        <v>521</v>
      </c>
      <c r="G1550" s="22" t="str">
        <f t="shared" si="24"/>
        <v/>
      </c>
      <c r="H1550" s="23"/>
      <c r="I1550" s="24"/>
      <c r="J1550" s="138">
        <v>0</v>
      </c>
    </row>
    <row r="1551" spans="1:10" ht="15.75" hidden="1" thickBot="1" x14ac:dyDescent="0.3">
      <c r="A1551" s="221"/>
      <c r="B1551" s="223"/>
      <c r="C1551" s="26"/>
      <c r="D1551" s="26"/>
      <c r="E1551" s="27"/>
      <c r="F1551" s="37" t="s">
        <v>521</v>
      </c>
      <c r="G1551" s="25" t="str">
        <f t="shared" si="24"/>
        <v/>
      </c>
      <c r="H1551" s="29"/>
      <c r="I1551" s="25"/>
      <c r="J1551" s="138">
        <v>0</v>
      </c>
    </row>
    <row r="1552" spans="1:10" ht="26.25" hidden="1" thickBot="1" x14ac:dyDescent="0.3">
      <c r="A1552" s="221"/>
      <c r="B1552" s="223"/>
      <c r="C1552" s="30" t="s">
        <v>484</v>
      </c>
      <c r="D1552" s="30" t="s">
        <v>93</v>
      </c>
      <c r="E1552" s="31">
        <v>1.1000000000000001</v>
      </c>
      <c r="F1552" s="28">
        <v>7.9705000000000004</v>
      </c>
      <c r="G1552" s="28">
        <f t="shared" si="24"/>
        <v>8.7675500000000017</v>
      </c>
      <c r="H1552" s="33">
        <f>SUM(G1552:G1555)</f>
        <v>15.725844000000002</v>
      </c>
      <c r="I1552" s="34"/>
      <c r="J1552" s="138">
        <v>0</v>
      </c>
    </row>
    <row r="1553" spans="1:10" ht="15.75" hidden="1" thickBot="1" x14ac:dyDescent="0.3">
      <c r="A1553" s="221"/>
      <c r="B1553" s="223"/>
      <c r="C1553" s="30" t="s">
        <v>30</v>
      </c>
      <c r="D1553" s="30" t="s">
        <v>12</v>
      </c>
      <c r="E1553" s="31">
        <v>0.09</v>
      </c>
      <c r="F1553" s="25">
        <v>25.146499999999996</v>
      </c>
      <c r="G1553" s="28">
        <f t="shared" si="24"/>
        <v>2.2631849999999996</v>
      </c>
      <c r="H1553" s="29"/>
      <c r="I1553" s="25"/>
      <c r="J1553" s="138">
        <v>0</v>
      </c>
    </row>
    <row r="1554" spans="1:10" ht="15.75" hidden="1" thickBot="1" x14ac:dyDescent="0.3">
      <c r="A1554" s="221"/>
      <c r="B1554" s="223"/>
      <c r="C1554" s="30" t="s">
        <v>74</v>
      </c>
      <c r="D1554" s="30" t="s">
        <v>12</v>
      </c>
      <c r="E1554" s="31">
        <v>0.09</v>
      </c>
      <c r="F1554" s="25">
        <v>19.4085</v>
      </c>
      <c r="G1554" s="28">
        <f t="shared" ref="G1554:G1617" si="25">IF(ISNUMBER(F1554),E1554*F1554,"")</f>
        <v>1.7467649999999999</v>
      </c>
      <c r="H1554" s="29"/>
      <c r="I1554" s="25"/>
      <c r="J1554" s="138">
        <v>0</v>
      </c>
    </row>
    <row r="1555" spans="1:10" ht="39" hidden="1" thickBot="1" x14ac:dyDescent="0.3">
      <c r="A1555" s="221"/>
      <c r="B1555" s="223"/>
      <c r="C1555" s="30" t="s">
        <v>485</v>
      </c>
      <c r="D1555" s="30" t="s">
        <v>93</v>
      </c>
      <c r="E1555" s="31">
        <v>1</v>
      </c>
      <c r="F1555" s="28">
        <v>2.9483440000000001</v>
      </c>
      <c r="G1555" s="25">
        <f t="shared" si="25"/>
        <v>2.9483440000000001</v>
      </c>
      <c r="H1555" s="29"/>
      <c r="I1555" s="25"/>
      <c r="J1555" s="138">
        <v>0</v>
      </c>
    </row>
    <row r="1556" spans="1:10" ht="15.75" hidden="1" thickBot="1" x14ac:dyDescent="0.3">
      <c r="A1556" s="227"/>
      <c r="B1556" s="224"/>
      <c r="C1556" s="30"/>
      <c r="D1556" s="30"/>
      <c r="E1556" s="31"/>
      <c r="F1556" s="25" t="s">
        <v>521</v>
      </c>
      <c r="G1556" s="25" t="str">
        <f t="shared" si="25"/>
        <v/>
      </c>
      <c r="H1556" s="29"/>
      <c r="I1556" s="25"/>
      <c r="J1556" s="138">
        <v>0</v>
      </c>
    </row>
    <row r="1557" spans="1:10" ht="15.75" hidden="1" thickBot="1" x14ac:dyDescent="0.3">
      <c r="A1557" s="220" t="s">
        <v>486</v>
      </c>
      <c r="B1557" s="222" t="e">
        <f>INDEX(Orçamentária!A:B,MATCH(Composições!A1557,Orçamentária!A:A,0),2)</f>
        <v>#N/A</v>
      </c>
      <c r="C1557" s="35"/>
      <c r="D1557" s="20" t="s">
        <v>93</v>
      </c>
      <c r="E1557" s="21"/>
      <c r="F1557" s="36" t="s">
        <v>521</v>
      </c>
      <c r="G1557" s="22" t="str">
        <f t="shared" si="25"/>
        <v/>
      </c>
      <c r="H1557" s="23"/>
      <c r="I1557" s="24"/>
      <c r="J1557" s="138">
        <v>0</v>
      </c>
    </row>
    <row r="1558" spans="1:10" ht="15.75" hidden="1" thickBot="1" x14ac:dyDescent="0.3">
      <c r="A1558" s="221"/>
      <c r="B1558" s="223"/>
      <c r="C1558" s="26"/>
      <c r="D1558" s="26"/>
      <c r="E1558" s="27"/>
      <c r="F1558" s="37" t="s">
        <v>521</v>
      </c>
      <c r="G1558" s="25" t="str">
        <f t="shared" si="25"/>
        <v/>
      </c>
      <c r="H1558" s="29"/>
      <c r="I1558" s="25"/>
      <c r="J1558" s="138">
        <v>0</v>
      </c>
    </row>
    <row r="1559" spans="1:10" ht="15.75" hidden="1" thickBot="1" x14ac:dyDescent="0.3">
      <c r="A1559" s="221"/>
      <c r="B1559" s="223"/>
      <c r="C1559" s="30" t="s">
        <v>30</v>
      </c>
      <c r="D1559" s="30" t="s">
        <v>12</v>
      </c>
      <c r="E1559" s="31">
        <v>7.0000000000000007E-2</v>
      </c>
      <c r="F1559" s="25">
        <v>25.146499999999996</v>
      </c>
      <c r="G1559" s="25">
        <f t="shared" si="25"/>
        <v>1.7602549999999999</v>
      </c>
      <c r="H1559" s="33">
        <f>SUM(G1559:G1562)</f>
        <v>10.623394000000001</v>
      </c>
      <c r="I1559" s="34"/>
      <c r="J1559" s="138">
        <v>0</v>
      </c>
    </row>
    <row r="1560" spans="1:10" ht="15.75" hidden="1" thickBot="1" x14ac:dyDescent="0.3">
      <c r="A1560" s="221"/>
      <c r="B1560" s="223"/>
      <c r="C1560" s="30" t="s">
        <v>74</v>
      </c>
      <c r="D1560" s="30" t="s">
        <v>12</v>
      </c>
      <c r="E1560" s="31">
        <v>7.0000000000000007E-2</v>
      </c>
      <c r="F1560" s="25">
        <v>19.4085</v>
      </c>
      <c r="G1560" s="25">
        <f t="shared" si="25"/>
        <v>1.3585950000000002</v>
      </c>
      <c r="H1560" s="29"/>
      <c r="I1560" s="25"/>
      <c r="J1560" s="138">
        <v>0</v>
      </c>
    </row>
    <row r="1561" spans="1:10" ht="26.25" hidden="1" thickBot="1" x14ac:dyDescent="0.3">
      <c r="A1561" s="221"/>
      <c r="B1561" s="223"/>
      <c r="C1561" s="30" t="s">
        <v>487</v>
      </c>
      <c r="D1561" s="30" t="s">
        <v>93</v>
      </c>
      <c r="E1561" s="31">
        <v>1.1000000000000001</v>
      </c>
      <c r="F1561" s="28">
        <v>4.1420000000000003</v>
      </c>
      <c r="G1561" s="25">
        <f t="shared" si="25"/>
        <v>4.5562000000000005</v>
      </c>
      <c r="H1561" s="29"/>
      <c r="I1561" s="25"/>
      <c r="J1561" s="138">
        <v>0</v>
      </c>
    </row>
    <row r="1562" spans="1:10" ht="39" hidden="1" thickBot="1" x14ac:dyDescent="0.3">
      <c r="A1562" s="221"/>
      <c r="B1562" s="223"/>
      <c r="C1562" s="30" t="s">
        <v>485</v>
      </c>
      <c r="D1562" s="30" t="s">
        <v>93</v>
      </c>
      <c r="E1562" s="31">
        <v>1</v>
      </c>
      <c r="F1562" s="28">
        <v>2.9483440000000001</v>
      </c>
      <c r="G1562" s="25">
        <f t="shared" si="25"/>
        <v>2.9483440000000001</v>
      </c>
      <c r="H1562" s="29"/>
      <c r="I1562" s="25"/>
      <c r="J1562" s="138">
        <v>0</v>
      </c>
    </row>
    <row r="1563" spans="1:10" ht="15.75" hidden="1" thickBot="1" x14ac:dyDescent="0.3">
      <c r="A1563" s="227"/>
      <c r="B1563" s="224"/>
      <c r="C1563" s="30"/>
      <c r="D1563" s="30"/>
      <c r="E1563" s="31"/>
      <c r="F1563" s="25" t="s">
        <v>521</v>
      </c>
      <c r="G1563" s="25" t="str">
        <f t="shared" si="25"/>
        <v/>
      </c>
      <c r="H1563" s="29"/>
      <c r="I1563" s="25"/>
      <c r="J1563" s="138">
        <v>0</v>
      </c>
    </row>
    <row r="1564" spans="1:10" ht="15.75" hidden="1" thickBot="1" x14ac:dyDescent="0.3">
      <c r="A1564" s="220" t="s">
        <v>488</v>
      </c>
      <c r="B1564" s="222" t="e">
        <f>INDEX(Orçamentária!A:B,MATCH(Composições!A1564,Orçamentária!A:A,0),2)</f>
        <v>#N/A</v>
      </c>
      <c r="C1564" s="35"/>
      <c r="D1564" s="20" t="s">
        <v>93</v>
      </c>
      <c r="E1564" s="21"/>
      <c r="F1564" s="36" t="s">
        <v>521</v>
      </c>
      <c r="G1564" s="22" t="str">
        <f t="shared" si="25"/>
        <v/>
      </c>
      <c r="H1564" s="23"/>
      <c r="I1564" s="24"/>
      <c r="J1564" s="138">
        <v>0</v>
      </c>
    </row>
    <row r="1565" spans="1:10" ht="15.75" hidden="1" thickBot="1" x14ac:dyDescent="0.3">
      <c r="A1565" s="221"/>
      <c r="B1565" s="223"/>
      <c r="C1565" s="26"/>
      <c r="D1565" s="26"/>
      <c r="E1565" s="27"/>
      <c r="F1565" s="37" t="s">
        <v>521</v>
      </c>
      <c r="G1565" s="25" t="str">
        <f t="shared" si="25"/>
        <v/>
      </c>
      <c r="H1565" s="29"/>
      <c r="I1565" s="25"/>
      <c r="J1565" s="138">
        <v>0</v>
      </c>
    </row>
    <row r="1566" spans="1:10" ht="26.25" hidden="1" thickBot="1" x14ac:dyDescent="0.3">
      <c r="A1566" s="221"/>
      <c r="B1566" s="223"/>
      <c r="C1566" s="30" t="s">
        <v>489</v>
      </c>
      <c r="D1566" s="30" t="s">
        <v>93</v>
      </c>
      <c r="E1566" s="31">
        <v>1.1000000000000001</v>
      </c>
      <c r="F1566" s="28">
        <v>19.218499999999999</v>
      </c>
      <c r="G1566" s="25">
        <f t="shared" si="25"/>
        <v>21.140350000000002</v>
      </c>
      <c r="H1566" s="33">
        <f>SUM(G1566:G1569)</f>
        <v>25.952955000000003</v>
      </c>
      <c r="I1566" s="34"/>
      <c r="J1566" s="138">
        <v>0</v>
      </c>
    </row>
    <row r="1567" spans="1:10" ht="26.25" hidden="1" thickBot="1" x14ac:dyDescent="0.3">
      <c r="A1567" s="221"/>
      <c r="B1567" s="223"/>
      <c r="C1567" s="30" t="s">
        <v>1808</v>
      </c>
      <c r="D1567" s="30" t="s">
        <v>42</v>
      </c>
      <c r="E1567" s="31">
        <v>2E-3</v>
      </c>
      <c r="F1567" s="28">
        <v>22.61</v>
      </c>
      <c r="G1567" s="25">
        <f t="shared" si="25"/>
        <v>4.5220000000000003E-2</v>
      </c>
      <c r="H1567" s="29"/>
      <c r="I1567" s="25"/>
      <c r="J1567" s="138">
        <v>0</v>
      </c>
    </row>
    <row r="1568" spans="1:10" ht="15.75" hidden="1" thickBot="1" x14ac:dyDescent="0.3">
      <c r="A1568" s="221"/>
      <c r="B1568" s="223"/>
      <c r="C1568" s="30" t="s">
        <v>74</v>
      </c>
      <c r="D1568" s="41" t="s">
        <v>12</v>
      </c>
      <c r="E1568" s="31">
        <v>0.107</v>
      </c>
      <c r="F1568" s="25">
        <v>19.4085</v>
      </c>
      <c r="G1568" s="25">
        <f t="shared" si="25"/>
        <v>2.0767094999999998</v>
      </c>
      <c r="H1568" s="29"/>
      <c r="I1568" s="25"/>
      <c r="J1568" s="138">
        <v>0</v>
      </c>
    </row>
    <row r="1569" spans="1:10" ht="15.75" hidden="1" thickBot="1" x14ac:dyDescent="0.3">
      <c r="A1569" s="221"/>
      <c r="B1569" s="223"/>
      <c r="C1569" s="30" t="s">
        <v>30</v>
      </c>
      <c r="D1569" s="30" t="s">
        <v>12</v>
      </c>
      <c r="E1569" s="31">
        <v>0.107</v>
      </c>
      <c r="F1569" s="25">
        <v>25.146499999999996</v>
      </c>
      <c r="G1569" s="25">
        <f t="shared" si="25"/>
        <v>2.6906754999999993</v>
      </c>
      <c r="H1569" s="29"/>
      <c r="I1569" s="25"/>
      <c r="J1569" s="138">
        <v>0</v>
      </c>
    </row>
    <row r="1570" spans="1:10" ht="15.75" hidden="1" thickBot="1" x14ac:dyDescent="0.3">
      <c r="A1570" s="227"/>
      <c r="B1570" s="224"/>
      <c r="C1570" s="30"/>
      <c r="D1570" s="30"/>
      <c r="E1570" s="31"/>
      <c r="F1570" s="25" t="s">
        <v>521</v>
      </c>
      <c r="G1570" s="25" t="str">
        <f t="shared" si="25"/>
        <v/>
      </c>
      <c r="H1570" s="29"/>
      <c r="I1570" s="25"/>
      <c r="J1570" s="138">
        <v>0</v>
      </c>
    </row>
    <row r="1571" spans="1:10" ht="15.75" hidden="1" thickBot="1" x14ac:dyDescent="0.3">
      <c r="A1571" s="220" t="s">
        <v>490</v>
      </c>
      <c r="B1571" s="222" t="e">
        <f>INDEX(Orçamentária!A:B,MATCH(Composições!A1571,Orçamentária!A:A,0),2)</f>
        <v>#N/A</v>
      </c>
      <c r="C1571" s="35"/>
      <c r="D1571" s="20" t="s">
        <v>93</v>
      </c>
      <c r="E1571" s="21"/>
      <c r="F1571" s="36" t="s">
        <v>521</v>
      </c>
      <c r="G1571" s="22" t="str">
        <f t="shared" si="25"/>
        <v/>
      </c>
      <c r="H1571" s="23"/>
      <c r="I1571" s="24"/>
      <c r="J1571" s="138">
        <v>0</v>
      </c>
    </row>
    <row r="1572" spans="1:10" ht="15.75" hidden="1" thickBot="1" x14ac:dyDescent="0.3">
      <c r="A1572" s="221"/>
      <c r="B1572" s="223"/>
      <c r="C1572" s="26"/>
      <c r="D1572" s="26"/>
      <c r="E1572" s="27"/>
      <c r="F1572" s="37" t="s">
        <v>521</v>
      </c>
      <c r="G1572" s="25" t="str">
        <f t="shared" si="25"/>
        <v/>
      </c>
      <c r="H1572" s="29"/>
      <c r="I1572" s="25"/>
      <c r="J1572" s="138">
        <v>0</v>
      </c>
    </row>
    <row r="1573" spans="1:10" ht="26.25" hidden="1" thickBot="1" x14ac:dyDescent="0.3">
      <c r="A1573" s="221"/>
      <c r="B1573" s="223"/>
      <c r="C1573" s="30" t="s">
        <v>491</v>
      </c>
      <c r="D1573" s="30" t="s">
        <v>93</v>
      </c>
      <c r="E1573" s="31">
        <v>1.1000000000000001</v>
      </c>
      <c r="F1573" s="28">
        <v>14.648999999999999</v>
      </c>
      <c r="G1573" s="28">
        <f t="shared" si="25"/>
        <v>16.113900000000001</v>
      </c>
      <c r="H1573" s="33">
        <f>SUM(G1573:G1576)</f>
        <v>20.030882999999999</v>
      </c>
      <c r="I1573" s="34"/>
      <c r="J1573" s="138">
        <v>0</v>
      </c>
    </row>
    <row r="1574" spans="1:10" ht="26.25" hidden="1" thickBot="1" x14ac:dyDescent="0.3">
      <c r="A1574" s="221"/>
      <c r="B1574" s="223"/>
      <c r="C1574" s="30" t="s">
        <v>1808</v>
      </c>
      <c r="D1574" s="30" t="s">
        <v>42</v>
      </c>
      <c r="E1574" s="31">
        <v>1.8E-3</v>
      </c>
      <c r="F1574" s="28">
        <v>22.61</v>
      </c>
      <c r="G1574" s="28">
        <f t="shared" si="25"/>
        <v>4.0697999999999998E-2</v>
      </c>
      <c r="H1574" s="29"/>
      <c r="I1574" s="25"/>
      <c r="J1574" s="138">
        <v>0</v>
      </c>
    </row>
    <row r="1575" spans="1:10" ht="15.75" hidden="1" thickBot="1" x14ac:dyDescent="0.3">
      <c r="A1575" s="221"/>
      <c r="B1575" s="223"/>
      <c r="C1575" s="30" t="s">
        <v>74</v>
      </c>
      <c r="D1575" s="41" t="s">
        <v>12</v>
      </c>
      <c r="E1575" s="31">
        <v>8.6999999999999994E-2</v>
      </c>
      <c r="F1575" s="25">
        <v>19.4085</v>
      </c>
      <c r="G1575" s="28">
        <f t="shared" si="25"/>
        <v>1.6885394999999999</v>
      </c>
      <c r="H1575" s="29"/>
      <c r="I1575" s="25"/>
      <c r="J1575" s="138">
        <v>0</v>
      </c>
    </row>
    <row r="1576" spans="1:10" ht="15.75" hidden="1" thickBot="1" x14ac:dyDescent="0.3">
      <c r="A1576" s="221"/>
      <c r="B1576" s="223"/>
      <c r="C1576" s="30" t="s">
        <v>30</v>
      </c>
      <c r="D1576" s="30" t="s">
        <v>12</v>
      </c>
      <c r="E1576" s="31">
        <v>8.6999999999999994E-2</v>
      </c>
      <c r="F1576" s="25">
        <v>25.146499999999996</v>
      </c>
      <c r="G1576" s="28">
        <f t="shared" si="25"/>
        <v>2.1877454999999997</v>
      </c>
      <c r="H1576" s="29"/>
      <c r="I1576" s="25"/>
      <c r="J1576" s="138">
        <v>0</v>
      </c>
    </row>
    <row r="1577" spans="1:10" ht="15.75" hidden="1" thickBot="1" x14ac:dyDescent="0.3">
      <c r="A1577" s="227"/>
      <c r="B1577" s="224"/>
      <c r="C1577" s="30"/>
      <c r="D1577" s="30"/>
      <c r="E1577" s="31"/>
      <c r="F1577" s="25" t="s">
        <v>521</v>
      </c>
      <c r="G1577" s="25" t="str">
        <f t="shared" si="25"/>
        <v/>
      </c>
      <c r="H1577" s="29"/>
      <c r="I1577" s="25"/>
      <c r="J1577" s="138">
        <v>0</v>
      </c>
    </row>
    <row r="1578" spans="1:10" ht="15.75" hidden="1" thickBot="1" x14ac:dyDescent="0.3">
      <c r="A1578" s="220" t="s">
        <v>492</v>
      </c>
      <c r="B1578" s="222" t="e">
        <f>INDEX(Orçamentária!A:B,MATCH(Composições!A1578,Orçamentária!A:A,0),2)</f>
        <v>#N/A</v>
      </c>
      <c r="C1578" s="35"/>
      <c r="D1578" s="20" t="s">
        <v>93</v>
      </c>
      <c r="E1578" s="21"/>
      <c r="F1578" s="36" t="s">
        <v>521</v>
      </c>
      <c r="G1578" s="22" t="str">
        <f t="shared" si="25"/>
        <v/>
      </c>
      <c r="H1578" s="23"/>
      <c r="I1578" s="24"/>
      <c r="J1578" s="138">
        <v>0</v>
      </c>
    </row>
    <row r="1579" spans="1:10" ht="15.75" hidden="1" thickBot="1" x14ac:dyDescent="0.3">
      <c r="A1579" s="221"/>
      <c r="B1579" s="223"/>
      <c r="C1579" s="26"/>
      <c r="D1579" s="26"/>
      <c r="E1579" s="27"/>
      <c r="F1579" s="37" t="s">
        <v>521</v>
      </c>
      <c r="G1579" s="25" t="str">
        <f t="shared" si="25"/>
        <v/>
      </c>
      <c r="H1579" s="29"/>
      <c r="I1579" s="25"/>
      <c r="J1579" s="138">
        <v>0</v>
      </c>
    </row>
    <row r="1580" spans="1:10" ht="15.75" hidden="1" thickBot="1" x14ac:dyDescent="0.3">
      <c r="A1580" s="221"/>
      <c r="B1580" s="223"/>
      <c r="C1580" s="30" t="s">
        <v>493</v>
      </c>
      <c r="D1580" s="30" t="s">
        <v>93</v>
      </c>
      <c r="E1580" s="31">
        <v>1.05</v>
      </c>
      <c r="F1580" s="28" t="s">
        <v>521</v>
      </c>
      <c r="G1580" s="28" t="str">
        <f t="shared" si="25"/>
        <v/>
      </c>
      <c r="H1580" s="33">
        <f>SUM(G1580:G1591)</f>
        <v>23.288322799999996</v>
      </c>
      <c r="I1580" s="34"/>
      <c r="J1580" s="138">
        <v>0</v>
      </c>
    </row>
    <row r="1581" spans="1:10" ht="15.75" hidden="1" thickBot="1" x14ac:dyDescent="0.3">
      <c r="A1581" s="221"/>
      <c r="B1581" s="223"/>
      <c r="C1581" s="30" t="s">
        <v>74</v>
      </c>
      <c r="D1581" s="30" t="s">
        <v>12</v>
      </c>
      <c r="E1581" s="31">
        <v>0.45</v>
      </c>
      <c r="F1581" s="25">
        <v>19.4085</v>
      </c>
      <c r="G1581" s="28">
        <f t="shared" si="25"/>
        <v>8.7338249999999995</v>
      </c>
      <c r="H1581" s="29"/>
      <c r="I1581" s="25"/>
      <c r="J1581" s="138">
        <v>0</v>
      </c>
    </row>
    <row r="1582" spans="1:10" ht="15.75" hidden="1" thickBot="1" x14ac:dyDescent="0.3">
      <c r="A1582" s="221"/>
      <c r="B1582" s="223"/>
      <c r="C1582" s="30" t="s">
        <v>30</v>
      </c>
      <c r="D1582" s="30" t="s">
        <v>12</v>
      </c>
      <c r="E1582" s="31">
        <v>0.45</v>
      </c>
      <c r="F1582" s="25">
        <v>25.146499999999996</v>
      </c>
      <c r="G1582" s="28">
        <f t="shared" si="25"/>
        <v>11.315924999999998</v>
      </c>
      <c r="H1582" s="29"/>
      <c r="I1582" s="25"/>
      <c r="J1582" s="138">
        <v>0</v>
      </c>
    </row>
    <row r="1583" spans="1:10" ht="26.25" hidden="1" thickBot="1" x14ac:dyDescent="0.3">
      <c r="A1583" s="221"/>
      <c r="B1583" s="223"/>
      <c r="C1583" s="30" t="s">
        <v>433</v>
      </c>
      <c r="D1583" s="30" t="s">
        <v>144</v>
      </c>
      <c r="E1583" s="31">
        <v>0.67</v>
      </c>
      <c r="F1583" s="25">
        <v>0</v>
      </c>
      <c r="G1583" s="28">
        <f t="shared" si="25"/>
        <v>0</v>
      </c>
      <c r="H1583" s="29"/>
      <c r="I1583" s="25"/>
      <c r="J1583" s="138">
        <v>0</v>
      </c>
    </row>
    <row r="1584" spans="1:10" ht="15.75" hidden="1" thickBot="1" x14ac:dyDescent="0.3">
      <c r="A1584" s="221"/>
      <c r="B1584" s="223"/>
      <c r="C1584" s="30" t="s">
        <v>494</v>
      </c>
      <c r="D1584" s="30" t="s">
        <v>144</v>
      </c>
      <c r="E1584" s="31">
        <v>0.67</v>
      </c>
      <c r="F1584" s="25">
        <v>0</v>
      </c>
      <c r="G1584" s="28">
        <f t="shared" si="25"/>
        <v>0</v>
      </c>
      <c r="H1584" s="29"/>
      <c r="I1584" s="25"/>
      <c r="J1584" s="138">
        <v>0</v>
      </c>
    </row>
    <row r="1585" spans="1:10" ht="15.75" hidden="1" thickBot="1" x14ac:dyDescent="0.3">
      <c r="A1585" s="221"/>
      <c r="B1585" s="223"/>
      <c r="C1585" s="30" t="s">
        <v>435</v>
      </c>
      <c r="D1585" s="30" t="s">
        <v>93</v>
      </c>
      <c r="E1585" s="31">
        <v>0.8</v>
      </c>
      <c r="F1585" s="25">
        <v>0</v>
      </c>
      <c r="G1585" s="28">
        <f t="shared" si="25"/>
        <v>0</v>
      </c>
      <c r="H1585" s="29"/>
      <c r="I1585" s="25"/>
      <c r="J1585" s="138">
        <v>0</v>
      </c>
    </row>
    <row r="1586" spans="1:10" ht="15.75" hidden="1" thickBot="1" x14ac:dyDescent="0.3">
      <c r="A1586" s="221"/>
      <c r="B1586" s="223"/>
      <c r="C1586" s="30" t="s">
        <v>436</v>
      </c>
      <c r="D1586" s="30" t="s">
        <v>279</v>
      </c>
      <c r="E1586" s="31">
        <v>2.6633</v>
      </c>
      <c r="F1586" s="28">
        <v>0.26600000000000001</v>
      </c>
      <c r="G1586" s="28">
        <f t="shared" si="25"/>
        <v>0.70843780000000001</v>
      </c>
      <c r="H1586" s="29"/>
      <c r="I1586" s="25"/>
      <c r="J1586" s="138">
        <v>0</v>
      </c>
    </row>
    <row r="1587" spans="1:10" ht="15.75" hidden="1" thickBot="1" x14ac:dyDescent="0.3">
      <c r="A1587" s="221"/>
      <c r="B1587" s="223"/>
      <c r="C1587" s="30" t="s">
        <v>437</v>
      </c>
      <c r="D1587" s="30" t="s">
        <v>144</v>
      </c>
      <c r="E1587" s="31">
        <v>2.6633</v>
      </c>
      <c r="F1587" s="25">
        <v>0.95</v>
      </c>
      <c r="G1587" s="28">
        <f t="shared" si="25"/>
        <v>2.530135</v>
      </c>
      <c r="H1587" s="29"/>
      <c r="I1587" s="25"/>
      <c r="J1587" s="138">
        <v>0</v>
      </c>
    </row>
    <row r="1588" spans="1:10" ht="15.75" hidden="1" thickBot="1" x14ac:dyDescent="0.3">
      <c r="A1588" s="221"/>
      <c r="B1588" s="223"/>
      <c r="C1588" s="30" t="s">
        <v>439</v>
      </c>
      <c r="D1588" s="30" t="s">
        <v>144</v>
      </c>
      <c r="E1588" s="31">
        <v>0.67</v>
      </c>
      <c r="F1588" s="25">
        <v>0</v>
      </c>
      <c r="G1588" s="28">
        <f t="shared" si="25"/>
        <v>0</v>
      </c>
      <c r="H1588" s="29"/>
      <c r="I1588" s="25"/>
      <c r="J1588" s="138">
        <v>0</v>
      </c>
    </row>
    <row r="1589" spans="1:10" ht="15.75" hidden="1" thickBot="1" x14ac:dyDescent="0.3">
      <c r="A1589" s="221"/>
      <c r="B1589" s="223"/>
      <c r="C1589" s="30" t="s">
        <v>440</v>
      </c>
      <c r="D1589" s="30" t="s">
        <v>20</v>
      </c>
      <c r="E1589" s="31">
        <v>1.33</v>
      </c>
      <c r="F1589" s="25">
        <v>0</v>
      </c>
      <c r="G1589" s="28">
        <f t="shared" si="25"/>
        <v>0</v>
      </c>
      <c r="H1589" s="29"/>
      <c r="I1589" s="25"/>
      <c r="J1589" s="138">
        <v>0</v>
      </c>
    </row>
    <row r="1590" spans="1:10" ht="15.75" hidden="1" thickBot="1" x14ac:dyDescent="0.3">
      <c r="A1590" s="221"/>
      <c r="B1590" s="223"/>
      <c r="C1590" s="30" t="s">
        <v>495</v>
      </c>
      <c r="D1590" s="30" t="s">
        <v>144</v>
      </c>
      <c r="E1590" s="31">
        <v>0.33329999999999999</v>
      </c>
      <c r="F1590" s="25">
        <v>0</v>
      </c>
      <c r="G1590" s="28">
        <f t="shared" si="25"/>
        <v>0</v>
      </c>
      <c r="H1590" s="29"/>
      <c r="I1590" s="25"/>
      <c r="J1590" s="138">
        <v>0</v>
      </c>
    </row>
    <row r="1591" spans="1:10" ht="15.75" hidden="1" thickBot="1" x14ac:dyDescent="0.3">
      <c r="A1591" s="221"/>
      <c r="B1591" s="223"/>
      <c r="C1591" s="30" t="s">
        <v>496</v>
      </c>
      <c r="D1591" s="30" t="s">
        <v>93</v>
      </c>
      <c r="E1591" s="31">
        <v>1.05</v>
      </c>
      <c r="F1591" s="25">
        <v>0</v>
      </c>
      <c r="G1591" s="28">
        <f t="shared" si="25"/>
        <v>0</v>
      </c>
      <c r="H1591" s="29"/>
      <c r="I1591" s="25"/>
      <c r="J1591" s="138">
        <v>0</v>
      </c>
    </row>
    <row r="1592" spans="1:10" ht="15.75" hidden="1" thickBot="1" x14ac:dyDescent="0.3">
      <c r="A1592" s="227"/>
      <c r="B1592" s="224"/>
      <c r="C1592" s="30"/>
      <c r="D1592" s="30"/>
      <c r="E1592" s="31"/>
      <c r="F1592" s="25" t="s">
        <v>521</v>
      </c>
      <c r="G1592" s="25" t="str">
        <f t="shared" si="25"/>
        <v/>
      </c>
      <c r="H1592" s="29"/>
      <c r="I1592" s="25"/>
      <c r="J1592" s="138">
        <v>0</v>
      </c>
    </row>
    <row r="1593" spans="1:10" ht="15.75" hidden="1" thickBot="1" x14ac:dyDescent="0.3">
      <c r="A1593" s="220" t="s">
        <v>497</v>
      </c>
      <c r="B1593" s="222" t="e">
        <f>INDEX(Orçamentária!A:B,MATCH(Composições!A1593,Orçamentária!A:A,0),2)</f>
        <v>#N/A</v>
      </c>
      <c r="C1593" s="35"/>
      <c r="D1593" s="20" t="s">
        <v>20</v>
      </c>
      <c r="E1593" s="21"/>
      <c r="F1593" s="36" t="s">
        <v>521</v>
      </c>
      <c r="G1593" s="22" t="str">
        <f t="shared" si="25"/>
        <v/>
      </c>
      <c r="H1593" s="23"/>
      <c r="I1593" s="24"/>
      <c r="J1593" s="138">
        <v>0</v>
      </c>
    </row>
    <row r="1594" spans="1:10" ht="15.75" hidden="1" thickBot="1" x14ac:dyDescent="0.3">
      <c r="A1594" s="221"/>
      <c r="B1594" s="223"/>
      <c r="C1594" s="26"/>
      <c r="D1594" s="26"/>
      <c r="E1594" s="27"/>
      <c r="F1594" s="37" t="s">
        <v>521</v>
      </c>
      <c r="G1594" s="25" t="str">
        <f t="shared" si="25"/>
        <v/>
      </c>
      <c r="H1594" s="29"/>
      <c r="I1594" s="25"/>
      <c r="J1594" s="138">
        <v>0</v>
      </c>
    </row>
    <row r="1595" spans="1:10" ht="26.25" hidden="1" thickBot="1" x14ac:dyDescent="0.3">
      <c r="A1595" s="221"/>
      <c r="B1595" s="223"/>
      <c r="C1595" s="30" t="s">
        <v>498</v>
      </c>
      <c r="D1595" s="30" t="s">
        <v>20</v>
      </c>
      <c r="E1595" s="31">
        <v>1</v>
      </c>
      <c r="F1595" s="28">
        <v>3.2774999999999999</v>
      </c>
      <c r="G1595" s="28">
        <f t="shared" si="25"/>
        <v>3.2774999999999999</v>
      </c>
      <c r="H1595" s="33">
        <f>SUM(G1595:G1597)</f>
        <v>7.1908919999999998</v>
      </c>
      <c r="I1595" s="34"/>
      <c r="J1595" s="138">
        <v>0</v>
      </c>
    </row>
    <row r="1596" spans="1:10" ht="26.25" hidden="1" thickBot="1" x14ac:dyDescent="0.3">
      <c r="A1596" s="221"/>
      <c r="B1596" s="223"/>
      <c r="C1596" s="30" t="s">
        <v>499</v>
      </c>
      <c r="D1596" s="30" t="s">
        <v>20</v>
      </c>
      <c r="E1596" s="31">
        <v>1</v>
      </c>
      <c r="F1596" s="28">
        <v>1.7004999999999999</v>
      </c>
      <c r="G1596" s="28">
        <f t="shared" si="25"/>
        <v>1.7004999999999999</v>
      </c>
      <c r="H1596" s="29"/>
      <c r="I1596" s="25"/>
      <c r="J1596" s="138">
        <v>0</v>
      </c>
    </row>
    <row r="1597" spans="1:10" ht="15.75" hidden="1" thickBot="1" x14ac:dyDescent="0.3">
      <c r="A1597" s="221"/>
      <c r="B1597" s="223"/>
      <c r="C1597" s="30" t="s">
        <v>30</v>
      </c>
      <c r="D1597" s="30" t="s">
        <v>12</v>
      </c>
      <c r="E1597" s="31">
        <v>8.7999999999999995E-2</v>
      </c>
      <c r="F1597" s="25">
        <v>25.146499999999996</v>
      </c>
      <c r="G1597" s="28">
        <f t="shared" si="25"/>
        <v>2.2128919999999996</v>
      </c>
      <c r="H1597" s="29"/>
      <c r="I1597" s="25"/>
      <c r="J1597" s="138">
        <v>0</v>
      </c>
    </row>
    <row r="1598" spans="1:10" ht="15.75" hidden="1" thickBot="1" x14ac:dyDescent="0.3">
      <c r="A1598" s="227"/>
      <c r="B1598" s="224"/>
      <c r="C1598" s="30"/>
      <c r="D1598" s="30"/>
      <c r="E1598" s="31"/>
      <c r="F1598" s="25" t="s">
        <v>521</v>
      </c>
      <c r="G1598" s="25" t="str">
        <f t="shared" si="25"/>
        <v/>
      </c>
      <c r="H1598" s="29"/>
      <c r="I1598" s="25"/>
      <c r="J1598" s="138">
        <v>0</v>
      </c>
    </row>
    <row r="1599" spans="1:10" ht="15.75" hidden="1" thickBot="1" x14ac:dyDescent="0.3">
      <c r="A1599" s="220" t="s">
        <v>500</v>
      </c>
      <c r="B1599" s="222" t="e">
        <f>INDEX(Orçamentária!A:B,MATCH(Composições!A1599,Orçamentária!A:A,0),2)</f>
        <v>#N/A</v>
      </c>
      <c r="C1599" s="35"/>
      <c r="D1599" s="20" t="s">
        <v>20</v>
      </c>
      <c r="E1599" s="21"/>
      <c r="F1599" s="36" t="s">
        <v>521</v>
      </c>
      <c r="G1599" s="22" t="str">
        <f t="shared" si="25"/>
        <v/>
      </c>
      <c r="H1599" s="23"/>
      <c r="I1599" s="24"/>
      <c r="J1599" s="138">
        <v>0</v>
      </c>
    </row>
    <row r="1600" spans="1:10" ht="15.75" hidden="1" thickBot="1" x14ac:dyDescent="0.3">
      <c r="A1600" s="221"/>
      <c r="B1600" s="223"/>
      <c r="C1600" s="26"/>
      <c r="D1600" s="26"/>
      <c r="E1600" s="27"/>
      <c r="F1600" s="37" t="s">
        <v>521</v>
      </c>
      <c r="G1600" s="25" t="str">
        <f t="shared" si="25"/>
        <v/>
      </c>
      <c r="H1600" s="29"/>
      <c r="I1600" s="25"/>
      <c r="J1600" s="138">
        <v>0</v>
      </c>
    </row>
    <row r="1601" spans="1:10" ht="26.25" hidden="1" thickBot="1" x14ac:dyDescent="0.3">
      <c r="A1601" s="221"/>
      <c r="B1601" s="223"/>
      <c r="C1601" s="30" t="s">
        <v>501</v>
      </c>
      <c r="D1601" s="30" t="s">
        <v>20</v>
      </c>
      <c r="E1601" s="31">
        <v>1</v>
      </c>
      <c r="F1601" s="28">
        <v>6.6594999999999995</v>
      </c>
      <c r="G1601" s="25">
        <f t="shared" si="25"/>
        <v>6.6594999999999995</v>
      </c>
      <c r="H1601" s="33">
        <f>SUM(G1601:G1603)</f>
        <v>12.058235999999999</v>
      </c>
      <c r="I1601" s="34"/>
      <c r="J1601" s="138">
        <v>0</v>
      </c>
    </row>
    <row r="1602" spans="1:10" ht="26.25" hidden="1" thickBot="1" x14ac:dyDescent="0.3">
      <c r="A1602" s="221"/>
      <c r="B1602" s="223"/>
      <c r="C1602" s="30" t="s">
        <v>502</v>
      </c>
      <c r="D1602" s="41" t="s">
        <v>20</v>
      </c>
      <c r="E1602" s="31">
        <v>1</v>
      </c>
      <c r="F1602" s="28">
        <v>2.7835000000000001</v>
      </c>
      <c r="G1602" s="28">
        <f t="shared" si="25"/>
        <v>2.7835000000000001</v>
      </c>
      <c r="H1602" s="29"/>
      <c r="I1602" s="25"/>
      <c r="J1602" s="138">
        <v>0</v>
      </c>
    </row>
    <row r="1603" spans="1:10" ht="15.75" hidden="1" thickBot="1" x14ac:dyDescent="0.3">
      <c r="A1603" s="221"/>
      <c r="B1603" s="223"/>
      <c r="C1603" s="30" t="s">
        <v>30</v>
      </c>
      <c r="D1603" s="30" t="s">
        <v>12</v>
      </c>
      <c r="E1603" s="31">
        <v>0.104</v>
      </c>
      <c r="F1603" s="25">
        <v>25.146499999999996</v>
      </c>
      <c r="G1603" s="28">
        <f t="shared" si="25"/>
        <v>2.6152359999999994</v>
      </c>
      <c r="H1603" s="29"/>
      <c r="I1603" s="25"/>
      <c r="J1603" s="138">
        <v>0</v>
      </c>
    </row>
    <row r="1604" spans="1:10" ht="15.75" hidden="1" thickBot="1" x14ac:dyDescent="0.3">
      <c r="A1604" s="227"/>
      <c r="B1604" s="224"/>
      <c r="C1604" s="30"/>
      <c r="D1604" s="30"/>
      <c r="E1604" s="31"/>
      <c r="F1604" s="25" t="s">
        <v>521</v>
      </c>
      <c r="G1604" s="25" t="str">
        <f t="shared" si="25"/>
        <v/>
      </c>
      <c r="H1604" s="29"/>
      <c r="I1604" s="25"/>
      <c r="J1604" s="138">
        <v>0</v>
      </c>
    </row>
    <row r="1605" spans="1:10" ht="15.75" hidden="1" thickBot="1" x14ac:dyDescent="0.3">
      <c r="A1605" s="220" t="s">
        <v>503</v>
      </c>
      <c r="B1605" s="222" t="e">
        <f>INDEX(Orçamentária!A:B,MATCH(Composições!A1605,Orçamentária!A:A,0),2)</f>
        <v>#N/A</v>
      </c>
      <c r="C1605" s="35"/>
      <c r="D1605" s="20" t="s">
        <v>20</v>
      </c>
      <c r="E1605" s="21"/>
      <c r="F1605" s="36" t="s">
        <v>521</v>
      </c>
      <c r="G1605" s="22" t="str">
        <f t="shared" si="25"/>
        <v/>
      </c>
      <c r="H1605" s="23"/>
      <c r="I1605" s="24"/>
      <c r="J1605" s="138">
        <v>0</v>
      </c>
    </row>
    <row r="1606" spans="1:10" ht="15.75" hidden="1" thickBot="1" x14ac:dyDescent="0.3">
      <c r="A1606" s="221"/>
      <c r="B1606" s="223"/>
      <c r="C1606" s="26"/>
      <c r="D1606" s="26"/>
      <c r="E1606" s="27"/>
      <c r="F1606" s="37" t="s">
        <v>521</v>
      </c>
      <c r="G1606" s="25" t="str">
        <f t="shared" si="25"/>
        <v/>
      </c>
      <c r="H1606" s="29"/>
      <c r="I1606" s="25"/>
      <c r="J1606" s="138">
        <v>0</v>
      </c>
    </row>
    <row r="1607" spans="1:10" ht="15.75" hidden="1" thickBot="1" x14ac:dyDescent="0.3">
      <c r="A1607" s="221"/>
      <c r="B1607" s="223"/>
      <c r="C1607" s="30" t="s">
        <v>504</v>
      </c>
      <c r="D1607" s="30" t="s">
        <v>20</v>
      </c>
      <c r="E1607" s="31">
        <v>1</v>
      </c>
      <c r="F1607" s="28" t="s">
        <v>521</v>
      </c>
      <c r="G1607" s="25" t="str">
        <f t="shared" si="25"/>
        <v/>
      </c>
      <c r="H1607" s="33">
        <f>SUM(G1607:G1609)</f>
        <v>5.3987359999999995</v>
      </c>
      <c r="I1607" s="34"/>
      <c r="J1607" s="138">
        <v>0</v>
      </c>
    </row>
    <row r="1608" spans="1:10" ht="26.25" hidden="1" thickBot="1" x14ac:dyDescent="0.3">
      <c r="A1608" s="221"/>
      <c r="B1608" s="223"/>
      <c r="C1608" s="30" t="s">
        <v>502</v>
      </c>
      <c r="D1608" s="41" t="s">
        <v>20</v>
      </c>
      <c r="E1608" s="31">
        <v>1</v>
      </c>
      <c r="F1608" s="28">
        <v>2.7835000000000001</v>
      </c>
      <c r="G1608" s="28">
        <f t="shared" si="25"/>
        <v>2.7835000000000001</v>
      </c>
      <c r="H1608" s="29"/>
      <c r="I1608" s="25"/>
      <c r="J1608" s="138">
        <v>0</v>
      </c>
    </row>
    <row r="1609" spans="1:10" ht="15.75" hidden="1" thickBot="1" x14ac:dyDescent="0.3">
      <c r="A1609" s="221"/>
      <c r="B1609" s="223"/>
      <c r="C1609" s="30" t="s">
        <v>30</v>
      </c>
      <c r="D1609" s="30" t="s">
        <v>12</v>
      </c>
      <c r="E1609" s="31">
        <v>0.104</v>
      </c>
      <c r="F1609" s="25">
        <v>25.146499999999996</v>
      </c>
      <c r="G1609" s="28">
        <f t="shared" si="25"/>
        <v>2.6152359999999994</v>
      </c>
      <c r="H1609" s="29"/>
      <c r="I1609" s="25"/>
      <c r="J1609" s="138">
        <v>0</v>
      </c>
    </row>
    <row r="1610" spans="1:10" ht="15.75" hidden="1" thickBot="1" x14ac:dyDescent="0.3">
      <c r="A1610" s="227"/>
      <c r="B1610" s="224"/>
      <c r="C1610" s="30"/>
      <c r="D1610" s="30"/>
      <c r="E1610" s="31"/>
      <c r="F1610" s="25" t="s">
        <v>521</v>
      </c>
      <c r="G1610" s="25" t="str">
        <f t="shared" si="25"/>
        <v/>
      </c>
      <c r="H1610" s="29"/>
      <c r="I1610" s="25"/>
      <c r="J1610" s="138">
        <v>0</v>
      </c>
    </row>
    <row r="1611" spans="1:10" ht="15.75" hidden="1" thickBot="1" x14ac:dyDescent="0.3">
      <c r="A1611" s="220" t="s">
        <v>505</v>
      </c>
      <c r="B1611" s="222" t="e">
        <f>INDEX(Orçamentária!A:B,MATCH(Composições!A1611,Orçamentária!A:A,0),2)</f>
        <v>#N/A</v>
      </c>
      <c r="C1611" s="35"/>
      <c r="D1611" s="20" t="s">
        <v>20</v>
      </c>
      <c r="E1611" s="21"/>
      <c r="F1611" s="36" t="s">
        <v>521</v>
      </c>
      <c r="G1611" s="22" t="str">
        <f t="shared" si="25"/>
        <v/>
      </c>
      <c r="H1611" s="23"/>
      <c r="I1611" s="24"/>
      <c r="J1611" s="138">
        <v>0</v>
      </c>
    </row>
    <row r="1612" spans="1:10" ht="15.75" hidden="1" thickBot="1" x14ac:dyDescent="0.3">
      <c r="A1612" s="221"/>
      <c r="B1612" s="223"/>
      <c r="C1612" s="26"/>
      <c r="D1612" s="26"/>
      <c r="E1612" s="27"/>
      <c r="F1612" s="37" t="s">
        <v>521</v>
      </c>
      <c r="G1612" s="25" t="str">
        <f t="shared" si="25"/>
        <v/>
      </c>
      <c r="H1612" s="29"/>
      <c r="I1612" s="25"/>
      <c r="J1612" s="138">
        <v>0</v>
      </c>
    </row>
    <row r="1613" spans="1:10" ht="15.75" hidden="1" thickBot="1" x14ac:dyDescent="0.3">
      <c r="A1613" s="221"/>
      <c r="B1613" s="223"/>
      <c r="C1613" s="30" t="s">
        <v>30</v>
      </c>
      <c r="D1613" s="30" t="s">
        <v>12</v>
      </c>
      <c r="E1613" s="31">
        <f>0.3/2</f>
        <v>0.15</v>
      </c>
      <c r="F1613" s="25">
        <v>25.146499999999996</v>
      </c>
      <c r="G1613" s="28">
        <f t="shared" si="25"/>
        <v>3.7719749999999994</v>
      </c>
      <c r="H1613" s="33">
        <f>SUM(G1613:G1616)</f>
        <v>6.6832499999999992</v>
      </c>
      <c r="I1613" s="34"/>
      <c r="J1613" s="138">
        <v>0</v>
      </c>
    </row>
    <row r="1614" spans="1:10" ht="15.75" hidden="1" thickBot="1" x14ac:dyDescent="0.3">
      <c r="A1614" s="221"/>
      <c r="B1614" s="223"/>
      <c r="C1614" s="30" t="s">
        <v>74</v>
      </c>
      <c r="D1614" s="30" t="s">
        <v>12</v>
      </c>
      <c r="E1614" s="31">
        <f>0.3/2</f>
        <v>0.15</v>
      </c>
      <c r="F1614" s="25">
        <v>19.4085</v>
      </c>
      <c r="G1614" s="28">
        <f t="shared" si="25"/>
        <v>2.9112749999999998</v>
      </c>
      <c r="H1614" s="29"/>
      <c r="I1614" s="25"/>
      <c r="J1614" s="138">
        <v>0</v>
      </c>
    </row>
    <row r="1615" spans="1:10" ht="26.25" hidden="1" thickBot="1" x14ac:dyDescent="0.3">
      <c r="A1615" s="221"/>
      <c r="B1615" s="223"/>
      <c r="C1615" s="30" t="s">
        <v>506</v>
      </c>
      <c r="D1615" s="30" t="s">
        <v>20</v>
      </c>
      <c r="E1615" s="31">
        <v>1</v>
      </c>
      <c r="F1615" s="28" t="s">
        <v>521</v>
      </c>
      <c r="G1615" s="28" t="str">
        <f t="shared" si="25"/>
        <v/>
      </c>
      <c r="H1615" s="29"/>
      <c r="I1615" s="25"/>
      <c r="J1615" s="138">
        <v>0</v>
      </c>
    </row>
    <row r="1616" spans="1:10" ht="26.25" hidden="1" thickBot="1" x14ac:dyDescent="0.3">
      <c r="A1616" s="221"/>
      <c r="B1616" s="223"/>
      <c r="C1616" s="30" t="s">
        <v>507</v>
      </c>
      <c r="D1616" s="30" t="s">
        <v>20</v>
      </c>
      <c r="E1616" s="31">
        <v>1</v>
      </c>
      <c r="F1616" s="28" t="s">
        <v>521</v>
      </c>
      <c r="G1616" s="25" t="str">
        <f t="shared" si="25"/>
        <v/>
      </c>
      <c r="H1616" s="29"/>
      <c r="I1616" s="25"/>
      <c r="J1616" s="138">
        <v>0</v>
      </c>
    </row>
    <row r="1617" spans="1:10" ht="15.75" hidden="1" thickBot="1" x14ac:dyDescent="0.3">
      <c r="A1617" s="227"/>
      <c r="B1617" s="224"/>
      <c r="C1617" s="30"/>
      <c r="D1617" s="30"/>
      <c r="E1617" s="31"/>
      <c r="F1617" s="25" t="s">
        <v>521</v>
      </c>
      <c r="G1617" s="25" t="str">
        <f t="shared" si="25"/>
        <v/>
      </c>
      <c r="H1617" s="29"/>
      <c r="I1617" s="25"/>
      <c r="J1617" s="138">
        <v>0</v>
      </c>
    </row>
    <row r="1618" spans="1:10" ht="15.75" hidden="1" thickBot="1" x14ac:dyDescent="0.3">
      <c r="A1618" s="220" t="s">
        <v>508</v>
      </c>
      <c r="B1618" s="222" t="e">
        <f>INDEX(Orçamentária!A:B,MATCH(Composições!A1618,Orçamentária!A:A,0),2)</f>
        <v>#N/A</v>
      </c>
      <c r="C1618" s="35"/>
      <c r="D1618" s="20" t="s">
        <v>20</v>
      </c>
      <c r="E1618" s="21"/>
      <c r="F1618" s="36" t="s">
        <v>521</v>
      </c>
      <c r="G1618" s="22" t="str">
        <f t="shared" ref="G1618:G1681" si="26">IF(ISNUMBER(F1618),E1618*F1618,"")</f>
        <v/>
      </c>
      <c r="H1618" s="23"/>
      <c r="I1618" s="24"/>
      <c r="J1618" s="138">
        <v>0</v>
      </c>
    </row>
    <row r="1619" spans="1:10" ht="15.75" hidden="1" thickBot="1" x14ac:dyDescent="0.3">
      <c r="A1619" s="221"/>
      <c r="B1619" s="223"/>
      <c r="C1619" s="26"/>
      <c r="D1619" s="26"/>
      <c r="E1619" s="27"/>
      <c r="F1619" s="37" t="s">
        <v>521</v>
      </c>
      <c r="G1619" s="25" t="str">
        <f t="shared" si="26"/>
        <v/>
      </c>
      <c r="H1619" s="29"/>
      <c r="I1619" s="25"/>
      <c r="J1619" s="138">
        <v>0</v>
      </c>
    </row>
    <row r="1620" spans="1:10" ht="15.75" hidden="1" thickBot="1" x14ac:dyDescent="0.3">
      <c r="A1620" s="221"/>
      <c r="B1620" s="223"/>
      <c r="C1620" s="30" t="s">
        <v>30</v>
      </c>
      <c r="D1620" s="30" t="s">
        <v>12</v>
      </c>
      <c r="E1620" s="31">
        <v>0.1</v>
      </c>
      <c r="F1620" s="25">
        <v>25.146499999999996</v>
      </c>
      <c r="G1620" s="28">
        <f t="shared" si="26"/>
        <v>2.5146499999999996</v>
      </c>
      <c r="H1620" s="33">
        <f>SUM(G1620:G1621)</f>
        <v>2.5146499999999996</v>
      </c>
      <c r="I1620" s="34"/>
      <c r="J1620" s="138">
        <v>0</v>
      </c>
    </row>
    <row r="1621" spans="1:10" ht="15.75" hidden="1" thickBot="1" x14ac:dyDescent="0.3">
      <c r="A1621" s="221"/>
      <c r="B1621" s="223"/>
      <c r="C1621" s="30" t="s">
        <v>509</v>
      </c>
      <c r="D1621" s="30" t="s">
        <v>20</v>
      </c>
      <c r="E1621" s="31">
        <v>1</v>
      </c>
      <c r="F1621" s="28" t="s">
        <v>521</v>
      </c>
      <c r="G1621" s="25" t="str">
        <f t="shared" si="26"/>
        <v/>
      </c>
      <c r="H1621" s="29"/>
      <c r="I1621" s="25"/>
      <c r="J1621" s="138">
        <v>0</v>
      </c>
    </row>
    <row r="1622" spans="1:10" ht="15.75" hidden="1" thickBot="1" x14ac:dyDescent="0.3">
      <c r="A1622" s="227"/>
      <c r="B1622" s="224"/>
      <c r="C1622" s="30"/>
      <c r="D1622" s="30"/>
      <c r="E1622" s="31"/>
      <c r="F1622" s="25" t="s">
        <v>521</v>
      </c>
      <c r="G1622" s="25" t="str">
        <f t="shared" si="26"/>
        <v/>
      </c>
      <c r="H1622" s="29"/>
      <c r="I1622" s="25"/>
      <c r="J1622" s="138">
        <v>0</v>
      </c>
    </row>
    <row r="1623" spans="1:10" ht="15.75" hidden="1" thickBot="1" x14ac:dyDescent="0.3">
      <c r="A1623" s="220" t="s">
        <v>510</v>
      </c>
      <c r="B1623" s="222" t="e">
        <f>INDEX(Orçamentária!A:B,MATCH(Composições!A1623,Orçamentária!A:A,0),2)</f>
        <v>#N/A</v>
      </c>
      <c r="C1623" s="35"/>
      <c r="D1623" s="20" t="s">
        <v>20</v>
      </c>
      <c r="E1623" s="21"/>
      <c r="F1623" s="36" t="s">
        <v>521</v>
      </c>
      <c r="G1623" s="22" t="str">
        <f t="shared" si="26"/>
        <v/>
      </c>
      <c r="H1623" s="23"/>
      <c r="I1623" s="24"/>
      <c r="J1623" s="138">
        <v>0</v>
      </c>
    </row>
    <row r="1624" spans="1:10" ht="15.75" hidden="1" thickBot="1" x14ac:dyDescent="0.3">
      <c r="A1624" s="221"/>
      <c r="B1624" s="223"/>
      <c r="C1624" s="26"/>
      <c r="D1624" s="26"/>
      <c r="E1624" s="27"/>
      <c r="F1624" s="37" t="s">
        <v>521</v>
      </c>
      <c r="G1624" s="25" t="str">
        <f t="shared" si="26"/>
        <v/>
      </c>
      <c r="H1624" s="29"/>
      <c r="I1624" s="25"/>
      <c r="J1624" s="138">
        <v>0</v>
      </c>
    </row>
    <row r="1625" spans="1:10" ht="15.75" hidden="1" thickBot="1" x14ac:dyDescent="0.3">
      <c r="A1625" s="221"/>
      <c r="B1625" s="223"/>
      <c r="C1625" s="30" t="s">
        <v>511</v>
      </c>
      <c r="D1625" s="30" t="s">
        <v>20</v>
      </c>
      <c r="E1625" s="31">
        <v>1</v>
      </c>
      <c r="F1625" s="28">
        <v>10.088999999999999</v>
      </c>
      <c r="G1625" s="25">
        <f t="shared" si="26"/>
        <v>10.088999999999999</v>
      </c>
      <c r="H1625" s="33">
        <f>SUM(G1625:G1627)</f>
        <v>23.811939999999996</v>
      </c>
      <c r="I1625" s="34"/>
      <c r="J1625" s="138">
        <v>0</v>
      </c>
    </row>
    <row r="1626" spans="1:10" ht="15.75" hidden="1" thickBot="1" x14ac:dyDescent="0.3">
      <c r="A1626" s="221"/>
      <c r="B1626" s="223"/>
      <c r="C1626" s="30" t="s">
        <v>74</v>
      </c>
      <c r="D1626" s="30" t="s">
        <v>12</v>
      </c>
      <c r="E1626" s="31">
        <v>0.308</v>
      </c>
      <c r="F1626" s="25">
        <v>19.4085</v>
      </c>
      <c r="G1626" s="28">
        <f t="shared" si="26"/>
        <v>5.9778180000000001</v>
      </c>
      <c r="H1626" s="29"/>
      <c r="I1626" s="25"/>
      <c r="J1626" s="138">
        <v>0</v>
      </c>
    </row>
    <row r="1627" spans="1:10" ht="15.75" hidden="1" thickBot="1" x14ac:dyDescent="0.3">
      <c r="A1627" s="221"/>
      <c r="B1627" s="223"/>
      <c r="C1627" s="30" t="s">
        <v>30</v>
      </c>
      <c r="D1627" s="30" t="s">
        <v>12</v>
      </c>
      <c r="E1627" s="31">
        <v>0.308</v>
      </c>
      <c r="F1627" s="25">
        <v>25.146499999999996</v>
      </c>
      <c r="G1627" s="28">
        <f t="shared" si="26"/>
        <v>7.7451219999999985</v>
      </c>
      <c r="H1627" s="29"/>
      <c r="I1627" s="25"/>
      <c r="J1627" s="138">
        <v>0</v>
      </c>
    </row>
    <row r="1628" spans="1:10" ht="15.75" hidden="1" thickBot="1" x14ac:dyDescent="0.3">
      <c r="A1628" s="227"/>
      <c r="B1628" s="224"/>
      <c r="C1628" s="30"/>
      <c r="D1628" s="30"/>
      <c r="E1628" s="31"/>
      <c r="F1628" s="25" t="s">
        <v>521</v>
      </c>
      <c r="G1628" s="25" t="str">
        <f t="shared" si="26"/>
        <v/>
      </c>
      <c r="H1628" s="29"/>
      <c r="I1628" s="25"/>
      <c r="J1628" s="138">
        <v>0</v>
      </c>
    </row>
    <row r="1629" spans="1:10" ht="15.75" hidden="1" thickBot="1" x14ac:dyDescent="0.3">
      <c r="A1629" s="220" t="s">
        <v>512</v>
      </c>
      <c r="B1629" s="222" t="e">
        <f>INDEX(Orçamentária!A:B,MATCH(Composições!A1629,Orçamentária!A:A,0),2)</f>
        <v>#N/A</v>
      </c>
      <c r="C1629" s="35"/>
      <c r="D1629" s="20" t="s">
        <v>20</v>
      </c>
      <c r="E1629" s="21"/>
      <c r="F1629" s="36" t="s">
        <v>521</v>
      </c>
      <c r="G1629" s="22" t="str">
        <f t="shared" si="26"/>
        <v/>
      </c>
      <c r="H1629" s="23"/>
      <c r="I1629" s="24"/>
      <c r="J1629" s="138">
        <v>0</v>
      </c>
    </row>
    <row r="1630" spans="1:10" ht="15.75" hidden="1" thickBot="1" x14ac:dyDescent="0.3">
      <c r="A1630" s="221"/>
      <c r="B1630" s="223"/>
      <c r="C1630" s="26"/>
      <c r="D1630" s="26"/>
      <c r="E1630" s="27"/>
      <c r="F1630" s="37" t="s">
        <v>521</v>
      </c>
      <c r="G1630" s="25" t="str">
        <f t="shared" si="26"/>
        <v/>
      </c>
      <c r="H1630" s="29"/>
      <c r="I1630" s="25"/>
      <c r="J1630" s="138">
        <v>0</v>
      </c>
    </row>
    <row r="1631" spans="1:10" ht="15.75" hidden="1" thickBot="1" x14ac:dyDescent="0.3">
      <c r="A1631" s="221"/>
      <c r="B1631" s="223"/>
      <c r="C1631" s="30" t="s">
        <v>513</v>
      </c>
      <c r="D1631" s="30" t="s">
        <v>20</v>
      </c>
      <c r="E1631" s="31">
        <v>1</v>
      </c>
      <c r="F1631" s="28">
        <v>7.7424999999999997</v>
      </c>
      <c r="G1631" s="25">
        <f t="shared" si="26"/>
        <v>7.7424999999999997</v>
      </c>
      <c r="H1631" s="33">
        <f>SUM(G1631:G1633)</f>
        <v>17.767374999999998</v>
      </c>
      <c r="I1631" s="34"/>
      <c r="J1631" s="138">
        <v>0</v>
      </c>
    </row>
    <row r="1632" spans="1:10" ht="15.75" hidden="1" thickBot="1" x14ac:dyDescent="0.3">
      <c r="A1632" s="221"/>
      <c r="B1632" s="223"/>
      <c r="C1632" s="30" t="s">
        <v>74</v>
      </c>
      <c r="D1632" s="30" t="s">
        <v>12</v>
      </c>
      <c r="E1632" s="31">
        <v>0.22500000000000001</v>
      </c>
      <c r="F1632" s="25">
        <v>19.4085</v>
      </c>
      <c r="G1632" s="28">
        <f t="shared" si="26"/>
        <v>4.3669124999999998</v>
      </c>
      <c r="H1632" s="29"/>
      <c r="I1632" s="25"/>
      <c r="J1632" s="138">
        <v>0</v>
      </c>
    </row>
    <row r="1633" spans="1:10" ht="15.75" hidden="1" thickBot="1" x14ac:dyDescent="0.3">
      <c r="A1633" s="221"/>
      <c r="B1633" s="223"/>
      <c r="C1633" s="30" t="s">
        <v>30</v>
      </c>
      <c r="D1633" s="30" t="s">
        <v>12</v>
      </c>
      <c r="E1633" s="31">
        <v>0.22500000000000001</v>
      </c>
      <c r="F1633" s="25">
        <v>25.146499999999996</v>
      </c>
      <c r="G1633" s="28">
        <f t="shared" si="26"/>
        <v>5.6579624999999991</v>
      </c>
      <c r="H1633" s="29"/>
      <c r="I1633" s="25"/>
      <c r="J1633" s="138">
        <v>0</v>
      </c>
    </row>
    <row r="1634" spans="1:10" ht="15.75" hidden="1" thickBot="1" x14ac:dyDescent="0.3">
      <c r="A1634" s="227"/>
      <c r="B1634" s="224"/>
      <c r="C1634" s="30"/>
      <c r="D1634" s="30"/>
      <c r="E1634" s="31"/>
      <c r="F1634" s="25" t="s">
        <v>521</v>
      </c>
      <c r="G1634" s="25" t="str">
        <f t="shared" si="26"/>
        <v/>
      </c>
      <c r="H1634" s="29"/>
      <c r="I1634" s="25"/>
      <c r="J1634" s="138">
        <v>0</v>
      </c>
    </row>
    <row r="1635" spans="1:10" ht="15.75" hidden="1" thickBot="1" x14ac:dyDescent="0.3">
      <c r="A1635" s="220" t="s">
        <v>514</v>
      </c>
      <c r="B1635" s="222" t="e">
        <f>INDEX(Orçamentária!A:B,MATCH(Composições!A1635,Orçamentária!A:A,0),2)</f>
        <v>#N/A</v>
      </c>
      <c r="C1635" s="35"/>
      <c r="D1635" s="20" t="s">
        <v>20</v>
      </c>
      <c r="E1635" s="21"/>
      <c r="F1635" s="36" t="s">
        <v>521</v>
      </c>
      <c r="G1635" s="22" t="str">
        <f t="shared" si="26"/>
        <v/>
      </c>
      <c r="H1635" s="23"/>
      <c r="I1635" s="24"/>
      <c r="J1635" s="138">
        <v>0</v>
      </c>
    </row>
    <row r="1636" spans="1:10" ht="15.75" hidden="1" thickBot="1" x14ac:dyDescent="0.3">
      <c r="A1636" s="221"/>
      <c r="B1636" s="223"/>
      <c r="C1636" s="26"/>
      <c r="D1636" s="26"/>
      <c r="E1636" s="27"/>
      <c r="F1636" s="37" t="s">
        <v>521</v>
      </c>
      <c r="G1636" s="25" t="str">
        <f t="shared" si="26"/>
        <v/>
      </c>
      <c r="H1636" s="29"/>
      <c r="I1636" s="25"/>
      <c r="J1636" s="138">
        <v>0</v>
      </c>
    </row>
    <row r="1637" spans="1:10" ht="15.75" hidden="1" thickBot="1" x14ac:dyDescent="0.3">
      <c r="A1637" s="221"/>
      <c r="B1637" s="223"/>
      <c r="C1637" s="30" t="s">
        <v>30</v>
      </c>
      <c r="D1637" s="30" t="s">
        <v>12</v>
      </c>
      <c r="E1637" s="31">
        <v>0.1</v>
      </c>
      <c r="F1637" s="25">
        <v>25.146499999999996</v>
      </c>
      <c r="G1637" s="28">
        <f t="shared" si="26"/>
        <v>2.5146499999999996</v>
      </c>
      <c r="H1637" s="33">
        <f>SUM(G1637:G1638)</f>
        <v>2.5146499999999996</v>
      </c>
      <c r="I1637" s="34"/>
      <c r="J1637" s="138">
        <v>0</v>
      </c>
    </row>
    <row r="1638" spans="1:10" ht="15.75" hidden="1" thickBot="1" x14ac:dyDescent="0.3">
      <c r="A1638" s="221"/>
      <c r="B1638" s="223"/>
      <c r="C1638" s="30" t="s">
        <v>515</v>
      </c>
      <c r="D1638" s="30" t="s">
        <v>20</v>
      </c>
      <c r="E1638" s="31">
        <v>1</v>
      </c>
      <c r="F1638" s="28" t="s">
        <v>521</v>
      </c>
      <c r="G1638" s="25" t="str">
        <f t="shared" si="26"/>
        <v/>
      </c>
      <c r="H1638" s="29"/>
      <c r="I1638" s="25"/>
      <c r="J1638" s="138">
        <v>0</v>
      </c>
    </row>
    <row r="1639" spans="1:10" ht="15.75" hidden="1" thickBot="1" x14ac:dyDescent="0.3">
      <c r="A1639" s="227"/>
      <c r="B1639" s="224"/>
      <c r="C1639" s="30"/>
      <c r="D1639" s="30"/>
      <c r="E1639" s="31"/>
      <c r="F1639" s="25" t="s">
        <v>521</v>
      </c>
      <c r="G1639" s="25" t="str">
        <f t="shared" si="26"/>
        <v/>
      </c>
      <c r="H1639" s="29"/>
      <c r="I1639" s="25"/>
      <c r="J1639" s="138">
        <v>0</v>
      </c>
    </row>
    <row r="1640" spans="1:10" ht="15.75" hidden="1" thickBot="1" x14ac:dyDescent="0.3">
      <c r="A1640" s="220" t="s">
        <v>516</v>
      </c>
      <c r="B1640" s="222" t="e">
        <f>INDEX(Orçamentária!A:B,MATCH(Composições!A1640,Orçamentária!A:A,0),2)</f>
        <v>#N/A</v>
      </c>
      <c r="C1640" s="35"/>
      <c r="D1640" s="20" t="s">
        <v>20</v>
      </c>
      <c r="E1640" s="21"/>
      <c r="F1640" s="36" t="s">
        <v>521</v>
      </c>
      <c r="G1640" s="22" t="str">
        <f t="shared" si="26"/>
        <v/>
      </c>
      <c r="H1640" s="23"/>
      <c r="I1640" s="24"/>
      <c r="J1640" s="138">
        <v>0</v>
      </c>
    </row>
    <row r="1641" spans="1:10" ht="15.75" hidden="1" thickBot="1" x14ac:dyDescent="0.3">
      <c r="A1641" s="221"/>
      <c r="B1641" s="223"/>
      <c r="C1641" s="26"/>
      <c r="D1641" s="26"/>
      <c r="E1641" s="27"/>
      <c r="F1641" s="37" t="s">
        <v>521</v>
      </c>
      <c r="G1641" s="25" t="str">
        <f t="shared" si="26"/>
        <v/>
      </c>
      <c r="H1641" s="29"/>
      <c r="I1641" s="25"/>
      <c r="J1641" s="138">
        <v>0</v>
      </c>
    </row>
    <row r="1642" spans="1:10" ht="15.75" hidden="1" thickBot="1" x14ac:dyDescent="0.3">
      <c r="A1642" s="221"/>
      <c r="B1642" s="223"/>
      <c r="C1642" s="30" t="s">
        <v>30</v>
      </c>
      <c r="D1642" s="30" t="s">
        <v>12</v>
      </c>
      <c r="E1642" s="31">
        <v>0.308</v>
      </c>
      <c r="F1642" s="25">
        <v>25.146499999999996</v>
      </c>
      <c r="G1642" s="28">
        <f t="shared" si="26"/>
        <v>7.7451219999999985</v>
      </c>
      <c r="H1642" s="33">
        <f>SUM(G1642:G1644)</f>
        <v>13.722939999999998</v>
      </c>
      <c r="I1642" s="34"/>
      <c r="J1642" s="138">
        <v>0</v>
      </c>
    </row>
    <row r="1643" spans="1:10" ht="15.75" hidden="1" thickBot="1" x14ac:dyDescent="0.3">
      <c r="A1643" s="221"/>
      <c r="B1643" s="223"/>
      <c r="C1643" s="30" t="s">
        <v>74</v>
      </c>
      <c r="D1643" s="30" t="s">
        <v>12</v>
      </c>
      <c r="E1643" s="31">
        <v>0.308</v>
      </c>
      <c r="F1643" s="25">
        <v>19.4085</v>
      </c>
      <c r="G1643" s="28">
        <f t="shared" si="26"/>
        <v>5.9778180000000001</v>
      </c>
      <c r="H1643" s="39"/>
      <c r="I1643" s="40"/>
      <c r="J1643" s="138">
        <v>0</v>
      </c>
    </row>
    <row r="1644" spans="1:10" ht="15.75" hidden="1" thickBot="1" x14ac:dyDescent="0.3">
      <c r="A1644" s="221"/>
      <c r="B1644" s="223"/>
      <c r="C1644" s="30" t="s">
        <v>517</v>
      </c>
      <c r="D1644" s="30" t="s">
        <v>20</v>
      </c>
      <c r="E1644" s="31">
        <v>1</v>
      </c>
      <c r="F1644" s="28" t="s">
        <v>521</v>
      </c>
      <c r="G1644" s="25" t="str">
        <f t="shared" si="26"/>
        <v/>
      </c>
      <c r="H1644" s="29"/>
      <c r="I1644" s="25"/>
      <c r="J1644" s="138">
        <v>0</v>
      </c>
    </row>
    <row r="1645" spans="1:10" ht="15.75" hidden="1" thickBot="1" x14ac:dyDescent="0.3">
      <c r="A1645" s="227"/>
      <c r="B1645" s="224"/>
      <c r="C1645" s="46"/>
      <c r="D1645" s="30"/>
      <c r="E1645" s="31"/>
      <c r="F1645" s="25" t="s">
        <v>521</v>
      </c>
      <c r="G1645" s="25" t="str">
        <f t="shared" si="26"/>
        <v/>
      </c>
      <c r="H1645" s="29"/>
      <c r="I1645" s="25"/>
      <c r="J1645" s="138">
        <v>0</v>
      </c>
    </row>
    <row r="1646" spans="1:10" ht="15.75" hidden="1" thickBot="1" x14ac:dyDescent="0.3">
      <c r="A1646" s="220" t="s">
        <v>518</v>
      </c>
      <c r="B1646" s="222" t="e">
        <f>INDEX(Orçamentária!A:B,MATCH(Composições!A1646,Orçamentária!A:A,0),2)</f>
        <v>#N/A</v>
      </c>
      <c r="C1646" s="35"/>
      <c r="D1646" s="20" t="s">
        <v>20</v>
      </c>
      <c r="E1646" s="21"/>
      <c r="F1646" s="36" t="s">
        <v>521</v>
      </c>
      <c r="G1646" s="22" t="str">
        <f t="shared" si="26"/>
        <v/>
      </c>
      <c r="H1646" s="23"/>
      <c r="I1646" s="24"/>
      <c r="J1646" s="138">
        <v>0</v>
      </c>
    </row>
    <row r="1647" spans="1:10" ht="15.75" hidden="1" thickBot="1" x14ac:dyDescent="0.3">
      <c r="A1647" s="221"/>
      <c r="B1647" s="223"/>
      <c r="C1647" s="26"/>
      <c r="D1647" s="26"/>
      <c r="E1647" s="27"/>
      <c r="F1647" s="37" t="s">
        <v>521</v>
      </c>
      <c r="G1647" s="25" t="str">
        <f t="shared" si="26"/>
        <v/>
      </c>
      <c r="H1647" s="29"/>
      <c r="I1647" s="25"/>
      <c r="J1647" s="138">
        <v>0</v>
      </c>
    </row>
    <row r="1648" spans="1:10" ht="15.75" hidden="1" thickBot="1" x14ac:dyDescent="0.3">
      <c r="A1648" s="221"/>
      <c r="B1648" s="223"/>
      <c r="C1648" s="30" t="s">
        <v>2270</v>
      </c>
      <c r="D1648" s="30" t="s">
        <v>20</v>
      </c>
      <c r="E1648" s="31">
        <v>1</v>
      </c>
      <c r="F1648" s="28">
        <v>8.8064999999999998</v>
      </c>
      <c r="G1648" s="25">
        <f t="shared" si="26"/>
        <v>8.8064999999999998</v>
      </c>
      <c r="H1648" s="33">
        <f>SUM(G1648:G1650)</f>
        <v>19.276924999999999</v>
      </c>
      <c r="I1648" s="34"/>
      <c r="J1648" s="138">
        <v>0</v>
      </c>
    </row>
    <row r="1649" spans="1:10" ht="15.75" hidden="1" thickBot="1" x14ac:dyDescent="0.3">
      <c r="A1649" s="221"/>
      <c r="B1649" s="223"/>
      <c r="C1649" s="30" t="s">
        <v>74</v>
      </c>
      <c r="D1649" s="30" t="s">
        <v>12</v>
      </c>
      <c r="E1649" s="31">
        <v>0.23499999999999999</v>
      </c>
      <c r="F1649" s="25">
        <v>19.4085</v>
      </c>
      <c r="G1649" s="28">
        <f t="shared" si="26"/>
        <v>4.5609975</v>
      </c>
      <c r="H1649" s="29"/>
      <c r="I1649" s="25"/>
      <c r="J1649" s="138">
        <v>0</v>
      </c>
    </row>
    <row r="1650" spans="1:10" ht="15.75" hidden="1" thickBot="1" x14ac:dyDescent="0.3">
      <c r="A1650" s="221"/>
      <c r="B1650" s="223"/>
      <c r="C1650" s="30" t="s">
        <v>30</v>
      </c>
      <c r="D1650" s="30" t="s">
        <v>12</v>
      </c>
      <c r="E1650" s="31">
        <v>0.23499999999999999</v>
      </c>
      <c r="F1650" s="25">
        <v>25.146499999999996</v>
      </c>
      <c r="G1650" s="28">
        <f t="shared" si="26"/>
        <v>5.9094274999999987</v>
      </c>
      <c r="H1650" s="29"/>
      <c r="I1650" s="25"/>
      <c r="J1650" s="138">
        <v>0</v>
      </c>
    </row>
    <row r="1651" spans="1:10" ht="15.75" hidden="1" thickBot="1" x14ac:dyDescent="0.3">
      <c r="A1651" s="227"/>
      <c r="B1651" s="224"/>
      <c r="C1651" s="30"/>
      <c r="D1651" s="30"/>
      <c r="E1651" s="31"/>
      <c r="F1651" s="25" t="s">
        <v>521</v>
      </c>
      <c r="G1651" s="25" t="str">
        <f t="shared" si="26"/>
        <v/>
      </c>
      <c r="H1651" s="29"/>
      <c r="I1651" s="25"/>
      <c r="J1651" s="138">
        <v>0</v>
      </c>
    </row>
    <row r="1652" spans="1:10" ht="15.75" hidden="1" thickBot="1" x14ac:dyDescent="0.3">
      <c r="A1652" s="220" t="s">
        <v>519</v>
      </c>
      <c r="B1652" s="222" t="e">
        <f>INDEX(Orçamentária!A:B,MATCH(Composições!A1652,Orçamentária!A:A,0),2)</f>
        <v>#N/A</v>
      </c>
      <c r="C1652" s="35"/>
      <c r="D1652" s="20" t="s">
        <v>20</v>
      </c>
      <c r="E1652" s="21"/>
      <c r="F1652" s="36" t="s">
        <v>521</v>
      </c>
      <c r="G1652" s="22" t="str">
        <f t="shared" si="26"/>
        <v/>
      </c>
      <c r="H1652" s="23"/>
      <c r="I1652" s="24"/>
      <c r="J1652" s="138">
        <v>0</v>
      </c>
    </row>
    <row r="1653" spans="1:10" ht="15.75" hidden="1" thickBot="1" x14ac:dyDescent="0.3">
      <c r="A1653" s="221"/>
      <c r="B1653" s="223"/>
      <c r="C1653" s="26"/>
      <c r="D1653" s="26"/>
      <c r="E1653" s="27"/>
      <c r="F1653" s="37" t="s">
        <v>521</v>
      </c>
      <c r="G1653" s="25" t="str">
        <f t="shared" si="26"/>
        <v/>
      </c>
      <c r="H1653" s="29"/>
      <c r="I1653" s="25"/>
      <c r="J1653" s="138">
        <v>0</v>
      </c>
    </row>
    <row r="1654" spans="1:10" ht="15.75" hidden="1" thickBot="1" x14ac:dyDescent="0.3">
      <c r="A1654" s="221"/>
      <c r="B1654" s="223"/>
      <c r="C1654" s="30" t="s">
        <v>2271</v>
      </c>
      <c r="D1654" s="30" t="s">
        <v>20</v>
      </c>
      <c r="E1654" s="31">
        <v>1</v>
      </c>
      <c r="F1654" s="28">
        <v>11.276499999999999</v>
      </c>
      <c r="G1654" s="25">
        <f t="shared" si="26"/>
        <v>11.276499999999999</v>
      </c>
      <c r="H1654" s="33">
        <f>SUM(G1654:G1656)</f>
        <v>21.746924999999997</v>
      </c>
      <c r="I1654" s="34"/>
      <c r="J1654" s="138">
        <v>0</v>
      </c>
    </row>
    <row r="1655" spans="1:10" ht="15.75" hidden="1" thickBot="1" x14ac:dyDescent="0.3">
      <c r="A1655" s="221"/>
      <c r="B1655" s="223"/>
      <c r="C1655" s="30" t="s">
        <v>74</v>
      </c>
      <c r="D1655" s="30" t="s">
        <v>12</v>
      </c>
      <c r="E1655" s="31">
        <v>0.23499999999999999</v>
      </c>
      <c r="F1655" s="25">
        <v>19.4085</v>
      </c>
      <c r="G1655" s="28">
        <f t="shared" si="26"/>
        <v>4.5609975</v>
      </c>
      <c r="H1655" s="29"/>
      <c r="I1655" s="25"/>
      <c r="J1655" s="138">
        <v>0</v>
      </c>
    </row>
    <row r="1656" spans="1:10" ht="15.75" hidden="1" thickBot="1" x14ac:dyDescent="0.3">
      <c r="A1656" s="221"/>
      <c r="B1656" s="223"/>
      <c r="C1656" s="30" t="s">
        <v>30</v>
      </c>
      <c r="D1656" s="30" t="s">
        <v>12</v>
      </c>
      <c r="E1656" s="31">
        <v>0.23499999999999999</v>
      </c>
      <c r="F1656" s="25">
        <v>25.146499999999996</v>
      </c>
      <c r="G1656" s="28">
        <f t="shared" si="26"/>
        <v>5.9094274999999987</v>
      </c>
      <c r="H1656" s="29"/>
      <c r="I1656" s="25"/>
      <c r="J1656" s="138">
        <v>0</v>
      </c>
    </row>
    <row r="1657" spans="1:10" ht="15.75" hidden="1" thickBot="1" x14ac:dyDescent="0.3">
      <c r="A1657" s="227"/>
      <c r="B1657" s="224"/>
      <c r="C1657" s="30"/>
      <c r="D1657" s="30"/>
      <c r="E1657" s="31"/>
      <c r="F1657" s="25" t="s">
        <v>521</v>
      </c>
      <c r="G1657" s="25" t="str">
        <f t="shared" si="26"/>
        <v/>
      </c>
      <c r="H1657" s="29"/>
      <c r="I1657" s="25"/>
      <c r="J1657" s="138">
        <v>0</v>
      </c>
    </row>
    <row r="1658" spans="1:10" ht="15.75" hidden="1" thickBot="1" x14ac:dyDescent="0.3">
      <c r="A1658" s="220" t="s">
        <v>520</v>
      </c>
      <c r="B1658" s="222" t="e">
        <f>INDEX(Orçamentária!A:B,MATCH(Composições!A1658,Orçamentária!A:A,0),2)</f>
        <v>#N/A</v>
      </c>
      <c r="C1658" s="35"/>
      <c r="D1658" s="20" t="s">
        <v>20</v>
      </c>
      <c r="E1658" s="21"/>
      <c r="F1658" s="36" t="s">
        <v>521</v>
      </c>
      <c r="G1658" s="22" t="str">
        <f t="shared" si="26"/>
        <v/>
      </c>
      <c r="H1658" s="23"/>
      <c r="I1658" s="24"/>
      <c r="J1658" s="138">
        <v>0</v>
      </c>
    </row>
    <row r="1659" spans="1:10" ht="15.75" hidden="1" thickBot="1" x14ac:dyDescent="0.3">
      <c r="A1659" s="221"/>
      <c r="B1659" s="223"/>
      <c r="C1659" s="26"/>
      <c r="D1659" s="26"/>
      <c r="E1659" s="27"/>
      <c r="F1659" s="37" t="s">
        <v>521</v>
      </c>
      <c r="G1659" s="25" t="str">
        <f t="shared" si="26"/>
        <v/>
      </c>
      <c r="H1659" s="29"/>
      <c r="I1659" s="25"/>
      <c r="J1659" s="138">
        <v>0</v>
      </c>
    </row>
    <row r="1660" spans="1:10" ht="15.75" hidden="1" thickBot="1" x14ac:dyDescent="0.3">
      <c r="A1660" s="221"/>
      <c r="B1660" s="223"/>
      <c r="C1660" s="30" t="s">
        <v>74</v>
      </c>
      <c r="D1660" s="30" t="s">
        <v>12</v>
      </c>
      <c r="E1660" s="31">
        <f>0.35/2</f>
        <v>0.17499999999999999</v>
      </c>
      <c r="F1660" s="25">
        <v>19.4085</v>
      </c>
      <c r="G1660" s="28">
        <f t="shared" si="26"/>
        <v>3.3964874999999997</v>
      </c>
      <c r="H1660" s="33">
        <f>SUM(G1660:G1662)</f>
        <v>7.7971249999999994</v>
      </c>
      <c r="I1660" s="34"/>
      <c r="J1660" s="138">
        <v>0</v>
      </c>
    </row>
    <row r="1661" spans="1:10" ht="15.75" hidden="1" thickBot="1" x14ac:dyDescent="0.3">
      <c r="A1661" s="221"/>
      <c r="B1661" s="223"/>
      <c r="C1661" s="30" t="s">
        <v>30</v>
      </c>
      <c r="D1661" s="30" t="s">
        <v>12</v>
      </c>
      <c r="E1661" s="31">
        <f>0.35/2</f>
        <v>0.17499999999999999</v>
      </c>
      <c r="F1661" s="25">
        <v>25.146499999999996</v>
      </c>
      <c r="G1661" s="28">
        <f t="shared" si="26"/>
        <v>4.4006374999999993</v>
      </c>
      <c r="H1661" s="57" t="s">
        <v>521</v>
      </c>
      <c r="I1661" s="58"/>
      <c r="J1661" s="138">
        <v>0</v>
      </c>
    </row>
    <row r="1662" spans="1:10" ht="15.75" hidden="1" thickBot="1" x14ac:dyDescent="0.3">
      <c r="A1662" s="221"/>
      <c r="B1662" s="223"/>
      <c r="C1662" s="30" t="s">
        <v>522</v>
      </c>
      <c r="D1662" s="30" t="s">
        <v>20</v>
      </c>
      <c r="E1662" s="31">
        <v>1</v>
      </c>
      <c r="F1662" s="28" t="s">
        <v>521</v>
      </c>
      <c r="G1662" s="28" t="str">
        <f t="shared" si="26"/>
        <v/>
      </c>
      <c r="H1662" s="29"/>
      <c r="I1662" s="25"/>
      <c r="J1662" s="138">
        <v>0</v>
      </c>
    </row>
    <row r="1663" spans="1:10" ht="15.75" hidden="1" thickBot="1" x14ac:dyDescent="0.3">
      <c r="A1663" s="227"/>
      <c r="B1663" s="224"/>
      <c r="C1663" s="30"/>
      <c r="D1663" s="30"/>
      <c r="E1663" s="31"/>
      <c r="F1663" s="25" t="s">
        <v>521</v>
      </c>
      <c r="G1663" s="25" t="str">
        <f t="shared" si="26"/>
        <v/>
      </c>
      <c r="H1663" s="29"/>
      <c r="I1663" s="25"/>
      <c r="J1663" s="138">
        <v>0</v>
      </c>
    </row>
    <row r="1664" spans="1:10" ht="15.75" hidden="1" thickBot="1" x14ac:dyDescent="0.3">
      <c r="A1664" s="220" t="s">
        <v>523</v>
      </c>
      <c r="B1664" s="222" t="e">
        <f>INDEX(Orçamentária!A:B,MATCH(Composições!A1664,Orçamentária!A:A,0),2)</f>
        <v>#N/A</v>
      </c>
      <c r="C1664" s="35"/>
      <c r="D1664" s="20" t="s">
        <v>20</v>
      </c>
      <c r="E1664" s="21"/>
      <c r="F1664" s="36" t="s">
        <v>521</v>
      </c>
      <c r="G1664" s="22" t="str">
        <f t="shared" si="26"/>
        <v/>
      </c>
      <c r="H1664" s="23"/>
      <c r="I1664" s="24"/>
      <c r="J1664" s="138">
        <v>0</v>
      </c>
    </row>
    <row r="1665" spans="1:10" ht="15.75" hidden="1" thickBot="1" x14ac:dyDescent="0.3">
      <c r="A1665" s="221"/>
      <c r="B1665" s="223"/>
      <c r="C1665" s="26"/>
      <c r="D1665" s="26"/>
      <c r="E1665" s="27"/>
      <c r="F1665" s="37" t="s">
        <v>521</v>
      </c>
      <c r="G1665" s="25" t="str">
        <f t="shared" si="26"/>
        <v/>
      </c>
      <c r="H1665" s="29"/>
      <c r="I1665" s="25"/>
      <c r="J1665" s="138">
        <v>0</v>
      </c>
    </row>
    <row r="1666" spans="1:10" ht="15.75" hidden="1" thickBot="1" x14ac:dyDescent="0.3">
      <c r="A1666" s="221"/>
      <c r="B1666" s="223"/>
      <c r="C1666" s="30" t="s">
        <v>74</v>
      </c>
      <c r="D1666" s="30" t="s">
        <v>12</v>
      </c>
      <c r="E1666" s="31">
        <v>0.1</v>
      </c>
      <c r="F1666" s="25">
        <v>19.4085</v>
      </c>
      <c r="G1666" s="25">
        <f t="shared" si="26"/>
        <v>1.9408500000000002</v>
      </c>
      <c r="H1666" s="33">
        <f>SUM(G1666:G1667)</f>
        <v>1.9408500000000002</v>
      </c>
      <c r="I1666" s="34"/>
      <c r="J1666" s="138">
        <v>0</v>
      </c>
    </row>
    <row r="1667" spans="1:10" ht="15.75" hidden="1" thickBot="1" x14ac:dyDescent="0.3">
      <c r="A1667" s="221"/>
      <c r="B1667" s="223"/>
      <c r="C1667" s="30" t="s">
        <v>524</v>
      </c>
      <c r="D1667" s="30" t="s">
        <v>20</v>
      </c>
      <c r="E1667" s="31">
        <v>1</v>
      </c>
      <c r="F1667" s="28" t="s">
        <v>521</v>
      </c>
      <c r="G1667" s="25" t="str">
        <f t="shared" si="26"/>
        <v/>
      </c>
      <c r="H1667" s="29"/>
      <c r="I1667" s="25"/>
      <c r="J1667" s="138">
        <v>0</v>
      </c>
    </row>
    <row r="1668" spans="1:10" ht="15.75" hidden="1" thickBot="1" x14ac:dyDescent="0.3">
      <c r="A1668" s="227"/>
      <c r="B1668" s="224"/>
      <c r="C1668" s="30"/>
      <c r="D1668" s="30"/>
      <c r="E1668" s="31"/>
      <c r="F1668" s="25" t="s">
        <v>521</v>
      </c>
      <c r="G1668" s="25" t="str">
        <f t="shared" si="26"/>
        <v/>
      </c>
      <c r="H1668" s="29"/>
      <c r="I1668" s="25"/>
      <c r="J1668" s="138">
        <v>0</v>
      </c>
    </row>
    <row r="1669" spans="1:10" ht="15.75" hidden="1" thickBot="1" x14ac:dyDescent="0.3">
      <c r="A1669" s="220" t="s">
        <v>525</v>
      </c>
      <c r="B1669" s="222" t="e">
        <f>INDEX(Orçamentária!A:B,MATCH(Composições!A1669,Orçamentária!A:A,0),2)</f>
        <v>#N/A</v>
      </c>
      <c r="C1669" s="35"/>
      <c r="D1669" s="20" t="s">
        <v>20</v>
      </c>
      <c r="E1669" s="21"/>
      <c r="F1669" s="36" t="s">
        <v>521</v>
      </c>
      <c r="G1669" s="22" t="str">
        <f t="shared" si="26"/>
        <v/>
      </c>
      <c r="H1669" s="23"/>
      <c r="I1669" s="24"/>
      <c r="J1669" s="138">
        <v>0</v>
      </c>
    </row>
    <row r="1670" spans="1:10" ht="15.75" hidden="1" thickBot="1" x14ac:dyDescent="0.3">
      <c r="A1670" s="221"/>
      <c r="B1670" s="223"/>
      <c r="C1670" s="26"/>
      <c r="D1670" s="26"/>
      <c r="E1670" s="27"/>
      <c r="F1670" s="37" t="s">
        <v>521</v>
      </c>
      <c r="G1670" s="25" t="str">
        <f t="shared" si="26"/>
        <v/>
      </c>
      <c r="H1670" s="29"/>
      <c r="I1670" s="25"/>
      <c r="J1670" s="138">
        <v>0</v>
      </c>
    </row>
    <row r="1671" spans="1:10" ht="15.75" hidden="1" thickBot="1" x14ac:dyDescent="0.3">
      <c r="A1671" s="221"/>
      <c r="B1671" s="223"/>
      <c r="C1671" s="30" t="s">
        <v>74</v>
      </c>
      <c r="D1671" s="30" t="s">
        <v>12</v>
      </c>
      <c r="E1671" s="31">
        <v>0.1</v>
      </c>
      <c r="F1671" s="25">
        <v>19.4085</v>
      </c>
      <c r="G1671" s="25">
        <f t="shared" si="26"/>
        <v>1.9408500000000002</v>
      </c>
      <c r="H1671" s="33">
        <f>SUM(G1671:G1672)</f>
        <v>1.9408500000000002</v>
      </c>
      <c r="I1671" s="34"/>
      <c r="J1671" s="138">
        <v>0</v>
      </c>
    </row>
    <row r="1672" spans="1:10" ht="15.75" hidden="1" thickBot="1" x14ac:dyDescent="0.3">
      <c r="A1672" s="221"/>
      <c r="B1672" s="223"/>
      <c r="C1672" s="30" t="s">
        <v>526</v>
      </c>
      <c r="D1672" s="30" t="s">
        <v>20</v>
      </c>
      <c r="E1672" s="31">
        <v>1</v>
      </c>
      <c r="F1672" s="28" t="s">
        <v>521</v>
      </c>
      <c r="G1672" s="25" t="str">
        <f t="shared" si="26"/>
        <v/>
      </c>
      <c r="H1672" s="29"/>
      <c r="I1672" s="25"/>
      <c r="J1672" s="138">
        <v>0</v>
      </c>
    </row>
    <row r="1673" spans="1:10" ht="15.75" hidden="1" thickBot="1" x14ac:dyDescent="0.3">
      <c r="A1673" s="227"/>
      <c r="B1673" s="224"/>
      <c r="C1673" s="30"/>
      <c r="D1673" s="30"/>
      <c r="E1673" s="31"/>
      <c r="F1673" s="25" t="s">
        <v>521</v>
      </c>
      <c r="G1673" s="25" t="str">
        <f t="shared" si="26"/>
        <v/>
      </c>
      <c r="H1673" s="29"/>
      <c r="I1673" s="25"/>
      <c r="J1673" s="138">
        <v>0</v>
      </c>
    </row>
    <row r="1674" spans="1:10" ht="15.75" hidden="1" thickBot="1" x14ac:dyDescent="0.3">
      <c r="A1674" s="220" t="s">
        <v>527</v>
      </c>
      <c r="B1674" s="222" t="e">
        <f>INDEX(Orçamentária!A:B,MATCH(Composições!A1674,Orçamentária!A:A,0),2)</f>
        <v>#N/A</v>
      </c>
      <c r="C1674" s="35"/>
      <c r="D1674" s="20" t="s">
        <v>20</v>
      </c>
      <c r="E1674" s="21"/>
      <c r="F1674" s="36" t="s">
        <v>521</v>
      </c>
      <c r="G1674" s="22" t="str">
        <f t="shared" si="26"/>
        <v/>
      </c>
      <c r="H1674" s="23"/>
      <c r="I1674" s="24"/>
      <c r="J1674" s="138">
        <v>0</v>
      </c>
    </row>
    <row r="1675" spans="1:10" ht="15.75" hidden="1" thickBot="1" x14ac:dyDescent="0.3">
      <c r="A1675" s="221"/>
      <c r="B1675" s="223"/>
      <c r="C1675" s="26"/>
      <c r="D1675" s="26"/>
      <c r="E1675" s="27"/>
      <c r="F1675" s="37" t="s">
        <v>521</v>
      </c>
      <c r="G1675" s="25" t="str">
        <f t="shared" si="26"/>
        <v/>
      </c>
      <c r="H1675" s="29"/>
      <c r="I1675" s="25"/>
      <c r="J1675" s="138">
        <v>0</v>
      </c>
    </row>
    <row r="1676" spans="1:10" ht="15.75" hidden="1" thickBot="1" x14ac:dyDescent="0.3">
      <c r="A1676" s="221"/>
      <c r="B1676" s="223"/>
      <c r="C1676" s="30" t="s">
        <v>74</v>
      </c>
      <c r="D1676" s="30" t="s">
        <v>12</v>
      </c>
      <c r="E1676" s="31">
        <v>0.15</v>
      </c>
      <c r="F1676" s="25">
        <v>19.4085</v>
      </c>
      <c r="G1676" s="28">
        <f t="shared" si="26"/>
        <v>2.9112749999999998</v>
      </c>
      <c r="H1676" s="33">
        <f>SUM(G1676:G1677)</f>
        <v>2.9112749999999998</v>
      </c>
      <c r="I1676" s="34"/>
      <c r="J1676" s="138">
        <v>0</v>
      </c>
    </row>
    <row r="1677" spans="1:10" ht="26.25" hidden="1" thickBot="1" x14ac:dyDescent="0.3">
      <c r="A1677" s="221"/>
      <c r="B1677" s="223"/>
      <c r="C1677" s="30" t="s">
        <v>528</v>
      </c>
      <c r="D1677" s="30" t="s">
        <v>20</v>
      </c>
      <c r="E1677" s="31">
        <v>1</v>
      </c>
      <c r="F1677" s="28" t="s">
        <v>521</v>
      </c>
      <c r="G1677" s="25" t="str">
        <f t="shared" si="26"/>
        <v/>
      </c>
      <c r="H1677" s="29"/>
      <c r="I1677" s="25"/>
      <c r="J1677" s="138">
        <v>0</v>
      </c>
    </row>
    <row r="1678" spans="1:10" ht="15.75" hidden="1" thickBot="1" x14ac:dyDescent="0.3">
      <c r="A1678" s="221"/>
      <c r="B1678" s="223"/>
      <c r="C1678" s="30"/>
      <c r="D1678" s="30"/>
      <c r="E1678" s="31"/>
      <c r="F1678" s="28" t="s">
        <v>521</v>
      </c>
      <c r="G1678" s="25" t="str">
        <f t="shared" si="26"/>
        <v/>
      </c>
      <c r="H1678" s="29"/>
      <c r="I1678" s="25"/>
      <c r="J1678" s="138">
        <v>0</v>
      </c>
    </row>
    <row r="1679" spans="1:10" ht="15.75" hidden="1" thickBot="1" x14ac:dyDescent="0.3">
      <c r="A1679" s="220" t="s">
        <v>529</v>
      </c>
      <c r="B1679" s="222" t="e">
        <f>INDEX(Orçamentária!A:B,MATCH(Composições!A1679,Orçamentária!A:A,0),2)</f>
        <v>#N/A</v>
      </c>
      <c r="C1679" s="35"/>
      <c r="D1679" s="20" t="s">
        <v>20</v>
      </c>
      <c r="E1679" s="21"/>
      <c r="F1679" s="36" t="s">
        <v>521</v>
      </c>
      <c r="G1679" s="22" t="str">
        <f t="shared" si="26"/>
        <v/>
      </c>
      <c r="H1679" s="23"/>
      <c r="I1679" s="24"/>
      <c r="J1679" s="138">
        <v>0</v>
      </c>
    </row>
    <row r="1680" spans="1:10" ht="15.75" hidden="1" thickBot="1" x14ac:dyDescent="0.3">
      <c r="A1680" s="221"/>
      <c r="B1680" s="223"/>
      <c r="C1680" s="26"/>
      <c r="D1680" s="26"/>
      <c r="E1680" s="27"/>
      <c r="F1680" s="37" t="s">
        <v>521</v>
      </c>
      <c r="G1680" s="25" t="str">
        <f t="shared" si="26"/>
        <v/>
      </c>
      <c r="H1680" s="29"/>
      <c r="I1680" s="25"/>
      <c r="J1680" s="138">
        <v>0</v>
      </c>
    </row>
    <row r="1681" spans="1:10" ht="15.75" hidden="1" thickBot="1" x14ac:dyDescent="0.3">
      <c r="A1681" s="221"/>
      <c r="B1681" s="223"/>
      <c r="C1681" s="30" t="s">
        <v>74</v>
      </c>
      <c r="D1681" s="30" t="s">
        <v>12</v>
      </c>
      <c r="E1681" s="31">
        <v>0.15</v>
      </c>
      <c r="F1681" s="25">
        <v>19.4085</v>
      </c>
      <c r="G1681" s="28">
        <f t="shared" si="26"/>
        <v>2.9112749999999998</v>
      </c>
      <c r="H1681" s="33">
        <f>SUM(G1681:G1683)</f>
        <v>6.6832499999999992</v>
      </c>
      <c r="I1681" s="34"/>
      <c r="J1681" s="138">
        <v>0</v>
      </c>
    </row>
    <row r="1682" spans="1:10" ht="15.75" hidden="1" thickBot="1" x14ac:dyDescent="0.3">
      <c r="A1682" s="221"/>
      <c r="B1682" s="223"/>
      <c r="C1682" s="30" t="s">
        <v>30</v>
      </c>
      <c r="D1682" s="30" t="s">
        <v>12</v>
      </c>
      <c r="E1682" s="31">
        <v>0.15</v>
      </c>
      <c r="F1682" s="25">
        <v>25.146499999999996</v>
      </c>
      <c r="G1682" s="28">
        <f t="shared" ref="G1682:G1745" si="27">IF(ISNUMBER(F1682),E1682*F1682,"")</f>
        <v>3.7719749999999994</v>
      </c>
      <c r="H1682" s="56"/>
      <c r="I1682" s="1"/>
      <c r="J1682" s="138">
        <v>0</v>
      </c>
    </row>
    <row r="1683" spans="1:10" ht="26.25" hidden="1" thickBot="1" x14ac:dyDescent="0.3">
      <c r="A1683" s="221"/>
      <c r="B1683" s="223"/>
      <c r="C1683" s="30" t="s">
        <v>530</v>
      </c>
      <c r="D1683" s="30" t="s">
        <v>20</v>
      </c>
      <c r="E1683" s="31">
        <v>1</v>
      </c>
      <c r="F1683" s="28" t="s">
        <v>521</v>
      </c>
      <c r="G1683" s="25" t="str">
        <f t="shared" si="27"/>
        <v/>
      </c>
      <c r="H1683" s="29"/>
      <c r="I1683" s="25"/>
      <c r="J1683" s="138">
        <v>0</v>
      </c>
    </row>
    <row r="1684" spans="1:10" ht="15.75" hidden="1" thickBot="1" x14ac:dyDescent="0.3">
      <c r="A1684" s="227"/>
      <c r="B1684" s="224"/>
      <c r="C1684" s="30"/>
      <c r="D1684" s="30"/>
      <c r="E1684" s="31"/>
      <c r="F1684" s="25" t="s">
        <v>521</v>
      </c>
      <c r="G1684" s="25" t="str">
        <f t="shared" si="27"/>
        <v/>
      </c>
      <c r="H1684" s="29"/>
      <c r="I1684" s="25"/>
      <c r="J1684" s="138">
        <v>0</v>
      </c>
    </row>
    <row r="1685" spans="1:10" ht="15.75" hidden="1" thickBot="1" x14ac:dyDescent="0.3">
      <c r="A1685" s="220" t="s">
        <v>531</v>
      </c>
      <c r="B1685" s="222" t="e">
        <f>INDEX(Orçamentária!A:B,MATCH(Composições!A1685,Orçamentária!A:A,0),2)</f>
        <v>#N/A</v>
      </c>
      <c r="C1685" s="35"/>
      <c r="D1685" s="20" t="s">
        <v>20</v>
      </c>
      <c r="E1685" s="21"/>
      <c r="F1685" s="36" t="s">
        <v>521</v>
      </c>
      <c r="G1685" s="22" t="str">
        <f t="shared" si="27"/>
        <v/>
      </c>
      <c r="H1685" s="23"/>
      <c r="I1685" s="24"/>
      <c r="J1685" s="138">
        <v>0</v>
      </c>
    </row>
    <row r="1686" spans="1:10" ht="15.75" hidden="1" thickBot="1" x14ac:dyDescent="0.3">
      <c r="A1686" s="221"/>
      <c r="B1686" s="223"/>
      <c r="C1686" s="26"/>
      <c r="D1686" s="26"/>
      <c r="E1686" s="27"/>
      <c r="F1686" s="37" t="s">
        <v>521</v>
      </c>
      <c r="G1686" s="25" t="str">
        <f t="shared" si="27"/>
        <v/>
      </c>
      <c r="H1686" s="29"/>
      <c r="I1686" s="25"/>
      <c r="J1686" s="138">
        <v>0</v>
      </c>
    </row>
    <row r="1687" spans="1:10" ht="15.75" hidden="1" thickBot="1" x14ac:dyDescent="0.3">
      <c r="A1687" s="221"/>
      <c r="B1687" s="223"/>
      <c r="C1687" s="30" t="s">
        <v>30</v>
      </c>
      <c r="D1687" s="30" t="s">
        <v>12</v>
      </c>
      <c r="E1687" s="31">
        <v>0.308</v>
      </c>
      <c r="F1687" s="25">
        <v>25.146499999999996</v>
      </c>
      <c r="G1687" s="28">
        <f t="shared" si="27"/>
        <v>7.7451219999999985</v>
      </c>
      <c r="H1687" s="33">
        <f>SUM(G1687:G1690)</f>
        <v>13.722939999999998</v>
      </c>
      <c r="I1687" s="34"/>
      <c r="J1687" s="138">
        <v>0</v>
      </c>
    </row>
    <row r="1688" spans="1:10" ht="15.75" hidden="1" thickBot="1" x14ac:dyDescent="0.3">
      <c r="A1688" s="221"/>
      <c r="B1688" s="223"/>
      <c r="C1688" s="30" t="s">
        <v>74</v>
      </c>
      <c r="D1688" s="30" t="s">
        <v>12</v>
      </c>
      <c r="E1688" s="31">
        <v>0.308</v>
      </c>
      <c r="F1688" s="25">
        <v>19.4085</v>
      </c>
      <c r="G1688" s="28">
        <f t="shared" si="27"/>
        <v>5.9778180000000001</v>
      </c>
      <c r="H1688" s="29"/>
      <c r="I1688" s="25"/>
      <c r="J1688" s="138">
        <v>0</v>
      </c>
    </row>
    <row r="1689" spans="1:10" ht="26.25" hidden="1" thickBot="1" x14ac:dyDescent="0.3">
      <c r="A1689" s="221"/>
      <c r="B1689" s="223"/>
      <c r="C1689" s="30" t="s">
        <v>506</v>
      </c>
      <c r="D1689" s="30" t="s">
        <v>20</v>
      </c>
      <c r="E1689" s="31">
        <v>1</v>
      </c>
      <c r="F1689" s="28" t="s">
        <v>521</v>
      </c>
      <c r="G1689" s="28" t="str">
        <f t="shared" si="27"/>
        <v/>
      </c>
      <c r="H1689" s="29"/>
      <c r="I1689" s="25"/>
      <c r="J1689" s="138">
        <v>0</v>
      </c>
    </row>
    <row r="1690" spans="1:10" ht="26.25" hidden="1" thickBot="1" x14ac:dyDescent="0.3">
      <c r="A1690" s="221"/>
      <c r="B1690" s="223"/>
      <c r="C1690" s="30" t="s">
        <v>2215</v>
      </c>
      <c r="D1690" s="30" t="s">
        <v>20</v>
      </c>
      <c r="E1690" s="31">
        <v>1</v>
      </c>
      <c r="F1690" s="28" t="s">
        <v>521</v>
      </c>
      <c r="G1690" s="25" t="str">
        <f t="shared" si="27"/>
        <v/>
      </c>
      <c r="H1690" s="29"/>
      <c r="I1690" s="25"/>
      <c r="J1690" s="138">
        <v>0</v>
      </c>
    </row>
    <row r="1691" spans="1:10" ht="15.75" hidden="1" thickBot="1" x14ac:dyDescent="0.3">
      <c r="A1691" s="227"/>
      <c r="B1691" s="224"/>
      <c r="C1691" s="30"/>
      <c r="D1691" s="30"/>
      <c r="E1691" s="31"/>
      <c r="F1691" s="25" t="s">
        <v>521</v>
      </c>
      <c r="G1691" s="25" t="str">
        <f t="shared" si="27"/>
        <v/>
      </c>
      <c r="H1691" s="29"/>
      <c r="I1691" s="25"/>
      <c r="J1691" s="138">
        <v>0</v>
      </c>
    </row>
    <row r="1692" spans="1:10" ht="15.75" hidden="1" thickBot="1" x14ac:dyDescent="0.3">
      <c r="A1692" s="220" t="s">
        <v>532</v>
      </c>
      <c r="B1692" s="222" t="e">
        <f>INDEX(Orçamentária!A:B,MATCH(Composições!A1692,Orçamentária!A:A,0),2)</f>
        <v>#N/A</v>
      </c>
      <c r="C1692" s="35"/>
      <c r="D1692" s="20" t="s">
        <v>20</v>
      </c>
      <c r="E1692" s="21"/>
      <c r="F1692" s="36" t="s">
        <v>521</v>
      </c>
      <c r="G1692" s="22" t="str">
        <f t="shared" si="27"/>
        <v/>
      </c>
      <c r="H1692" s="23"/>
      <c r="I1692" s="24"/>
      <c r="J1692" s="138">
        <v>0</v>
      </c>
    </row>
    <row r="1693" spans="1:10" ht="15.75" hidden="1" thickBot="1" x14ac:dyDescent="0.3">
      <c r="A1693" s="221"/>
      <c r="B1693" s="223"/>
      <c r="C1693" s="26"/>
      <c r="D1693" s="26"/>
      <c r="E1693" s="27"/>
      <c r="F1693" s="37" t="s">
        <v>521</v>
      </c>
      <c r="G1693" s="25" t="str">
        <f t="shared" si="27"/>
        <v/>
      </c>
      <c r="H1693" s="29"/>
      <c r="I1693" s="25"/>
      <c r="J1693" s="138">
        <v>0</v>
      </c>
    </row>
    <row r="1694" spans="1:10" ht="15.75" hidden="1" thickBot="1" x14ac:dyDescent="0.3">
      <c r="A1694" s="221"/>
      <c r="B1694" s="223"/>
      <c r="C1694" s="30" t="s">
        <v>74</v>
      </c>
      <c r="D1694" s="30" t="s">
        <v>12</v>
      </c>
      <c r="E1694" s="31">
        <v>0.65</v>
      </c>
      <c r="F1694" s="25">
        <v>19.4085</v>
      </c>
      <c r="G1694" s="28">
        <f t="shared" si="27"/>
        <v>12.615525</v>
      </c>
      <c r="H1694" s="33">
        <f>SUM(G1694:G1697)</f>
        <v>28.960749999999997</v>
      </c>
      <c r="I1694" s="34"/>
      <c r="J1694" s="138">
        <v>0</v>
      </c>
    </row>
    <row r="1695" spans="1:10" ht="15.75" hidden="1" thickBot="1" x14ac:dyDescent="0.3">
      <c r="A1695" s="221"/>
      <c r="B1695" s="223"/>
      <c r="C1695" s="30" t="s">
        <v>30</v>
      </c>
      <c r="D1695" s="30" t="s">
        <v>12</v>
      </c>
      <c r="E1695" s="31">
        <v>0.65</v>
      </c>
      <c r="F1695" s="25">
        <v>25.146499999999996</v>
      </c>
      <c r="G1695" s="28">
        <f t="shared" si="27"/>
        <v>16.345224999999999</v>
      </c>
      <c r="H1695" s="29"/>
      <c r="I1695" s="25"/>
      <c r="J1695" s="138">
        <v>0</v>
      </c>
    </row>
    <row r="1696" spans="1:10" ht="15.75" hidden="1" thickBot="1" x14ac:dyDescent="0.3">
      <c r="A1696" s="221"/>
      <c r="B1696" s="223"/>
      <c r="C1696" s="30" t="s">
        <v>533</v>
      </c>
      <c r="D1696" s="30" t="s">
        <v>20</v>
      </c>
      <c r="E1696" s="31">
        <v>1</v>
      </c>
      <c r="F1696" s="25">
        <v>0</v>
      </c>
      <c r="G1696" s="25">
        <f t="shared" si="27"/>
        <v>0</v>
      </c>
      <c r="H1696" s="29"/>
      <c r="I1696" s="25"/>
      <c r="J1696" s="138">
        <v>0</v>
      </c>
    </row>
    <row r="1697" spans="1:10" ht="15.75" hidden="1" thickBot="1" x14ac:dyDescent="0.3">
      <c r="A1697" s="221"/>
      <c r="B1697" s="223"/>
      <c r="C1697" s="30" t="s">
        <v>534</v>
      </c>
      <c r="D1697" s="30" t="s">
        <v>20</v>
      </c>
      <c r="E1697" s="31">
        <v>1</v>
      </c>
      <c r="F1697" s="25">
        <v>0</v>
      </c>
      <c r="G1697" s="25">
        <f t="shared" si="27"/>
        <v>0</v>
      </c>
      <c r="H1697" s="29"/>
      <c r="I1697" s="25"/>
      <c r="J1697" s="138">
        <v>0</v>
      </c>
    </row>
    <row r="1698" spans="1:10" ht="15.75" hidden="1" thickBot="1" x14ac:dyDescent="0.3">
      <c r="A1698" s="227"/>
      <c r="B1698" s="224"/>
      <c r="C1698" s="30"/>
      <c r="D1698" s="30"/>
      <c r="E1698" s="31"/>
      <c r="F1698" s="25" t="s">
        <v>521</v>
      </c>
      <c r="G1698" s="25" t="str">
        <f t="shared" si="27"/>
        <v/>
      </c>
      <c r="H1698" s="29"/>
      <c r="I1698" s="25"/>
      <c r="J1698" s="138">
        <v>0</v>
      </c>
    </row>
    <row r="1699" spans="1:10" ht="15.75" hidden="1" thickBot="1" x14ac:dyDescent="0.3">
      <c r="A1699" s="220" t="s">
        <v>535</v>
      </c>
      <c r="B1699" s="222" t="e">
        <f>INDEX(Orçamentária!A:B,MATCH(Composições!A1699,Orçamentária!A:A,0),2)</f>
        <v>#N/A</v>
      </c>
      <c r="C1699" s="35"/>
      <c r="D1699" s="20" t="s">
        <v>20</v>
      </c>
      <c r="E1699" s="21"/>
      <c r="F1699" s="36" t="s">
        <v>521</v>
      </c>
      <c r="G1699" s="22" t="str">
        <f t="shared" si="27"/>
        <v/>
      </c>
      <c r="H1699" s="23"/>
      <c r="I1699" s="24"/>
      <c r="J1699" s="138">
        <v>0</v>
      </c>
    </row>
    <row r="1700" spans="1:10" ht="15.75" hidden="1" thickBot="1" x14ac:dyDescent="0.3">
      <c r="A1700" s="221"/>
      <c r="B1700" s="223"/>
      <c r="C1700" s="26"/>
      <c r="D1700" s="26"/>
      <c r="E1700" s="27"/>
      <c r="F1700" s="37" t="s">
        <v>521</v>
      </c>
      <c r="G1700" s="25" t="str">
        <f t="shared" si="27"/>
        <v/>
      </c>
      <c r="H1700" s="29"/>
      <c r="I1700" s="25"/>
      <c r="J1700" s="138">
        <v>0</v>
      </c>
    </row>
    <row r="1701" spans="1:10" ht="26.25" hidden="1" thickBot="1" x14ac:dyDescent="0.3">
      <c r="A1701" s="221"/>
      <c r="B1701" s="223"/>
      <c r="C1701" s="30" t="s">
        <v>536</v>
      </c>
      <c r="D1701" s="30" t="s">
        <v>144</v>
      </c>
      <c r="E1701" s="31">
        <v>1</v>
      </c>
      <c r="F1701" s="28" t="s">
        <v>521</v>
      </c>
      <c r="G1701" s="25" t="str">
        <f t="shared" si="27"/>
        <v/>
      </c>
      <c r="H1701" s="33">
        <f>SUM(G1701:G1703)</f>
        <v>5.9655525499999991</v>
      </c>
      <c r="I1701" s="34"/>
      <c r="J1701" s="138">
        <v>0</v>
      </c>
    </row>
    <row r="1702" spans="1:10" ht="15.75" hidden="1" thickBot="1" x14ac:dyDescent="0.3">
      <c r="A1702" s="221"/>
      <c r="B1702" s="223"/>
      <c r="C1702" s="30" t="s">
        <v>74</v>
      </c>
      <c r="D1702" s="41" t="s">
        <v>12</v>
      </c>
      <c r="E1702" s="31">
        <v>7.4800000000000005E-2</v>
      </c>
      <c r="F1702" s="25">
        <v>19.4085</v>
      </c>
      <c r="G1702" s="25">
        <f t="shared" si="27"/>
        <v>1.4517558000000002</v>
      </c>
      <c r="H1702" s="29"/>
      <c r="I1702" s="25"/>
      <c r="J1702" s="138">
        <v>0</v>
      </c>
    </row>
    <row r="1703" spans="1:10" ht="15.75" hidden="1" thickBot="1" x14ac:dyDescent="0.3">
      <c r="A1703" s="221"/>
      <c r="B1703" s="223"/>
      <c r="C1703" s="30" t="s">
        <v>30</v>
      </c>
      <c r="D1703" s="30" t="s">
        <v>12</v>
      </c>
      <c r="E1703" s="31">
        <v>0.17949999999999999</v>
      </c>
      <c r="F1703" s="25">
        <v>25.146499999999996</v>
      </c>
      <c r="G1703" s="25">
        <f t="shared" si="27"/>
        <v>4.5137967499999991</v>
      </c>
      <c r="H1703" s="29"/>
      <c r="I1703" s="25"/>
      <c r="J1703" s="138">
        <v>0</v>
      </c>
    </row>
    <row r="1704" spans="1:10" ht="15.75" hidden="1" thickBot="1" x14ac:dyDescent="0.3">
      <c r="A1704" s="227"/>
      <c r="B1704" s="224"/>
      <c r="C1704" s="30"/>
      <c r="D1704" s="30"/>
      <c r="E1704" s="31"/>
      <c r="F1704" s="25" t="s">
        <v>521</v>
      </c>
      <c r="G1704" s="25" t="str">
        <f t="shared" si="27"/>
        <v/>
      </c>
      <c r="H1704" s="29"/>
      <c r="I1704" s="25"/>
      <c r="J1704" s="138">
        <v>0</v>
      </c>
    </row>
    <row r="1705" spans="1:10" ht="15.75" hidden="1" thickBot="1" x14ac:dyDescent="0.3">
      <c r="A1705" s="220" t="s">
        <v>537</v>
      </c>
      <c r="B1705" s="222" t="e">
        <f>INDEX(Orçamentária!A:B,MATCH(Composições!A1705,Orçamentária!A:A,0),2)</f>
        <v>#N/A</v>
      </c>
      <c r="C1705" s="35"/>
      <c r="D1705" s="20" t="s">
        <v>20</v>
      </c>
      <c r="E1705" s="21"/>
      <c r="F1705" s="36" t="s">
        <v>521</v>
      </c>
      <c r="G1705" s="22" t="str">
        <f t="shared" si="27"/>
        <v/>
      </c>
      <c r="H1705" s="23"/>
      <c r="I1705" s="24"/>
      <c r="J1705" s="138">
        <v>0</v>
      </c>
    </row>
    <row r="1706" spans="1:10" ht="15.75" hidden="1" thickBot="1" x14ac:dyDescent="0.3">
      <c r="A1706" s="221"/>
      <c r="B1706" s="223"/>
      <c r="C1706" s="26"/>
      <c r="D1706" s="26"/>
      <c r="E1706" s="27"/>
      <c r="F1706" s="37" t="s">
        <v>521</v>
      </c>
      <c r="G1706" s="25" t="str">
        <f t="shared" si="27"/>
        <v/>
      </c>
      <c r="H1706" s="29"/>
      <c r="I1706" s="25"/>
      <c r="J1706" s="138">
        <v>0</v>
      </c>
    </row>
    <row r="1707" spans="1:10" ht="15.75" hidden="1" thickBot="1" x14ac:dyDescent="0.3">
      <c r="A1707" s="221"/>
      <c r="B1707" s="223"/>
      <c r="C1707" s="30" t="s">
        <v>74</v>
      </c>
      <c r="D1707" s="41" t="s">
        <v>12</v>
      </c>
      <c r="E1707" s="31">
        <v>0.14799999999999999</v>
      </c>
      <c r="F1707" s="25">
        <v>19.4085</v>
      </c>
      <c r="G1707" s="25">
        <f t="shared" si="27"/>
        <v>2.872458</v>
      </c>
      <c r="H1707" s="33">
        <f>SUM(G1707:G1711)</f>
        <v>11.801980149999999</v>
      </c>
      <c r="I1707" s="34"/>
      <c r="J1707" s="138">
        <v>0</v>
      </c>
    </row>
    <row r="1708" spans="1:10" ht="15.75" hidden="1" thickBot="1" x14ac:dyDescent="0.3">
      <c r="A1708" s="221"/>
      <c r="B1708" s="223"/>
      <c r="C1708" s="30" t="s">
        <v>30</v>
      </c>
      <c r="D1708" s="30" t="s">
        <v>12</v>
      </c>
      <c r="E1708" s="31">
        <v>0.35510000000000003</v>
      </c>
      <c r="F1708" s="25">
        <v>25.146499999999996</v>
      </c>
      <c r="G1708" s="25">
        <f t="shared" si="27"/>
        <v>8.9295221499999986</v>
      </c>
      <c r="H1708" s="39"/>
      <c r="I1708" s="40"/>
      <c r="J1708" s="138">
        <v>0</v>
      </c>
    </row>
    <row r="1709" spans="1:10" ht="26.25" hidden="1" thickBot="1" x14ac:dyDescent="0.3">
      <c r="A1709" s="221"/>
      <c r="B1709" s="223"/>
      <c r="C1709" s="30" t="s">
        <v>538</v>
      </c>
      <c r="D1709" s="30" t="s">
        <v>93</v>
      </c>
      <c r="E1709" s="31">
        <v>1.5</v>
      </c>
      <c r="F1709" s="28" t="s">
        <v>521</v>
      </c>
      <c r="G1709" s="25" t="str">
        <f t="shared" si="27"/>
        <v/>
      </c>
      <c r="H1709" s="29"/>
      <c r="I1709" s="25"/>
      <c r="J1709" s="138">
        <v>0</v>
      </c>
    </row>
    <row r="1710" spans="1:10" ht="15.75" hidden="1" thickBot="1" x14ac:dyDescent="0.3">
      <c r="A1710" s="221"/>
      <c r="B1710" s="223"/>
      <c r="C1710" s="30" t="s">
        <v>539</v>
      </c>
      <c r="D1710" s="30" t="s">
        <v>144</v>
      </c>
      <c r="E1710" s="31">
        <v>1</v>
      </c>
      <c r="F1710" s="28" t="s">
        <v>521</v>
      </c>
      <c r="G1710" s="25" t="str">
        <f t="shared" si="27"/>
        <v/>
      </c>
      <c r="H1710" s="29"/>
      <c r="I1710" s="25"/>
      <c r="J1710" s="138">
        <v>0</v>
      </c>
    </row>
    <row r="1711" spans="1:10" ht="15.75" hidden="1" thickBot="1" x14ac:dyDescent="0.3">
      <c r="A1711" s="221"/>
      <c r="B1711" s="223"/>
      <c r="C1711" s="30" t="s">
        <v>540</v>
      </c>
      <c r="D1711" s="30" t="s">
        <v>144</v>
      </c>
      <c r="E1711" s="31">
        <v>1</v>
      </c>
      <c r="F1711" s="28" t="s">
        <v>521</v>
      </c>
      <c r="G1711" s="25" t="str">
        <f t="shared" si="27"/>
        <v/>
      </c>
      <c r="H1711" s="29"/>
      <c r="I1711" s="25"/>
      <c r="J1711" s="138">
        <v>0</v>
      </c>
    </row>
    <row r="1712" spans="1:10" ht="15.75" hidden="1" thickBot="1" x14ac:dyDescent="0.3">
      <c r="A1712" s="227"/>
      <c r="B1712" s="224"/>
      <c r="C1712" s="30"/>
      <c r="D1712" s="30"/>
      <c r="E1712" s="31"/>
      <c r="F1712" s="25" t="s">
        <v>521</v>
      </c>
      <c r="G1712" s="25" t="str">
        <f t="shared" si="27"/>
        <v/>
      </c>
      <c r="H1712" s="29"/>
      <c r="I1712" s="25"/>
      <c r="J1712" s="138">
        <v>0</v>
      </c>
    </row>
    <row r="1713" spans="1:10" ht="15.75" hidden="1" thickBot="1" x14ac:dyDescent="0.3">
      <c r="A1713" s="220" t="s">
        <v>541</v>
      </c>
      <c r="B1713" s="222" t="e">
        <f>INDEX(Orçamentária!A:B,MATCH(Composições!A1713,Orçamentária!A:A,0),2)</f>
        <v>#N/A</v>
      </c>
      <c r="C1713" s="35"/>
      <c r="D1713" s="20" t="s">
        <v>20</v>
      </c>
      <c r="E1713" s="21"/>
      <c r="F1713" s="36" t="s">
        <v>521</v>
      </c>
      <c r="G1713" s="22" t="str">
        <f t="shared" si="27"/>
        <v/>
      </c>
      <c r="H1713" s="23"/>
      <c r="I1713" s="24"/>
      <c r="J1713" s="138">
        <v>0</v>
      </c>
    </row>
    <row r="1714" spans="1:10" ht="15.75" hidden="1" thickBot="1" x14ac:dyDescent="0.3">
      <c r="A1714" s="221"/>
      <c r="B1714" s="223"/>
      <c r="C1714" s="26"/>
      <c r="D1714" s="26"/>
      <c r="E1714" s="27"/>
      <c r="F1714" s="37" t="s">
        <v>521</v>
      </c>
      <c r="G1714" s="25" t="str">
        <f t="shared" si="27"/>
        <v/>
      </c>
      <c r="H1714" s="29"/>
      <c r="I1714" s="25"/>
      <c r="J1714" s="138">
        <v>0</v>
      </c>
    </row>
    <row r="1715" spans="1:10" ht="26.25" hidden="1" thickBot="1" x14ac:dyDescent="0.3">
      <c r="A1715" s="221"/>
      <c r="B1715" s="223"/>
      <c r="C1715" s="30" t="s">
        <v>542</v>
      </c>
      <c r="D1715" s="30" t="s">
        <v>144</v>
      </c>
      <c r="E1715" s="31">
        <v>1</v>
      </c>
      <c r="F1715" s="28" t="s">
        <v>521</v>
      </c>
      <c r="G1715" s="28" t="str">
        <f t="shared" si="27"/>
        <v/>
      </c>
      <c r="H1715" s="33">
        <f>SUM(G1715:G1722)</f>
        <v>11.801980149999999</v>
      </c>
      <c r="I1715" s="34"/>
      <c r="J1715" s="138">
        <v>0</v>
      </c>
    </row>
    <row r="1716" spans="1:10" ht="26.25" hidden="1" thickBot="1" x14ac:dyDescent="0.3">
      <c r="A1716" s="221"/>
      <c r="B1716" s="223"/>
      <c r="C1716" s="30" t="s">
        <v>2214</v>
      </c>
      <c r="D1716" s="30" t="s">
        <v>144</v>
      </c>
      <c r="E1716" s="31">
        <v>1</v>
      </c>
      <c r="F1716" s="28" t="s">
        <v>521</v>
      </c>
      <c r="G1716" s="28" t="str">
        <f t="shared" si="27"/>
        <v/>
      </c>
      <c r="H1716" s="39"/>
      <c r="I1716" s="40"/>
      <c r="J1716" s="138">
        <v>0</v>
      </c>
    </row>
    <row r="1717" spans="1:10" ht="26.25" hidden="1" thickBot="1" x14ac:dyDescent="0.3">
      <c r="A1717" s="221"/>
      <c r="B1717" s="223"/>
      <c r="C1717" s="30" t="s">
        <v>543</v>
      </c>
      <c r="D1717" s="30" t="s">
        <v>144</v>
      </c>
      <c r="E1717" s="31">
        <v>2</v>
      </c>
      <c r="F1717" s="28" t="s">
        <v>521</v>
      </c>
      <c r="G1717" s="28" t="str">
        <f t="shared" si="27"/>
        <v/>
      </c>
      <c r="H1717" s="39"/>
      <c r="I1717" s="40"/>
      <c r="J1717" s="138">
        <v>0</v>
      </c>
    </row>
    <row r="1718" spans="1:10" ht="26.25" hidden="1" thickBot="1" x14ac:dyDescent="0.3">
      <c r="A1718" s="221"/>
      <c r="B1718" s="223"/>
      <c r="C1718" s="30" t="s">
        <v>538</v>
      </c>
      <c r="D1718" s="30" t="s">
        <v>93</v>
      </c>
      <c r="E1718" s="31">
        <v>1.5</v>
      </c>
      <c r="F1718" s="28" t="s">
        <v>521</v>
      </c>
      <c r="G1718" s="25" t="str">
        <f t="shared" si="27"/>
        <v/>
      </c>
      <c r="H1718" s="29"/>
      <c r="I1718" s="25"/>
      <c r="J1718" s="138">
        <v>0</v>
      </c>
    </row>
    <row r="1719" spans="1:10" ht="15.75" hidden="1" thickBot="1" x14ac:dyDescent="0.3">
      <c r="A1719" s="221"/>
      <c r="B1719" s="223"/>
      <c r="C1719" s="30" t="s">
        <v>539</v>
      </c>
      <c r="D1719" s="30" t="s">
        <v>144</v>
      </c>
      <c r="E1719" s="31">
        <v>1</v>
      </c>
      <c r="F1719" s="28" t="s">
        <v>521</v>
      </c>
      <c r="G1719" s="25" t="str">
        <f t="shared" si="27"/>
        <v/>
      </c>
      <c r="H1719" s="29"/>
      <c r="I1719" s="25"/>
      <c r="J1719" s="138">
        <v>0</v>
      </c>
    </row>
    <row r="1720" spans="1:10" ht="15.75" hidden="1" thickBot="1" x14ac:dyDescent="0.3">
      <c r="A1720" s="221"/>
      <c r="B1720" s="223"/>
      <c r="C1720" s="30" t="s">
        <v>540</v>
      </c>
      <c r="D1720" s="30" t="s">
        <v>144</v>
      </c>
      <c r="E1720" s="31">
        <v>1</v>
      </c>
      <c r="F1720" s="28" t="s">
        <v>521</v>
      </c>
      <c r="G1720" s="25" t="str">
        <f t="shared" si="27"/>
        <v/>
      </c>
      <c r="H1720" s="29"/>
      <c r="I1720" s="25"/>
      <c r="J1720" s="138">
        <v>0</v>
      </c>
    </row>
    <row r="1721" spans="1:10" ht="15.75" hidden="1" thickBot="1" x14ac:dyDescent="0.3">
      <c r="A1721" s="221"/>
      <c r="B1721" s="223"/>
      <c r="C1721" s="30" t="s">
        <v>74</v>
      </c>
      <c r="D1721" s="30" t="s">
        <v>12</v>
      </c>
      <c r="E1721" s="31">
        <v>0.14799999999999999</v>
      </c>
      <c r="F1721" s="25">
        <v>19.4085</v>
      </c>
      <c r="G1721" s="28">
        <f t="shared" si="27"/>
        <v>2.872458</v>
      </c>
      <c r="H1721" s="29"/>
      <c r="I1721" s="25"/>
      <c r="J1721" s="138">
        <v>0</v>
      </c>
    </row>
    <row r="1722" spans="1:10" ht="15.75" hidden="1" thickBot="1" x14ac:dyDescent="0.3">
      <c r="A1722" s="221"/>
      <c r="B1722" s="223"/>
      <c r="C1722" s="30" t="s">
        <v>30</v>
      </c>
      <c r="D1722" s="30" t="s">
        <v>12</v>
      </c>
      <c r="E1722" s="31">
        <v>0.35510000000000003</v>
      </c>
      <c r="F1722" s="25">
        <v>25.146499999999996</v>
      </c>
      <c r="G1722" s="25">
        <f t="shared" si="27"/>
        <v>8.9295221499999986</v>
      </c>
      <c r="H1722" s="29"/>
      <c r="I1722" s="25"/>
      <c r="J1722" s="138">
        <v>0</v>
      </c>
    </row>
    <row r="1723" spans="1:10" ht="15.75" hidden="1" thickBot="1" x14ac:dyDescent="0.3">
      <c r="A1723" s="227"/>
      <c r="B1723" s="224"/>
      <c r="C1723" s="30"/>
      <c r="D1723" s="30"/>
      <c r="E1723" s="31"/>
      <c r="F1723" s="25" t="s">
        <v>521</v>
      </c>
      <c r="G1723" s="25" t="str">
        <f t="shared" si="27"/>
        <v/>
      </c>
      <c r="H1723" s="29"/>
      <c r="I1723" s="25"/>
      <c r="J1723" s="138">
        <v>0</v>
      </c>
    </row>
    <row r="1724" spans="1:10" ht="15.75" hidden="1" thickBot="1" x14ac:dyDescent="0.3">
      <c r="A1724" s="220" t="s">
        <v>544</v>
      </c>
      <c r="B1724" s="222" t="e">
        <f>INDEX(Orçamentária!A:B,MATCH(Composições!A1724,Orçamentária!A:A,0),2)</f>
        <v>#N/A</v>
      </c>
      <c r="C1724" s="35"/>
      <c r="D1724" s="20" t="s">
        <v>20</v>
      </c>
      <c r="E1724" s="21"/>
      <c r="F1724" s="36" t="s">
        <v>521</v>
      </c>
      <c r="G1724" s="22" t="str">
        <f t="shared" si="27"/>
        <v/>
      </c>
      <c r="H1724" s="23"/>
      <c r="I1724" s="24"/>
      <c r="J1724" s="138">
        <v>0</v>
      </c>
    </row>
    <row r="1725" spans="1:10" ht="15.75" hidden="1" thickBot="1" x14ac:dyDescent="0.3">
      <c r="A1725" s="221"/>
      <c r="B1725" s="223"/>
      <c r="C1725" s="26"/>
      <c r="D1725" s="26"/>
      <c r="E1725" s="27"/>
      <c r="F1725" s="37" t="s">
        <v>521</v>
      </c>
      <c r="G1725" s="25" t="str">
        <f t="shared" si="27"/>
        <v/>
      </c>
      <c r="H1725" s="29"/>
      <c r="I1725" s="25"/>
      <c r="J1725" s="138">
        <v>0</v>
      </c>
    </row>
    <row r="1726" spans="1:10" ht="26.25" hidden="1" thickBot="1" x14ac:dyDescent="0.3">
      <c r="A1726" s="221"/>
      <c r="B1726" s="223"/>
      <c r="C1726" s="30" t="s">
        <v>545</v>
      </c>
      <c r="D1726" s="30" t="s">
        <v>144</v>
      </c>
      <c r="E1726" s="31">
        <v>1</v>
      </c>
      <c r="F1726" s="28" t="s">
        <v>521</v>
      </c>
      <c r="G1726" s="28" t="str">
        <f t="shared" si="27"/>
        <v/>
      </c>
      <c r="H1726" s="33">
        <f>SUM(G1726:G1733)</f>
        <v>13.772557549999998</v>
      </c>
      <c r="I1726" s="34"/>
      <c r="J1726" s="138">
        <v>0</v>
      </c>
    </row>
    <row r="1727" spans="1:10" ht="26.25" hidden="1" thickBot="1" x14ac:dyDescent="0.3">
      <c r="A1727" s="221"/>
      <c r="B1727" s="223"/>
      <c r="C1727" s="30" t="s">
        <v>2214</v>
      </c>
      <c r="D1727" s="30" t="s">
        <v>144</v>
      </c>
      <c r="E1727" s="31">
        <v>1</v>
      </c>
      <c r="F1727" s="28" t="s">
        <v>521</v>
      </c>
      <c r="G1727" s="28" t="str">
        <f t="shared" si="27"/>
        <v/>
      </c>
      <c r="H1727" s="39"/>
      <c r="I1727" s="40"/>
      <c r="J1727" s="138">
        <v>0</v>
      </c>
    </row>
    <row r="1728" spans="1:10" ht="26.25" hidden="1" thickBot="1" x14ac:dyDescent="0.3">
      <c r="A1728" s="221"/>
      <c r="B1728" s="223"/>
      <c r="C1728" s="30" t="s">
        <v>543</v>
      </c>
      <c r="D1728" s="30" t="s">
        <v>144</v>
      </c>
      <c r="E1728" s="31">
        <v>2</v>
      </c>
      <c r="F1728" s="28" t="s">
        <v>521</v>
      </c>
      <c r="G1728" s="28" t="str">
        <f t="shared" si="27"/>
        <v/>
      </c>
      <c r="H1728" s="39"/>
      <c r="I1728" s="40"/>
      <c r="J1728" s="138">
        <v>0</v>
      </c>
    </row>
    <row r="1729" spans="1:10" ht="26.25" hidden="1" thickBot="1" x14ac:dyDescent="0.3">
      <c r="A1729" s="221"/>
      <c r="B1729" s="223"/>
      <c r="C1729" s="30" t="s">
        <v>538</v>
      </c>
      <c r="D1729" s="30" t="s">
        <v>93</v>
      </c>
      <c r="E1729" s="31">
        <v>1.5</v>
      </c>
      <c r="F1729" s="28" t="s">
        <v>521</v>
      </c>
      <c r="G1729" s="25" t="str">
        <f t="shared" si="27"/>
        <v/>
      </c>
      <c r="H1729" s="29"/>
      <c r="I1729" s="25"/>
      <c r="J1729" s="138">
        <v>0</v>
      </c>
    </row>
    <row r="1730" spans="1:10" ht="15.75" hidden="1" thickBot="1" x14ac:dyDescent="0.3">
      <c r="A1730" s="221"/>
      <c r="B1730" s="223"/>
      <c r="C1730" s="30" t="s">
        <v>539</v>
      </c>
      <c r="D1730" s="30" t="s">
        <v>144</v>
      </c>
      <c r="E1730" s="31">
        <v>1</v>
      </c>
      <c r="F1730" s="28" t="s">
        <v>521</v>
      </c>
      <c r="G1730" s="25" t="str">
        <f t="shared" si="27"/>
        <v/>
      </c>
      <c r="H1730" s="29"/>
      <c r="I1730" s="25"/>
      <c r="J1730" s="138">
        <v>0</v>
      </c>
    </row>
    <row r="1731" spans="1:10" ht="15.75" hidden="1" thickBot="1" x14ac:dyDescent="0.3">
      <c r="A1731" s="221"/>
      <c r="B1731" s="223"/>
      <c r="C1731" s="30" t="s">
        <v>540</v>
      </c>
      <c r="D1731" s="30" t="s">
        <v>144</v>
      </c>
      <c r="E1731" s="31">
        <v>1</v>
      </c>
      <c r="F1731" s="28" t="s">
        <v>521</v>
      </c>
      <c r="G1731" s="25" t="str">
        <f t="shared" si="27"/>
        <v/>
      </c>
      <c r="H1731" s="29"/>
      <c r="I1731" s="25"/>
      <c r="J1731" s="138">
        <v>0</v>
      </c>
    </row>
    <row r="1732" spans="1:10" ht="15.75" hidden="1" thickBot="1" x14ac:dyDescent="0.3">
      <c r="A1732" s="221"/>
      <c r="B1732" s="223"/>
      <c r="C1732" s="30" t="s">
        <v>74</v>
      </c>
      <c r="D1732" s="41" t="s">
        <v>12</v>
      </c>
      <c r="E1732" s="31">
        <v>0.17269999999999999</v>
      </c>
      <c r="F1732" s="25">
        <v>19.4085</v>
      </c>
      <c r="G1732" s="25">
        <f t="shared" si="27"/>
        <v>3.3518479499999998</v>
      </c>
      <c r="H1732" s="29"/>
      <c r="I1732" s="25"/>
      <c r="J1732" s="138">
        <v>0</v>
      </c>
    </row>
    <row r="1733" spans="1:10" ht="15.75" hidden="1" thickBot="1" x14ac:dyDescent="0.3">
      <c r="A1733" s="221"/>
      <c r="B1733" s="223"/>
      <c r="C1733" s="30" t="s">
        <v>30</v>
      </c>
      <c r="D1733" s="30" t="s">
        <v>12</v>
      </c>
      <c r="E1733" s="31">
        <v>0.41439999999999999</v>
      </c>
      <c r="F1733" s="25">
        <v>25.146499999999996</v>
      </c>
      <c r="G1733" s="25">
        <f t="shared" si="27"/>
        <v>10.420709599999999</v>
      </c>
      <c r="H1733" s="29"/>
      <c r="I1733" s="25"/>
      <c r="J1733" s="138">
        <v>0</v>
      </c>
    </row>
    <row r="1734" spans="1:10" ht="15.75" hidden="1" thickBot="1" x14ac:dyDescent="0.3">
      <c r="A1734" s="227"/>
      <c r="B1734" s="224"/>
      <c r="C1734" s="30"/>
      <c r="D1734" s="30"/>
      <c r="E1734" s="31"/>
      <c r="F1734" s="25" t="s">
        <v>521</v>
      </c>
      <c r="G1734" s="25" t="str">
        <f t="shared" si="27"/>
        <v/>
      </c>
      <c r="H1734" s="29"/>
      <c r="I1734" s="25"/>
      <c r="J1734" s="138">
        <v>0</v>
      </c>
    </row>
    <row r="1735" spans="1:10" ht="15.75" hidden="1" thickBot="1" x14ac:dyDescent="0.3">
      <c r="A1735" s="220" t="s">
        <v>546</v>
      </c>
      <c r="B1735" s="222" t="e">
        <f>INDEX(Orçamentária!A:B,MATCH(Composições!A1735,Orçamentária!A:A,0),2)</f>
        <v>#N/A</v>
      </c>
      <c r="C1735" s="35"/>
      <c r="D1735" s="20" t="s">
        <v>20</v>
      </c>
      <c r="E1735" s="21"/>
      <c r="F1735" s="36" t="s">
        <v>521</v>
      </c>
      <c r="G1735" s="22" t="str">
        <f t="shared" si="27"/>
        <v/>
      </c>
      <c r="H1735" s="23"/>
      <c r="I1735" s="24"/>
      <c r="J1735" s="138">
        <v>0</v>
      </c>
    </row>
    <row r="1736" spans="1:10" ht="15.75" hidden="1" thickBot="1" x14ac:dyDescent="0.3">
      <c r="A1736" s="221"/>
      <c r="B1736" s="223"/>
      <c r="C1736" s="26"/>
      <c r="D1736" s="26"/>
      <c r="E1736" s="27"/>
      <c r="F1736" s="37" t="s">
        <v>521</v>
      </c>
      <c r="G1736" s="25" t="str">
        <f t="shared" si="27"/>
        <v/>
      </c>
      <c r="H1736" s="29"/>
      <c r="I1736" s="25"/>
      <c r="J1736" s="138">
        <v>0</v>
      </c>
    </row>
    <row r="1737" spans="1:10" ht="26.25" hidden="1" thickBot="1" x14ac:dyDescent="0.3">
      <c r="A1737" s="221"/>
      <c r="B1737" s="223"/>
      <c r="C1737" s="30" t="s">
        <v>547</v>
      </c>
      <c r="D1737" s="30" t="s">
        <v>144</v>
      </c>
      <c r="E1737" s="31">
        <v>1</v>
      </c>
      <c r="F1737" s="28" t="s">
        <v>521</v>
      </c>
      <c r="G1737" s="25" t="str">
        <f t="shared" si="27"/>
        <v/>
      </c>
      <c r="H1737" s="33">
        <f>SUM(G1737:G1744)</f>
        <v>11.801980149999999</v>
      </c>
      <c r="I1737" s="34"/>
      <c r="J1737" s="138">
        <v>0</v>
      </c>
    </row>
    <row r="1738" spans="1:10" ht="26.25" hidden="1" thickBot="1" x14ac:dyDescent="0.3">
      <c r="A1738" s="221"/>
      <c r="B1738" s="223"/>
      <c r="C1738" s="30" t="s">
        <v>2213</v>
      </c>
      <c r="D1738" s="30" t="s">
        <v>144</v>
      </c>
      <c r="E1738" s="31">
        <v>1</v>
      </c>
      <c r="F1738" s="28" t="s">
        <v>521</v>
      </c>
      <c r="G1738" s="25" t="str">
        <f t="shared" si="27"/>
        <v/>
      </c>
      <c r="H1738" s="39"/>
      <c r="I1738" s="40"/>
      <c r="J1738" s="138">
        <v>0</v>
      </c>
    </row>
    <row r="1739" spans="1:10" ht="26.25" hidden="1" thickBot="1" x14ac:dyDescent="0.3">
      <c r="A1739" s="221"/>
      <c r="B1739" s="223"/>
      <c r="C1739" s="30" t="s">
        <v>548</v>
      </c>
      <c r="D1739" s="30" t="s">
        <v>144</v>
      </c>
      <c r="E1739" s="31">
        <v>2</v>
      </c>
      <c r="F1739" s="28" t="s">
        <v>521</v>
      </c>
      <c r="G1739" s="25" t="str">
        <f t="shared" si="27"/>
        <v/>
      </c>
      <c r="H1739" s="39"/>
      <c r="I1739" s="40"/>
      <c r="J1739" s="138">
        <v>0</v>
      </c>
    </row>
    <row r="1740" spans="1:10" ht="26.25" hidden="1" thickBot="1" x14ac:dyDescent="0.3">
      <c r="A1740" s="221"/>
      <c r="B1740" s="223"/>
      <c r="C1740" s="30" t="s">
        <v>538</v>
      </c>
      <c r="D1740" s="30" t="s">
        <v>93</v>
      </c>
      <c r="E1740" s="31">
        <v>1.5</v>
      </c>
      <c r="F1740" s="28" t="s">
        <v>521</v>
      </c>
      <c r="G1740" s="25" t="str">
        <f t="shared" si="27"/>
        <v/>
      </c>
      <c r="H1740" s="29"/>
      <c r="I1740" s="25"/>
      <c r="J1740" s="138">
        <v>0</v>
      </c>
    </row>
    <row r="1741" spans="1:10" ht="15.75" hidden="1" thickBot="1" x14ac:dyDescent="0.3">
      <c r="A1741" s="221"/>
      <c r="B1741" s="223"/>
      <c r="C1741" s="30" t="s">
        <v>539</v>
      </c>
      <c r="D1741" s="30" t="s">
        <v>144</v>
      </c>
      <c r="E1741" s="31">
        <v>1</v>
      </c>
      <c r="F1741" s="28" t="s">
        <v>521</v>
      </c>
      <c r="G1741" s="25" t="str">
        <f t="shared" si="27"/>
        <v/>
      </c>
      <c r="H1741" s="29"/>
      <c r="I1741" s="25"/>
      <c r="J1741" s="138">
        <v>0</v>
      </c>
    </row>
    <row r="1742" spans="1:10" ht="15.75" hidden="1" thickBot="1" x14ac:dyDescent="0.3">
      <c r="A1742" s="221"/>
      <c r="B1742" s="223"/>
      <c r="C1742" s="30" t="s">
        <v>540</v>
      </c>
      <c r="D1742" s="30" t="s">
        <v>144</v>
      </c>
      <c r="E1742" s="31">
        <v>1</v>
      </c>
      <c r="F1742" s="28" t="s">
        <v>521</v>
      </c>
      <c r="G1742" s="25" t="str">
        <f t="shared" si="27"/>
        <v/>
      </c>
      <c r="H1742" s="29"/>
      <c r="I1742" s="25"/>
      <c r="J1742" s="138">
        <v>0</v>
      </c>
    </row>
    <row r="1743" spans="1:10" ht="15.75" hidden="1" thickBot="1" x14ac:dyDescent="0.3">
      <c r="A1743" s="221"/>
      <c r="B1743" s="223"/>
      <c r="C1743" s="30" t="s">
        <v>74</v>
      </c>
      <c r="D1743" s="30" t="s">
        <v>12</v>
      </c>
      <c r="E1743" s="31">
        <v>0.14799999999999999</v>
      </c>
      <c r="F1743" s="25">
        <v>19.4085</v>
      </c>
      <c r="G1743" s="28">
        <f t="shared" si="27"/>
        <v>2.872458</v>
      </c>
      <c r="H1743" s="29"/>
      <c r="I1743" s="25"/>
      <c r="J1743" s="138">
        <v>0</v>
      </c>
    </row>
    <row r="1744" spans="1:10" ht="15.75" hidden="1" thickBot="1" x14ac:dyDescent="0.3">
      <c r="A1744" s="221"/>
      <c r="B1744" s="223"/>
      <c r="C1744" s="30" t="s">
        <v>30</v>
      </c>
      <c r="D1744" s="30" t="s">
        <v>12</v>
      </c>
      <c r="E1744" s="31">
        <v>0.35510000000000003</v>
      </c>
      <c r="F1744" s="25">
        <v>25.146499999999996</v>
      </c>
      <c r="G1744" s="25">
        <f t="shared" si="27"/>
        <v>8.9295221499999986</v>
      </c>
      <c r="H1744" s="29"/>
      <c r="I1744" s="25"/>
      <c r="J1744" s="138">
        <v>0</v>
      </c>
    </row>
    <row r="1745" spans="1:10" ht="15.75" hidden="1" thickBot="1" x14ac:dyDescent="0.3">
      <c r="A1745" s="227"/>
      <c r="B1745" s="224"/>
      <c r="C1745" s="30"/>
      <c r="D1745" s="30"/>
      <c r="E1745" s="31"/>
      <c r="F1745" s="25" t="s">
        <v>521</v>
      </c>
      <c r="G1745" s="25" t="str">
        <f t="shared" si="27"/>
        <v/>
      </c>
      <c r="H1745" s="29"/>
      <c r="I1745" s="25"/>
      <c r="J1745" s="138">
        <v>0</v>
      </c>
    </row>
    <row r="1746" spans="1:10" ht="15.75" hidden="1" thickBot="1" x14ac:dyDescent="0.3">
      <c r="A1746" s="220" t="s">
        <v>549</v>
      </c>
      <c r="B1746" s="222" t="e">
        <f>INDEX(Orçamentária!A:B,MATCH(Composições!A1746,Orçamentária!A:A,0),2)</f>
        <v>#N/A</v>
      </c>
      <c r="C1746" s="35"/>
      <c r="D1746" s="20" t="s">
        <v>20</v>
      </c>
      <c r="E1746" s="21"/>
      <c r="F1746" s="36" t="s">
        <v>521</v>
      </c>
      <c r="G1746" s="22" t="str">
        <f t="shared" ref="G1746:G1809" si="28">IF(ISNUMBER(F1746),E1746*F1746,"")</f>
        <v/>
      </c>
      <c r="H1746" s="23"/>
      <c r="I1746" s="24"/>
      <c r="J1746" s="138">
        <v>0</v>
      </c>
    </row>
    <row r="1747" spans="1:10" ht="15.75" hidden="1" thickBot="1" x14ac:dyDescent="0.3">
      <c r="A1747" s="221"/>
      <c r="B1747" s="223"/>
      <c r="C1747" s="26"/>
      <c r="D1747" s="26"/>
      <c r="E1747" s="27"/>
      <c r="F1747" s="37" t="s">
        <v>521</v>
      </c>
      <c r="G1747" s="25" t="str">
        <f t="shared" si="28"/>
        <v/>
      </c>
      <c r="H1747" s="29"/>
      <c r="I1747" s="25"/>
      <c r="J1747" s="138">
        <v>0</v>
      </c>
    </row>
    <row r="1748" spans="1:10" ht="26.25" hidden="1" thickBot="1" x14ac:dyDescent="0.3">
      <c r="A1748" s="221"/>
      <c r="B1748" s="223"/>
      <c r="C1748" s="30" t="s">
        <v>550</v>
      </c>
      <c r="D1748" s="30" t="s">
        <v>144</v>
      </c>
      <c r="E1748" s="31">
        <v>1</v>
      </c>
      <c r="F1748" s="28" t="s">
        <v>521</v>
      </c>
      <c r="G1748" s="25" t="str">
        <f t="shared" si="28"/>
        <v/>
      </c>
      <c r="H1748" s="33">
        <f>SUM(G1748:G1755)</f>
        <v>13.772557549999998</v>
      </c>
      <c r="I1748" s="34"/>
      <c r="J1748" s="138">
        <v>0</v>
      </c>
    </row>
    <row r="1749" spans="1:10" ht="26.25" hidden="1" thickBot="1" x14ac:dyDescent="0.3">
      <c r="A1749" s="221"/>
      <c r="B1749" s="223"/>
      <c r="C1749" s="30" t="s">
        <v>2213</v>
      </c>
      <c r="D1749" s="30" t="s">
        <v>144</v>
      </c>
      <c r="E1749" s="31">
        <v>1</v>
      </c>
      <c r="F1749" s="28" t="s">
        <v>521</v>
      </c>
      <c r="G1749" s="25" t="str">
        <f t="shared" si="28"/>
        <v/>
      </c>
      <c r="H1749" s="39"/>
      <c r="I1749" s="40"/>
      <c r="J1749" s="138">
        <v>0</v>
      </c>
    </row>
    <row r="1750" spans="1:10" ht="26.25" hidden="1" thickBot="1" x14ac:dyDescent="0.3">
      <c r="A1750" s="221"/>
      <c r="B1750" s="223"/>
      <c r="C1750" s="30" t="s">
        <v>548</v>
      </c>
      <c r="D1750" s="30" t="s">
        <v>144</v>
      </c>
      <c r="E1750" s="31">
        <v>2</v>
      </c>
      <c r="F1750" s="28" t="s">
        <v>521</v>
      </c>
      <c r="G1750" s="25" t="str">
        <f t="shared" si="28"/>
        <v/>
      </c>
      <c r="H1750" s="39"/>
      <c r="I1750" s="40"/>
      <c r="J1750" s="138">
        <v>0</v>
      </c>
    </row>
    <row r="1751" spans="1:10" ht="26.25" hidden="1" thickBot="1" x14ac:dyDescent="0.3">
      <c r="A1751" s="221"/>
      <c r="B1751" s="223"/>
      <c r="C1751" s="30" t="s">
        <v>538</v>
      </c>
      <c r="D1751" s="30" t="s">
        <v>93</v>
      </c>
      <c r="E1751" s="31">
        <v>1.5</v>
      </c>
      <c r="F1751" s="28" t="s">
        <v>521</v>
      </c>
      <c r="G1751" s="25" t="str">
        <f t="shared" si="28"/>
        <v/>
      </c>
      <c r="H1751" s="29"/>
      <c r="I1751" s="25"/>
      <c r="J1751" s="138">
        <v>0</v>
      </c>
    </row>
    <row r="1752" spans="1:10" ht="15.75" hidden="1" thickBot="1" x14ac:dyDescent="0.3">
      <c r="A1752" s="221"/>
      <c r="B1752" s="223"/>
      <c r="C1752" s="30" t="s">
        <v>539</v>
      </c>
      <c r="D1752" s="30" t="s">
        <v>144</v>
      </c>
      <c r="E1752" s="31">
        <v>1</v>
      </c>
      <c r="F1752" s="28" t="s">
        <v>521</v>
      </c>
      <c r="G1752" s="25" t="str">
        <f t="shared" si="28"/>
        <v/>
      </c>
      <c r="H1752" s="29"/>
      <c r="I1752" s="25"/>
      <c r="J1752" s="138">
        <v>0</v>
      </c>
    </row>
    <row r="1753" spans="1:10" ht="15.75" hidden="1" thickBot="1" x14ac:dyDescent="0.3">
      <c r="A1753" s="221"/>
      <c r="B1753" s="223"/>
      <c r="C1753" s="30" t="s">
        <v>540</v>
      </c>
      <c r="D1753" s="30" t="s">
        <v>144</v>
      </c>
      <c r="E1753" s="31">
        <v>1</v>
      </c>
      <c r="F1753" s="28" t="s">
        <v>521</v>
      </c>
      <c r="G1753" s="25" t="str">
        <f t="shared" si="28"/>
        <v/>
      </c>
      <c r="H1753" s="29"/>
      <c r="I1753" s="25"/>
      <c r="J1753" s="138">
        <v>0</v>
      </c>
    </row>
    <row r="1754" spans="1:10" ht="15.75" hidden="1" thickBot="1" x14ac:dyDescent="0.3">
      <c r="A1754" s="221"/>
      <c r="B1754" s="223"/>
      <c r="C1754" s="30" t="s">
        <v>74</v>
      </c>
      <c r="D1754" s="30" t="s">
        <v>12</v>
      </c>
      <c r="E1754" s="31">
        <v>0.17269999999999999</v>
      </c>
      <c r="F1754" s="25">
        <v>19.4085</v>
      </c>
      <c r="G1754" s="25">
        <f t="shared" si="28"/>
        <v>3.3518479499999998</v>
      </c>
      <c r="H1754" s="29"/>
      <c r="I1754" s="25"/>
      <c r="J1754" s="138">
        <v>0</v>
      </c>
    </row>
    <row r="1755" spans="1:10" ht="15.75" hidden="1" thickBot="1" x14ac:dyDescent="0.3">
      <c r="A1755" s="221"/>
      <c r="B1755" s="223"/>
      <c r="C1755" s="30" t="s">
        <v>30</v>
      </c>
      <c r="D1755" s="30" t="s">
        <v>12</v>
      </c>
      <c r="E1755" s="31">
        <v>0.41439999999999999</v>
      </c>
      <c r="F1755" s="25">
        <v>25.146499999999996</v>
      </c>
      <c r="G1755" s="25">
        <f t="shared" si="28"/>
        <v>10.420709599999999</v>
      </c>
      <c r="H1755" s="29"/>
      <c r="I1755" s="25"/>
      <c r="J1755" s="138">
        <v>0</v>
      </c>
    </row>
    <row r="1756" spans="1:10" ht="15.75" hidden="1" thickBot="1" x14ac:dyDescent="0.3">
      <c r="A1756" s="227"/>
      <c r="B1756" s="224"/>
      <c r="C1756" s="30"/>
      <c r="D1756" s="30"/>
      <c r="E1756" s="31"/>
      <c r="F1756" s="25" t="s">
        <v>521</v>
      </c>
      <c r="G1756" s="25" t="str">
        <f t="shared" si="28"/>
        <v/>
      </c>
      <c r="H1756" s="29"/>
      <c r="I1756" s="25"/>
      <c r="J1756" s="138">
        <v>0</v>
      </c>
    </row>
    <row r="1757" spans="1:10" ht="15.75" thickBot="1" x14ac:dyDescent="0.3">
      <c r="A1757" s="220" t="s">
        <v>551</v>
      </c>
      <c r="B1757" s="222" t="str">
        <f>INDEX(Orçamentária!A:B,MATCH(Composições!A1757,Orçamentária!A:A,0),2)</f>
        <v>Condutor 10mm² - fornecimento e instalação</v>
      </c>
      <c r="C1757" s="35"/>
      <c r="D1757" s="20" t="s">
        <v>93</v>
      </c>
      <c r="E1757" s="21"/>
      <c r="F1757" s="36" t="s">
        <v>521</v>
      </c>
      <c r="G1757" s="22" t="str">
        <f t="shared" si="28"/>
        <v/>
      </c>
      <c r="H1757" s="23"/>
      <c r="I1757" s="24"/>
      <c r="J1757" s="138">
        <v>1300</v>
      </c>
    </row>
    <row r="1758" spans="1:10" x14ac:dyDescent="0.25">
      <c r="A1758" s="221"/>
      <c r="B1758" s="223"/>
      <c r="C1758" s="26"/>
      <c r="D1758" s="26"/>
      <c r="E1758" s="27"/>
      <c r="F1758" s="37" t="s">
        <v>521</v>
      </c>
      <c r="G1758" s="25" t="str">
        <f t="shared" si="28"/>
        <v/>
      </c>
      <c r="H1758" s="29"/>
      <c r="I1758" s="25"/>
      <c r="J1758" s="138">
        <v>1300</v>
      </c>
    </row>
    <row r="1759" spans="1:10" x14ac:dyDescent="0.25">
      <c r="A1759" s="221"/>
      <c r="B1759" s="223"/>
      <c r="C1759" s="30" t="s">
        <v>74</v>
      </c>
      <c r="D1759" s="30" t="s">
        <v>12</v>
      </c>
      <c r="E1759" s="31">
        <v>8.9999999999999993E-3</v>
      </c>
      <c r="F1759" s="25">
        <v>19.4085</v>
      </c>
      <c r="G1759" s="28">
        <f t="shared" si="28"/>
        <v>0.17467649999999998</v>
      </c>
      <c r="H1759" s="33">
        <f>SUM(G1759:G1762)</f>
        <v>16.803875499999993</v>
      </c>
      <c r="I1759" s="34"/>
      <c r="J1759" s="138">
        <v>1300</v>
      </c>
    </row>
    <row r="1760" spans="1:10" x14ac:dyDescent="0.25">
      <c r="A1760" s="221"/>
      <c r="B1760" s="223"/>
      <c r="C1760" s="30" t="s">
        <v>30</v>
      </c>
      <c r="D1760" s="30" t="s">
        <v>12</v>
      </c>
      <c r="E1760" s="31">
        <v>8.9999999999999993E-3</v>
      </c>
      <c r="F1760" s="25">
        <v>25.146499999999996</v>
      </c>
      <c r="G1760" s="28">
        <f t="shared" si="28"/>
        <v>0.22631849999999995</v>
      </c>
      <c r="H1760" s="29"/>
      <c r="I1760" s="25"/>
      <c r="J1760" s="138">
        <v>1300</v>
      </c>
    </row>
    <row r="1761" spans="1:10" x14ac:dyDescent="0.25">
      <c r="A1761" s="221"/>
      <c r="B1761" s="223"/>
      <c r="C1761" s="30" t="s">
        <v>552</v>
      </c>
      <c r="D1761" s="30" t="s">
        <v>93</v>
      </c>
      <c r="E1761" s="31">
        <v>1.0269999999999999</v>
      </c>
      <c r="F1761" s="28">
        <v>15.931499999999998</v>
      </c>
      <c r="G1761" s="28">
        <f t="shared" si="28"/>
        <v>16.361650499999996</v>
      </c>
      <c r="H1761" s="29"/>
      <c r="I1761" s="25"/>
      <c r="J1761" s="138">
        <v>1300</v>
      </c>
    </row>
    <row r="1762" spans="1:10" x14ac:dyDescent="0.25">
      <c r="A1762" s="221"/>
      <c r="B1762" s="223"/>
      <c r="C1762" s="30" t="s">
        <v>553</v>
      </c>
      <c r="D1762" s="30" t="s">
        <v>20</v>
      </c>
      <c r="E1762" s="31">
        <v>0.01</v>
      </c>
      <c r="F1762" s="28">
        <v>4.1229999999999993</v>
      </c>
      <c r="G1762" s="28">
        <f t="shared" si="28"/>
        <v>4.1229999999999996E-2</v>
      </c>
      <c r="H1762" s="29"/>
      <c r="I1762" s="25"/>
      <c r="J1762" s="138">
        <v>1300</v>
      </c>
    </row>
    <row r="1763" spans="1:10" ht="15.75" thickBot="1" x14ac:dyDescent="0.3">
      <c r="A1763" s="227"/>
      <c r="B1763" s="224"/>
      <c r="C1763" s="30"/>
      <c r="D1763" s="30"/>
      <c r="E1763" s="31"/>
      <c r="F1763" s="25" t="s">
        <v>521</v>
      </c>
      <c r="G1763" s="25" t="str">
        <f t="shared" si="28"/>
        <v/>
      </c>
      <c r="H1763" s="29"/>
      <c r="I1763" s="25"/>
      <c r="J1763" s="138">
        <v>1300</v>
      </c>
    </row>
    <row r="1764" spans="1:10" ht="15.75" thickBot="1" x14ac:dyDescent="0.3">
      <c r="A1764" s="220" t="s">
        <v>554</v>
      </c>
      <c r="B1764" s="222" t="str">
        <f>INDEX(Orçamentária!A:B,MATCH(Composições!A1764,Orçamentária!A:A,0),2)</f>
        <v>Condutor 16 mm² - fornecimento e instalação</v>
      </c>
      <c r="C1764" s="35"/>
      <c r="D1764" s="20" t="s">
        <v>93</v>
      </c>
      <c r="E1764" s="21"/>
      <c r="F1764" s="36" t="s">
        <v>521</v>
      </c>
      <c r="G1764" s="22" t="str">
        <f t="shared" si="28"/>
        <v/>
      </c>
      <c r="H1764" s="23"/>
      <c r="I1764" s="24"/>
      <c r="J1764" s="138">
        <v>30</v>
      </c>
    </row>
    <row r="1765" spans="1:10" x14ac:dyDescent="0.25">
      <c r="A1765" s="221"/>
      <c r="B1765" s="223"/>
      <c r="C1765" s="26"/>
      <c r="D1765" s="26"/>
      <c r="E1765" s="27"/>
      <c r="F1765" s="37" t="s">
        <v>521</v>
      </c>
      <c r="G1765" s="25" t="str">
        <f t="shared" si="28"/>
        <v/>
      </c>
      <c r="H1765" s="29"/>
      <c r="I1765" s="25"/>
      <c r="J1765" s="138">
        <v>30</v>
      </c>
    </row>
    <row r="1766" spans="1:10" x14ac:dyDescent="0.25">
      <c r="A1766" s="221"/>
      <c r="B1766" s="223"/>
      <c r="C1766" s="30" t="s">
        <v>74</v>
      </c>
      <c r="D1766" s="30" t="s">
        <v>12</v>
      </c>
      <c r="E1766" s="31">
        <v>1.2999999999999999E-2</v>
      </c>
      <c r="F1766" s="25">
        <v>19.4085</v>
      </c>
      <c r="G1766" s="28">
        <f t="shared" si="28"/>
        <v>0.25231049999999999</v>
      </c>
      <c r="H1766" s="33">
        <f>SUM(G1766:G1769)</f>
        <v>24.943399499999998</v>
      </c>
      <c r="I1766" s="34"/>
      <c r="J1766" s="138">
        <v>30</v>
      </c>
    </row>
    <row r="1767" spans="1:10" x14ac:dyDescent="0.25">
      <c r="A1767" s="221"/>
      <c r="B1767" s="223"/>
      <c r="C1767" s="30" t="s">
        <v>30</v>
      </c>
      <c r="D1767" s="30" t="s">
        <v>12</v>
      </c>
      <c r="E1767" s="31">
        <v>1.2999999999999999E-2</v>
      </c>
      <c r="F1767" s="25">
        <v>25.146499999999996</v>
      </c>
      <c r="G1767" s="28">
        <f t="shared" si="28"/>
        <v>0.32690449999999993</v>
      </c>
      <c r="H1767" s="29"/>
      <c r="I1767" s="25"/>
      <c r="J1767" s="138">
        <v>30</v>
      </c>
    </row>
    <row r="1768" spans="1:10" x14ac:dyDescent="0.25">
      <c r="A1768" s="221"/>
      <c r="B1768" s="223"/>
      <c r="C1768" s="30" t="s">
        <v>555</v>
      </c>
      <c r="D1768" s="30" t="s">
        <v>93</v>
      </c>
      <c r="E1768" s="31">
        <v>1.0269999999999999</v>
      </c>
      <c r="F1768" s="28">
        <v>23.683499999999999</v>
      </c>
      <c r="G1768" s="28">
        <f t="shared" si="28"/>
        <v>24.322954499999998</v>
      </c>
      <c r="H1768" s="29"/>
      <c r="I1768" s="25"/>
      <c r="J1768" s="138">
        <v>30</v>
      </c>
    </row>
    <row r="1769" spans="1:10" x14ac:dyDescent="0.25">
      <c r="A1769" s="221"/>
      <c r="B1769" s="223"/>
      <c r="C1769" s="30" t="s">
        <v>553</v>
      </c>
      <c r="D1769" s="30" t="s">
        <v>20</v>
      </c>
      <c r="E1769" s="31">
        <v>0.01</v>
      </c>
      <c r="F1769" s="28">
        <v>4.1229999999999993</v>
      </c>
      <c r="G1769" s="28">
        <f t="shared" si="28"/>
        <v>4.1229999999999996E-2</v>
      </c>
      <c r="H1769" s="29"/>
      <c r="I1769" s="25"/>
      <c r="J1769" s="138">
        <v>30</v>
      </c>
    </row>
    <row r="1770" spans="1:10" ht="15.75" thickBot="1" x14ac:dyDescent="0.3">
      <c r="A1770" s="227"/>
      <c r="B1770" s="224"/>
      <c r="C1770" s="30"/>
      <c r="D1770" s="30"/>
      <c r="E1770" s="31"/>
      <c r="F1770" s="25" t="s">
        <v>521</v>
      </c>
      <c r="G1770" s="25" t="str">
        <f t="shared" si="28"/>
        <v/>
      </c>
      <c r="H1770" s="29"/>
      <c r="I1770" s="25"/>
      <c r="J1770" s="138">
        <v>30</v>
      </c>
    </row>
    <row r="1771" spans="1:10" ht="15.75" hidden="1" thickBot="1" x14ac:dyDescent="0.3">
      <c r="A1771" s="220" t="s">
        <v>556</v>
      </c>
      <c r="B1771" s="222" t="e">
        <f>INDEX(Orçamentária!A:B,MATCH(Composições!A1771,Orçamentária!A:A,0),2)</f>
        <v>#N/A</v>
      </c>
      <c r="C1771" s="35"/>
      <c r="D1771" s="20" t="s">
        <v>93</v>
      </c>
      <c r="E1771" s="21"/>
      <c r="F1771" s="36" t="s">
        <v>521</v>
      </c>
      <c r="G1771" s="22" t="str">
        <f t="shared" si="28"/>
        <v/>
      </c>
      <c r="H1771" s="23"/>
      <c r="I1771" s="24"/>
      <c r="J1771" s="138">
        <v>0</v>
      </c>
    </row>
    <row r="1772" spans="1:10" ht="15.75" hidden="1" thickBot="1" x14ac:dyDescent="0.3">
      <c r="A1772" s="221"/>
      <c r="B1772" s="223"/>
      <c r="C1772" s="26"/>
      <c r="D1772" s="26"/>
      <c r="E1772" s="27"/>
      <c r="F1772" s="37" t="s">
        <v>521</v>
      </c>
      <c r="G1772" s="25" t="str">
        <f t="shared" si="28"/>
        <v/>
      </c>
      <c r="H1772" s="29"/>
      <c r="I1772" s="25"/>
      <c r="J1772" s="138">
        <v>0</v>
      </c>
    </row>
    <row r="1773" spans="1:10" ht="15.75" hidden="1" thickBot="1" x14ac:dyDescent="0.3">
      <c r="A1773" s="221"/>
      <c r="B1773" s="223"/>
      <c r="C1773" s="30" t="s">
        <v>74</v>
      </c>
      <c r="D1773" s="30" t="s">
        <v>12</v>
      </c>
      <c r="E1773" s="31">
        <v>0.03</v>
      </c>
      <c r="F1773" s="25">
        <v>19.4085</v>
      </c>
      <c r="G1773" s="28">
        <f t="shared" si="28"/>
        <v>0.58225499999999997</v>
      </c>
      <c r="H1773" s="33">
        <f>SUM(G1773:G1776)</f>
        <v>1.3737569999999997</v>
      </c>
      <c r="I1773" s="34"/>
      <c r="J1773" s="138">
        <v>0</v>
      </c>
    </row>
    <row r="1774" spans="1:10" ht="15.75" hidden="1" thickBot="1" x14ac:dyDescent="0.3">
      <c r="A1774" s="221"/>
      <c r="B1774" s="223"/>
      <c r="C1774" s="30" t="s">
        <v>30</v>
      </c>
      <c r="D1774" s="30" t="s">
        <v>12</v>
      </c>
      <c r="E1774" s="31">
        <v>0.03</v>
      </c>
      <c r="F1774" s="25">
        <v>25.146499999999996</v>
      </c>
      <c r="G1774" s="28">
        <f t="shared" si="28"/>
        <v>0.75439499999999982</v>
      </c>
      <c r="H1774" s="29"/>
      <c r="I1774" s="25"/>
      <c r="J1774" s="138">
        <v>0</v>
      </c>
    </row>
    <row r="1775" spans="1:10" ht="26.25" hidden="1" thickBot="1" x14ac:dyDescent="0.3">
      <c r="A1775" s="221"/>
      <c r="B1775" s="223"/>
      <c r="C1775" s="30" t="s">
        <v>557</v>
      </c>
      <c r="D1775" s="30" t="s">
        <v>93</v>
      </c>
      <c r="E1775" s="31">
        <v>1.19</v>
      </c>
      <c r="F1775" s="28" t="s">
        <v>521</v>
      </c>
      <c r="G1775" s="28" t="str">
        <f t="shared" si="28"/>
        <v/>
      </c>
      <c r="H1775" s="29"/>
      <c r="I1775" s="25"/>
      <c r="J1775" s="138">
        <v>0</v>
      </c>
    </row>
    <row r="1776" spans="1:10" ht="15.75" hidden="1" thickBot="1" x14ac:dyDescent="0.3">
      <c r="A1776" s="221"/>
      <c r="B1776" s="223"/>
      <c r="C1776" s="30" t="s">
        <v>553</v>
      </c>
      <c r="D1776" s="30" t="s">
        <v>20</v>
      </c>
      <c r="E1776" s="31">
        <v>8.9999999999999993E-3</v>
      </c>
      <c r="F1776" s="28">
        <v>4.1229999999999993</v>
      </c>
      <c r="G1776" s="28">
        <f t="shared" si="28"/>
        <v>3.7106999999999994E-2</v>
      </c>
      <c r="H1776" s="29"/>
      <c r="I1776" s="25"/>
      <c r="J1776" s="138">
        <v>0</v>
      </c>
    </row>
    <row r="1777" spans="1:10" ht="15.75" hidden="1" thickBot="1" x14ac:dyDescent="0.3">
      <c r="A1777" s="227"/>
      <c r="B1777" s="224"/>
      <c r="C1777" s="30"/>
      <c r="D1777" s="30"/>
      <c r="E1777" s="31"/>
      <c r="F1777" s="25" t="s">
        <v>521</v>
      </c>
      <c r="G1777" s="25" t="str">
        <f t="shared" si="28"/>
        <v/>
      </c>
      <c r="H1777" s="29"/>
      <c r="I1777" s="25"/>
      <c r="J1777" s="138">
        <v>0</v>
      </c>
    </row>
    <row r="1778" spans="1:10" ht="15.75" hidden="1" thickBot="1" x14ac:dyDescent="0.3">
      <c r="A1778" s="220" t="s">
        <v>558</v>
      </c>
      <c r="B1778" s="222" t="e">
        <f>INDEX(Orçamentária!A:B,MATCH(Composições!A1778,Orçamentária!A:A,0),2)</f>
        <v>#N/A</v>
      </c>
      <c r="C1778" s="35"/>
      <c r="D1778" s="20" t="s">
        <v>93</v>
      </c>
      <c r="E1778" s="21"/>
      <c r="F1778" s="36" t="s">
        <v>521</v>
      </c>
      <c r="G1778" s="22" t="str">
        <f t="shared" si="28"/>
        <v/>
      </c>
      <c r="H1778" s="23"/>
      <c r="I1778" s="24"/>
      <c r="J1778" s="138">
        <v>0</v>
      </c>
    </row>
    <row r="1779" spans="1:10" ht="15.75" hidden="1" thickBot="1" x14ac:dyDescent="0.3">
      <c r="A1779" s="221"/>
      <c r="B1779" s="223"/>
      <c r="C1779" s="26"/>
      <c r="D1779" s="26"/>
      <c r="E1779" s="27"/>
      <c r="F1779" s="37" t="s">
        <v>521</v>
      </c>
      <c r="G1779" s="25" t="str">
        <f t="shared" si="28"/>
        <v/>
      </c>
      <c r="H1779" s="29"/>
      <c r="I1779" s="25"/>
      <c r="J1779" s="138">
        <v>0</v>
      </c>
    </row>
    <row r="1780" spans="1:10" ht="15.75" hidden="1" thickBot="1" x14ac:dyDescent="0.3">
      <c r="A1780" s="221"/>
      <c r="B1780" s="223"/>
      <c r="C1780" s="30" t="s">
        <v>74</v>
      </c>
      <c r="D1780" s="30" t="s">
        <v>12</v>
      </c>
      <c r="E1780" s="31">
        <v>5.1999999999999998E-2</v>
      </c>
      <c r="F1780" s="25">
        <v>19.4085</v>
      </c>
      <c r="G1780" s="28">
        <f t="shared" si="28"/>
        <v>1.009242</v>
      </c>
      <c r="H1780" s="33">
        <f>SUM(G1780:G1783)</f>
        <v>2.3539669999999995</v>
      </c>
      <c r="I1780" s="34"/>
      <c r="J1780" s="138">
        <v>0</v>
      </c>
    </row>
    <row r="1781" spans="1:10" ht="15.75" hidden="1" thickBot="1" x14ac:dyDescent="0.3">
      <c r="A1781" s="221"/>
      <c r="B1781" s="223"/>
      <c r="C1781" s="30" t="s">
        <v>30</v>
      </c>
      <c r="D1781" s="30" t="s">
        <v>12</v>
      </c>
      <c r="E1781" s="31">
        <v>5.1999999999999998E-2</v>
      </c>
      <c r="F1781" s="25">
        <v>25.146499999999996</v>
      </c>
      <c r="G1781" s="28">
        <f t="shared" si="28"/>
        <v>1.3076179999999997</v>
      </c>
      <c r="H1781" s="29"/>
      <c r="I1781" s="25"/>
      <c r="J1781" s="138">
        <v>0</v>
      </c>
    </row>
    <row r="1782" spans="1:10" ht="26.25" hidden="1" thickBot="1" x14ac:dyDescent="0.3">
      <c r="A1782" s="221"/>
      <c r="B1782" s="223"/>
      <c r="C1782" s="30" t="s">
        <v>559</v>
      </c>
      <c r="D1782" s="30" t="s">
        <v>93</v>
      </c>
      <c r="E1782" s="31">
        <v>1.19</v>
      </c>
      <c r="F1782" s="28" t="s">
        <v>521</v>
      </c>
      <c r="G1782" s="28" t="str">
        <f t="shared" si="28"/>
        <v/>
      </c>
      <c r="H1782" s="29"/>
      <c r="I1782" s="25"/>
      <c r="J1782" s="138">
        <v>0</v>
      </c>
    </row>
    <row r="1783" spans="1:10" ht="15.75" hidden="1" thickBot="1" x14ac:dyDescent="0.3">
      <c r="A1783" s="221"/>
      <c r="B1783" s="223"/>
      <c r="C1783" s="30" t="s">
        <v>553</v>
      </c>
      <c r="D1783" s="30" t="s">
        <v>20</v>
      </c>
      <c r="E1783" s="31">
        <v>8.9999999999999993E-3</v>
      </c>
      <c r="F1783" s="28">
        <v>4.1229999999999993</v>
      </c>
      <c r="G1783" s="28">
        <f t="shared" si="28"/>
        <v>3.7106999999999994E-2</v>
      </c>
      <c r="H1783" s="29"/>
      <c r="I1783" s="25"/>
      <c r="J1783" s="138">
        <v>0</v>
      </c>
    </row>
    <row r="1784" spans="1:10" ht="15.75" hidden="1" thickBot="1" x14ac:dyDescent="0.3">
      <c r="A1784" s="227"/>
      <c r="B1784" s="224"/>
      <c r="C1784" s="30"/>
      <c r="D1784" s="30"/>
      <c r="E1784" s="31"/>
      <c r="F1784" s="25" t="s">
        <v>521</v>
      </c>
      <c r="G1784" s="25" t="str">
        <f t="shared" si="28"/>
        <v/>
      </c>
      <c r="H1784" s="29"/>
      <c r="I1784" s="25"/>
      <c r="J1784" s="138">
        <v>0</v>
      </c>
    </row>
    <row r="1785" spans="1:10" ht="15.75" hidden="1" thickBot="1" x14ac:dyDescent="0.3">
      <c r="A1785" s="220" t="s">
        <v>560</v>
      </c>
      <c r="B1785" s="222" t="e">
        <f>INDEX(Orçamentária!A:B,MATCH(Composições!A1785,Orçamentária!A:A,0),2)</f>
        <v>#N/A</v>
      </c>
      <c r="C1785" s="35"/>
      <c r="D1785" s="20" t="s">
        <v>93</v>
      </c>
      <c r="E1785" s="21"/>
      <c r="F1785" s="36" t="s">
        <v>521</v>
      </c>
      <c r="G1785" s="22" t="str">
        <f t="shared" si="28"/>
        <v/>
      </c>
      <c r="H1785" s="23"/>
      <c r="I1785" s="24"/>
      <c r="J1785" s="138">
        <v>0</v>
      </c>
    </row>
    <row r="1786" spans="1:10" ht="15.75" hidden="1" thickBot="1" x14ac:dyDescent="0.3">
      <c r="A1786" s="221"/>
      <c r="B1786" s="223"/>
      <c r="C1786" s="26"/>
      <c r="D1786" s="26"/>
      <c r="E1786" s="27"/>
      <c r="F1786" s="37" t="s">
        <v>521</v>
      </c>
      <c r="G1786" s="25" t="str">
        <f t="shared" si="28"/>
        <v/>
      </c>
      <c r="H1786" s="29"/>
      <c r="I1786" s="25"/>
      <c r="J1786" s="138">
        <v>0</v>
      </c>
    </row>
    <row r="1787" spans="1:10" ht="15.75" hidden="1" thickBot="1" x14ac:dyDescent="0.3">
      <c r="A1787" s="221"/>
      <c r="B1787" s="223"/>
      <c r="C1787" s="30" t="s">
        <v>74</v>
      </c>
      <c r="D1787" s="30" t="s">
        <v>12</v>
      </c>
      <c r="E1787" s="31">
        <v>0.04</v>
      </c>
      <c r="F1787" s="25">
        <v>19.4085</v>
      </c>
      <c r="G1787" s="28">
        <f t="shared" si="28"/>
        <v>0.77634000000000003</v>
      </c>
      <c r="H1787" s="33">
        <f>SUM(G1787:G1790)</f>
        <v>1.8193069999999998</v>
      </c>
      <c r="I1787" s="34"/>
      <c r="J1787" s="138">
        <v>0</v>
      </c>
    </row>
    <row r="1788" spans="1:10" ht="15.75" hidden="1" thickBot="1" x14ac:dyDescent="0.3">
      <c r="A1788" s="221"/>
      <c r="B1788" s="223"/>
      <c r="C1788" s="30" t="s">
        <v>30</v>
      </c>
      <c r="D1788" s="30" t="s">
        <v>12</v>
      </c>
      <c r="E1788" s="31">
        <v>0.04</v>
      </c>
      <c r="F1788" s="25">
        <v>25.146499999999996</v>
      </c>
      <c r="G1788" s="28">
        <f t="shared" si="28"/>
        <v>1.0058599999999998</v>
      </c>
      <c r="H1788" s="29"/>
      <c r="I1788" s="25"/>
      <c r="J1788" s="138">
        <v>0</v>
      </c>
    </row>
    <row r="1789" spans="1:10" ht="26.25" hidden="1" thickBot="1" x14ac:dyDescent="0.3">
      <c r="A1789" s="221"/>
      <c r="B1789" s="223"/>
      <c r="C1789" s="30" t="s">
        <v>561</v>
      </c>
      <c r="D1789" s="30" t="s">
        <v>93</v>
      </c>
      <c r="E1789" s="31">
        <v>1.19</v>
      </c>
      <c r="F1789" s="28" t="s">
        <v>521</v>
      </c>
      <c r="G1789" s="28" t="str">
        <f t="shared" si="28"/>
        <v/>
      </c>
      <c r="H1789" s="29"/>
      <c r="I1789" s="25"/>
      <c r="J1789" s="138">
        <v>0</v>
      </c>
    </row>
    <row r="1790" spans="1:10" ht="15.75" hidden="1" thickBot="1" x14ac:dyDescent="0.3">
      <c r="A1790" s="221"/>
      <c r="B1790" s="223"/>
      <c r="C1790" s="30" t="s">
        <v>553</v>
      </c>
      <c r="D1790" s="30" t="s">
        <v>20</v>
      </c>
      <c r="E1790" s="31">
        <v>8.9999999999999993E-3</v>
      </c>
      <c r="F1790" s="28">
        <v>4.1229999999999993</v>
      </c>
      <c r="G1790" s="28">
        <f t="shared" si="28"/>
        <v>3.7106999999999994E-2</v>
      </c>
      <c r="H1790" s="29"/>
      <c r="I1790" s="25"/>
      <c r="J1790" s="138">
        <v>0</v>
      </c>
    </row>
    <row r="1791" spans="1:10" ht="15.75" hidden="1" thickBot="1" x14ac:dyDescent="0.3">
      <c r="A1791" s="227"/>
      <c r="B1791" s="224"/>
      <c r="C1791" s="30"/>
      <c r="D1791" s="30"/>
      <c r="E1791" s="31"/>
      <c r="F1791" s="25" t="s">
        <v>521</v>
      </c>
      <c r="G1791" s="25" t="str">
        <f t="shared" si="28"/>
        <v/>
      </c>
      <c r="H1791" s="29"/>
      <c r="I1791" s="25"/>
      <c r="J1791" s="138">
        <v>0</v>
      </c>
    </row>
    <row r="1792" spans="1:10" ht="15.75" hidden="1" thickBot="1" x14ac:dyDescent="0.3">
      <c r="A1792" s="220" t="s">
        <v>562</v>
      </c>
      <c r="B1792" s="222" t="e">
        <f>INDEX(Orçamentária!A:B,MATCH(Composições!A1792,Orçamentária!A:A,0),2)</f>
        <v>#N/A</v>
      </c>
      <c r="C1792" s="35"/>
      <c r="D1792" s="20" t="s">
        <v>93</v>
      </c>
      <c r="E1792" s="21"/>
      <c r="F1792" s="36" t="s">
        <v>521</v>
      </c>
      <c r="G1792" s="22" t="str">
        <f t="shared" si="28"/>
        <v/>
      </c>
      <c r="H1792" s="23"/>
      <c r="I1792" s="24"/>
      <c r="J1792" s="138">
        <v>0</v>
      </c>
    </row>
    <row r="1793" spans="1:10" ht="15.75" hidden="1" thickBot="1" x14ac:dyDescent="0.3">
      <c r="A1793" s="221"/>
      <c r="B1793" s="223"/>
      <c r="C1793" s="26"/>
      <c r="D1793" s="26"/>
      <c r="E1793" s="27"/>
      <c r="F1793" s="37" t="s">
        <v>521</v>
      </c>
      <c r="G1793" s="25" t="str">
        <f t="shared" si="28"/>
        <v/>
      </c>
      <c r="H1793" s="29"/>
      <c r="I1793" s="25"/>
      <c r="J1793" s="138">
        <v>0</v>
      </c>
    </row>
    <row r="1794" spans="1:10" ht="15.75" hidden="1" thickBot="1" x14ac:dyDescent="0.3">
      <c r="A1794" s="221"/>
      <c r="B1794" s="223"/>
      <c r="C1794" s="30" t="s">
        <v>74</v>
      </c>
      <c r="D1794" s="30" t="s">
        <v>12</v>
      </c>
      <c r="E1794" s="31">
        <v>8.9999999999999993E-3</v>
      </c>
      <c r="F1794" s="25">
        <v>19.4085</v>
      </c>
      <c r="G1794" s="28">
        <f t="shared" si="28"/>
        <v>0.17467649999999998</v>
      </c>
      <c r="H1794" s="33">
        <f>SUM(G1794:G1797)</f>
        <v>0.44222499999999992</v>
      </c>
      <c r="I1794" s="34"/>
      <c r="J1794" s="138">
        <v>0</v>
      </c>
    </row>
    <row r="1795" spans="1:10" ht="15.75" hidden="1" thickBot="1" x14ac:dyDescent="0.3">
      <c r="A1795" s="221"/>
      <c r="B1795" s="223"/>
      <c r="C1795" s="30" t="s">
        <v>30</v>
      </c>
      <c r="D1795" s="30" t="s">
        <v>12</v>
      </c>
      <c r="E1795" s="31">
        <v>8.9999999999999993E-3</v>
      </c>
      <c r="F1795" s="25">
        <v>25.146499999999996</v>
      </c>
      <c r="G1795" s="28">
        <f t="shared" si="28"/>
        <v>0.22631849999999995</v>
      </c>
      <c r="H1795" s="29"/>
      <c r="I1795" s="25"/>
      <c r="J1795" s="138">
        <v>0</v>
      </c>
    </row>
    <row r="1796" spans="1:10" ht="26.25" hidden="1" thickBot="1" x14ac:dyDescent="0.3">
      <c r="A1796" s="221"/>
      <c r="B1796" s="223"/>
      <c r="C1796" s="30" t="s">
        <v>563</v>
      </c>
      <c r="D1796" s="30" t="s">
        <v>93</v>
      </c>
      <c r="E1796" s="31">
        <v>1.0269999999999999</v>
      </c>
      <c r="F1796" s="28" t="s">
        <v>521</v>
      </c>
      <c r="G1796" s="28" t="str">
        <f t="shared" si="28"/>
        <v/>
      </c>
      <c r="H1796" s="29"/>
      <c r="I1796" s="25"/>
      <c r="J1796" s="138">
        <v>0</v>
      </c>
    </row>
    <row r="1797" spans="1:10" ht="15.75" hidden="1" thickBot="1" x14ac:dyDescent="0.3">
      <c r="A1797" s="221"/>
      <c r="B1797" s="223"/>
      <c r="C1797" s="30" t="s">
        <v>553</v>
      </c>
      <c r="D1797" s="30" t="s">
        <v>20</v>
      </c>
      <c r="E1797" s="31">
        <v>0.01</v>
      </c>
      <c r="F1797" s="28">
        <v>4.1229999999999993</v>
      </c>
      <c r="G1797" s="28">
        <f t="shared" si="28"/>
        <v>4.1229999999999996E-2</v>
      </c>
      <c r="H1797" s="29"/>
      <c r="I1797" s="25"/>
      <c r="J1797" s="138">
        <v>0</v>
      </c>
    </row>
    <row r="1798" spans="1:10" ht="15.75" hidden="1" thickBot="1" x14ac:dyDescent="0.3">
      <c r="A1798" s="227"/>
      <c r="B1798" s="224"/>
      <c r="C1798" s="30"/>
      <c r="D1798" s="30"/>
      <c r="E1798" s="31"/>
      <c r="F1798" s="25" t="s">
        <v>521</v>
      </c>
      <c r="G1798" s="25" t="str">
        <f t="shared" si="28"/>
        <v/>
      </c>
      <c r="H1798" s="29"/>
      <c r="I1798" s="25"/>
      <c r="J1798" s="138">
        <v>0</v>
      </c>
    </row>
    <row r="1799" spans="1:10" ht="15.75" thickBot="1" x14ac:dyDescent="0.3">
      <c r="A1799" s="220" t="s">
        <v>564</v>
      </c>
      <c r="B1799" s="222" t="str">
        <f>INDEX(Orçamentária!A:B,MATCH(Composições!A1799,Orçamentária!A:A,0),2)</f>
        <v>Condutor 6 mm² - fornecimento e instalação</v>
      </c>
      <c r="C1799" s="35"/>
      <c r="D1799" s="20" t="s">
        <v>93</v>
      </c>
      <c r="E1799" s="21"/>
      <c r="F1799" s="36" t="s">
        <v>521</v>
      </c>
      <c r="G1799" s="22" t="str">
        <f t="shared" si="28"/>
        <v/>
      </c>
      <c r="H1799" s="23"/>
      <c r="I1799" s="24"/>
      <c r="J1799" s="138">
        <v>140</v>
      </c>
    </row>
    <row r="1800" spans="1:10" x14ac:dyDescent="0.25">
      <c r="A1800" s="221"/>
      <c r="B1800" s="223"/>
      <c r="C1800" s="26"/>
      <c r="D1800" s="26"/>
      <c r="E1800" s="27"/>
      <c r="F1800" s="37" t="s">
        <v>521</v>
      </c>
      <c r="G1800" s="25" t="str">
        <f t="shared" si="28"/>
        <v/>
      </c>
      <c r="H1800" s="29"/>
      <c r="I1800" s="25"/>
      <c r="J1800" s="138">
        <v>140</v>
      </c>
    </row>
    <row r="1801" spans="1:10" x14ac:dyDescent="0.25">
      <c r="A1801" s="221"/>
      <c r="B1801" s="223"/>
      <c r="C1801" s="30" t="s">
        <v>74</v>
      </c>
      <c r="D1801" s="30" t="s">
        <v>12</v>
      </c>
      <c r="E1801" s="31">
        <v>5.1999999999999998E-2</v>
      </c>
      <c r="F1801" s="25">
        <v>19.4085</v>
      </c>
      <c r="G1801" s="25">
        <f t="shared" si="28"/>
        <v>1.009242</v>
      </c>
      <c r="H1801" s="33">
        <f>SUM(G1801:G1804)</f>
        <v>9.1250670000000014</v>
      </c>
      <c r="I1801" s="34"/>
      <c r="J1801" s="138">
        <v>140</v>
      </c>
    </row>
    <row r="1802" spans="1:10" x14ac:dyDescent="0.25">
      <c r="A1802" s="221"/>
      <c r="B1802" s="223"/>
      <c r="C1802" s="30" t="s">
        <v>30</v>
      </c>
      <c r="D1802" s="30" t="s">
        <v>12</v>
      </c>
      <c r="E1802" s="31">
        <v>5.1999999999999998E-2</v>
      </c>
      <c r="F1802" s="25">
        <v>25.146499999999996</v>
      </c>
      <c r="G1802" s="25">
        <f t="shared" si="28"/>
        <v>1.3076179999999997</v>
      </c>
      <c r="H1802" s="29"/>
      <c r="I1802" s="25"/>
      <c r="J1802" s="138">
        <v>140</v>
      </c>
    </row>
    <row r="1803" spans="1:10" ht="25.5" x14ac:dyDescent="0.25">
      <c r="A1803" s="221"/>
      <c r="B1803" s="223"/>
      <c r="C1803" s="30" t="s">
        <v>565</v>
      </c>
      <c r="D1803" s="30" t="s">
        <v>93</v>
      </c>
      <c r="E1803" s="31">
        <v>1.19</v>
      </c>
      <c r="F1803" s="28">
        <v>5.69</v>
      </c>
      <c r="G1803" s="25">
        <f t="shared" si="28"/>
        <v>6.7711000000000006</v>
      </c>
      <c r="H1803" s="29"/>
      <c r="I1803" s="25"/>
      <c r="J1803" s="138">
        <v>140</v>
      </c>
    </row>
    <row r="1804" spans="1:10" x14ac:dyDescent="0.25">
      <c r="A1804" s="221"/>
      <c r="B1804" s="223"/>
      <c r="C1804" s="30" t="s">
        <v>553</v>
      </c>
      <c r="D1804" s="30" t="s">
        <v>20</v>
      </c>
      <c r="E1804" s="31">
        <v>8.9999999999999993E-3</v>
      </c>
      <c r="F1804" s="28">
        <v>4.1229999999999993</v>
      </c>
      <c r="G1804" s="25">
        <f t="shared" si="28"/>
        <v>3.7106999999999994E-2</v>
      </c>
      <c r="H1804" s="29"/>
      <c r="I1804" s="25"/>
      <c r="J1804" s="138">
        <v>140</v>
      </c>
    </row>
    <row r="1805" spans="1:10" ht="15.75" thickBot="1" x14ac:dyDescent="0.3">
      <c r="A1805" s="227"/>
      <c r="B1805" s="224"/>
      <c r="C1805" s="30"/>
      <c r="D1805" s="30"/>
      <c r="E1805" s="31"/>
      <c r="F1805" s="25" t="s">
        <v>521</v>
      </c>
      <c r="G1805" s="25" t="str">
        <f t="shared" si="28"/>
        <v/>
      </c>
      <c r="H1805" s="29"/>
      <c r="I1805" s="25"/>
      <c r="J1805" s="138">
        <v>140</v>
      </c>
    </row>
    <row r="1806" spans="1:10" ht="15.75" hidden="1" thickBot="1" x14ac:dyDescent="0.3">
      <c r="A1806" s="220" t="s">
        <v>566</v>
      </c>
      <c r="B1806" s="222" t="e">
        <f>INDEX(Orçamentária!A:B,MATCH(Composições!A1806,Orçamentária!A:A,0),2)</f>
        <v>#N/A</v>
      </c>
      <c r="C1806" s="35"/>
      <c r="D1806" s="20" t="s">
        <v>20</v>
      </c>
      <c r="E1806" s="21"/>
      <c r="F1806" s="36" t="s">
        <v>521</v>
      </c>
      <c r="G1806" s="22" t="str">
        <f t="shared" si="28"/>
        <v/>
      </c>
      <c r="H1806" s="23"/>
      <c r="I1806" s="24"/>
      <c r="J1806" s="138">
        <v>0</v>
      </c>
    </row>
    <row r="1807" spans="1:10" ht="15.75" hidden="1" thickBot="1" x14ac:dyDescent="0.3">
      <c r="A1807" s="221"/>
      <c r="B1807" s="223"/>
      <c r="C1807" s="26"/>
      <c r="D1807" s="26"/>
      <c r="E1807" s="27"/>
      <c r="F1807" s="37" t="s">
        <v>521</v>
      </c>
      <c r="G1807" s="25" t="str">
        <f t="shared" si="28"/>
        <v/>
      </c>
      <c r="H1807" s="29"/>
      <c r="I1807" s="25"/>
      <c r="J1807" s="138">
        <v>0</v>
      </c>
    </row>
    <row r="1808" spans="1:10" ht="26.25" hidden="1" thickBot="1" x14ac:dyDescent="0.3">
      <c r="A1808" s="221"/>
      <c r="B1808" s="223"/>
      <c r="C1808" s="30" t="s">
        <v>2816</v>
      </c>
      <c r="D1808" s="41" t="s">
        <v>20</v>
      </c>
      <c r="E1808" s="31">
        <v>1</v>
      </c>
      <c r="F1808" s="28" t="s">
        <v>521</v>
      </c>
      <c r="G1808" s="25" t="str">
        <f t="shared" si="28"/>
        <v/>
      </c>
      <c r="H1808" s="33">
        <f>SUM(G1808:G1811)</f>
        <v>43.3131913164992</v>
      </c>
      <c r="I1808" s="34"/>
      <c r="J1808" s="138">
        <v>0</v>
      </c>
    </row>
    <row r="1809" spans="1:10" ht="39" hidden="1" thickBot="1" x14ac:dyDescent="0.3">
      <c r="A1809" s="221"/>
      <c r="B1809" s="223"/>
      <c r="C1809" s="30" t="s">
        <v>1600</v>
      </c>
      <c r="D1809" s="41" t="s">
        <v>120</v>
      </c>
      <c r="E1809" s="31">
        <v>1.9199999999999998E-2</v>
      </c>
      <c r="F1809" s="25">
        <v>785.34832377599992</v>
      </c>
      <c r="G1809" s="25">
        <f t="shared" si="28"/>
        <v>15.078687816499198</v>
      </c>
      <c r="H1809" s="29"/>
      <c r="I1809" s="25"/>
      <c r="J1809" s="138">
        <v>0</v>
      </c>
    </row>
    <row r="1810" spans="1:10" ht="15.75" hidden="1" thickBot="1" x14ac:dyDescent="0.3">
      <c r="A1810" s="221"/>
      <c r="B1810" s="223"/>
      <c r="C1810" s="30" t="s">
        <v>74</v>
      </c>
      <c r="D1810" s="41" t="s">
        <v>12</v>
      </c>
      <c r="E1810" s="31">
        <v>0.63370000000000004</v>
      </c>
      <c r="F1810" s="25">
        <v>19.4085</v>
      </c>
      <c r="G1810" s="25">
        <f t="shared" ref="G1810:G1873" si="29">IF(ISNUMBER(F1810),E1810*F1810,"")</f>
        <v>12.299166450000001</v>
      </c>
      <c r="H1810" s="29"/>
      <c r="I1810" s="25"/>
      <c r="J1810" s="138">
        <v>0</v>
      </c>
    </row>
    <row r="1811" spans="1:10" ht="15.75" hidden="1" thickBot="1" x14ac:dyDescent="0.3">
      <c r="A1811" s="221"/>
      <c r="B1811" s="223"/>
      <c r="C1811" s="30" t="s">
        <v>30</v>
      </c>
      <c r="D1811" s="41" t="s">
        <v>12</v>
      </c>
      <c r="E1811" s="31">
        <v>0.63370000000000004</v>
      </c>
      <c r="F1811" s="25">
        <v>25.146499999999996</v>
      </c>
      <c r="G1811" s="28">
        <f t="shared" si="29"/>
        <v>15.935337049999999</v>
      </c>
      <c r="H1811" s="29"/>
      <c r="I1811" s="25"/>
      <c r="J1811" s="138">
        <v>0</v>
      </c>
    </row>
    <row r="1812" spans="1:10" ht="15.75" hidden="1" thickBot="1" x14ac:dyDescent="0.3">
      <c r="A1812" s="221"/>
      <c r="B1812" s="224"/>
      <c r="C1812" s="30"/>
      <c r="D1812" s="30"/>
      <c r="E1812" s="31"/>
      <c r="F1812" s="25" t="s">
        <v>521</v>
      </c>
      <c r="G1812" s="25" t="str">
        <f t="shared" si="29"/>
        <v/>
      </c>
      <c r="H1812" s="29"/>
      <c r="I1812" s="25"/>
      <c r="J1812" s="138">
        <v>0</v>
      </c>
    </row>
    <row r="1813" spans="1:10" ht="15.75" hidden="1" thickBot="1" x14ac:dyDescent="0.3">
      <c r="A1813" s="220" t="s">
        <v>567</v>
      </c>
      <c r="B1813" s="222" t="e">
        <f>INDEX(Orçamentária!A:B,MATCH(Composições!A1813,Orçamentária!A:A,0),2)</f>
        <v>#N/A</v>
      </c>
      <c r="C1813" s="35"/>
      <c r="D1813" s="20" t="s">
        <v>20</v>
      </c>
      <c r="E1813" s="21"/>
      <c r="F1813" s="36" t="s">
        <v>521</v>
      </c>
      <c r="G1813" s="22" t="str">
        <f t="shared" si="29"/>
        <v/>
      </c>
      <c r="H1813" s="23"/>
      <c r="I1813" s="24"/>
      <c r="J1813" s="138">
        <v>0</v>
      </c>
    </row>
    <row r="1814" spans="1:10" ht="15.75" hidden="1" thickBot="1" x14ac:dyDescent="0.3">
      <c r="A1814" s="221"/>
      <c r="B1814" s="223"/>
      <c r="C1814" s="26"/>
      <c r="D1814" s="26"/>
      <c r="E1814" s="27"/>
      <c r="F1814" s="37" t="s">
        <v>521</v>
      </c>
      <c r="G1814" s="25" t="str">
        <f t="shared" si="29"/>
        <v/>
      </c>
      <c r="H1814" s="29"/>
      <c r="I1814" s="25"/>
      <c r="J1814" s="138">
        <v>0</v>
      </c>
    </row>
    <row r="1815" spans="1:10" ht="15.75" hidden="1" thickBot="1" x14ac:dyDescent="0.3">
      <c r="A1815" s="221"/>
      <c r="B1815" s="223"/>
      <c r="C1815" s="30" t="s">
        <v>52</v>
      </c>
      <c r="D1815" s="41" t="s">
        <v>12</v>
      </c>
      <c r="E1815" s="31">
        <v>2</v>
      </c>
      <c r="F1815" s="25">
        <v>21.184999999999999</v>
      </c>
      <c r="G1815" s="28">
        <f t="shared" si="29"/>
        <v>42.37</v>
      </c>
      <c r="H1815" s="33">
        <f>SUM(G1815:G1816)</f>
        <v>95.209000000000003</v>
      </c>
      <c r="I1815" s="34"/>
      <c r="J1815" s="138">
        <v>0</v>
      </c>
    </row>
    <row r="1816" spans="1:10" ht="26.25" hidden="1" thickBot="1" x14ac:dyDescent="0.3">
      <c r="A1816" s="221"/>
      <c r="B1816" s="223"/>
      <c r="C1816" s="30" t="s">
        <v>568</v>
      </c>
      <c r="D1816" s="41" t="s">
        <v>12</v>
      </c>
      <c r="E1816" s="31">
        <v>2</v>
      </c>
      <c r="F1816" s="25">
        <v>26.419499999999999</v>
      </c>
      <c r="G1816" s="25">
        <f t="shared" si="29"/>
        <v>52.838999999999999</v>
      </c>
      <c r="H1816" s="29"/>
      <c r="I1816" s="25"/>
      <c r="J1816" s="138">
        <v>0</v>
      </c>
    </row>
    <row r="1817" spans="1:10" ht="15.75" hidden="1" thickBot="1" x14ac:dyDescent="0.3">
      <c r="A1817" s="227"/>
      <c r="B1817" s="224"/>
      <c r="C1817" s="30"/>
      <c r="D1817" s="30"/>
      <c r="E1817" s="31"/>
      <c r="F1817" s="25" t="s">
        <v>521</v>
      </c>
      <c r="G1817" s="25" t="str">
        <f t="shared" si="29"/>
        <v/>
      </c>
      <c r="H1817" s="29"/>
      <c r="I1817" s="25"/>
      <c r="J1817" s="138">
        <v>0</v>
      </c>
    </row>
    <row r="1818" spans="1:10" ht="15.75" hidden="1" thickBot="1" x14ac:dyDescent="0.3">
      <c r="A1818" s="220" t="s">
        <v>569</v>
      </c>
      <c r="B1818" s="222" t="e">
        <f>INDEX(Orçamentária!A:B,MATCH(Composições!A1818,Orçamentária!A:A,0),2)</f>
        <v>#N/A</v>
      </c>
      <c r="C1818" s="35"/>
      <c r="D1818" s="20" t="s">
        <v>20</v>
      </c>
      <c r="E1818" s="21"/>
      <c r="F1818" s="36" t="s">
        <v>521</v>
      </c>
      <c r="G1818" s="22" t="str">
        <f t="shared" si="29"/>
        <v/>
      </c>
      <c r="H1818" s="23"/>
      <c r="I1818" s="24"/>
      <c r="J1818" s="138">
        <v>0</v>
      </c>
    </row>
    <row r="1819" spans="1:10" ht="15.75" hidden="1" thickBot="1" x14ac:dyDescent="0.3">
      <c r="A1819" s="221"/>
      <c r="B1819" s="223"/>
      <c r="C1819" s="26"/>
      <c r="D1819" s="26"/>
      <c r="E1819" s="27"/>
      <c r="F1819" s="37" t="s">
        <v>521</v>
      </c>
      <c r="G1819" s="25" t="str">
        <f t="shared" si="29"/>
        <v/>
      </c>
      <c r="H1819" s="29"/>
      <c r="I1819" s="25"/>
      <c r="J1819" s="138">
        <v>0</v>
      </c>
    </row>
    <row r="1820" spans="1:10" ht="15.75" hidden="1" thickBot="1" x14ac:dyDescent="0.3">
      <c r="A1820" s="221"/>
      <c r="B1820" s="223"/>
      <c r="C1820" s="30" t="s">
        <v>52</v>
      </c>
      <c r="D1820" s="41" t="s">
        <v>12</v>
      </c>
      <c r="E1820" s="31">
        <v>3</v>
      </c>
      <c r="F1820" s="25">
        <v>21.184999999999999</v>
      </c>
      <c r="G1820" s="28">
        <f t="shared" si="29"/>
        <v>63.554999999999993</v>
      </c>
      <c r="H1820" s="33">
        <f>SUM(G1820:G1821)</f>
        <v>142.81349999999998</v>
      </c>
      <c r="I1820" s="34"/>
      <c r="J1820" s="138">
        <v>0</v>
      </c>
    </row>
    <row r="1821" spans="1:10" ht="26.25" hidden="1" thickBot="1" x14ac:dyDescent="0.3">
      <c r="A1821" s="221"/>
      <c r="B1821" s="223"/>
      <c r="C1821" s="30" t="s">
        <v>568</v>
      </c>
      <c r="D1821" s="41" t="s">
        <v>12</v>
      </c>
      <c r="E1821" s="31">
        <v>3</v>
      </c>
      <c r="F1821" s="25">
        <v>26.419499999999999</v>
      </c>
      <c r="G1821" s="25">
        <f t="shared" si="29"/>
        <v>79.258499999999998</v>
      </c>
      <c r="H1821" s="29"/>
      <c r="I1821" s="25"/>
      <c r="J1821" s="138">
        <v>0</v>
      </c>
    </row>
    <row r="1822" spans="1:10" ht="15.75" hidden="1" thickBot="1" x14ac:dyDescent="0.3">
      <c r="A1822" s="227"/>
      <c r="B1822" s="224"/>
      <c r="C1822" s="30"/>
      <c r="D1822" s="30"/>
      <c r="E1822" s="31"/>
      <c r="F1822" s="25" t="s">
        <v>521</v>
      </c>
      <c r="G1822" s="25" t="str">
        <f t="shared" si="29"/>
        <v/>
      </c>
      <c r="H1822" s="29"/>
      <c r="I1822" s="25"/>
      <c r="J1822" s="138">
        <v>0</v>
      </c>
    </row>
    <row r="1823" spans="1:10" ht="15.75" hidden="1" thickBot="1" x14ac:dyDescent="0.3">
      <c r="A1823" s="220" t="s">
        <v>570</v>
      </c>
      <c r="B1823" s="222" t="e">
        <f>INDEX(Orçamentária!A:B,MATCH(Composições!A1823,Orçamentária!A:A,0),2)</f>
        <v>#N/A</v>
      </c>
      <c r="C1823" s="35"/>
      <c r="D1823" s="20" t="s">
        <v>20</v>
      </c>
      <c r="E1823" s="21"/>
      <c r="F1823" s="36" t="s">
        <v>521</v>
      </c>
      <c r="G1823" s="22" t="str">
        <f t="shared" si="29"/>
        <v/>
      </c>
      <c r="H1823" s="23"/>
      <c r="I1823" s="24"/>
      <c r="J1823" s="138">
        <v>0</v>
      </c>
    </row>
    <row r="1824" spans="1:10" ht="15.75" hidden="1" thickBot="1" x14ac:dyDescent="0.3">
      <c r="A1824" s="221"/>
      <c r="B1824" s="223"/>
      <c r="C1824" s="26"/>
      <c r="D1824" s="26"/>
      <c r="E1824" s="27"/>
      <c r="F1824" s="37" t="s">
        <v>521</v>
      </c>
      <c r="G1824" s="25" t="str">
        <f t="shared" si="29"/>
        <v/>
      </c>
      <c r="H1824" s="29"/>
      <c r="I1824" s="25"/>
      <c r="J1824" s="138">
        <v>0</v>
      </c>
    </row>
    <row r="1825" spans="1:10" ht="15.75" hidden="1" thickBot="1" x14ac:dyDescent="0.3">
      <c r="A1825" s="221"/>
      <c r="B1825" s="223"/>
      <c r="C1825" s="30" t="s">
        <v>30</v>
      </c>
      <c r="D1825" s="30" t="s">
        <v>12</v>
      </c>
      <c r="E1825" s="31">
        <v>1</v>
      </c>
      <c r="F1825" s="25">
        <v>25.146499999999996</v>
      </c>
      <c r="G1825" s="28">
        <f t="shared" si="29"/>
        <v>25.146499999999996</v>
      </c>
      <c r="H1825" s="33">
        <f>SUM(G1825:G1827)</f>
        <v>44.554999999999993</v>
      </c>
      <c r="I1825" s="34"/>
      <c r="J1825" s="138">
        <v>0</v>
      </c>
    </row>
    <row r="1826" spans="1:10" ht="15.75" hidden="1" thickBot="1" x14ac:dyDescent="0.3">
      <c r="A1826" s="221"/>
      <c r="B1826" s="223"/>
      <c r="C1826" s="30" t="s">
        <v>74</v>
      </c>
      <c r="D1826" s="41" t="s">
        <v>12</v>
      </c>
      <c r="E1826" s="31">
        <v>1</v>
      </c>
      <c r="F1826" s="25">
        <v>19.4085</v>
      </c>
      <c r="G1826" s="28">
        <f t="shared" si="29"/>
        <v>19.4085</v>
      </c>
      <c r="H1826" s="29"/>
      <c r="I1826" s="25"/>
      <c r="J1826" s="138">
        <v>0</v>
      </c>
    </row>
    <row r="1827" spans="1:10" ht="26.25" hidden="1" thickBot="1" x14ac:dyDescent="0.3">
      <c r="A1827" s="221"/>
      <c r="B1827" s="223"/>
      <c r="C1827" s="30" t="s">
        <v>571</v>
      </c>
      <c r="D1827" s="30" t="s">
        <v>144</v>
      </c>
      <c r="E1827" s="31">
        <v>1</v>
      </c>
      <c r="F1827" s="28" t="s">
        <v>521</v>
      </c>
      <c r="G1827" s="28" t="str">
        <f t="shared" si="29"/>
        <v/>
      </c>
      <c r="H1827" s="29"/>
      <c r="I1827" s="25"/>
      <c r="J1827" s="138">
        <v>0</v>
      </c>
    </row>
    <row r="1828" spans="1:10" ht="15.75" hidden="1" thickBot="1" x14ac:dyDescent="0.3">
      <c r="A1828" s="227"/>
      <c r="B1828" s="224"/>
      <c r="C1828" s="30"/>
      <c r="D1828" s="30"/>
      <c r="E1828" s="31"/>
      <c r="F1828" s="25" t="s">
        <v>521</v>
      </c>
      <c r="G1828" s="25" t="str">
        <f t="shared" si="29"/>
        <v/>
      </c>
      <c r="H1828" s="29"/>
      <c r="I1828" s="25"/>
      <c r="J1828" s="138">
        <v>0</v>
      </c>
    </row>
    <row r="1829" spans="1:10" ht="15.75" hidden="1" thickBot="1" x14ac:dyDescent="0.3">
      <c r="A1829" s="220" t="s">
        <v>572</v>
      </c>
      <c r="B1829" s="222" t="e">
        <f>INDEX(Orçamentária!A:B,MATCH(Composições!A1829,Orçamentária!A:A,0),2)</f>
        <v>#N/A</v>
      </c>
      <c r="C1829" s="35"/>
      <c r="D1829" s="20" t="s">
        <v>20</v>
      </c>
      <c r="E1829" s="21"/>
      <c r="F1829" s="36" t="s">
        <v>521</v>
      </c>
      <c r="G1829" s="22" t="str">
        <f t="shared" si="29"/>
        <v/>
      </c>
      <c r="H1829" s="23"/>
      <c r="I1829" s="24"/>
      <c r="J1829" s="138">
        <v>0</v>
      </c>
    </row>
    <row r="1830" spans="1:10" ht="15.75" hidden="1" thickBot="1" x14ac:dyDescent="0.3">
      <c r="A1830" s="221"/>
      <c r="B1830" s="223"/>
      <c r="C1830" s="26"/>
      <c r="D1830" s="26"/>
      <c r="E1830" s="27"/>
      <c r="F1830" s="37" t="s">
        <v>521</v>
      </c>
      <c r="G1830" s="25" t="str">
        <f t="shared" si="29"/>
        <v/>
      </c>
      <c r="H1830" s="29"/>
      <c r="I1830" s="25"/>
      <c r="J1830" s="138">
        <v>0</v>
      </c>
    </row>
    <row r="1831" spans="1:10" ht="15.75" hidden="1" thickBot="1" x14ac:dyDescent="0.3">
      <c r="A1831" s="221"/>
      <c r="B1831" s="223"/>
      <c r="C1831" s="30" t="s">
        <v>30</v>
      </c>
      <c r="D1831" s="30" t="s">
        <v>12</v>
      </c>
      <c r="E1831" s="31">
        <v>1</v>
      </c>
      <c r="F1831" s="25">
        <v>25.146499999999996</v>
      </c>
      <c r="G1831" s="28">
        <f t="shared" si="29"/>
        <v>25.146499999999996</v>
      </c>
      <c r="H1831" s="33">
        <f>SUM(G1831:G1833)</f>
        <v>44.554999999999993</v>
      </c>
      <c r="I1831" s="34"/>
      <c r="J1831" s="138">
        <v>0</v>
      </c>
    </row>
    <row r="1832" spans="1:10" ht="15.75" hidden="1" thickBot="1" x14ac:dyDescent="0.3">
      <c r="A1832" s="221"/>
      <c r="B1832" s="223"/>
      <c r="C1832" s="30" t="s">
        <v>74</v>
      </c>
      <c r="D1832" s="41" t="s">
        <v>12</v>
      </c>
      <c r="E1832" s="31">
        <v>1</v>
      </c>
      <c r="F1832" s="25">
        <v>19.4085</v>
      </c>
      <c r="G1832" s="28">
        <f t="shared" si="29"/>
        <v>19.4085</v>
      </c>
      <c r="H1832" s="29"/>
      <c r="I1832" s="25"/>
      <c r="J1832" s="138">
        <v>0</v>
      </c>
    </row>
    <row r="1833" spans="1:10" ht="26.25" hidden="1" thickBot="1" x14ac:dyDescent="0.3">
      <c r="A1833" s="221"/>
      <c r="B1833" s="223"/>
      <c r="C1833" s="30" t="s">
        <v>573</v>
      </c>
      <c r="D1833" s="30" t="s">
        <v>144</v>
      </c>
      <c r="E1833" s="31">
        <v>1</v>
      </c>
      <c r="F1833" s="28" t="s">
        <v>521</v>
      </c>
      <c r="G1833" s="28" t="str">
        <f t="shared" si="29"/>
        <v/>
      </c>
      <c r="H1833" s="29"/>
      <c r="I1833" s="25"/>
      <c r="J1833" s="138">
        <v>0</v>
      </c>
    </row>
    <row r="1834" spans="1:10" ht="15.75" hidden="1" thickBot="1" x14ac:dyDescent="0.3">
      <c r="A1834" s="227"/>
      <c r="B1834" s="224"/>
      <c r="C1834" s="30"/>
      <c r="D1834" s="30"/>
      <c r="E1834" s="31"/>
      <c r="F1834" s="25" t="s">
        <v>521</v>
      </c>
      <c r="G1834" s="25" t="str">
        <f t="shared" si="29"/>
        <v/>
      </c>
      <c r="H1834" s="29"/>
      <c r="I1834" s="25"/>
      <c r="J1834" s="138">
        <v>0</v>
      </c>
    </row>
    <row r="1835" spans="1:10" ht="15.75" hidden="1" thickBot="1" x14ac:dyDescent="0.3">
      <c r="A1835" s="220" t="s">
        <v>574</v>
      </c>
      <c r="B1835" s="222" t="e">
        <f>INDEX(Orçamentária!A:B,MATCH(Composições!A1835,Orçamentária!A:A,0),2)</f>
        <v>#N/A</v>
      </c>
      <c r="C1835" s="35"/>
      <c r="D1835" s="20" t="s">
        <v>95</v>
      </c>
      <c r="E1835" s="21"/>
      <c r="F1835" s="36" t="s">
        <v>521</v>
      </c>
      <c r="G1835" s="22" t="str">
        <f t="shared" si="29"/>
        <v/>
      </c>
      <c r="H1835" s="23"/>
      <c r="I1835" s="24"/>
      <c r="J1835" s="138">
        <v>0</v>
      </c>
    </row>
    <row r="1836" spans="1:10" ht="15.75" hidden="1" thickBot="1" x14ac:dyDescent="0.3">
      <c r="A1836" s="221"/>
      <c r="B1836" s="223"/>
      <c r="C1836" s="26"/>
      <c r="D1836" s="26"/>
      <c r="E1836" s="27"/>
      <c r="F1836" s="37" t="s">
        <v>521</v>
      </c>
      <c r="G1836" s="25" t="str">
        <f t="shared" si="29"/>
        <v/>
      </c>
      <c r="H1836" s="29"/>
      <c r="I1836" s="25"/>
      <c r="J1836" s="138">
        <v>0</v>
      </c>
    </row>
    <row r="1837" spans="1:10" ht="15.75" hidden="1" thickBot="1" x14ac:dyDescent="0.3">
      <c r="A1837" s="221"/>
      <c r="B1837" s="223"/>
      <c r="C1837" s="30" t="s">
        <v>575</v>
      </c>
      <c r="D1837" s="41" t="s">
        <v>42</v>
      </c>
      <c r="E1837" s="31">
        <v>6.6559999999999997</v>
      </c>
      <c r="F1837" s="28">
        <v>14.154999999999999</v>
      </c>
      <c r="G1837" s="28">
        <f t="shared" si="29"/>
        <v>94.215679999999992</v>
      </c>
      <c r="H1837" s="33">
        <f>SUM(G1837:G1840)</f>
        <v>266.40127999999999</v>
      </c>
      <c r="I1837" s="34"/>
      <c r="J1837" s="138">
        <v>0</v>
      </c>
    </row>
    <row r="1838" spans="1:10" ht="15.75" hidden="1" thickBot="1" x14ac:dyDescent="0.3">
      <c r="A1838" s="221"/>
      <c r="B1838" s="223"/>
      <c r="C1838" s="30" t="s">
        <v>576</v>
      </c>
      <c r="D1838" s="41" t="s">
        <v>577</v>
      </c>
      <c r="E1838" s="31">
        <v>1</v>
      </c>
      <c r="F1838" s="25">
        <v>0</v>
      </c>
      <c r="G1838" s="28">
        <f t="shared" si="29"/>
        <v>0</v>
      </c>
      <c r="H1838" s="39"/>
      <c r="I1838" s="40"/>
      <c r="J1838" s="138">
        <v>0</v>
      </c>
    </row>
    <row r="1839" spans="1:10" ht="15.75" hidden="1" thickBot="1" x14ac:dyDescent="0.3">
      <c r="A1839" s="221"/>
      <c r="B1839" s="223"/>
      <c r="C1839" s="30" t="s">
        <v>23</v>
      </c>
      <c r="D1839" s="41" t="s">
        <v>12</v>
      </c>
      <c r="E1839" s="31">
        <v>3.84</v>
      </c>
      <c r="F1839" s="25">
        <v>18.420500000000001</v>
      </c>
      <c r="G1839" s="28">
        <f t="shared" si="29"/>
        <v>70.734719999999996</v>
      </c>
      <c r="H1839" s="29"/>
      <c r="I1839" s="25"/>
      <c r="J1839" s="138">
        <v>0</v>
      </c>
    </row>
    <row r="1840" spans="1:10" ht="26.25" hidden="1" thickBot="1" x14ac:dyDescent="0.3">
      <c r="A1840" s="221"/>
      <c r="B1840" s="223"/>
      <c r="C1840" s="30" t="s">
        <v>568</v>
      </c>
      <c r="D1840" s="41" t="s">
        <v>12</v>
      </c>
      <c r="E1840" s="31">
        <v>3.84</v>
      </c>
      <c r="F1840" s="25">
        <v>26.419499999999999</v>
      </c>
      <c r="G1840" s="28">
        <f t="shared" si="29"/>
        <v>101.45088</v>
      </c>
      <c r="H1840" s="29"/>
      <c r="I1840" s="25"/>
      <c r="J1840" s="138">
        <v>0</v>
      </c>
    </row>
    <row r="1841" spans="1:10" ht="15.75" hidden="1" thickBot="1" x14ac:dyDescent="0.3">
      <c r="A1841" s="227"/>
      <c r="B1841" s="224"/>
      <c r="C1841" s="30"/>
      <c r="D1841" s="30"/>
      <c r="E1841" s="31"/>
      <c r="F1841" s="25" t="s">
        <v>521</v>
      </c>
      <c r="G1841" s="25" t="str">
        <f t="shared" si="29"/>
        <v/>
      </c>
      <c r="H1841" s="29"/>
      <c r="I1841" s="25"/>
      <c r="J1841" s="138">
        <v>0</v>
      </c>
    </row>
    <row r="1842" spans="1:10" ht="15.75" hidden="1" thickBot="1" x14ac:dyDescent="0.3">
      <c r="A1842" s="220" t="s">
        <v>578</v>
      </c>
      <c r="B1842" s="222" t="e">
        <f>INDEX(Orçamentária!A:B,MATCH(Composições!A1842,Orçamentária!A:A,0),2)</f>
        <v>#N/A</v>
      </c>
      <c r="C1842" s="35"/>
      <c r="D1842" s="20" t="s">
        <v>93</v>
      </c>
      <c r="E1842" s="21"/>
      <c r="F1842" s="36" t="s">
        <v>521</v>
      </c>
      <c r="G1842" s="22" t="str">
        <f t="shared" si="29"/>
        <v/>
      </c>
      <c r="H1842" s="23"/>
      <c r="I1842" s="24"/>
      <c r="J1842" s="138">
        <v>0</v>
      </c>
    </row>
    <row r="1843" spans="1:10" ht="15.75" hidden="1" thickBot="1" x14ac:dyDescent="0.3">
      <c r="A1843" s="221"/>
      <c r="B1843" s="223"/>
      <c r="C1843" s="26"/>
      <c r="D1843" s="26"/>
      <c r="E1843" s="27"/>
      <c r="F1843" s="37" t="s">
        <v>521</v>
      </c>
      <c r="G1843" s="25" t="str">
        <f t="shared" si="29"/>
        <v/>
      </c>
      <c r="H1843" s="29"/>
      <c r="I1843" s="25"/>
      <c r="J1843" s="138">
        <v>0</v>
      </c>
    </row>
    <row r="1844" spans="1:10" ht="15.75" hidden="1" thickBot="1" x14ac:dyDescent="0.3">
      <c r="A1844" s="221"/>
      <c r="B1844" s="223"/>
      <c r="C1844" s="30" t="s">
        <v>23</v>
      </c>
      <c r="D1844" s="41" t="s">
        <v>12</v>
      </c>
      <c r="E1844" s="31">
        <v>0.4</v>
      </c>
      <c r="F1844" s="25">
        <v>18.420500000000001</v>
      </c>
      <c r="G1844" s="25">
        <f t="shared" si="29"/>
        <v>7.3682000000000007</v>
      </c>
      <c r="H1844" s="33">
        <f>SUM(G1844:G1846)</f>
        <v>17.936</v>
      </c>
      <c r="I1844" s="34"/>
      <c r="J1844" s="138">
        <v>0</v>
      </c>
    </row>
    <row r="1845" spans="1:10" ht="26.25" hidden="1" thickBot="1" x14ac:dyDescent="0.3">
      <c r="A1845" s="221"/>
      <c r="B1845" s="223"/>
      <c r="C1845" s="30" t="s">
        <v>568</v>
      </c>
      <c r="D1845" s="41" t="s">
        <v>12</v>
      </c>
      <c r="E1845" s="31">
        <v>0.4</v>
      </c>
      <c r="F1845" s="25">
        <v>26.419499999999999</v>
      </c>
      <c r="G1845" s="25">
        <f t="shared" si="29"/>
        <v>10.5678</v>
      </c>
      <c r="H1845" s="29"/>
      <c r="I1845" s="25"/>
      <c r="J1845" s="138">
        <v>0</v>
      </c>
    </row>
    <row r="1846" spans="1:10" ht="26.25" hidden="1" thickBot="1" x14ac:dyDescent="0.3">
      <c r="A1846" s="221"/>
      <c r="B1846" s="223"/>
      <c r="C1846" s="30" t="s">
        <v>579</v>
      </c>
      <c r="D1846" s="30" t="s">
        <v>93</v>
      </c>
      <c r="E1846" s="31">
        <v>1.05</v>
      </c>
      <c r="F1846" s="28" t="s">
        <v>521</v>
      </c>
      <c r="G1846" s="25" t="str">
        <f t="shared" si="29"/>
        <v/>
      </c>
      <c r="H1846" s="29"/>
      <c r="I1846" s="25"/>
      <c r="J1846" s="138">
        <v>0</v>
      </c>
    </row>
    <row r="1847" spans="1:10" ht="15.75" hidden="1" thickBot="1" x14ac:dyDescent="0.3">
      <c r="A1847" s="227"/>
      <c r="B1847" s="224"/>
      <c r="C1847" s="30"/>
      <c r="D1847" s="30"/>
      <c r="E1847" s="31"/>
      <c r="F1847" s="25" t="s">
        <v>521</v>
      </c>
      <c r="G1847" s="25" t="str">
        <f t="shared" si="29"/>
        <v/>
      </c>
      <c r="H1847" s="29"/>
      <c r="I1847" s="25"/>
      <c r="J1847" s="138">
        <v>0</v>
      </c>
    </row>
    <row r="1848" spans="1:10" ht="15.75" hidden="1" thickBot="1" x14ac:dyDescent="0.3">
      <c r="A1848" s="220" t="s">
        <v>580</v>
      </c>
      <c r="B1848" s="222" t="e">
        <f>INDEX(Orçamentária!A:B,MATCH(Composições!A1848,Orçamentária!A:A,0),2)</f>
        <v>#N/A</v>
      </c>
      <c r="C1848" s="35"/>
      <c r="D1848" s="20" t="s">
        <v>93</v>
      </c>
      <c r="E1848" s="21"/>
      <c r="F1848" s="36" t="s">
        <v>521</v>
      </c>
      <c r="G1848" s="22" t="str">
        <f t="shared" si="29"/>
        <v/>
      </c>
      <c r="H1848" s="23"/>
      <c r="I1848" s="24"/>
      <c r="J1848" s="138">
        <v>0</v>
      </c>
    </row>
    <row r="1849" spans="1:10" ht="15.75" hidden="1" thickBot="1" x14ac:dyDescent="0.3">
      <c r="A1849" s="221"/>
      <c r="B1849" s="223"/>
      <c r="C1849" s="26"/>
      <c r="D1849" s="26"/>
      <c r="E1849" s="27"/>
      <c r="F1849" s="37" t="s">
        <v>521</v>
      </c>
      <c r="G1849" s="25" t="str">
        <f t="shared" si="29"/>
        <v/>
      </c>
      <c r="H1849" s="29"/>
      <c r="I1849" s="25"/>
      <c r="J1849" s="138">
        <v>0</v>
      </c>
    </row>
    <row r="1850" spans="1:10" ht="15.75" hidden="1" thickBot="1" x14ac:dyDescent="0.3">
      <c r="A1850" s="221"/>
      <c r="B1850" s="223"/>
      <c r="C1850" s="30" t="s">
        <v>23</v>
      </c>
      <c r="D1850" s="41" t="s">
        <v>12</v>
      </c>
      <c r="E1850" s="31">
        <v>0.4</v>
      </c>
      <c r="F1850" s="25">
        <v>18.420500000000001</v>
      </c>
      <c r="G1850" s="25">
        <f t="shared" si="29"/>
        <v>7.3682000000000007</v>
      </c>
      <c r="H1850" s="33">
        <f>SUM(G1850:G1852)</f>
        <v>17.936</v>
      </c>
      <c r="I1850" s="34"/>
      <c r="J1850" s="138">
        <v>0</v>
      </c>
    </row>
    <row r="1851" spans="1:10" ht="26.25" hidden="1" thickBot="1" x14ac:dyDescent="0.3">
      <c r="A1851" s="221"/>
      <c r="B1851" s="223"/>
      <c r="C1851" s="30" t="s">
        <v>568</v>
      </c>
      <c r="D1851" s="41" t="s">
        <v>12</v>
      </c>
      <c r="E1851" s="31">
        <v>0.4</v>
      </c>
      <c r="F1851" s="25">
        <v>26.419499999999999</v>
      </c>
      <c r="G1851" s="25">
        <f t="shared" si="29"/>
        <v>10.5678</v>
      </c>
      <c r="H1851" s="29"/>
      <c r="I1851" s="25"/>
      <c r="J1851" s="138">
        <v>0</v>
      </c>
    </row>
    <row r="1852" spans="1:10" ht="26.25" hidden="1" thickBot="1" x14ac:dyDescent="0.3">
      <c r="A1852" s="221"/>
      <c r="B1852" s="223"/>
      <c r="C1852" s="30" t="s">
        <v>581</v>
      </c>
      <c r="D1852" s="30" t="s">
        <v>93</v>
      </c>
      <c r="E1852" s="31">
        <v>1.05</v>
      </c>
      <c r="F1852" s="28" t="s">
        <v>521</v>
      </c>
      <c r="G1852" s="25" t="str">
        <f t="shared" si="29"/>
        <v/>
      </c>
      <c r="H1852" s="29"/>
      <c r="I1852" s="25"/>
      <c r="J1852" s="138">
        <v>0</v>
      </c>
    </row>
    <row r="1853" spans="1:10" ht="15.75" hidden="1" thickBot="1" x14ac:dyDescent="0.3">
      <c r="A1853" s="227"/>
      <c r="B1853" s="224"/>
      <c r="C1853" s="30"/>
      <c r="D1853" s="30"/>
      <c r="E1853" s="31"/>
      <c r="F1853" s="25" t="s">
        <v>521</v>
      </c>
      <c r="G1853" s="25" t="str">
        <f t="shared" si="29"/>
        <v/>
      </c>
      <c r="H1853" s="29"/>
      <c r="I1853" s="25"/>
      <c r="J1853" s="138">
        <v>0</v>
      </c>
    </row>
    <row r="1854" spans="1:10" ht="15.75" hidden="1" thickBot="1" x14ac:dyDescent="0.3">
      <c r="A1854" s="220" t="s">
        <v>582</v>
      </c>
      <c r="B1854" s="222" t="e">
        <f>INDEX(Orçamentária!A:B,MATCH(Composições!A1854,Orçamentária!A:A,0),2)</f>
        <v>#N/A</v>
      </c>
      <c r="C1854" s="35"/>
      <c r="D1854" s="20" t="s">
        <v>20</v>
      </c>
      <c r="E1854" s="21"/>
      <c r="F1854" s="36" t="s">
        <v>521</v>
      </c>
      <c r="G1854" s="22" t="str">
        <f t="shared" si="29"/>
        <v/>
      </c>
      <c r="H1854" s="23"/>
      <c r="I1854" s="24"/>
      <c r="J1854" s="138">
        <v>0</v>
      </c>
    </row>
    <row r="1855" spans="1:10" ht="15.75" hidden="1" thickBot="1" x14ac:dyDescent="0.3">
      <c r="A1855" s="221"/>
      <c r="B1855" s="223"/>
      <c r="C1855" s="26"/>
      <c r="D1855" s="26"/>
      <c r="E1855" s="27"/>
      <c r="F1855" s="37" t="s">
        <v>521</v>
      </c>
      <c r="G1855" s="25" t="str">
        <f t="shared" si="29"/>
        <v/>
      </c>
      <c r="H1855" s="29"/>
      <c r="I1855" s="25"/>
      <c r="J1855" s="138">
        <v>0</v>
      </c>
    </row>
    <row r="1856" spans="1:10" ht="15.75" hidden="1" thickBot="1" x14ac:dyDescent="0.3">
      <c r="A1856" s="221"/>
      <c r="B1856" s="223"/>
      <c r="C1856" s="30" t="s">
        <v>52</v>
      </c>
      <c r="D1856" s="41" t="s">
        <v>12</v>
      </c>
      <c r="E1856" s="31">
        <v>2.5</v>
      </c>
      <c r="F1856" s="25">
        <v>21.184999999999999</v>
      </c>
      <c r="G1856" s="28">
        <f t="shared" si="29"/>
        <v>52.962499999999999</v>
      </c>
      <c r="H1856" s="33">
        <f>SUM(G1856:G1858)</f>
        <v>119.01124999999999</v>
      </c>
      <c r="I1856" s="34"/>
      <c r="J1856" s="138">
        <v>0</v>
      </c>
    </row>
    <row r="1857" spans="1:10" ht="26.25" hidden="1" thickBot="1" x14ac:dyDescent="0.3">
      <c r="A1857" s="221"/>
      <c r="B1857" s="223"/>
      <c r="C1857" s="30" t="s">
        <v>568</v>
      </c>
      <c r="D1857" s="41" t="s">
        <v>12</v>
      </c>
      <c r="E1857" s="31">
        <v>2.5</v>
      </c>
      <c r="F1857" s="25">
        <v>26.419499999999999</v>
      </c>
      <c r="G1857" s="28">
        <f t="shared" si="29"/>
        <v>66.048749999999998</v>
      </c>
      <c r="H1857" s="29"/>
      <c r="I1857" s="25"/>
      <c r="J1857" s="138">
        <v>0</v>
      </c>
    </row>
    <row r="1858" spans="1:10" ht="26.25" hidden="1" thickBot="1" x14ac:dyDescent="0.3">
      <c r="A1858" s="221"/>
      <c r="B1858" s="223"/>
      <c r="C1858" s="30" t="s">
        <v>583</v>
      </c>
      <c r="D1858" s="30" t="s">
        <v>144</v>
      </c>
      <c r="E1858" s="31">
        <v>1</v>
      </c>
      <c r="F1858" s="28" t="s">
        <v>521</v>
      </c>
      <c r="G1858" s="28" t="str">
        <f t="shared" si="29"/>
        <v/>
      </c>
      <c r="H1858" s="29"/>
      <c r="I1858" s="25"/>
      <c r="J1858" s="138">
        <v>0</v>
      </c>
    </row>
    <row r="1859" spans="1:10" ht="15.75" hidden="1" thickBot="1" x14ac:dyDescent="0.3">
      <c r="A1859" s="227"/>
      <c r="B1859" s="224"/>
      <c r="C1859" s="30"/>
      <c r="D1859" s="30"/>
      <c r="E1859" s="31"/>
      <c r="F1859" s="25" t="s">
        <v>521</v>
      </c>
      <c r="G1859" s="25" t="str">
        <f t="shared" si="29"/>
        <v/>
      </c>
      <c r="H1859" s="29"/>
      <c r="I1859" s="25"/>
      <c r="J1859" s="138">
        <v>0</v>
      </c>
    </row>
    <row r="1860" spans="1:10" ht="15.75" hidden="1" thickBot="1" x14ac:dyDescent="0.3">
      <c r="A1860" s="220" t="s">
        <v>584</v>
      </c>
      <c r="B1860" s="222" t="e">
        <f>INDEX(Orçamentária!A:B,MATCH(Composições!A1860,Orçamentária!A:A,0),2)</f>
        <v>#N/A</v>
      </c>
      <c r="C1860" s="35"/>
      <c r="D1860" s="20" t="s">
        <v>20</v>
      </c>
      <c r="E1860" s="21"/>
      <c r="F1860" s="36" t="s">
        <v>521</v>
      </c>
      <c r="G1860" s="22" t="str">
        <f t="shared" si="29"/>
        <v/>
      </c>
      <c r="H1860" s="23"/>
      <c r="I1860" s="24"/>
      <c r="J1860" s="138">
        <v>0</v>
      </c>
    </row>
    <row r="1861" spans="1:10" ht="15.75" hidden="1" thickBot="1" x14ac:dyDescent="0.3">
      <c r="A1861" s="221"/>
      <c r="B1861" s="223"/>
      <c r="C1861" s="26"/>
      <c r="D1861" s="26"/>
      <c r="E1861" s="27"/>
      <c r="F1861" s="37" t="s">
        <v>521</v>
      </c>
      <c r="G1861" s="25" t="str">
        <f t="shared" si="29"/>
        <v/>
      </c>
      <c r="H1861" s="29"/>
      <c r="I1861" s="25"/>
      <c r="J1861" s="138">
        <v>0</v>
      </c>
    </row>
    <row r="1862" spans="1:10" ht="15.75" hidden="1" thickBot="1" x14ac:dyDescent="0.3">
      <c r="A1862" s="221"/>
      <c r="B1862" s="223"/>
      <c r="C1862" s="30" t="s">
        <v>52</v>
      </c>
      <c r="D1862" s="41" t="s">
        <v>12</v>
      </c>
      <c r="E1862" s="31">
        <v>2.5</v>
      </c>
      <c r="F1862" s="25">
        <v>21.184999999999999</v>
      </c>
      <c r="G1862" s="28">
        <f t="shared" si="29"/>
        <v>52.962499999999999</v>
      </c>
      <c r="H1862" s="33">
        <f>SUM(G1862:G1864)</f>
        <v>119.01124999999999</v>
      </c>
      <c r="I1862" s="34"/>
      <c r="J1862" s="138">
        <v>0</v>
      </c>
    </row>
    <row r="1863" spans="1:10" ht="26.25" hidden="1" thickBot="1" x14ac:dyDescent="0.3">
      <c r="A1863" s="221"/>
      <c r="B1863" s="223"/>
      <c r="C1863" s="30" t="s">
        <v>568</v>
      </c>
      <c r="D1863" s="41" t="s">
        <v>12</v>
      </c>
      <c r="E1863" s="31">
        <v>2.5</v>
      </c>
      <c r="F1863" s="25">
        <v>26.419499999999999</v>
      </c>
      <c r="G1863" s="28">
        <f t="shared" si="29"/>
        <v>66.048749999999998</v>
      </c>
      <c r="H1863" s="29"/>
      <c r="I1863" s="25"/>
      <c r="J1863" s="138">
        <v>0</v>
      </c>
    </row>
    <row r="1864" spans="1:10" ht="26.25" hidden="1" thickBot="1" x14ac:dyDescent="0.3">
      <c r="A1864" s="221"/>
      <c r="B1864" s="223"/>
      <c r="C1864" s="30" t="s">
        <v>585</v>
      </c>
      <c r="D1864" s="30" t="s">
        <v>144</v>
      </c>
      <c r="E1864" s="31">
        <v>1</v>
      </c>
      <c r="F1864" s="28" t="s">
        <v>521</v>
      </c>
      <c r="G1864" s="28" t="str">
        <f t="shared" si="29"/>
        <v/>
      </c>
      <c r="H1864" s="29"/>
      <c r="I1864" s="25"/>
      <c r="J1864" s="138">
        <v>0</v>
      </c>
    </row>
    <row r="1865" spans="1:10" ht="15.75" hidden="1" thickBot="1" x14ac:dyDescent="0.3">
      <c r="A1865" s="227"/>
      <c r="B1865" s="224"/>
      <c r="C1865" s="30"/>
      <c r="D1865" s="30"/>
      <c r="E1865" s="31"/>
      <c r="F1865" s="25" t="s">
        <v>521</v>
      </c>
      <c r="G1865" s="25" t="str">
        <f t="shared" si="29"/>
        <v/>
      </c>
      <c r="H1865" s="29"/>
      <c r="I1865" s="25"/>
      <c r="J1865" s="138">
        <v>0</v>
      </c>
    </row>
    <row r="1866" spans="1:10" ht="15.75" hidden="1" thickBot="1" x14ac:dyDescent="0.3">
      <c r="A1866" s="220" t="s">
        <v>586</v>
      </c>
      <c r="B1866" s="222" t="e">
        <f>INDEX(Orçamentária!A:B,MATCH(Composições!A1866,Orçamentária!A:A,0),2)</f>
        <v>#N/A</v>
      </c>
      <c r="C1866" s="35"/>
      <c r="D1866" s="20" t="s">
        <v>20</v>
      </c>
      <c r="E1866" s="21"/>
      <c r="F1866" s="36" t="s">
        <v>521</v>
      </c>
      <c r="G1866" s="22" t="str">
        <f t="shared" si="29"/>
        <v/>
      </c>
      <c r="H1866" s="23"/>
      <c r="I1866" s="24"/>
      <c r="J1866" s="138">
        <v>0</v>
      </c>
    </row>
    <row r="1867" spans="1:10" ht="15.75" hidden="1" thickBot="1" x14ac:dyDescent="0.3">
      <c r="A1867" s="221"/>
      <c r="B1867" s="223"/>
      <c r="C1867" s="26"/>
      <c r="D1867" s="26"/>
      <c r="E1867" s="27"/>
      <c r="F1867" s="37" t="s">
        <v>521</v>
      </c>
      <c r="G1867" s="25" t="str">
        <f t="shared" si="29"/>
        <v/>
      </c>
      <c r="H1867" s="29"/>
      <c r="I1867" s="25"/>
      <c r="J1867" s="138">
        <v>0</v>
      </c>
    </row>
    <row r="1868" spans="1:10" ht="15.75" hidden="1" thickBot="1" x14ac:dyDescent="0.3">
      <c r="A1868" s="221"/>
      <c r="B1868" s="223"/>
      <c r="C1868" s="30" t="s">
        <v>52</v>
      </c>
      <c r="D1868" s="41" t="s">
        <v>12</v>
      </c>
      <c r="E1868" s="31">
        <v>2.5</v>
      </c>
      <c r="F1868" s="25">
        <v>21.184999999999999</v>
      </c>
      <c r="G1868" s="28">
        <f t="shared" si="29"/>
        <v>52.962499999999999</v>
      </c>
      <c r="H1868" s="33">
        <f>SUM(G1868:G1870)</f>
        <v>119.01124999999999</v>
      </c>
      <c r="I1868" s="34"/>
      <c r="J1868" s="138">
        <v>0</v>
      </c>
    </row>
    <row r="1869" spans="1:10" ht="26.25" hidden="1" thickBot="1" x14ac:dyDescent="0.3">
      <c r="A1869" s="221"/>
      <c r="B1869" s="223"/>
      <c r="C1869" s="30" t="s">
        <v>568</v>
      </c>
      <c r="D1869" s="41" t="s">
        <v>12</v>
      </c>
      <c r="E1869" s="31">
        <v>2.5</v>
      </c>
      <c r="F1869" s="25">
        <v>26.419499999999999</v>
      </c>
      <c r="G1869" s="28">
        <f t="shared" si="29"/>
        <v>66.048749999999998</v>
      </c>
      <c r="H1869" s="29"/>
      <c r="I1869" s="25"/>
      <c r="J1869" s="138">
        <v>0</v>
      </c>
    </row>
    <row r="1870" spans="1:10" ht="26.25" hidden="1" thickBot="1" x14ac:dyDescent="0.3">
      <c r="A1870" s="221"/>
      <c r="B1870" s="223"/>
      <c r="C1870" s="30" t="s">
        <v>587</v>
      </c>
      <c r="D1870" s="30" t="s">
        <v>144</v>
      </c>
      <c r="E1870" s="31">
        <v>1</v>
      </c>
      <c r="F1870" s="28" t="s">
        <v>521</v>
      </c>
      <c r="G1870" s="28" t="str">
        <f t="shared" si="29"/>
        <v/>
      </c>
      <c r="H1870" s="29"/>
      <c r="I1870" s="25"/>
      <c r="J1870" s="138">
        <v>0</v>
      </c>
    </row>
    <row r="1871" spans="1:10" ht="15.75" hidden="1" thickBot="1" x14ac:dyDescent="0.3">
      <c r="A1871" s="227"/>
      <c r="B1871" s="224"/>
      <c r="C1871" s="30"/>
      <c r="D1871" s="30"/>
      <c r="E1871" s="31"/>
      <c r="F1871" s="25" t="s">
        <v>521</v>
      </c>
      <c r="G1871" s="25" t="str">
        <f t="shared" si="29"/>
        <v/>
      </c>
      <c r="H1871" s="29"/>
      <c r="I1871" s="25"/>
      <c r="J1871" s="138">
        <v>0</v>
      </c>
    </row>
    <row r="1872" spans="1:10" ht="15.75" hidden="1" thickBot="1" x14ac:dyDescent="0.3">
      <c r="A1872" s="220" t="s">
        <v>588</v>
      </c>
      <c r="B1872" s="222" t="e">
        <f>INDEX(Orçamentária!A:B,MATCH(Composições!A1872,Orçamentária!A:A,0),2)</f>
        <v>#N/A</v>
      </c>
      <c r="C1872" s="35"/>
      <c r="D1872" s="20" t="s">
        <v>20</v>
      </c>
      <c r="E1872" s="21"/>
      <c r="F1872" s="36" t="s">
        <v>521</v>
      </c>
      <c r="G1872" s="22" t="str">
        <f t="shared" si="29"/>
        <v/>
      </c>
      <c r="H1872" s="23"/>
      <c r="I1872" s="24"/>
      <c r="J1872" s="138">
        <v>0</v>
      </c>
    </row>
    <row r="1873" spans="1:10" ht="15.75" hidden="1" thickBot="1" x14ac:dyDescent="0.3">
      <c r="A1873" s="221"/>
      <c r="B1873" s="223"/>
      <c r="C1873" s="26"/>
      <c r="D1873" s="26"/>
      <c r="E1873" s="27"/>
      <c r="F1873" s="37" t="s">
        <v>521</v>
      </c>
      <c r="G1873" s="25" t="str">
        <f t="shared" si="29"/>
        <v/>
      </c>
      <c r="H1873" s="29"/>
      <c r="I1873" s="25"/>
      <c r="J1873" s="138">
        <v>0</v>
      </c>
    </row>
    <row r="1874" spans="1:10" ht="15.75" hidden="1" thickBot="1" x14ac:dyDescent="0.3">
      <c r="A1874" s="221"/>
      <c r="B1874" s="223"/>
      <c r="C1874" s="30" t="s">
        <v>52</v>
      </c>
      <c r="D1874" s="41" t="s">
        <v>12</v>
      </c>
      <c r="E1874" s="31">
        <v>2.5</v>
      </c>
      <c r="F1874" s="25">
        <v>21.184999999999999</v>
      </c>
      <c r="G1874" s="28">
        <f t="shared" ref="G1874:G1937" si="30">IF(ISNUMBER(F1874),E1874*F1874,"")</f>
        <v>52.962499999999999</v>
      </c>
      <c r="H1874" s="33">
        <f>SUM(G1874:G1876)</f>
        <v>119.01124999999999</v>
      </c>
      <c r="I1874" s="34"/>
      <c r="J1874" s="138">
        <v>0</v>
      </c>
    </row>
    <row r="1875" spans="1:10" ht="26.25" hidden="1" thickBot="1" x14ac:dyDescent="0.3">
      <c r="A1875" s="221"/>
      <c r="B1875" s="223"/>
      <c r="C1875" s="30" t="s">
        <v>568</v>
      </c>
      <c r="D1875" s="41" t="s">
        <v>12</v>
      </c>
      <c r="E1875" s="31">
        <v>2.5</v>
      </c>
      <c r="F1875" s="25">
        <v>26.419499999999999</v>
      </c>
      <c r="G1875" s="28">
        <f t="shared" si="30"/>
        <v>66.048749999999998</v>
      </c>
      <c r="H1875" s="29"/>
      <c r="I1875" s="25"/>
      <c r="J1875" s="138">
        <v>0</v>
      </c>
    </row>
    <row r="1876" spans="1:10" ht="39" hidden="1" thickBot="1" x14ac:dyDescent="0.3">
      <c r="A1876" s="221"/>
      <c r="B1876" s="223"/>
      <c r="C1876" s="30" t="s">
        <v>589</v>
      </c>
      <c r="D1876" s="30" t="s">
        <v>144</v>
      </c>
      <c r="E1876" s="31">
        <v>1</v>
      </c>
      <c r="F1876" s="28" t="s">
        <v>521</v>
      </c>
      <c r="G1876" s="28" t="str">
        <f t="shared" si="30"/>
        <v/>
      </c>
      <c r="H1876" s="29"/>
      <c r="I1876" s="25"/>
      <c r="J1876" s="138">
        <v>0</v>
      </c>
    </row>
    <row r="1877" spans="1:10" ht="15.75" hidden="1" thickBot="1" x14ac:dyDescent="0.3">
      <c r="A1877" s="227"/>
      <c r="B1877" s="224"/>
      <c r="C1877" s="30"/>
      <c r="D1877" s="30"/>
      <c r="E1877" s="31"/>
      <c r="F1877" s="25" t="s">
        <v>521</v>
      </c>
      <c r="G1877" s="25" t="str">
        <f t="shared" si="30"/>
        <v/>
      </c>
      <c r="H1877" s="29"/>
      <c r="I1877" s="25"/>
      <c r="J1877" s="138">
        <v>0</v>
      </c>
    </row>
    <row r="1878" spans="1:10" ht="15.75" hidden="1" thickBot="1" x14ac:dyDescent="0.3">
      <c r="A1878" s="220" t="s">
        <v>590</v>
      </c>
      <c r="B1878" s="222" t="e">
        <f>INDEX(Orçamentária!A:B,MATCH(Composições!A1878,Orçamentária!A:A,0),2)</f>
        <v>#N/A</v>
      </c>
      <c r="C1878" s="35"/>
      <c r="D1878" s="20" t="s">
        <v>20</v>
      </c>
      <c r="E1878" s="21"/>
      <c r="F1878" s="36" t="s">
        <v>521</v>
      </c>
      <c r="G1878" s="22" t="str">
        <f t="shared" si="30"/>
        <v/>
      </c>
      <c r="H1878" s="23"/>
      <c r="I1878" s="24"/>
      <c r="J1878" s="138">
        <v>0</v>
      </c>
    </row>
    <row r="1879" spans="1:10" ht="15.75" hidden="1" thickBot="1" x14ac:dyDescent="0.3">
      <c r="A1879" s="221"/>
      <c r="B1879" s="223"/>
      <c r="C1879" s="26"/>
      <c r="D1879" s="26"/>
      <c r="E1879" s="27"/>
      <c r="F1879" s="37" t="s">
        <v>521</v>
      </c>
      <c r="G1879" s="25" t="str">
        <f t="shared" si="30"/>
        <v/>
      </c>
      <c r="H1879" s="29"/>
      <c r="I1879" s="25"/>
      <c r="J1879" s="138">
        <v>0</v>
      </c>
    </row>
    <row r="1880" spans="1:10" ht="15.75" hidden="1" thickBot="1" x14ac:dyDescent="0.3">
      <c r="A1880" s="221"/>
      <c r="B1880" s="223"/>
      <c r="C1880" s="30" t="s">
        <v>52</v>
      </c>
      <c r="D1880" s="41" t="s">
        <v>12</v>
      </c>
      <c r="E1880" s="31">
        <v>2.5</v>
      </c>
      <c r="F1880" s="25">
        <v>21.184999999999999</v>
      </c>
      <c r="G1880" s="28">
        <f t="shared" si="30"/>
        <v>52.962499999999999</v>
      </c>
      <c r="H1880" s="33">
        <f>SUM(G1880:G1882)</f>
        <v>119.01124999999999</v>
      </c>
      <c r="I1880" s="34"/>
      <c r="J1880" s="138">
        <v>0</v>
      </c>
    </row>
    <row r="1881" spans="1:10" ht="26.25" hidden="1" thickBot="1" x14ac:dyDescent="0.3">
      <c r="A1881" s="221"/>
      <c r="B1881" s="223"/>
      <c r="C1881" s="30" t="s">
        <v>568</v>
      </c>
      <c r="D1881" s="41" t="s">
        <v>12</v>
      </c>
      <c r="E1881" s="31">
        <v>2.5</v>
      </c>
      <c r="F1881" s="25">
        <v>26.419499999999999</v>
      </c>
      <c r="G1881" s="28">
        <f t="shared" si="30"/>
        <v>66.048749999999998</v>
      </c>
      <c r="H1881" s="29"/>
      <c r="I1881" s="25"/>
      <c r="J1881" s="138">
        <v>0</v>
      </c>
    </row>
    <row r="1882" spans="1:10" ht="51.75" hidden="1" thickBot="1" x14ac:dyDescent="0.3">
      <c r="A1882" s="221"/>
      <c r="B1882" s="223"/>
      <c r="C1882" s="30" t="s">
        <v>591</v>
      </c>
      <c r="D1882" s="30" t="s">
        <v>144</v>
      </c>
      <c r="E1882" s="31">
        <v>1</v>
      </c>
      <c r="F1882" s="28" t="s">
        <v>521</v>
      </c>
      <c r="G1882" s="28" t="str">
        <f t="shared" si="30"/>
        <v/>
      </c>
      <c r="H1882" s="29"/>
      <c r="I1882" s="25"/>
      <c r="J1882" s="138">
        <v>0</v>
      </c>
    </row>
    <row r="1883" spans="1:10" ht="15.75" hidden="1" thickBot="1" x14ac:dyDescent="0.3">
      <c r="A1883" s="227"/>
      <c r="B1883" s="224"/>
      <c r="C1883" s="30"/>
      <c r="D1883" s="30"/>
      <c r="E1883" s="31"/>
      <c r="F1883" s="25" t="s">
        <v>521</v>
      </c>
      <c r="G1883" s="25" t="str">
        <f t="shared" si="30"/>
        <v/>
      </c>
      <c r="H1883" s="29"/>
      <c r="I1883" s="25"/>
      <c r="J1883" s="138">
        <v>0</v>
      </c>
    </row>
    <row r="1884" spans="1:10" ht="15.75" hidden="1" thickBot="1" x14ac:dyDescent="0.3">
      <c r="A1884" s="220" t="s">
        <v>592</v>
      </c>
      <c r="B1884" s="222" t="e">
        <f>INDEX(Orçamentária!A:B,MATCH(Composições!A1884,Orçamentária!A:A,0),2)</f>
        <v>#N/A</v>
      </c>
      <c r="C1884" s="35"/>
      <c r="D1884" s="20" t="s">
        <v>20</v>
      </c>
      <c r="E1884" s="21"/>
      <c r="F1884" s="36" t="s">
        <v>521</v>
      </c>
      <c r="G1884" s="22" t="str">
        <f t="shared" si="30"/>
        <v/>
      </c>
      <c r="H1884" s="23"/>
      <c r="I1884" s="24"/>
      <c r="J1884" s="138">
        <v>0</v>
      </c>
    </row>
    <row r="1885" spans="1:10" ht="15.75" hidden="1" thickBot="1" x14ac:dyDescent="0.3">
      <c r="A1885" s="221"/>
      <c r="B1885" s="223"/>
      <c r="C1885" s="26"/>
      <c r="D1885" s="26"/>
      <c r="E1885" s="27"/>
      <c r="F1885" s="37" t="s">
        <v>521</v>
      </c>
      <c r="G1885" s="25" t="str">
        <f t="shared" si="30"/>
        <v/>
      </c>
      <c r="H1885" s="29"/>
      <c r="I1885" s="25"/>
      <c r="J1885" s="138">
        <v>0</v>
      </c>
    </row>
    <row r="1886" spans="1:10" ht="15.75" hidden="1" thickBot="1" x14ac:dyDescent="0.3">
      <c r="A1886" s="221"/>
      <c r="B1886" s="223"/>
      <c r="C1886" s="30" t="s">
        <v>52</v>
      </c>
      <c r="D1886" s="41" t="s">
        <v>12</v>
      </c>
      <c r="E1886" s="31">
        <v>2.5</v>
      </c>
      <c r="F1886" s="25">
        <v>21.184999999999999</v>
      </c>
      <c r="G1886" s="28">
        <f t="shared" si="30"/>
        <v>52.962499999999999</v>
      </c>
      <c r="H1886" s="33">
        <f>SUM(G1886:G1888)</f>
        <v>119.01124999999999</v>
      </c>
      <c r="I1886" s="34"/>
      <c r="J1886" s="138">
        <v>0</v>
      </c>
    </row>
    <row r="1887" spans="1:10" ht="26.25" hidden="1" thickBot="1" x14ac:dyDescent="0.3">
      <c r="A1887" s="221"/>
      <c r="B1887" s="223"/>
      <c r="C1887" s="30" t="s">
        <v>568</v>
      </c>
      <c r="D1887" s="41" t="s">
        <v>12</v>
      </c>
      <c r="E1887" s="31">
        <v>2.5</v>
      </c>
      <c r="F1887" s="25">
        <v>26.419499999999999</v>
      </c>
      <c r="G1887" s="28">
        <f t="shared" si="30"/>
        <v>66.048749999999998</v>
      </c>
      <c r="H1887" s="29"/>
      <c r="I1887" s="25"/>
      <c r="J1887" s="138">
        <v>0</v>
      </c>
    </row>
    <row r="1888" spans="1:10" ht="26.25" hidden="1" thickBot="1" x14ac:dyDescent="0.3">
      <c r="A1888" s="221"/>
      <c r="B1888" s="223"/>
      <c r="C1888" s="30" t="s">
        <v>593</v>
      </c>
      <c r="D1888" s="30" t="s">
        <v>144</v>
      </c>
      <c r="E1888" s="31">
        <v>1</v>
      </c>
      <c r="F1888" s="28" t="s">
        <v>521</v>
      </c>
      <c r="G1888" s="28" t="str">
        <f t="shared" si="30"/>
        <v/>
      </c>
      <c r="H1888" s="29"/>
      <c r="I1888" s="25"/>
      <c r="J1888" s="138">
        <v>0</v>
      </c>
    </row>
    <row r="1889" spans="1:10" ht="15.75" hidden="1" thickBot="1" x14ac:dyDescent="0.3">
      <c r="A1889" s="227"/>
      <c r="B1889" s="224"/>
      <c r="C1889" s="30"/>
      <c r="D1889" s="30"/>
      <c r="E1889" s="31"/>
      <c r="F1889" s="25" t="s">
        <v>521</v>
      </c>
      <c r="G1889" s="25" t="str">
        <f t="shared" si="30"/>
        <v/>
      </c>
      <c r="H1889" s="29"/>
      <c r="I1889" s="25"/>
      <c r="J1889" s="138">
        <v>0</v>
      </c>
    </row>
    <row r="1890" spans="1:10" ht="15.75" hidden="1" thickBot="1" x14ac:dyDescent="0.3">
      <c r="A1890" s="220" t="s">
        <v>594</v>
      </c>
      <c r="B1890" s="222" t="e">
        <f>INDEX(Orçamentária!A:B,MATCH(Composições!A1890,Orçamentária!A:A,0),2)</f>
        <v>#N/A</v>
      </c>
      <c r="C1890" s="35"/>
      <c r="D1890" s="20" t="s">
        <v>20</v>
      </c>
      <c r="E1890" s="21"/>
      <c r="F1890" s="36" t="s">
        <v>521</v>
      </c>
      <c r="G1890" s="22" t="str">
        <f t="shared" si="30"/>
        <v/>
      </c>
      <c r="H1890" s="23"/>
      <c r="I1890" s="24"/>
      <c r="J1890" s="138">
        <v>0</v>
      </c>
    </row>
    <row r="1891" spans="1:10" ht="15.75" hidden="1" thickBot="1" x14ac:dyDescent="0.3">
      <c r="A1891" s="221"/>
      <c r="B1891" s="223"/>
      <c r="C1891" s="26"/>
      <c r="D1891" s="26"/>
      <c r="E1891" s="27"/>
      <c r="F1891" s="37" t="s">
        <v>521</v>
      </c>
      <c r="G1891" s="25" t="str">
        <f t="shared" si="30"/>
        <v/>
      </c>
      <c r="H1891" s="29"/>
      <c r="I1891" s="25"/>
      <c r="J1891" s="138">
        <v>0</v>
      </c>
    </row>
    <row r="1892" spans="1:10" ht="15.75" hidden="1" thickBot="1" x14ac:dyDescent="0.3">
      <c r="A1892" s="221"/>
      <c r="B1892" s="223"/>
      <c r="C1892" s="30" t="s">
        <v>52</v>
      </c>
      <c r="D1892" s="41" t="s">
        <v>12</v>
      </c>
      <c r="E1892" s="31">
        <v>2.5</v>
      </c>
      <c r="F1892" s="25">
        <v>21.184999999999999</v>
      </c>
      <c r="G1892" s="28">
        <f t="shared" si="30"/>
        <v>52.962499999999999</v>
      </c>
      <c r="H1892" s="33">
        <f>SUM(G1892:G1894)</f>
        <v>119.01124999999999</v>
      </c>
      <c r="I1892" s="34"/>
      <c r="J1892" s="138">
        <v>0</v>
      </c>
    </row>
    <row r="1893" spans="1:10" ht="26.25" hidden="1" thickBot="1" x14ac:dyDescent="0.3">
      <c r="A1893" s="221"/>
      <c r="B1893" s="223"/>
      <c r="C1893" s="30" t="s">
        <v>568</v>
      </c>
      <c r="D1893" s="41" t="s">
        <v>12</v>
      </c>
      <c r="E1893" s="31">
        <v>2.5</v>
      </c>
      <c r="F1893" s="25">
        <v>26.419499999999999</v>
      </c>
      <c r="G1893" s="28">
        <f t="shared" si="30"/>
        <v>66.048749999999998</v>
      </c>
      <c r="H1893" s="29"/>
      <c r="I1893" s="25"/>
      <c r="J1893" s="138">
        <v>0</v>
      </c>
    </row>
    <row r="1894" spans="1:10" ht="39" hidden="1" thickBot="1" x14ac:dyDescent="0.3">
      <c r="A1894" s="221"/>
      <c r="B1894" s="223"/>
      <c r="C1894" s="30" t="s">
        <v>595</v>
      </c>
      <c r="D1894" s="30" t="s">
        <v>144</v>
      </c>
      <c r="E1894" s="31">
        <v>1</v>
      </c>
      <c r="F1894" s="28" t="s">
        <v>521</v>
      </c>
      <c r="G1894" s="28" t="str">
        <f t="shared" si="30"/>
        <v/>
      </c>
      <c r="H1894" s="29"/>
      <c r="I1894" s="25"/>
      <c r="J1894" s="138">
        <v>0</v>
      </c>
    </row>
    <row r="1895" spans="1:10" ht="15.75" hidden="1" thickBot="1" x14ac:dyDescent="0.3">
      <c r="A1895" s="227"/>
      <c r="B1895" s="224"/>
      <c r="C1895" s="30"/>
      <c r="D1895" s="30"/>
      <c r="E1895" s="31"/>
      <c r="F1895" s="25" t="s">
        <v>521</v>
      </c>
      <c r="G1895" s="25" t="str">
        <f t="shared" si="30"/>
        <v/>
      </c>
      <c r="H1895" s="29"/>
      <c r="I1895" s="25"/>
      <c r="J1895" s="138">
        <v>0</v>
      </c>
    </row>
    <row r="1896" spans="1:10" ht="15.75" hidden="1" thickBot="1" x14ac:dyDescent="0.3">
      <c r="A1896" s="220" t="s">
        <v>596</v>
      </c>
      <c r="B1896" s="222" t="e">
        <f>INDEX(Orçamentária!A:B,MATCH(Composições!A1896,Orçamentária!A:A,0),2)</f>
        <v>#N/A</v>
      </c>
      <c r="C1896" s="35"/>
      <c r="D1896" s="20" t="s">
        <v>20</v>
      </c>
      <c r="E1896" s="21"/>
      <c r="F1896" s="36" t="s">
        <v>521</v>
      </c>
      <c r="G1896" s="22" t="str">
        <f t="shared" si="30"/>
        <v/>
      </c>
      <c r="H1896" s="23"/>
      <c r="I1896" s="24"/>
      <c r="J1896" s="138">
        <v>0</v>
      </c>
    </row>
    <row r="1897" spans="1:10" ht="15.75" hidden="1" thickBot="1" x14ac:dyDescent="0.3">
      <c r="A1897" s="221"/>
      <c r="B1897" s="223"/>
      <c r="C1897" s="26"/>
      <c r="D1897" s="26"/>
      <c r="E1897" s="27"/>
      <c r="F1897" s="37" t="s">
        <v>521</v>
      </c>
      <c r="G1897" s="25" t="str">
        <f t="shared" si="30"/>
        <v/>
      </c>
      <c r="H1897" s="29"/>
      <c r="I1897" s="25"/>
      <c r="J1897" s="138">
        <v>0</v>
      </c>
    </row>
    <row r="1898" spans="1:10" ht="15.75" hidden="1" thickBot="1" x14ac:dyDescent="0.3">
      <c r="A1898" s="221"/>
      <c r="B1898" s="223"/>
      <c r="C1898" s="30" t="s">
        <v>52</v>
      </c>
      <c r="D1898" s="41" t="s">
        <v>12</v>
      </c>
      <c r="E1898" s="31">
        <v>2.5</v>
      </c>
      <c r="F1898" s="25">
        <v>21.184999999999999</v>
      </c>
      <c r="G1898" s="25">
        <f t="shared" si="30"/>
        <v>52.962499999999999</v>
      </c>
      <c r="H1898" s="33">
        <f>SUM(G1898:G1900)</f>
        <v>119.01124999999999</v>
      </c>
      <c r="I1898" s="34"/>
      <c r="J1898" s="138">
        <v>0</v>
      </c>
    </row>
    <row r="1899" spans="1:10" ht="26.25" hidden="1" thickBot="1" x14ac:dyDescent="0.3">
      <c r="A1899" s="221"/>
      <c r="B1899" s="223"/>
      <c r="C1899" s="30" t="s">
        <v>568</v>
      </c>
      <c r="D1899" s="41" t="s">
        <v>12</v>
      </c>
      <c r="E1899" s="31">
        <v>2.5</v>
      </c>
      <c r="F1899" s="25">
        <v>26.419499999999999</v>
      </c>
      <c r="G1899" s="25">
        <f t="shared" si="30"/>
        <v>66.048749999999998</v>
      </c>
      <c r="H1899" s="29"/>
      <c r="I1899" s="25"/>
      <c r="J1899" s="138">
        <v>0</v>
      </c>
    </row>
    <row r="1900" spans="1:10" ht="39" hidden="1" thickBot="1" x14ac:dyDescent="0.3">
      <c r="A1900" s="221"/>
      <c r="B1900" s="223"/>
      <c r="C1900" s="30" t="s">
        <v>597</v>
      </c>
      <c r="D1900" s="30" t="s">
        <v>144</v>
      </c>
      <c r="E1900" s="31">
        <v>1</v>
      </c>
      <c r="F1900" s="28" t="s">
        <v>521</v>
      </c>
      <c r="G1900" s="25" t="str">
        <f t="shared" si="30"/>
        <v/>
      </c>
      <c r="H1900" s="29"/>
      <c r="I1900" s="25"/>
      <c r="J1900" s="138">
        <v>0</v>
      </c>
    </row>
    <row r="1901" spans="1:10" ht="15.75" hidden="1" thickBot="1" x14ac:dyDescent="0.3">
      <c r="A1901" s="227"/>
      <c r="B1901" s="224"/>
      <c r="C1901" s="30"/>
      <c r="D1901" s="30"/>
      <c r="E1901" s="31"/>
      <c r="F1901" s="25" t="s">
        <v>521</v>
      </c>
      <c r="G1901" s="25" t="str">
        <f t="shared" si="30"/>
        <v/>
      </c>
      <c r="H1901" s="29"/>
      <c r="I1901" s="25"/>
      <c r="J1901" s="138">
        <v>0</v>
      </c>
    </row>
    <row r="1902" spans="1:10" ht="15.75" hidden="1" thickBot="1" x14ac:dyDescent="0.3">
      <c r="A1902" s="220" t="s">
        <v>598</v>
      </c>
      <c r="B1902" s="222" t="e">
        <f>INDEX(Orçamentária!A:B,MATCH(Composições!A1902,Orçamentária!A:A,0),2)</f>
        <v>#N/A</v>
      </c>
      <c r="C1902" s="35"/>
      <c r="D1902" s="20" t="s">
        <v>20</v>
      </c>
      <c r="E1902" s="21"/>
      <c r="F1902" s="36" t="s">
        <v>521</v>
      </c>
      <c r="G1902" s="22" t="str">
        <f t="shared" si="30"/>
        <v/>
      </c>
      <c r="H1902" s="23"/>
      <c r="I1902" s="24"/>
      <c r="J1902" s="138">
        <v>0</v>
      </c>
    </row>
    <row r="1903" spans="1:10" ht="15.75" hidden="1" thickBot="1" x14ac:dyDescent="0.3">
      <c r="A1903" s="221"/>
      <c r="B1903" s="223"/>
      <c r="C1903" s="26"/>
      <c r="D1903" s="26"/>
      <c r="E1903" s="27"/>
      <c r="F1903" s="37" t="s">
        <v>521</v>
      </c>
      <c r="G1903" s="25" t="str">
        <f t="shared" si="30"/>
        <v/>
      </c>
      <c r="H1903" s="29"/>
      <c r="I1903" s="25"/>
      <c r="J1903" s="138">
        <v>0</v>
      </c>
    </row>
    <row r="1904" spans="1:10" ht="15.75" hidden="1" thickBot="1" x14ac:dyDescent="0.3">
      <c r="A1904" s="221"/>
      <c r="B1904" s="223"/>
      <c r="C1904" s="30" t="s">
        <v>52</v>
      </c>
      <c r="D1904" s="41" t="s">
        <v>12</v>
      </c>
      <c r="E1904" s="31">
        <v>3.5</v>
      </c>
      <c r="F1904" s="25">
        <v>21.184999999999999</v>
      </c>
      <c r="G1904" s="28">
        <f t="shared" si="30"/>
        <v>74.147499999999994</v>
      </c>
      <c r="H1904" s="33">
        <f>SUM(G1904:G1906)</f>
        <v>166.61574999999999</v>
      </c>
      <c r="I1904" s="34"/>
      <c r="J1904" s="138">
        <v>0</v>
      </c>
    </row>
    <row r="1905" spans="1:10" ht="26.25" hidden="1" thickBot="1" x14ac:dyDescent="0.3">
      <c r="A1905" s="221"/>
      <c r="B1905" s="223"/>
      <c r="C1905" s="30" t="s">
        <v>568</v>
      </c>
      <c r="D1905" s="41" t="s">
        <v>12</v>
      </c>
      <c r="E1905" s="31">
        <v>3.5</v>
      </c>
      <c r="F1905" s="25">
        <v>26.419499999999999</v>
      </c>
      <c r="G1905" s="28">
        <f t="shared" si="30"/>
        <v>92.468249999999998</v>
      </c>
      <c r="H1905" s="29"/>
      <c r="I1905" s="25"/>
      <c r="J1905" s="138">
        <v>0</v>
      </c>
    </row>
    <row r="1906" spans="1:10" ht="15.75" hidden="1" thickBot="1" x14ac:dyDescent="0.3">
      <c r="A1906" s="221"/>
      <c r="B1906" s="223"/>
      <c r="C1906" s="30" t="s">
        <v>599</v>
      </c>
      <c r="D1906" s="30" t="s">
        <v>144</v>
      </c>
      <c r="E1906" s="31">
        <v>1</v>
      </c>
      <c r="F1906" s="28">
        <v>0</v>
      </c>
      <c r="G1906" s="28">
        <f t="shared" si="30"/>
        <v>0</v>
      </c>
      <c r="H1906" s="29"/>
      <c r="I1906" s="25"/>
      <c r="J1906" s="138">
        <v>0</v>
      </c>
    </row>
    <row r="1907" spans="1:10" ht="15.75" hidden="1" thickBot="1" x14ac:dyDescent="0.3">
      <c r="A1907" s="227"/>
      <c r="B1907" s="224"/>
      <c r="C1907" s="30"/>
      <c r="D1907" s="30"/>
      <c r="E1907" s="31"/>
      <c r="F1907" s="25" t="s">
        <v>521</v>
      </c>
      <c r="G1907" s="25" t="str">
        <f t="shared" si="30"/>
        <v/>
      </c>
      <c r="H1907" s="29"/>
      <c r="I1907" s="25"/>
      <c r="J1907" s="138">
        <v>0</v>
      </c>
    </row>
    <row r="1908" spans="1:10" ht="15.75" hidden="1" thickBot="1" x14ac:dyDescent="0.3">
      <c r="A1908" s="220" t="s">
        <v>600</v>
      </c>
      <c r="B1908" s="222" t="e">
        <f>INDEX(Orçamentária!A:B,MATCH(Composições!A1908,Orçamentária!A:A,0),2)</f>
        <v>#N/A</v>
      </c>
      <c r="C1908" s="35"/>
      <c r="D1908" s="20" t="s">
        <v>20</v>
      </c>
      <c r="E1908" s="21"/>
      <c r="F1908" s="36" t="s">
        <v>521</v>
      </c>
      <c r="G1908" s="22" t="str">
        <f t="shared" si="30"/>
        <v/>
      </c>
      <c r="H1908" s="23"/>
      <c r="I1908" s="24"/>
      <c r="J1908" s="138">
        <v>0</v>
      </c>
    </row>
    <row r="1909" spans="1:10" ht="15.75" hidden="1" thickBot="1" x14ac:dyDescent="0.3">
      <c r="A1909" s="221"/>
      <c r="B1909" s="223"/>
      <c r="C1909" s="26"/>
      <c r="D1909" s="26"/>
      <c r="E1909" s="27"/>
      <c r="F1909" s="37" t="s">
        <v>521</v>
      </c>
      <c r="G1909" s="25" t="str">
        <f t="shared" si="30"/>
        <v/>
      </c>
      <c r="H1909" s="29"/>
      <c r="I1909" s="25"/>
      <c r="J1909" s="138">
        <v>0</v>
      </c>
    </row>
    <row r="1910" spans="1:10" ht="15.75" hidden="1" thickBot="1" x14ac:dyDescent="0.3">
      <c r="A1910" s="221"/>
      <c r="B1910" s="223"/>
      <c r="C1910" s="30" t="s">
        <v>52</v>
      </c>
      <c r="D1910" s="41" t="s">
        <v>12</v>
      </c>
      <c r="E1910" s="31">
        <v>3.5</v>
      </c>
      <c r="F1910" s="25">
        <v>21.184999999999999</v>
      </c>
      <c r="G1910" s="25">
        <f t="shared" si="30"/>
        <v>74.147499999999994</v>
      </c>
      <c r="H1910" s="33">
        <f>SUM(G1910:G1912)</f>
        <v>166.61574999999999</v>
      </c>
      <c r="I1910" s="34"/>
      <c r="J1910" s="138">
        <v>0</v>
      </c>
    </row>
    <row r="1911" spans="1:10" ht="26.25" hidden="1" thickBot="1" x14ac:dyDescent="0.3">
      <c r="A1911" s="221"/>
      <c r="B1911" s="223"/>
      <c r="C1911" s="30" t="s">
        <v>568</v>
      </c>
      <c r="D1911" s="41" t="s">
        <v>12</v>
      </c>
      <c r="E1911" s="31">
        <v>3.5</v>
      </c>
      <c r="F1911" s="25">
        <v>26.419499999999999</v>
      </c>
      <c r="G1911" s="25">
        <f t="shared" si="30"/>
        <v>92.468249999999998</v>
      </c>
      <c r="H1911" s="29"/>
      <c r="I1911" s="25"/>
      <c r="J1911" s="138">
        <v>0</v>
      </c>
    </row>
    <row r="1912" spans="1:10" ht="15.75" hidden="1" thickBot="1" x14ac:dyDescent="0.3">
      <c r="A1912" s="221"/>
      <c r="B1912" s="223"/>
      <c r="C1912" s="30" t="s">
        <v>601</v>
      </c>
      <c r="D1912" s="30" t="s">
        <v>144</v>
      </c>
      <c r="E1912" s="31">
        <v>1</v>
      </c>
      <c r="F1912" s="25">
        <v>0</v>
      </c>
      <c r="G1912" s="25">
        <f t="shared" si="30"/>
        <v>0</v>
      </c>
      <c r="H1912" s="29"/>
      <c r="I1912" s="25"/>
      <c r="J1912" s="138">
        <v>0</v>
      </c>
    </row>
    <row r="1913" spans="1:10" ht="15.75" hidden="1" thickBot="1" x14ac:dyDescent="0.3">
      <c r="A1913" s="227"/>
      <c r="B1913" s="224"/>
      <c r="C1913" s="30"/>
      <c r="D1913" s="30"/>
      <c r="E1913" s="31"/>
      <c r="F1913" s="25" t="s">
        <v>521</v>
      </c>
      <c r="G1913" s="25" t="str">
        <f t="shared" si="30"/>
        <v/>
      </c>
      <c r="H1913" s="29"/>
      <c r="I1913" s="25"/>
      <c r="J1913" s="138">
        <v>0</v>
      </c>
    </row>
    <row r="1914" spans="1:10" ht="15.75" hidden="1" thickBot="1" x14ac:dyDescent="0.3">
      <c r="A1914" s="220" t="s">
        <v>602</v>
      </c>
      <c r="B1914" s="222" t="e">
        <f>INDEX(Orçamentária!A:B,MATCH(Composições!A1914,Orçamentária!A:A,0),2)</f>
        <v>#N/A</v>
      </c>
      <c r="C1914" s="35"/>
      <c r="D1914" s="20" t="s">
        <v>20</v>
      </c>
      <c r="E1914" s="21"/>
      <c r="F1914" s="36" t="s">
        <v>521</v>
      </c>
      <c r="G1914" s="22" t="str">
        <f t="shared" si="30"/>
        <v/>
      </c>
      <c r="H1914" s="23"/>
      <c r="I1914" s="24"/>
      <c r="J1914" s="138">
        <v>0</v>
      </c>
    </row>
    <row r="1915" spans="1:10" ht="15.75" hidden="1" thickBot="1" x14ac:dyDescent="0.3">
      <c r="A1915" s="221"/>
      <c r="B1915" s="223"/>
      <c r="C1915" s="26"/>
      <c r="D1915" s="26"/>
      <c r="E1915" s="27"/>
      <c r="F1915" s="37" t="s">
        <v>521</v>
      </c>
      <c r="G1915" s="25" t="str">
        <f t="shared" si="30"/>
        <v/>
      </c>
      <c r="H1915" s="29"/>
      <c r="I1915" s="25"/>
      <c r="J1915" s="138">
        <v>0</v>
      </c>
    </row>
    <row r="1916" spans="1:10" ht="15.75" hidden="1" thickBot="1" x14ac:dyDescent="0.3">
      <c r="A1916" s="221"/>
      <c r="B1916" s="223"/>
      <c r="C1916" s="30" t="s">
        <v>52</v>
      </c>
      <c r="D1916" s="41" t="s">
        <v>12</v>
      </c>
      <c r="E1916" s="31">
        <v>2.5</v>
      </c>
      <c r="F1916" s="25">
        <v>21.184999999999999</v>
      </c>
      <c r="G1916" s="25">
        <f t="shared" si="30"/>
        <v>52.962499999999999</v>
      </c>
      <c r="H1916" s="33">
        <f>SUM(G1916:G1917)</f>
        <v>119.01124999999999</v>
      </c>
      <c r="I1916" s="34"/>
      <c r="J1916" s="138">
        <v>0</v>
      </c>
    </row>
    <row r="1917" spans="1:10" ht="26.25" hidden="1" thickBot="1" x14ac:dyDescent="0.3">
      <c r="A1917" s="221"/>
      <c r="B1917" s="223"/>
      <c r="C1917" s="30" t="s">
        <v>568</v>
      </c>
      <c r="D1917" s="41" t="s">
        <v>12</v>
      </c>
      <c r="E1917" s="31">
        <v>2.5</v>
      </c>
      <c r="F1917" s="25">
        <v>26.419499999999999</v>
      </c>
      <c r="G1917" s="25">
        <f t="shared" si="30"/>
        <v>66.048749999999998</v>
      </c>
      <c r="H1917" s="29"/>
      <c r="I1917" s="25"/>
      <c r="J1917" s="138">
        <v>0</v>
      </c>
    </row>
    <row r="1918" spans="1:10" ht="15.75" hidden="1" thickBot="1" x14ac:dyDescent="0.3">
      <c r="A1918" s="227"/>
      <c r="B1918" s="224"/>
      <c r="C1918" s="30"/>
      <c r="D1918" s="30"/>
      <c r="E1918" s="31"/>
      <c r="F1918" s="25" t="s">
        <v>521</v>
      </c>
      <c r="G1918" s="25" t="str">
        <f t="shared" si="30"/>
        <v/>
      </c>
      <c r="H1918" s="29"/>
      <c r="I1918" s="25"/>
      <c r="J1918" s="138">
        <v>0</v>
      </c>
    </row>
    <row r="1919" spans="1:10" ht="15.75" hidden="1" thickBot="1" x14ac:dyDescent="0.3">
      <c r="A1919" s="220" t="s">
        <v>603</v>
      </c>
      <c r="B1919" s="222" t="e">
        <f>INDEX(Orçamentária!A:B,MATCH(Composições!A1919,Orçamentária!A:A,0),2)</f>
        <v>#N/A</v>
      </c>
      <c r="C1919" s="35"/>
      <c r="D1919" s="20" t="s">
        <v>20</v>
      </c>
      <c r="E1919" s="21"/>
      <c r="F1919" s="36" t="s">
        <v>521</v>
      </c>
      <c r="G1919" s="22" t="str">
        <f t="shared" si="30"/>
        <v/>
      </c>
      <c r="H1919" s="23"/>
      <c r="I1919" s="24"/>
      <c r="J1919" s="138">
        <v>0</v>
      </c>
    </row>
    <row r="1920" spans="1:10" ht="15.75" hidden="1" thickBot="1" x14ac:dyDescent="0.3">
      <c r="A1920" s="221"/>
      <c r="B1920" s="223"/>
      <c r="C1920" s="26"/>
      <c r="D1920" s="26"/>
      <c r="E1920" s="27"/>
      <c r="F1920" s="37" t="s">
        <v>521</v>
      </c>
      <c r="G1920" s="25" t="str">
        <f t="shared" si="30"/>
        <v/>
      </c>
      <c r="H1920" s="29"/>
      <c r="I1920" s="25"/>
      <c r="J1920" s="138">
        <v>0</v>
      </c>
    </row>
    <row r="1921" spans="1:10" ht="15.75" hidden="1" thickBot="1" x14ac:dyDescent="0.3">
      <c r="A1921" s="221"/>
      <c r="B1921" s="223"/>
      <c r="C1921" s="30" t="s">
        <v>30</v>
      </c>
      <c r="D1921" s="30" t="s">
        <v>12</v>
      </c>
      <c r="E1921" s="31">
        <v>1</v>
      </c>
      <c r="F1921" s="25">
        <v>25.146499999999996</v>
      </c>
      <c r="G1921" s="28">
        <f t="shared" si="30"/>
        <v>25.146499999999996</v>
      </c>
      <c r="H1921" s="33">
        <f>SUM(G1921:G1922)</f>
        <v>44.554999999999993</v>
      </c>
      <c r="I1921" s="34"/>
      <c r="J1921" s="138">
        <v>0</v>
      </c>
    </row>
    <row r="1922" spans="1:10" ht="15.75" hidden="1" thickBot="1" x14ac:dyDescent="0.3">
      <c r="A1922" s="221"/>
      <c r="B1922" s="223"/>
      <c r="C1922" s="30" t="s">
        <v>74</v>
      </c>
      <c r="D1922" s="41" t="s">
        <v>12</v>
      </c>
      <c r="E1922" s="31">
        <v>1</v>
      </c>
      <c r="F1922" s="25">
        <v>19.4085</v>
      </c>
      <c r="G1922" s="28">
        <f t="shared" si="30"/>
        <v>19.4085</v>
      </c>
      <c r="H1922" s="29"/>
      <c r="I1922" s="25"/>
      <c r="J1922" s="138">
        <v>0</v>
      </c>
    </row>
    <row r="1923" spans="1:10" ht="15.75" hidden="1" thickBot="1" x14ac:dyDescent="0.3">
      <c r="A1923" s="227"/>
      <c r="B1923" s="224"/>
      <c r="C1923" s="30"/>
      <c r="D1923" s="30"/>
      <c r="E1923" s="31"/>
      <c r="F1923" s="25" t="s">
        <v>521</v>
      </c>
      <c r="G1923" s="25" t="str">
        <f t="shared" si="30"/>
        <v/>
      </c>
      <c r="H1923" s="29"/>
      <c r="I1923" s="25"/>
      <c r="J1923" s="138">
        <v>0</v>
      </c>
    </row>
    <row r="1924" spans="1:10" ht="15.75" hidden="1" thickBot="1" x14ac:dyDescent="0.3">
      <c r="A1924" s="220" t="s">
        <v>604</v>
      </c>
      <c r="B1924" s="222" t="e">
        <f>INDEX(Orçamentária!A:B,MATCH(Composições!A1924,Orçamentária!A:A,0),2)</f>
        <v>#N/A</v>
      </c>
      <c r="C1924" s="35"/>
      <c r="D1924" s="20" t="s">
        <v>20</v>
      </c>
      <c r="E1924" s="21"/>
      <c r="F1924" s="36" t="s">
        <v>521</v>
      </c>
      <c r="G1924" s="22" t="str">
        <f t="shared" si="30"/>
        <v/>
      </c>
      <c r="H1924" s="23"/>
      <c r="I1924" s="24"/>
      <c r="J1924" s="138">
        <v>0</v>
      </c>
    </row>
    <row r="1925" spans="1:10" ht="15.75" hidden="1" thickBot="1" x14ac:dyDescent="0.3">
      <c r="A1925" s="221"/>
      <c r="B1925" s="223"/>
      <c r="C1925" s="26"/>
      <c r="D1925" s="26"/>
      <c r="E1925" s="27"/>
      <c r="F1925" s="37" t="s">
        <v>521</v>
      </c>
      <c r="G1925" s="25" t="str">
        <f t="shared" si="30"/>
        <v/>
      </c>
      <c r="H1925" s="29"/>
      <c r="I1925" s="25"/>
      <c r="J1925" s="138">
        <v>0</v>
      </c>
    </row>
    <row r="1926" spans="1:10" ht="15.75" hidden="1" thickBot="1" x14ac:dyDescent="0.3">
      <c r="A1926" s="221"/>
      <c r="B1926" s="223"/>
      <c r="C1926" s="30" t="s">
        <v>605</v>
      </c>
      <c r="D1926" s="30" t="s">
        <v>12</v>
      </c>
      <c r="E1926" s="31">
        <v>0.75</v>
      </c>
      <c r="F1926" s="25">
        <v>23.331999999999997</v>
      </c>
      <c r="G1926" s="28">
        <f t="shared" si="30"/>
        <v>17.498999999999999</v>
      </c>
      <c r="H1926" s="33">
        <f>SUM(G1926:G1927)</f>
        <v>32.119500000000002</v>
      </c>
      <c r="I1926" s="34"/>
      <c r="J1926" s="138">
        <v>0</v>
      </c>
    </row>
    <row r="1927" spans="1:10" ht="15.75" hidden="1" thickBot="1" x14ac:dyDescent="0.3">
      <c r="A1927" s="221"/>
      <c r="B1927" s="223"/>
      <c r="C1927" s="30" t="s">
        <v>128</v>
      </c>
      <c r="D1927" s="41" t="s">
        <v>12</v>
      </c>
      <c r="E1927" s="31">
        <v>0.75</v>
      </c>
      <c r="F1927" s="25">
        <v>19.494</v>
      </c>
      <c r="G1927" s="28">
        <f t="shared" si="30"/>
        <v>14.6205</v>
      </c>
      <c r="H1927" s="29"/>
      <c r="I1927" s="25"/>
      <c r="J1927" s="138">
        <v>0</v>
      </c>
    </row>
    <row r="1928" spans="1:10" ht="15.75" hidden="1" thickBot="1" x14ac:dyDescent="0.3">
      <c r="A1928" s="227"/>
      <c r="B1928" s="224"/>
      <c r="C1928" s="30"/>
      <c r="D1928" s="30"/>
      <c r="E1928" s="31"/>
      <c r="F1928" s="25" t="s">
        <v>521</v>
      </c>
      <c r="G1928" s="25" t="str">
        <f t="shared" si="30"/>
        <v/>
      </c>
      <c r="H1928" s="29"/>
      <c r="I1928" s="25"/>
      <c r="J1928" s="138">
        <v>0</v>
      </c>
    </row>
    <row r="1929" spans="1:10" ht="15.75" hidden="1" thickBot="1" x14ac:dyDescent="0.3">
      <c r="A1929" s="220" t="s">
        <v>606</v>
      </c>
      <c r="B1929" s="222" t="e">
        <f>INDEX(Orçamentária!A:B,MATCH(Composições!A1929,Orçamentária!A:A,0),2)</f>
        <v>#N/A</v>
      </c>
      <c r="C1929" s="35"/>
      <c r="D1929" s="20" t="s">
        <v>20</v>
      </c>
      <c r="E1929" s="21"/>
      <c r="F1929" s="36" t="s">
        <v>521</v>
      </c>
      <c r="G1929" s="22" t="str">
        <f t="shared" si="30"/>
        <v/>
      </c>
      <c r="H1929" s="23"/>
      <c r="I1929" s="24"/>
      <c r="J1929" s="138">
        <v>0</v>
      </c>
    </row>
    <row r="1930" spans="1:10" ht="15.75" hidden="1" thickBot="1" x14ac:dyDescent="0.3">
      <c r="A1930" s="221"/>
      <c r="B1930" s="223"/>
      <c r="C1930" s="26"/>
      <c r="D1930" s="26"/>
      <c r="E1930" s="27"/>
      <c r="F1930" s="37" t="s">
        <v>521</v>
      </c>
      <c r="G1930" s="25" t="str">
        <f t="shared" si="30"/>
        <v/>
      </c>
      <c r="H1930" s="29"/>
      <c r="I1930" s="25"/>
      <c r="J1930" s="138">
        <v>0</v>
      </c>
    </row>
    <row r="1931" spans="1:10" ht="26.25" hidden="1" thickBot="1" x14ac:dyDescent="0.3">
      <c r="A1931" s="221"/>
      <c r="B1931" s="223"/>
      <c r="C1931" s="30" t="s">
        <v>107</v>
      </c>
      <c r="D1931" s="30" t="s">
        <v>12</v>
      </c>
      <c r="E1931" s="31">
        <v>0.5</v>
      </c>
      <c r="F1931" s="25">
        <v>19.094999999999999</v>
      </c>
      <c r="G1931" s="28">
        <f t="shared" si="30"/>
        <v>9.5474999999999994</v>
      </c>
      <c r="H1931" s="33">
        <f>SUM(G1931:G1933)</f>
        <v>21.698</v>
      </c>
      <c r="I1931" s="34"/>
      <c r="J1931" s="138">
        <v>0</v>
      </c>
    </row>
    <row r="1932" spans="1:10" ht="15.75" hidden="1" thickBot="1" x14ac:dyDescent="0.3">
      <c r="A1932" s="221"/>
      <c r="B1932" s="223"/>
      <c r="C1932" s="30" t="s">
        <v>39</v>
      </c>
      <c r="D1932" s="30" t="s">
        <v>12</v>
      </c>
      <c r="E1932" s="31">
        <v>0.5</v>
      </c>
      <c r="F1932" s="25">
        <v>24.300999999999998</v>
      </c>
      <c r="G1932" s="28">
        <f t="shared" si="30"/>
        <v>12.150499999999999</v>
      </c>
      <c r="H1932" s="29"/>
      <c r="I1932" s="25"/>
      <c r="J1932" s="138">
        <v>0</v>
      </c>
    </row>
    <row r="1933" spans="1:10" ht="26.25" hidden="1" thickBot="1" x14ac:dyDescent="0.3">
      <c r="A1933" s="221"/>
      <c r="B1933" s="223"/>
      <c r="C1933" s="30" t="s">
        <v>607</v>
      </c>
      <c r="D1933" s="30" t="s">
        <v>20</v>
      </c>
      <c r="E1933" s="31">
        <v>1</v>
      </c>
      <c r="F1933" s="28" t="s">
        <v>521</v>
      </c>
      <c r="G1933" s="25" t="str">
        <f t="shared" si="30"/>
        <v/>
      </c>
      <c r="H1933" s="29"/>
      <c r="I1933" s="25"/>
      <c r="J1933" s="138">
        <v>0</v>
      </c>
    </row>
    <row r="1934" spans="1:10" ht="15.75" hidden="1" thickBot="1" x14ac:dyDescent="0.3">
      <c r="A1934" s="227"/>
      <c r="B1934" s="224"/>
      <c r="C1934" s="30"/>
      <c r="D1934" s="30"/>
      <c r="E1934" s="31"/>
      <c r="F1934" s="25" t="s">
        <v>521</v>
      </c>
      <c r="G1934" s="25" t="str">
        <f t="shared" si="30"/>
        <v/>
      </c>
      <c r="H1934" s="29"/>
      <c r="I1934" s="25"/>
      <c r="J1934" s="138">
        <v>0</v>
      </c>
    </row>
    <row r="1935" spans="1:10" ht="15.75" hidden="1" thickBot="1" x14ac:dyDescent="0.3">
      <c r="A1935" s="220" t="s">
        <v>608</v>
      </c>
      <c r="B1935" s="222" t="e">
        <f>INDEX(Orçamentária!A:B,MATCH(Composições!A1935,Orçamentária!A:A,0),2)</f>
        <v>#N/A</v>
      </c>
      <c r="C1935" s="35"/>
      <c r="D1935" s="20" t="s">
        <v>93</v>
      </c>
      <c r="E1935" s="21"/>
      <c r="F1935" s="36" t="s">
        <v>521</v>
      </c>
      <c r="G1935" s="22" t="str">
        <f t="shared" si="30"/>
        <v/>
      </c>
      <c r="H1935" s="23"/>
      <c r="I1935" s="24"/>
      <c r="J1935" s="138">
        <v>0</v>
      </c>
    </row>
    <row r="1936" spans="1:10" ht="15.75" hidden="1" thickBot="1" x14ac:dyDescent="0.3">
      <c r="A1936" s="221"/>
      <c r="B1936" s="223"/>
      <c r="C1936" s="26"/>
      <c r="D1936" s="26"/>
      <c r="E1936" s="27"/>
      <c r="F1936" s="37" t="s">
        <v>521</v>
      </c>
      <c r="G1936" s="25" t="str">
        <f t="shared" si="30"/>
        <v/>
      </c>
      <c r="H1936" s="29"/>
      <c r="I1936" s="25"/>
      <c r="J1936" s="138">
        <v>0</v>
      </c>
    </row>
    <row r="1937" spans="1:10" ht="15.75" hidden="1" thickBot="1" x14ac:dyDescent="0.3">
      <c r="A1937" s="221"/>
      <c r="B1937" s="223"/>
      <c r="C1937" s="30" t="s">
        <v>52</v>
      </c>
      <c r="D1937" s="41" t="s">
        <v>12</v>
      </c>
      <c r="E1937" s="31">
        <v>0.05</v>
      </c>
      <c r="F1937" s="25">
        <v>21.184999999999999</v>
      </c>
      <c r="G1937" s="25">
        <f t="shared" si="30"/>
        <v>1.05925</v>
      </c>
      <c r="H1937" s="33">
        <f>SUM(G1937:G1938)</f>
        <v>1.05925</v>
      </c>
      <c r="I1937" s="34"/>
      <c r="J1937" s="138">
        <v>0</v>
      </c>
    </row>
    <row r="1938" spans="1:10" ht="15.75" hidden="1" thickBot="1" x14ac:dyDescent="0.3">
      <c r="A1938" s="221"/>
      <c r="B1938" s="223"/>
      <c r="C1938" s="30" t="s">
        <v>609</v>
      </c>
      <c r="D1938" s="41" t="s">
        <v>93</v>
      </c>
      <c r="E1938" s="31">
        <v>1</v>
      </c>
      <c r="F1938" s="25" t="s">
        <v>521</v>
      </c>
      <c r="G1938" s="25" t="str">
        <f t="shared" ref="G1938:G2001" si="31">IF(ISNUMBER(F1938),E1938*F1938,"")</f>
        <v/>
      </c>
      <c r="H1938" s="29"/>
      <c r="I1938" s="25"/>
      <c r="J1938" s="138">
        <v>0</v>
      </c>
    </row>
    <row r="1939" spans="1:10" ht="15.75" hidden="1" thickBot="1" x14ac:dyDescent="0.3">
      <c r="A1939" s="227"/>
      <c r="B1939" s="224"/>
      <c r="C1939" s="30"/>
      <c r="D1939" s="30"/>
      <c r="E1939" s="31"/>
      <c r="F1939" s="25" t="s">
        <v>521</v>
      </c>
      <c r="G1939" s="25" t="str">
        <f t="shared" si="31"/>
        <v/>
      </c>
      <c r="H1939" s="29"/>
      <c r="I1939" s="25"/>
      <c r="J1939" s="138">
        <v>0</v>
      </c>
    </row>
    <row r="1940" spans="1:10" ht="15.75" hidden="1" thickBot="1" x14ac:dyDescent="0.3">
      <c r="A1940" s="220" t="s">
        <v>610</v>
      </c>
      <c r="B1940" s="222" t="e">
        <f>INDEX(Orçamentária!A:B,MATCH(Composições!A1940,Orçamentária!A:A,0),2)</f>
        <v>#N/A</v>
      </c>
      <c r="C1940" s="35"/>
      <c r="D1940" s="20" t="s">
        <v>93</v>
      </c>
      <c r="E1940" s="21"/>
      <c r="F1940" s="36" t="s">
        <v>521</v>
      </c>
      <c r="G1940" s="22" t="str">
        <f t="shared" si="31"/>
        <v/>
      </c>
      <c r="H1940" s="23"/>
      <c r="I1940" s="24"/>
      <c r="J1940" s="138">
        <v>0</v>
      </c>
    </row>
    <row r="1941" spans="1:10" ht="15.75" hidden="1" thickBot="1" x14ac:dyDescent="0.3">
      <c r="A1941" s="221"/>
      <c r="B1941" s="223"/>
      <c r="C1941" s="26"/>
      <c r="D1941" s="26"/>
      <c r="E1941" s="27"/>
      <c r="F1941" s="37" t="s">
        <v>521</v>
      </c>
      <c r="G1941" s="25" t="str">
        <f t="shared" si="31"/>
        <v/>
      </c>
      <c r="H1941" s="29"/>
      <c r="I1941" s="25"/>
      <c r="J1941" s="138">
        <v>0</v>
      </c>
    </row>
    <row r="1942" spans="1:10" ht="15.75" hidden="1" thickBot="1" x14ac:dyDescent="0.3">
      <c r="A1942" s="221"/>
      <c r="B1942" s="223"/>
      <c r="C1942" s="30" t="s">
        <v>52</v>
      </c>
      <c r="D1942" s="41" t="s">
        <v>12</v>
      </c>
      <c r="E1942" s="31">
        <v>0.05</v>
      </c>
      <c r="F1942" s="25">
        <v>21.184999999999999</v>
      </c>
      <c r="G1942" s="25">
        <f t="shared" si="31"/>
        <v>1.05925</v>
      </c>
      <c r="H1942" s="33">
        <f>SUM(G1942:G1943)</f>
        <v>1.05925</v>
      </c>
      <c r="I1942" s="34"/>
      <c r="J1942" s="138">
        <v>0</v>
      </c>
    </row>
    <row r="1943" spans="1:10" ht="15.75" hidden="1" thickBot="1" x14ac:dyDescent="0.3">
      <c r="A1943" s="221"/>
      <c r="B1943" s="223"/>
      <c r="C1943" s="30" t="s">
        <v>611</v>
      </c>
      <c r="D1943" s="41" t="s">
        <v>93</v>
      </c>
      <c r="E1943" s="31">
        <v>1</v>
      </c>
      <c r="F1943" s="25" t="s">
        <v>521</v>
      </c>
      <c r="G1943" s="25" t="str">
        <f t="shared" si="31"/>
        <v/>
      </c>
      <c r="H1943" s="29"/>
      <c r="I1943" s="25"/>
      <c r="J1943" s="138">
        <v>0</v>
      </c>
    </row>
    <row r="1944" spans="1:10" ht="15.75" hidden="1" thickBot="1" x14ac:dyDescent="0.3">
      <c r="A1944" s="227"/>
      <c r="B1944" s="224"/>
      <c r="C1944" s="30"/>
      <c r="D1944" s="30"/>
      <c r="E1944" s="31"/>
      <c r="F1944" s="25" t="s">
        <v>521</v>
      </c>
      <c r="G1944" s="25" t="str">
        <f t="shared" si="31"/>
        <v/>
      </c>
      <c r="H1944" s="29"/>
      <c r="I1944" s="25"/>
      <c r="J1944" s="138">
        <v>0</v>
      </c>
    </row>
    <row r="1945" spans="1:10" ht="15.75" hidden="1" thickBot="1" x14ac:dyDescent="0.3">
      <c r="A1945" s="220" t="s">
        <v>612</v>
      </c>
      <c r="B1945" s="222" t="e">
        <f>INDEX(Orçamentária!A:B,MATCH(Composições!A1945,Orçamentária!A:A,0),2)</f>
        <v>#N/A</v>
      </c>
      <c r="C1945" s="35"/>
      <c r="D1945" s="20" t="s">
        <v>93</v>
      </c>
      <c r="E1945" s="21"/>
      <c r="F1945" s="36" t="s">
        <v>521</v>
      </c>
      <c r="G1945" s="22" t="str">
        <f t="shared" si="31"/>
        <v/>
      </c>
      <c r="H1945" s="23"/>
      <c r="I1945" s="24"/>
      <c r="J1945" s="138">
        <v>0</v>
      </c>
    </row>
    <row r="1946" spans="1:10" ht="15.75" hidden="1" thickBot="1" x14ac:dyDescent="0.3">
      <c r="A1946" s="221"/>
      <c r="B1946" s="223"/>
      <c r="C1946" s="26"/>
      <c r="D1946" s="26"/>
      <c r="E1946" s="27"/>
      <c r="F1946" s="37" t="s">
        <v>521</v>
      </c>
      <c r="G1946" s="25" t="str">
        <f t="shared" si="31"/>
        <v/>
      </c>
      <c r="H1946" s="29"/>
      <c r="I1946" s="25"/>
      <c r="J1946" s="138">
        <v>0</v>
      </c>
    </row>
    <row r="1947" spans="1:10" ht="15.75" hidden="1" thickBot="1" x14ac:dyDescent="0.3">
      <c r="A1947" s="221"/>
      <c r="B1947" s="223"/>
      <c r="C1947" s="30" t="s">
        <v>52</v>
      </c>
      <c r="D1947" s="41" t="s">
        <v>12</v>
      </c>
      <c r="E1947" s="31">
        <v>0.05</v>
      </c>
      <c r="F1947" s="25">
        <v>21.184999999999999</v>
      </c>
      <c r="G1947" s="25">
        <f t="shared" si="31"/>
        <v>1.05925</v>
      </c>
      <c r="H1947" s="33">
        <f>SUM(G1947:G1950)</f>
        <v>1.05925</v>
      </c>
      <c r="I1947" s="34"/>
      <c r="J1947" s="138">
        <v>0</v>
      </c>
    </row>
    <row r="1948" spans="1:10" ht="15.75" hidden="1" thickBot="1" x14ac:dyDescent="0.3">
      <c r="A1948" s="221"/>
      <c r="B1948" s="223"/>
      <c r="C1948" s="30" t="s">
        <v>2331</v>
      </c>
      <c r="D1948" s="30" t="s">
        <v>20</v>
      </c>
      <c r="E1948" s="31">
        <v>1</v>
      </c>
      <c r="F1948" s="25" t="s">
        <v>521</v>
      </c>
      <c r="G1948" s="25" t="str">
        <f t="shared" si="31"/>
        <v/>
      </c>
      <c r="H1948" s="29"/>
      <c r="I1948" s="25"/>
      <c r="J1948" s="138">
        <v>0</v>
      </c>
    </row>
    <row r="1949" spans="1:10" ht="15.75" hidden="1" thickBot="1" x14ac:dyDescent="0.3">
      <c r="A1949" s="221"/>
      <c r="B1949" s="223"/>
      <c r="C1949" s="30" t="s">
        <v>2332</v>
      </c>
      <c r="D1949" s="30" t="s">
        <v>20</v>
      </c>
      <c r="E1949" s="31">
        <v>1</v>
      </c>
      <c r="F1949" s="25" t="s">
        <v>521</v>
      </c>
      <c r="G1949" s="25" t="str">
        <f t="shared" si="31"/>
        <v/>
      </c>
      <c r="H1949" s="29"/>
      <c r="I1949" s="25"/>
      <c r="J1949" s="138">
        <v>0</v>
      </c>
    </row>
    <row r="1950" spans="1:10" ht="15.75" hidden="1" thickBot="1" x14ac:dyDescent="0.3">
      <c r="A1950" s="221"/>
      <c r="B1950" s="223"/>
      <c r="C1950" s="30" t="s">
        <v>613</v>
      </c>
      <c r="D1950" s="41" t="s">
        <v>93</v>
      </c>
      <c r="E1950" s="31">
        <v>1</v>
      </c>
      <c r="F1950" s="25" t="s">
        <v>521</v>
      </c>
      <c r="G1950" s="25" t="str">
        <f t="shared" si="31"/>
        <v/>
      </c>
      <c r="H1950" s="29"/>
      <c r="I1950" s="25"/>
      <c r="J1950" s="138">
        <v>0</v>
      </c>
    </row>
    <row r="1951" spans="1:10" ht="15.75" hidden="1" thickBot="1" x14ac:dyDescent="0.3">
      <c r="A1951" s="227"/>
      <c r="B1951" s="224"/>
      <c r="C1951" s="30"/>
      <c r="D1951" s="30"/>
      <c r="E1951" s="31"/>
      <c r="F1951" s="25" t="s">
        <v>521</v>
      </c>
      <c r="G1951" s="25" t="str">
        <f t="shared" si="31"/>
        <v/>
      </c>
      <c r="H1951" s="29"/>
      <c r="I1951" s="25"/>
      <c r="J1951" s="138">
        <v>0</v>
      </c>
    </row>
    <row r="1952" spans="1:10" ht="15.75" hidden="1" thickBot="1" x14ac:dyDescent="0.3">
      <c r="A1952" s="220" t="s">
        <v>614</v>
      </c>
      <c r="B1952" s="222" t="e">
        <f>INDEX(Orçamentária!A:B,MATCH(Composições!A1952,Orçamentária!A:A,0),2)</f>
        <v>#N/A</v>
      </c>
      <c r="C1952" s="35"/>
      <c r="D1952" s="20" t="s">
        <v>20</v>
      </c>
      <c r="E1952" s="21"/>
      <c r="F1952" s="36" t="s">
        <v>521</v>
      </c>
      <c r="G1952" s="22" t="str">
        <f t="shared" si="31"/>
        <v/>
      </c>
      <c r="H1952" s="23"/>
      <c r="I1952" s="24"/>
      <c r="J1952" s="138">
        <v>0</v>
      </c>
    </row>
    <row r="1953" spans="1:10" ht="15.75" hidden="1" thickBot="1" x14ac:dyDescent="0.3">
      <c r="A1953" s="221"/>
      <c r="B1953" s="223"/>
      <c r="C1953" s="26"/>
      <c r="D1953" s="26"/>
      <c r="E1953" s="27"/>
      <c r="F1953" s="37" t="s">
        <v>521</v>
      </c>
      <c r="G1953" s="25" t="str">
        <f t="shared" si="31"/>
        <v/>
      </c>
      <c r="H1953" s="29"/>
      <c r="I1953" s="25"/>
      <c r="J1953" s="138">
        <v>0</v>
      </c>
    </row>
    <row r="1954" spans="1:10" ht="26.25" hidden="1" thickBot="1" x14ac:dyDescent="0.3">
      <c r="A1954" s="221"/>
      <c r="B1954" s="223"/>
      <c r="C1954" s="30" t="s">
        <v>107</v>
      </c>
      <c r="D1954" s="41" t="s">
        <v>12</v>
      </c>
      <c r="E1954" s="31">
        <v>0.5</v>
      </c>
      <c r="F1954" s="25">
        <v>19.094999999999999</v>
      </c>
      <c r="G1954" s="28">
        <f t="shared" si="31"/>
        <v>9.5474999999999994</v>
      </c>
      <c r="H1954" s="33">
        <f>SUM(G1954:G1956)</f>
        <v>21.698</v>
      </c>
      <c r="I1954" s="34"/>
      <c r="J1954" s="138">
        <v>0</v>
      </c>
    </row>
    <row r="1955" spans="1:10" ht="15.75" hidden="1" thickBot="1" x14ac:dyDescent="0.3">
      <c r="A1955" s="221"/>
      <c r="B1955" s="223"/>
      <c r="C1955" s="30" t="s">
        <v>39</v>
      </c>
      <c r="D1955" s="41" t="s">
        <v>12</v>
      </c>
      <c r="E1955" s="31">
        <v>0.5</v>
      </c>
      <c r="F1955" s="25">
        <v>24.300999999999998</v>
      </c>
      <c r="G1955" s="28">
        <f t="shared" si="31"/>
        <v>12.150499999999999</v>
      </c>
      <c r="H1955" s="29"/>
      <c r="I1955" s="25"/>
      <c r="J1955" s="138">
        <v>0</v>
      </c>
    </row>
    <row r="1956" spans="1:10" ht="15.75" hidden="1" thickBot="1" x14ac:dyDescent="0.3">
      <c r="A1956" s="221"/>
      <c r="B1956" s="223"/>
      <c r="C1956" s="30" t="s">
        <v>617</v>
      </c>
      <c r="D1956" s="30" t="s">
        <v>144</v>
      </c>
      <c r="E1956" s="31">
        <v>1</v>
      </c>
      <c r="F1956" s="28" t="s">
        <v>521</v>
      </c>
      <c r="G1956" s="28" t="str">
        <f t="shared" si="31"/>
        <v/>
      </c>
      <c r="H1956" s="29"/>
      <c r="I1956" s="25"/>
      <c r="J1956" s="138">
        <v>0</v>
      </c>
    </row>
    <row r="1957" spans="1:10" ht="15.75" hidden="1" thickBot="1" x14ac:dyDescent="0.3">
      <c r="A1957" s="227"/>
      <c r="B1957" s="224"/>
      <c r="C1957" s="30"/>
      <c r="D1957" s="30"/>
      <c r="E1957" s="31"/>
      <c r="F1957" s="25" t="s">
        <v>521</v>
      </c>
      <c r="G1957" s="25" t="str">
        <f t="shared" si="31"/>
        <v/>
      </c>
      <c r="H1957" s="29"/>
      <c r="I1957" s="25"/>
      <c r="J1957" s="138">
        <v>0</v>
      </c>
    </row>
    <row r="1958" spans="1:10" ht="15.75" hidden="1" thickBot="1" x14ac:dyDescent="0.3">
      <c r="A1958" s="220" t="s">
        <v>618</v>
      </c>
      <c r="B1958" s="222" t="e">
        <f>INDEX(Orçamentária!A:B,MATCH(Composições!A1958,Orçamentária!A:A,0),2)</f>
        <v>#N/A</v>
      </c>
      <c r="C1958" s="35"/>
      <c r="D1958" s="20" t="s">
        <v>20</v>
      </c>
      <c r="E1958" s="21"/>
      <c r="F1958" s="36" t="s">
        <v>521</v>
      </c>
      <c r="G1958" s="22" t="str">
        <f t="shared" si="31"/>
        <v/>
      </c>
      <c r="H1958" s="23"/>
      <c r="I1958" s="24"/>
      <c r="J1958" s="138">
        <v>0</v>
      </c>
    </row>
    <row r="1959" spans="1:10" ht="15.75" hidden="1" thickBot="1" x14ac:dyDescent="0.3">
      <c r="A1959" s="221"/>
      <c r="B1959" s="223"/>
      <c r="C1959" s="26"/>
      <c r="D1959" s="26"/>
      <c r="E1959" s="27"/>
      <c r="F1959" s="37" t="s">
        <v>521</v>
      </c>
      <c r="G1959" s="25" t="str">
        <f t="shared" si="31"/>
        <v/>
      </c>
      <c r="H1959" s="29"/>
      <c r="I1959" s="25"/>
      <c r="J1959" s="138">
        <v>0</v>
      </c>
    </row>
    <row r="1960" spans="1:10" ht="26.25" hidden="1" thickBot="1" x14ac:dyDescent="0.3">
      <c r="A1960" s="221"/>
      <c r="B1960" s="223"/>
      <c r="C1960" s="30" t="s">
        <v>107</v>
      </c>
      <c r="D1960" s="41" t="s">
        <v>12</v>
      </c>
      <c r="E1960" s="31">
        <v>0.5</v>
      </c>
      <c r="F1960" s="25">
        <v>19.094999999999999</v>
      </c>
      <c r="G1960" s="28">
        <f t="shared" si="31"/>
        <v>9.5474999999999994</v>
      </c>
      <c r="H1960" s="33">
        <f>SUM(G1960:G1962)</f>
        <v>21.698</v>
      </c>
      <c r="I1960" s="34"/>
      <c r="J1960" s="138">
        <v>0</v>
      </c>
    </row>
    <row r="1961" spans="1:10" ht="15.75" hidden="1" thickBot="1" x14ac:dyDescent="0.3">
      <c r="A1961" s="221"/>
      <c r="B1961" s="223"/>
      <c r="C1961" s="30" t="s">
        <v>39</v>
      </c>
      <c r="D1961" s="41" t="s">
        <v>12</v>
      </c>
      <c r="E1961" s="31">
        <v>0.5</v>
      </c>
      <c r="F1961" s="25">
        <v>24.300999999999998</v>
      </c>
      <c r="G1961" s="28">
        <f t="shared" si="31"/>
        <v>12.150499999999999</v>
      </c>
      <c r="H1961" s="29"/>
      <c r="I1961" s="25"/>
      <c r="J1961" s="138">
        <v>0</v>
      </c>
    </row>
    <row r="1962" spans="1:10" ht="15.75" hidden="1" thickBot="1" x14ac:dyDescent="0.3">
      <c r="A1962" s="221"/>
      <c r="B1962" s="223"/>
      <c r="C1962" s="30" t="s">
        <v>619</v>
      </c>
      <c r="D1962" s="30" t="s">
        <v>144</v>
      </c>
      <c r="E1962" s="31">
        <v>1</v>
      </c>
      <c r="F1962" s="28" t="s">
        <v>521</v>
      </c>
      <c r="G1962" s="28" t="str">
        <f t="shared" si="31"/>
        <v/>
      </c>
      <c r="H1962" s="29"/>
      <c r="I1962" s="25"/>
      <c r="J1962" s="138">
        <v>0</v>
      </c>
    </row>
    <row r="1963" spans="1:10" ht="15.75" hidden="1" thickBot="1" x14ac:dyDescent="0.3">
      <c r="A1963" s="227"/>
      <c r="B1963" s="224"/>
      <c r="C1963" s="30"/>
      <c r="D1963" s="30"/>
      <c r="E1963" s="31"/>
      <c r="F1963" s="25" t="s">
        <v>521</v>
      </c>
      <c r="G1963" s="25" t="str">
        <f t="shared" si="31"/>
        <v/>
      </c>
      <c r="H1963" s="29"/>
      <c r="I1963" s="25"/>
      <c r="J1963" s="138">
        <v>0</v>
      </c>
    </row>
    <row r="1964" spans="1:10" ht="15.75" hidden="1" thickBot="1" x14ac:dyDescent="0.3">
      <c r="A1964" s="220" t="s">
        <v>620</v>
      </c>
      <c r="B1964" s="222" t="e">
        <f>INDEX(Orçamentária!A:B,MATCH(Composições!A1964,Orçamentária!A:A,0),2)</f>
        <v>#N/A</v>
      </c>
      <c r="C1964" s="35"/>
      <c r="D1964" s="20" t="s">
        <v>20</v>
      </c>
      <c r="E1964" s="21"/>
      <c r="F1964" s="36" t="s">
        <v>521</v>
      </c>
      <c r="G1964" s="22" t="str">
        <f t="shared" si="31"/>
        <v/>
      </c>
      <c r="H1964" s="23"/>
      <c r="I1964" s="24"/>
      <c r="J1964" s="138">
        <v>0</v>
      </c>
    </row>
    <row r="1965" spans="1:10" ht="15.75" hidden="1" thickBot="1" x14ac:dyDescent="0.3">
      <c r="A1965" s="221"/>
      <c r="B1965" s="223"/>
      <c r="C1965" s="26"/>
      <c r="D1965" s="26"/>
      <c r="E1965" s="27"/>
      <c r="F1965" s="37" t="s">
        <v>521</v>
      </c>
      <c r="G1965" s="25" t="str">
        <f t="shared" si="31"/>
        <v/>
      </c>
      <c r="H1965" s="29"/>
      <c r="I1965" s="25"/>
      <c r="J1965" s="138">
        <v>0</v>
      </c>
    </row>
    <row r="1966" spans="1:10" ht="26.25" hidden="1" thickBot="1" x14ac:dyDescent="0.3">
      <c r="A1966" s="221"/>
      <c r="B1966" s="223"/>
      <c r="C1966" s="30" t="s">
        <v>107</v>
      </c>
      <c r="D1966" s="41" t="s">
        <v>12</v>
      </c>
      <c r="E1966" s="31">
        <v>0.14849999999999999</v>
      </c>
      <c r="F1966" s="25">
        <v>19.094999999999999</v>
      </c>
      <c r="G1966" s="25">
        <f t="shared" si="31"/>
        <v>2.8356074999999996</v>
      </c>
      <c r="H1966" s="33">
        <f>SUM(G1966:G1969)</f>
        <v>6.6477047999999996</v>
      </c>
      <c r="I1966" s="34"/>
      <c r="J1966" s="138">
        <v>0</v>
      </c>
    </row>
    <row r="1967" spans="1:10" ht="15.75" hidden="1" thickBot="1" x14ac:dyDescent="0.3">
      <c r="A1967" s="221"/>
      <c r="B1967" s="223"/>
      <c r="C1967" s="30" t="s">
        <v>39</v>
      </c>
      <c r="D1967" s="41" t="s">
        <v>12</v>
      </c>
      <c r="E1967" s="31">
        <v>0.14849999999999999</v>
      </c>
      <c r="F1967" s="25">
        <v>24.300999999999998</v>
      </c>
      <c r="G1967" s="25">
        <f t="shared" si="31"/>
        <v>3.6086984999999996</v>
      </c>
      <c r="H1967" s="29"/>
      <c r="I1967" s="25"/>
      <c r="J1967" s="138">
        <v>0</v>
      </c>
    </row>
    <row r="1968" spans="1:10" ht="39" hidden="1" thickBot="1" x14ac:dyDescent="0.3">
      <c r="A1968" s="221"/>
      <c r="B1968" s="223"/>
      <c r="C1968" s="30" t="s">
        <v>621</v>
      </c>
      <c r="D1968" s="30" t="s">
        <v>144</v>
      </c>
      <c r="E1968" s="31">
        <v>1</v>
      </c>
      <c r="F1968" s="28" t="s">
        <v>521</v>
      </c>
      <c r="G1968" s="25" t="str">
        <f t="shared" si="31"/>
        <v/>
      </c>
      <c r="H1968" s="29"/>
      <c r="I1968" s="25"/>
      <c r="J1968" s="138">
        <v>0</v>
      </c>
    </row>
    <row r="1969" spans="1:10" ht="15.75" hidden="1" thickBot="1" x14ac:dyDescent="0.3">
      <c r="A1969" s="221"/>
      <c r="B1969" s="223"/>
      <c r="C1969" s="30" t="s">
        <v>379</v>
      </c>
      <c r="D1969" s="41" t="s">
        <v>279</v>
      </c>
      <c r="E1969" s="31">
        <v>1.32E-2</v>
      </c>
      <c r="F1969" s="28">
        <v>15.408999999999999</v>
      </c>
      <c r="G1969" s="25">
        <f t="shared" si="31"/>
        <v>0.20339879999999999</v>
      </c>
      <c r="H1969" s="29"/>
      <c r="I1969" s="25"/>
      <c r="J1969" s="138">
        <v>0</v>
      </c>
    </row>
    <row r="1970" spans="1:10" ht="15.75" hidden="1" thickBot="1" x14ac:dyDescent="0.3">
      <c r="A1970" s="227"/>
      <c r="B1970" s="224"/>
      <c r="C1970" s="30"/>
      <c r="D1970" s="30"/>
      <c r="E1970" s="31"/>
      <c r="F1970" s="25" t="s">
        <v>521</v>
      </c>
      <c r="G1970" s="25" t="str">
        <f t="shared" si="31"/>
        <v/>
      </c>
      <c r="H1970" s="29"/>
      <c r="I1970" s="25"/>
      <c r="J1970" s="138">
        <v>0</v>
      </c>
    </row>
    <row r="1971" spans="1:10" ht="15.75" hidden="1" thickBot="1" x14ac:dyDescent="0.3">
      <c r="A1971" s="220" t="s">
        <v>622</v>
      </c>
      <c r="B1971" s="222" t="e">
        <f>INDEX(Orçamentária!A:B,MATCH(Composições!A1971,Orçamentária!A:A,0),2)</f>
        <v>#N/A</v>
      </c>
      <c r="C1971" s="35"/>
      <c r="D1971" s="20" t="s">
        <v>20</v>
      </c>
      <c r="E1971" s="21"/>
      <c r="F1971" s="36" t="s">
        <v>521</v>
      </c>
      <c r="G1971" s="22" t="str">
        <f t="shared" si="31"/>
        <v/>
      </c>
      <c r="H1971" s="23"/>
      <c r="I1971" s="24"/>
      <c r="J1971" s="138">
        <v>0</v>
      </c>
    </row>
    <row r="1972" spans="1:10" ht="15.75" hidden="1" thickBot="1" x14ac:dyDescent="0.3">
      <c r="A1972" s="221"/>
      <c r="B1972" s="223"/>
      <c r="C1972" s="26"/>
      <c r="D1972" s="26"/>
      <c r="E1972" s="27"/>
      <c r="F1972" s="37" t="s">
        <v>521</v>
      </c>
      <c r="G1972" s="25" t="str">
        <f t="shared" si="31"/>
        <v/>
      </c>
      <c r="H1972" s="29"/>
      <c r="I1972" s="25"/>
      <c r="J1972" s="138">
        <v>0</v>
      </c>
    </row>
    <row r="1973" spans="1:10" ht="26.25" hidden="1" thickBot="1" x14ac:dyDescent="0.3">
      <c r="A1973" s="221"/>
      <c r="B1973" s="223"/>
      <c r="C1973" s="30" t="s">
        <v>107</v>
      </c>
      <c r="D1973" s="41" t="s">
        <v>12</v>
      </c>
      <c r="E1973" s="31">
        <v>0.11020000000000001</v>
      </c>
      <c r="F1973" s="25">
        <v>19.094999999999999</v>
      </c>
      <c r="G1973" s="25">
        <f t="shared" si="31"/>
        <v>2.1042689999999999</v>
      </c>
      <c r="H1973" s="33">
        <f>SUM(G1973:G1976)</f>
        <v>4.9455745999999996</v>
      </c>
      <c r="I1973" s="34"/>
      <c r="J1973" s="138">
        <v>0</v>
      </c>
    </row>
    <row r="1974" spans="1:10" ht="15.75" hidden="1" thickBot="1" x14ac:dyDescent="0.3">
      <c r="A1974" s="221"/>
      <c r="B1974" s="223"/>
      <c r="C1974" s="30" t="s">
        <v>39</v>
      </c>
      <c r="D1974" s="41" t="s">
        <v>12</v>
      </c>
      <c r="E1974" s="31">
        <v>0.11020000000000001</v>
      </c>
      <c r="F1974" s="25">
        <v>24.300999999999998</v>
      </c>
      <c r="G1974" s="25">
        <f t="shared" si="31"/>
        <v>2.6779701999999999</v>
      </c>
      <c r="H1974" s="29"/>
      <c r="I1974" s="25"/>
      <c r="J1974" s="138">
        <v>0</v>
      </c>
    </row>
    <row r="1975" spans="1:10" ht="39" hidden="1" thickBot="1" x14ac:dyDescent="0.3">
      <c r="A1975" s="221"/>
      <c r="B1975" s="223"/>
      <c r="C1975" s="30" t="s">
        <v>623</v>
      </c>
      <c r="D1975" s="30" t="s">
        <v>144</v>
      </c>
      <c r="E1975" s="31">
        <v>1</v>
      </c>
      <c r="F1975" s="28" t="s">
        <v>521</v>
      </c>
      <c r="G1975" s="25" t="str">
        <f t="shared" si="31"/>
        <v/>
      </c>
      <c r="H1975" s="29"/>
      <c r="I1975" s="25"/>
      <c r="J1975" s="138">
        <v>0</v>
      </c>
    </row>
    <row r="1976" spans="1:10" ht="15.75" hidden="1" thickBot="1" x14ac:dyDescent="0.3">
      <c r="A1976" s="221"/>
      <c r="B1976" s="223"/>
      <c r="C1976" s="30" t="s">
        <v>379</v>
      </c>
      <c r="D1976" s="41" t="s">
        <v>279</v>
      </c>
      <c r="E1976" s="31">
        <v>1.06E-2</v>
      </c>
      <c r="F1976" s="28">
        <v>15.408999999999999</v>
      </c>
      <c r="G1976" s="25">
        <f t="shared" si="31"/>
        <v>0.16333539999999999</v>
      </c>
      <c r="H1976" s="29"/>
      <c r="I1976" s="25"/>
      <c r="J1976" s="138">
        <v>0</v>
      </c>
    </row>
    <row r="1977" spans="1:10" ht="15.75" hidden="1" thickBot="1" x14ac:dyDescent="0.3">
      <c r="A1977" s="227"/>
      <c r="B1977" s="224"/>
      <c r="C1977" s="30"/>
      <c r="D1977" s="30"/>
      <c r="E1977" s="31"/>
      <c r="F1977" s="25" t="s">
        <v>521</v>
      </c>
      <c r="G1977" s="25" t="str">
        <f t="shared" si="31"/>
        <v/>
      </c>
      <c r="H1977" s="29"/>
      <c r="I1977" s="25"/>
      <c r="J1977" s="138">
        <v>0</v>
      </c>
    </row>
    <row r="1978" spans="1:10" ht="15.75" hidden="1" thickBot="1" x14ac:dyDescent="0.3">
      <c r="A1978" s="220" t="s">
        <v>624</v>
      </c>
      <c r="B1978" s="222" t="e">
        <f>INDEX(Orçamentária!A:B,MATCH(Composições!A1978,Orçamentária!A:A,0),2)</f>
        <v>#N/A</v>
      </c>
      <c r="C1978" s="35"/>
      <c r="D1978" s="20" t="s">
        <v>20</v>
      </c>
      <c r="E1978" s="21"/>
      <c r="F1978" s="36" t="s">
        <v>521</v>
      </c>
      <c r="G1978" s="22" t="str">
        <f t="shared" si="31"/>
        <v/>
      </c>
      <c r="H1978" s="23"/>
      <c r="I1978" s="24"/>
      <c r="J1978" s="138">
        <v>0</v>
      </c>
    </row>
    <row r="1979" spans="1:10" ht="15.75" hidden="1" thickBot="1" x14ac:dyDescent="0.3">
      <c r="A1979" s="221"/>
      <c r="B1979" s="223"/>
      <c r="C1979" s="26"/>
      <c r="D1979" s="26"/>
      <c r="E1979" s="27"/>
      <c r="F1979" s="37" t="s">
        <v>521</v>
      </c>
      <c r="G1979" s="25" t="str">
        <f t="shared" si="31"/>
        <v/>
      </c>
      <c r="H1979" s="29"/>
      <c r="I1979" s="25"/>
      <c r="J1979" s="138">
        <v>0</v>
      </c>
    </row>
    <row r="1980" spans="1:10" ht="26.25" hidden="1" thickBot="1" x14ac:dyDescent="0.3">
      <c r="A1980" s="221"/>
      <c r="B1980" s="223"/>
      <c r="C1980" s="30" t="s">
        <v>107</v>
      </c>
      <c r="D1980" s="41" t="s">
        <v>12</v>
      </c>
      <c r="E1980" s="31">
        <v>0.14849999999999999</v>
      </c>
      <c r="F1980" s="25">
        <v>19.094999999999999</v>
      </c>
      <c r="G1980" s="25">
        <f t="shared" si="31"/>
        <v>2.8356074999999996</v>
      </c>
      <c r="H1980" s="33">
        <f>SUM(G1980:G1984)</f>
        <v>6.6477047999999996</v>
      </c>
      <c r="I1980" s="34"/>
      <c r="J1980" s="138">
        <v>0</v>
      </c>
    </row>
    <row r="1981" spans="1:10" ht="15.75" hidden="1" thickBot="1" x14ac:dyDescent="0.3">
      <c r="A1981" s="221"/>
      <c r="B1981" s="223"/>
      <c r="C1981" s="30" t="s">
        <v>39</v>
      </c>
      <c r="D1981" s="41" t="s">
        <v>12</v>
      </c>
      <c r="E1981" s="31">
        <v>0.14849999999999999</v>
      </c>
      <c r="F1981" s="25">
        <v>24.300999999999998</v>
      </c>
      <c r="G1981" s="25">
        <f t="shared" si="31"/>
        <v>3.6086984999999996</v>
      </c>
      <c r="H1981" s="29"/>
      <c r="I1981" s="25"/>
      <c r="J1981" s="138">
        <v>0</v>
      </c>
    </row>
    <row r="1982" spans="1:10" ht="15.75" hidden="1" thickBot="1" x14ac:dyDescent="0.3">
      <c r="A1982" s="221"/>
      <c r="B1982" s="223"/>
      <c r="C1982" s="30" t="s">
        <v>379</v>
      </c>
      <c r="D1982" s="41" t="s">
        <v>279</v>
      </c>
      <c r="E1982" s="31">
        <v>1.32E-2</v>
      </c>
      <c r="F1982" s="28">
        <v>15.408999999999999</v>
      </c>
      <c r="G1982" s="25">
        <f t="shared" si="31"/>
        <v>0.20339879999999999</v>
      </c>
      <c r="H1982" s="29"/>
      <c r="I1982" s="25"/>
      <c r="J1982" s="138">
        <v>0</v>
      </c>
    </row>
    <row r="1983" spans="1:10" ht="39" hidden="1" thickBot="1" x14ac:dyDescent="0.3">
      <c r="A1983" s="221"/>
      <c r="B1983" s="223"/>
      <c r="C1983" s="30" t="s">
        <v>625</v>
      </c>
      <c r="D1983" s="30" t="s">
        <v>144</v>
      </c>
      <c r="E1983" s="31">
        <v>1</v>
      </c>
      <c r="F1983" s="28" t="s">
        <v>521</v>
      </c>
      <c r="G1983" s="25" t="str">
        <f t="shared" si="31"/>
        <v/>
      </c>
      <c r="H1983" s="29"/>
      <c r="I1983" s="25"/>
      <c r="J1983" s="138">
        <v>0</v>
      </c>
    </row>
    <row r="1984" spans="1:10" ht="39" hidden="1" thickBot="1" x14ac:dyDescent="0.3">
      <c r="A1984" s="221"/>
      <c r="B1984" s="223"/>
      <c r="C1984" s="30" t="s">
        <v>626</v>
      </c>
      <c r="D1984" s="30" t="s">
        <v>144</v>
      </c>
      <c r="E1984" s="31">
        <v>1</v>
      </c>
      <c r="F1984" s="28" t="s">
        <v>521</v>
      </c>
      <c r="G1984" s="25" t="str">
        <f t="shared" si="31"/>
        <v/>
      </c>
      <c r="H1984" s="29"/>
      <c r="I1984" s="25"/>
      <c r="J1984" s="138">
        <v>0</v>
      </c>
    </row>
    <row r="1985" spans="1:10" ht="15.75" hidden="1" thickBot="1" x14ac:dyDescent="0.3">
      <c r="A1985" s="227"/>
      <c r="B1985" s="224"/>
      <c r="C1985" s="30"/>
      <c r="D1985" s="30"/>
      <c r="E1985" s="31"/>
      <c r="F1985" s="25" t="s">
        <v>521</v>
      </c>
      <c r="G1985" s="25" t="str">
        <f t="shared" si="31"/>
        <v/>
      </c>
      <c r="H1985" s="29"/>
      <c r="I1985" s="25"/>
      <c r="J1985" s="138">
        <v>0</v>
      </c>
    </row>
    <row r="1986" spans="1:10" ht="15.75" hidden="1" thickBot="1" x14ac:dyDescent="0.3">
      <c r="A1986" s="220" t="s">
        <v>627</v>
      </c>
      <c r="B1986" s="222" t="e">
        <f>INDEX(Orçamentária!A:B,MATCH(Composições!A1986,Orçamentária!A:A,0),2)</f>
        <v>#N/A</v>
      </c>
      <c r="C1986" s="35"/>
      <c r="D1986" s="20" t="s">
        <v>20</v>
      </c>
      <c r="E1986" s="21"/>
      <c r="F1986" s="36" t="s">
        <v>521</v>
      </c>
      <c r="G1986" s="22" t="str">
        <f t="shared" si="31"/>
        <v/>
      </c>
      <c r="H1986" s="23"/>
      <c r="I1986" s="24"/>
      <c r="J1986" s="138">
        <v>0</v>
      </c>
    </row>
    <row r="1987" spans="1:10" ht="15.75" hidden="1" thickBot="1" x14ac:dyDescent="0.3">
      <c r="A1987" s="221"/>
      <c r="B1987" s="223"/>
      <c r="C1987" s="26"/>
      <c r="D1987" s="26"/>
      <c r="E1987" s="27"/>
      <c r="F1987" s="37" t="s">
        <v>521</v>
      </c>
      <c r="G1987" s="25" t="str">
        <f t="shared" si="31"/>
        <v/>
      </c>
      <c r="H1987" s="29"/>
      <c r="I1987" s="25"/>
      <c r="J1987" s="138">
        <v>0</v>
      </c>
    </row>
    <row r="1988" spans="1:10" ht="26.25" hidden="1" thickBot="1" x14ac:dyDescent="0.3">
      <c r="A1988" s="221"/>
      <c r="B1988" s="223"/>
      <c r="C1988" s="30" t="s">
        <v>107</v>
      </c>
      <c r="D1988" s="41" t="s">
        <v>12</v>
      </c>
      <c r="E1988" s="31">
        <v>0.11020000000000001</v>
      </c>
      <c r="F1988" s="25">
        <v>19.094999999999999</v>
      </c>
      <c r="G1988" s="25">
        <f t="shared" si="31"/>
        <v>2.1042689999999999</v>
      </c>
      <c r="H1988" s="33">
        <f>SUM(G1988:G1992)</f>
        <v>4.9455745999999996</v>
      </c>
      <c r="I1988" s="34"/>
      <c r="J1988" s="138">
        <v>0</v>
      </c>
    </row>
    <row r="1989" spans="1:10" ht="15.75" hidden="1" thickBot="1" x14ac:dyDescent="0.3">
      <c r="A1989" s="221"/>
      <c r="B1989" s="223"/>
      <c r="C1989" s="30" t="s">
        <v>39</v>
      </c>
      <c r="D1989" s="41" t="s">
        <v>12</v>
      </c>
      <c r="E1989" s="31">
        <v>0.11020000000000001</v>
      </c>
      <c r="F1989" s="25">
        <v>24.300999999999998</v>
      </c>
      <c r="G1989" s="25">
        <f t="shared" si="31"/>
        <v>2.6779701999999999</v>
      </c>
      <c r="H1989" s="29"/>
      <c r="I1989" s="25"/>
      <c r="J1989" s="138">
        <v>0</v>
      </c>
    </row>
    <row r="1990" spans="1:10" ht="15.75" hidden="1" thickBot="1" x14ac:dyDescent="0.3">
      <c r="A1990" s="221"/>
      <c r="B1990" s="223"/>
      <c r="C1990" s="30" t="s">
        <v>379</v>
      </c>
      <c r="D1990" s="41" t="s">
        <v>279</v>
      </c>
      <c r="E1990" s="31">
        <v>1.06E-2</v>
      </c>
      <c r="F1990" s="28">
        <v>15.408999999999999</v>
      </c>
      <c r="G1990" s="25">
        <f t="shared" si="31"/>
        <v>0.16333539999999999</v>
      </c>
      <c r="H1990" s="29"/>
      <c r="I1990" s="25"/>
      <c r="J1990" s="138">
        <v>0</v>
      </c>
    </row>
    <row r="1991" spans="1:10" ht="39" hidden="1" thickBot="1" x14ac:dyDescent="0.3">
      <c r="A1991" s="221"/>
      <c r="B1991" s="223"/>
      <c r="C1991" s="30" t="s">
        <v>625</v>
      </c>
      <c r="D1991" s="30" t="s">
        <v>144</v>
      </c>
      <c r="E1991" s="31">
        <v>1</v>
      </c>
      <c r="F1991" s="28" t="s">
        <v>521</v>
      </c>
      <c r="G1991" s="25" t="str">
        <f t="shared" si="31"/>
        <v/>
      </c>
      <c r="H1991" s="29"/>
      <c r="I1991" s="25"/>
      <c r="J1991" s="138">
        <v>0</v>
      </c>
    </row>
    <row r="1992" spans="1:10" ht="39" hidden="1" thickBot="1" x14ac:dyDescent="0.3">
      <c r="A1992" s="221"/>
      <c r="B1992" s="223"/>
      <c r="C1992" s="30" t="s">
        <v>628</v>
      </c>
      <c r="D1992" s="30" t="s">
        <v>144</v>
      </c>
      <c r="E1992" s="31">
        <v>1</v>
      </c>
      <c r="F1992" s="28" t="s">
        <v>521</v>
      </c>
      <c r="G1992" s="25" t="str">
        <f t="shared" si="31"/>
        <v/>
      </c>
      <c r="H1992" s="29"/>
      <c r="I1992" s="25"/>
      <c r="J1992" s="138">
        <v>0</v>
      </c>
    </row>
    <row r="1993" spans="1:10" ht="15.75" hidden="1" thickBot="1" x14ac:dyDescent="0.3">
      <c r="A1993" s="227"/>
      <c r="B1993" s="224"/>
      <c r="C1993" s="30"/>
      <c r="D1993" s="30"/>
      <c r="E1993" s="31"/>
      <c r="F1993" s="25" t="s">
        <v>521</v>
      </c>
      <c r="G1993" s="25" t="str">
        <f t="shared" si="31"/>
        <v/>
      </c>
      <c r="H1993" s="29"/>
      <c r="I1993" s="25"/>
      <c r="J1993" s="138">
        <v>0</v>
      </c>
    </row>
    <row r="1994" spans="1:10" ht="15.75" hidden="1" thickBot="1" x14ac:dyDescent="0.3">
      <c r="A1994" s="220" t="s">
        <v>629</v>
      </c>
      <c r="B1994" s="222" t="e">
        <f>INDEX(Orçamentária!A:B,MATCH(Composições!A1994,Orçamentária!A:A,0),2)</f>
        <v>#N/A</v>
      </c>
      <c r="C1994" s="35"/>
      <c r="D1994" s="20" t="s">
        <v>20</v>
      </c>
      <c r="E1994" s="21"/>
      <c r="F1994" s="36" t="s">
        <v>521</v>
      </c>
      <c r="G1994" s="22" t="str">
        <f t="shared" si="31"/>
        <v/>
      </c>
      <c r="H1994" s="23"/>
      <c r="I1994" s="24"/>
      <c r="J1994" s="138">
        <v>0</v>
      </c>
    </row>
    <row r="1995" spans="1:10" ht="15.75" hidden="1" thickBot="1" x14ac:dyDescent="0.3">
      <c r="A1995" s="221"/>
      <c r="B1995" s="223"/>
      <c r="C1995" s="26"/>
      <c r="D1995" s="26"/>
      <c r="E1995" s="27"/>
      <c r="F1995" s="37" t="s">
        <v>521</v>
      </c>
      <c r="G1995" s="25" t="str">
        <f t="shared" si="31"/>
        <v/>
      </c>
      <c r="H1995" s="29"/>
      <c r="I1995" s="25"/>
      <c r="J1995" s="138">
        <v>0</v>
      </c>
    </row>
    <row r="1996" spans="1:10" ht="15.75" hidden="1" thickBot="1" x14ac:dyDescent="0.3">
      <c r="A1996" s="221"/>
      <c r="B1996" s="223"/>
      <c r="C1996" s="30" t="s">
        <v>379</v>
      </c>
      <c r="D1996" s="41" t="s">
        <v>279</v>
      </c>
      <c r="E1996" s="31">
        <v>1.9E-2</v>
      </c>
      <c r="F1996" s="28">
        <v>15.408999999999999</v>
      </c>
      <c r="G1996" s="25">
        <f t="shared" si="31"/>
        <v>0.29277099999999995</v>
      </c>
      <c r="H1996" s="33">
        <f>SUM(G1996:G1999)</f>
        <v>146.65693779999998</v>
      </c>
      <c r="I1996" s="34"/>
      <c r="J1996" s="138">
        <v>0</v>
      </c>
    </row>
    <row r="1997" spans="1:10" ht="26.25" hidden="1" thickBot="1" x14ac:dyDescent="0.3">
      <c r="A1997" s="221"/>
      <c r="B1997" s="223"/>
      <c r="C1997" s="30" t="s">
        <v>630</v>
      </c>
      <c r="D1997" s="41" t="s">
        <v>20</v>
      </c>
      <c r="E1997" s="31">
        <v>1</v>
      </c>
      <c r="F1997" s="28">
        <v>134.93799999999999</v>
      </c>
      <c r="G1997" s="25">
        <f t="shared" si="31"/>
        <v>134.93799999999999</v>
      </c>
      <c r="H1997" s="29"/>
      <c r="I1997" s="25"/>
      <c r="J1997" s="138">
        <v>0</v>
      </c>
    </row>
    <row r="1998" spans="1:10" ht="26.25" hidden="1" thickBot="1" x14ac:dyDescent="0.3">
      <c r="A1998" s="221"/>
      <c r="B1998" s="223"/>
      <c r="C1998" s="30" t="s">
        <v>107</v>
      </c>
      <c r="D1998" s="41" t="s">
        <v>12</v>
      </c>
      <c r="E1998" s="31">
        <v>0.26329999999999998</v>
      </c>
      <c r="F1998" s="25">
        <v>19.094999999999999</v>
      </c>
      <c r="G1998" s="28">
        <f t="shared" si="31"/>
        <v>5.0277134999999991</v>
      </c>
      <c r="H1998" s="29"/>
      <c r="I1998" s="25"/>
      <c r="J1998" s="138">
        <v>0</v>
      </c>
    </row>
    <row r="1999" spans="1:10" ht="15.75" hidden="1" thickBot="1" x14ac:dyDescent="0.3">
      <c r="A1999" s="221"/>
      <c r="B1999" s="223"/>
      <c r="C1999" s="30" t="s">
        <v>39</v>
      </c>
      <c r="D1999" s="41" t="s">
        <v>12</v>
      </c>
      <c r="E1999" s="31">
        <v>0.26329999999999998</v>
      </c>
      <c r="F1999" s="25">
        <v>24.300999999999998</v>
      </c>
      <c r="G1999" s="28">
        <f t="shared" si="31"/>
        <v>6.398453299999999</v>
      </c>
      <c r="H1999" s="29"/>
      <c r="I1999" s="25"/>
      <c r="J1999" s="138">
        <v>0</v>
      </c>
    </row>
    <row r="2000" spans="1:10" ht="15.75" hidden="1" thickBot="1" x14ac:dyDescent="0.3">
      <c r="A2000" s="227"/>
      <c r="B2000" s="224"/>
      <c r="C2000" s="30"/>
      <c r="D2000" s="30"/>
      <c r="E2000" s="31"/>
      <c r="F2000" s="25" t="s">
        <v>521</v>
      </c>
      <c r="G2000" s="25" t="str">
        <f t="shared" si="31"/>
        <v/>
      </c>
      <c r="H2000" s="29"/>
      <c r="I2000" s="25"/>
      <c r="J2000" s="138">
        <v>0</v>
      </c>
    </row>
    <row r="2001" spans="1:10" ht="15.75" hidden="1" thickBot="1" x14ac:dyDescent="0.3">
      <c r="A2001" s="220" t="s">
        <v>631</v>
      </c>
      <c r="B2001" s="222" t="e">
        <f>INDEX(Orçamentária!A:B,MATCH(Composições!A2001,Orçamentária!A:A,0),2)</f>
        <v>#N/A</v>
      </c>
      <c r="C2001" s="35"/>
      <c r="D2001" s="20" t="s">
        <v>20</v>
      </c>
      <c r="E2001" s="21"/>
      <c r="F2001" s="36" t="s">
        <v>521</v>
      </c>
      <c r="G2001" s="22" t="str">
        <f t="shared" si="31"/>
        <v/>
      </c>
      <c r="H2001" s="23"/>
      <c r="I2001" s="24"/>
      <c r="J2001" s="138">
        <v>0</v>
      </c>
    </row>
    <row r="2002" spans="1:10" ht="15.75" hidden="1" thickBot="1" x14ac:dyDescent="0.3">
      <c r="A2002" s="221"/>
      <c r="B2002" s="223"/>
      <c r="C2002" s="26"/>
      <c r="D2002" s="26"/>
      <c r="E2002" s="27"/>
      <c r="F2002" s="37" t="s">
        <v>521</v>
      </c>
      <c r="G2002" s="25" t="str">
        <f t="shared" ref="G2002:G2065" si="32">IF(ISNUMBER(F2002),E2002*F2002,"")</f>
        <v/>
      </c>
      <c r="H2002" s="29"/>
      <c r="I2002" s="25"/>
      <c r="J2002" s="138">
        <v>0</v>
      </c>
    </row>
    <row r="2003" spans="1:10" ht="15.75" hidden="1" thickBot="1" x14ac:dyDescent="0.3">
      <c r="A2003" s="221"/>
      <c r="B2003" s="223"/>
      <c r="C2003" s="30" t="s">
        <v>379</v>
      </c>
      <c r="D2003" s="41" t="s">
        <v>279</v>
      </c>
      <c r="E2003" s="31">
        <v>1.6799999999999999E-2</v>
      </c>
      <c r="F2003" s="28">
        <v>15.408999999999999</v>
      </c>
      <c r="G2003" s="25">
        <f t="shared" si="32"/>
        <v>0.25887119999999997</v>
      </c>
      <c r="H2003" s="33">
        <f>SUM(G2003:G2006)</f>
        <v>121.00570279999999</v>
      </c>
      <c r="I2003" s="34"/>
      <c r="J2003" s="138">
        <v>0</v>
      </c>
    </row>
    <row r="2004" spans="1:10" ht="26.25" hidden="1" thickBot="1" x14ac:dyDescent="0.3">
      <c r="A2004" s="221"/>
      <c r="B2004" s="223"/>
      <c r="C2004" s="30" t="s">
        <v>632</v>
      </c>
      <c r="D2004" s="41" t="s">
        <v>20</v>
      </c>
      <c r="E2004" s="31">
        <v>1</v>
      </c>
      <c r="F2004" s="28">
        <v>111.9765</v>
      </c>
      <c r="G2004" s="25">
        <f t="shared" si="32"/>
        <v>111.9765</v>
      </c>
      <c r="H2004" s="29"/>
      <c r="I2004" s="25"/>
      <c r="J2004" s="138">
        <v>0</v>
      </c>
    </row>
    <row r="2005" spans="1:10" ht="26.25" hidden="1" thickBot="1" x14ac:dyDescent="0.3">
      <c r="A2005" s="221"/>
      <c r="B2005" s="223"/>
      <c r="C2005" s="30" t="s">
        <v>107</v>
      </c>
      <c r="D2005" s="41" t="s">
        <v>12</v>
      </c>
      <c r="E2005" s="31">
        <v>0.2021</v>
      </c>
      <c r="F2005" s="25">
        <v>19.094999999999999</v>
      </c>
      <c r="G2005" s="28">
        <f t="shared" si="32"/>
        <v>3.8590994999999997</v>
      </c>
      <c r="H2005" s="29"/>
      <c r="I2005" s="25"/>
      <c r="J2005" s="138">
        <v>0</v>
      </c>
    </row>
    <row r="2006" spans="1:10" ht="15.75" hidden="1" thickBot="1" x14ac:dyDescent="0.3">
      <c r="A2006" s="221"/>
      <c r="B2006" s="223"/>
      <c r="C2006" s="30" t="s">
        <v>39</v>
      </c>
      <c r="D2006" s="41" t="s">
        <v>12</v>
      </c>
      <c r="E2006" s="31">
        <v>0.2021</v>
      </c>
      <c r="F2006" s="25">
        <v>24.300999999999998</v>
      </c>
      <c r="G2006" s="28">
        <f t="shared" si="32"/>
        <v>4.9112320999999994</v>
      </c>
      <c r="H2006" s="29"/>
      <c r="I2006" s="25"/>
      <c r="J2006" s="138">
        <v>0</v>
      </c>
    </row>
    <row r="2007" spans="1:10" ht="15.75" hidden="1" thickBot="1" x14ac:dyDescent="0.3">
      <c r="A2007" s="227"/>
      <c r="B2007" s="224"/>
      <c r="C2007" s="30"/>
      <c r="D2007" s="30"/>
      <c r="E2007" s="31"/>
      <c r="F2007" s="25" t="s">
        <v>521</v>
      </c>
      <c r="G2007" s="25" t="str">
        <f t="shared" si="32"/>
        <v/>
      </c>
      <c r="H2007" s="29"/>
      <c r="I2007" s="25"/>
      <c r="J2007" s="138">
        <v>0</v>
      </c>
    </row>
    <row r="2008" spans="1:10" ht="15.75" hidden="1" thickBot="1" x14ac:dyDescent="0.3">
      <c r="A2008" s="220" t="s">
        <v>633</v>
      </c>
      <c r="B2008" s="222" t="e">
        <f>INDEX(Orçamentária!A:B,MATCH(Composições!A2008,Orçamentária!A:A,0),2)</f>
        <v>#N/A</v>
      </c>
      <c r="C2008" s="35"/>
      <c r="D2008" s="20" t="s">
        <v>20</v>
      </c>
      <c r="E2008" s="21"/>
      <c r="F2008" s="36" t="s">
        <v>521</v>
      </c>
      <c r="G2008" s="22" t="str">
        <f t="shared" si="32"/>
        <v/>
      </c>
      <c r="H2008" s="23"/>
      <c r="I2008" s="24"/>
      <c r="J2008" s="138">
        <v>0</v>
      </c>
    </row>
    <row r="2009" spans="1:10" ht="15.75" hidden="1" thickBot="1" x14ac:dyDescent="0.3">
      <c r="A2009" s="221"/>
      <c r="B2009" s="223"/>
      <c r="C2009" s="26"/>
      <c r="D2009" s="26"/>
      <c r="E2009" s="27"/>
      <c r="F2009" s="37" t="s">
        <v>521</v>
      </c>
      <c r="G2009" s="25" t="str">
        <f t="shared" si="32"/>
        <v/>
      </c>
      <c r="H2009" s="29"/>
      <c r="I2009" s="25"/>
      <c r="J2009" s="138">
        <v>0</v>
      </c>
    </row>
    <row r="2010" spans="1:10" ht="15.75" hidden="1" thickBot="1" x14ac:dyDescent="0.3">
      <c r="A2010" s="221"/>
      <c r="B2010" s="223"/>
      <c r="C2010" s="30" t="s">
        <v>379</v>
      </c>
      <c r="D2010" s="41" t="s">
        <v>279</v>
      </c>
      <c r="E2010" s="31">
        <v>1.32E-2</v>
      </c>
      <c r="F2010" s="28">
        <v>15.408999999999999</v>
      </c>
      <c r="G2010" s="25">
        <f t="shared" si="32"/>
        <v>0.20339879999999999</v>
      </c>
      <c r="H2010" s="33">
        <f>SUM(G2010:G2013)</f>
        <v>81.77370479999999</v>
      </c>
      <c r="I2010" s="34"/>
      <c r="J2010" s="138">
        <v>0</v>
      </c>
    </row>
    <row r="2011" spans="1:10" ht="15.75" hidden="1" thickBot="1" x14ac:dyDescent="0.3">
      <c r="A2011" s="221"/>
      <c r="B2011" s="223"/>
      <c r="C2011" s="30" t="s">
        <v>634</v>
      </c>
      <c r="D2011" s="41" t="s">
        <v>20</v>
      </c>
      <c r="E2011" s="31">
        <v>1</v>
      </c>
      <c r="F2011" s="28">
        <v>75.125999999999991</v>
      </c>
      <c r="G2011" s="25">
        <f t="shared" si="32"/>
        <v>75.125999999999991</v>
      </c>
      <c r="H2011" s="29"/>
      <c r="I2011" s="25"/>
      <c r="J2011" s="138">
        <v>0</v>
      </c>
    </row>
    <row r="2012" spans="1:10" ht="26.25" hidden="1" thickBot="1" x14ac:dyDescent="0.3">
      <c r="A2012" s="221"/>
      <c r="B2012" s="223"/>
      <c r="C2012" s="30" t="s">
        <v>107</v>
      </c>
      <c r="D2012" s="30" t="s">
        <v>12</v>
      </c>
      <c r="E2012" s="31">
        <v>0.14849999999999999</v>
      </c>
      <c r="F2012" s="25">
        <v>19.094999999999999</v>
      </c>
      <c r="G2012" s="28">
        <f t="shared" si="32"/>
        <v>2.8356074999999996</v>
      </c>
      <c r="H2012" s="29"/>
      <c r="I2012" s="25"/>
      <c r="J2012" s="138">
        <v>0</v>
      </c>
    </row>
    <row r="2013" spans="1:10" ht="15.75" hidden="1" thickBot="1" x14ac:dyDescent="0.3">
      <c r="A2013" s="221"/>
      <c r="B2013" s="223"/>
      <c r="C2013" s="30" t="s">
        <v>39</v>
      </c>
      <c r="D2013" s="41" t="s">
        <v>12</v>
      </c>
      <c r="E2013" s="31">
        <v>0.14849999999999999</v>
      </c>
      <c r="F2013" s="25">
        <v>24.300999999999998</v>
      </c>
      <c r="G2013" s="28">
        <f t="shared" si="32"/>
        <v>3.6086984999999996</v>
      </c>
      <c r="H2013" s="29"/>
      <c r="I2013" s="25"/>
      <c r="J2013" s="138">
        <v>0</v>
      </c>
    </row>
    <row r="2014" spans="1:10" ht="15.75" hidden="1" thickBot="1" x14ac:dyDescent="0.3">
      <c r="A2014" s="227"/>
      <c r="B2014" s="224"/>
      <c r="C2014" s="30"/>
      <c r="D2014" s="30"/>
      <c r="E2014" s="31"/>
      <c r="F2014" s="25" t="s">
        <v>521</v>
      </c>
      <c r="G2014" s="25" t="str">
        <f t="shared" si="32"/>
        <v/>
      </c>
      <c r="H2014" s="29"/>
      <c r="I2014" s="25"/>
      <c r="J2014" s="138">
        <v>0</v>
      </c>
    </row>
    <row r="2015" spans="1:10" ht="15.75" hidden="1" thickBot="1" x14ac:dyDescent="0.3">
      <c r="A2015" s="220" t="s">
        <v>635</v>
      </c>
      <c r="B2015" s="222" t="e">
        <f>INDEX(Orçamentária!A:B,MATCH(Composições!A2015,Orçamentária!A:A,0),2)</f>
        <v>#N/A</v>
      </c>
      <c r="C2015" s="35"/>
      <c r="D2015" s="20" t="s">
        <v>20</v>
      </c>
      <c r="E2015" s="21"/>
      <c r="F2015" s="36" t="s">
        <v>521</v>
      </c>
      <c r="G2015" s="22" t="str">
        <f t="shared" si="32"/>
        <v/>
      </c>
      <c r="H2015" s="23"/>
      <c r="I2015" s="24"/>
      <c r="J2015" s="138">
        <v>0</v>
      </c>
    </row>
    <row r="2016" spans="1:10" ht="15.75" hidden="1" thickBot="1" x14ac:dyDescent="0.3">
      <c r="A2016" s="221"/>
      <c r="B2016" s="223"/>
      <c r="C2016" s="26"/>
      <c r="D2016" s="26"/>
      <c r="E2016" s="27"/>
      <c r="F2016" s="37" t="s">
        <v>521</v>
      </c>
      <c r="G2016" s="25" t="str">
        <f t="shared" si="32"/>
        <v/>
      </c>
      <c r="H2016" s="29"/>
      <c r="I2016" s="25"/>
      <c r="J2016" s="138">
        <v>0</v>
      </c>
    </row>
    <row r="2017" spans="1:10" ht="15.75" hidden="1" thickBot="1" x14ac:dyDescent="0.3">
      <c r="A2017" s="221"/>
      <c r="B2017" s="223"/>
      <c r="C2017" s="30" t="s">
        <v>379</v>
      </c>
      <c r="D2017" s="41" t="s">
        <v>279</v>
      </c>
      <c r="E2017" s="31">
        <v>1.06E-2</v>
      </c>
      <c r="F2017" s="28">
        <v>15.408999999999999</v>
      </c>
      <c r="G2017" s="25">
        <f t="shared" si="32"/>
        <v>0.16333539999999999</v>
      </c>
      <c r="H2017" s="33">
        <f>SUM(G2017:G2020)</f>
        <v>60.596574599999997</v>
      </c>
      <c r="I2017" s="34"/>
      <c r="J2017" s="138">
        <v>0</v>
      </c>
    </row>
    <row r="2018" spans="1:10" ht="15.75" hidden="1" thickBot="1" x14ac:dyDescent="0.3">
      <c r="A2018" s="221"/>
      <c r="B2018" s="223"/>
      <c r="C2018" s="30" t="s">
        <v>636</v>
      </c>
      <c r="D2018" s="41" t="s">
        <v>20</v>
      </c>
      <c r="E2018" s="31">
        <v>1</v>
      </c>
      <c r="F2018" s="28">
        <v>55.650999999999996</v>
      </c>
      <c r="G2018" s="25">
        <f t="shared" si="32"/>
        <v>55.650999999999996</v>
      </c>
      <c r="H2018" s="29"/>
      <c r="I2018" s="25"/>
      <c r="J2018" s="138">
        <v>0</v>
      </c>
    </row>
    <row r="2019" spans="1:10" ht="26.25" hidden="1" thickBot="1" x14ac:dyDescent="0.3">
      <c r="A2019" s="221"/>
      <c r="B2019" s="223"/>
      <c r="C2019" s="30" t="s">
        <v>107</v>
      </c>
      <c r="D2019" s="30" t="s">
        <v>12</v>
      </c>
      <c r="E2019" s="31">
        <v>0.11020000000000001</v>
      </c>
      <c r="F2019" s="25">
        <v>19.094999999999999</v>
      </c>
      <c r="G2019" s="28">
        <f t="shared" si="32"/>
        <v>2.1042689999999999</v>
      </c>
      <c r="H2019" s="29"/>
      <c r="I2019" s="25"/>
      <c r="J2019" s="138">
        <v>0</v>
      </c>
    </row>
    <row r="2020" spans="1:10" ht="15.75" hidden="1" thickBot="1" x14ac:dyDescent="0.3">
      <c r="A2020" s="221"/>
      <c r="B2020" s="223"/>
      <c r="C2020" s="30" t="s">
        <v>39</v>
      </c>
      <c r="D2020" s="41" t="s">
        <v>12</v>
      </c>
      <c r="E2020" s="31">
        <v>0.11020000000000001</v>
      </c>
      <c r="F2020" s="25">
        <v>24.300999999999998</v>
      </c>
      <c r="G2020" s="28">
        <f t="shared" si="32"/>
        <v>2.6779701999999999</v>
      </c>
      <c r="H2020" s="29"/>
      <c r="I2020" s="25"/>
      <c r="J2020" s="138">
        <v>0</v>
      </c>
    </row>
    <row r="2021" spans="1:10" ht="15.75" hidden="1" thickBot="1" x14ac:dyDescent="0.3">
      <c r="A2021" s="227"/>
      <c r="B2021" s="224"/>
      <c r="C2021" s="30"/>
      <c r="D2021" s="30"/>
      <c r="E2021" s="31"/>
      <c r="F2021" s="25" t="s">
        <v>521</v>
      </c>
      <c r="G2021" s="25" t="str">
        <f t="shared" si="32"/>
        <v/>
      </c>
      <c r="H2021" s="29"/>
      <c r="I2021" s="25"/>
      <c r="J2021" s="138">
        <v>0</v>
      </c>
    </row>
    <row r="2022" spans="1:10" ht="15.75" hidden="1" thickBot="1" x14ac:dyDescent="0.3">
      <c r="A2022" s="220" t="s">
        <v>637</v>
      </c>
      <c r="B2022" s="222" t="e">
        <f>INDEX(Orçamentária!A:B,MATCH(Composições!A2022,Orçamentária!A:A,0),2)</f>
        <v>#N/A</v>
      </c>
      <c r="C2022" s="35"/>
      <c r="D2022" s="20" t="s">
        <v>95</v>
      </c>
      <c r="E2022" s="21"/>
      <c r="F2022" s="36" t="s">
        <v>521</v>
      </c>
      <c r="G2022" s="22" t="str">
        <f t="shared" si="32"/>
        <v/>
      </c>
      <c r="H2022" s="23"/>
      <c r="I2022" s="24"/>
      <c r="J2022" s="138">
        <v>0</v>
      </c>
    </row>
    <row r="2023" spans="1:10" ht="15.75" hidden="1" thickBot="1" x14ac:dyDescent="0.3">
      <c r="A2023" s="221"/>
      <c r="B2023" s="223"/>
      <c r="C2023" s="26"/>
      <c r="D2023" s="26"/>
      <c r="E2023" s="27"/>
      <c r="F2023" s="37" t="s">
        <v>521</v>
      </c>
      <c r="G2023" s="25" t="str">
        <f t="shared" si="32"/>
        <v/>
      </c>
      <c r="H2023" s="29"/>
      <c r="I2023" s="25"/>
      <c r="J2023" s="138">
        <v>0</v>
      </c>
    </row>
    <row r="2024" spans="1:10" ht="26.25" hidden="1" thickBot="1" x14ac:dyDescent="0.3">
      <c r="A2024" s="221"/>
      <c r="B2024" s="223"/>
      <c r="C2024" s="30" t="s">
        <v>107</v>
      </c>
      <c r="D2024" s="41" t="s">
        <v>12</v>
      </c>
      <c r="E2024" s="31">
        <v>0.1</v>
      </c>
      <c r="F2024" s="25">
        <v>19.094999999999999</v>
      </c>
      <c r="G2024" s="28">
        <f t="shared" si="32"/>
        <v>1.9095</v>
      </c>
      <c r="H2024" s="33">
        <f>SUM(G2024:G2026)</f>
        <v>4.3395999999999999</v>
      </c>
      <c r="I2024" s="34"/>
      <c r="J2024" s="138">
        <v>0</v>
      </c>
    </row>
    <row r="2025" spans="1:10" ht="15.75" hidden="1" thickBot="1" x14ac:dyDescent="0.3">
      <c r="A2025" s="221"/>
      <c r="B2025" s="223"/>
      <c r="C2025" s="30" t="s">
        <v>39</v>
      </c>
      <c r="D2025" s="41" t="s">
        <v>12</v>
      </c>
      <c r="E2025" s="31">
        <v>0.1</v>
      </c>
      <c r="F2025" s="25">
        <v>24.300999999999998</v>
      </c>
      <c r="G2025" s="28">
        <f t="shared" si="32"/>
        <v>2.4300999999999999</v>
      </c>
      <c r="H2025" s="29"/>
      <c r="I2025" s="25"/>
      <c r="J2025" s="138">
        <v>0</v>
      </c>
    </row>
    <row r="2026" spans="1:10" ht="26.25" hidden="1" thickBot="1" x14ac:dyDescent="0.3">
      <c r="A2026" s="221"/>
      <c r="B2026" s="223"/>
      <c r="C2026" s="30" t="s">
        <v>638</v>
      </c>
      <c r="D2026" s="41" t="s">
        <v>95</v>
      </c>
      <c r="E2026" s="31">
        <v>1.05</v>
      </c>
      <c r="F2026" s="28" t="s">
        <v>521</v>
      </c>
      <c r="G2026" s="28" t="str">
        <f t="shared" si="32"/>
        <v/>
      </c>
      <c r="H2026" s="29"/>
      <c r="I2026" s="25"/>
      <c r="J2026" s="138">
        <v>0</v>
      </c>
    </row>
    <row r="2027" spans="1:10" ht="15.75" hidden="1" thickBot="1" x14ac:dyDescent="0.3">
      <c r="A2027" s="227"/>
      <c r="B2027" s="224"/>
      <c r="C2027" s="30"/>
      <c r="D2027" s="30"/>
      <c r="E2027" s="31"/>
      <c r="F2027" s="25" t="s">
        <v>521</v>
      </c>
      <c r="G2027" s="25" t="str">
        <f t="shared" si="32"/>
        <v/>
      </c>
      <c r="H2027" s="29"/>
      <c r="I2027" s="25"/>
      <c r="J2027" s="138">
        <v>0</v>
      </c>
    </row>
    <row r="2028" spans="1:10" ht="15.75" hidden="1" thickBot="1" x14ac:dyDescent="0.3">
      <c r="A2028" s="220" t="s">
        <v>639</v>
      </c>
      <c r="B2028" s="222" t="e">
        <f>INDEX(Orçamentária!A:B,MATCH(Composições!A2028,Orçamentária!A:A,0),2)</f>
        <v>#N/A</v>
      </c>
      <c r="C2028" s="35"/>
      <c r="D2028" s="20" t="s">
        <v>93</v>
      </c>
      <c r="E2028" s="21"/>
      <c r="F2028" s="36" t="s">
        <v>521</v>
      </c>
      <c r="G2028" s="22" t="str">
        <f t="shared" si="32"/>
        <v/>
      </c>
      <c r="H2028" s="23"/>
      <c r="I2028" s="24"/>
      <c r="J2028" s="138">
        <v>0</v>
      </c>
    </row>
    <row r="2029" spans="1:10" ht="15.75" hidden="1" thickBot="1" x14ac:dyDescent="0.3">
      <c r="A2029" s="221"/>
      <c r="B2029" s="223"/>
      <c r="C2029" s="26"/>
      <c r="D2029" s="26"/>
      <c r="E2029" s="27"/>
      <c r="F2029" s="37" t="s">
        <v>521</v>
      </c>
      <c r="G2029" s="25" t="str">
        <f t="shared" si="32"/>
        <v/>
      </c>
      <c r="H2029" s="29"/>
      <c r="I2029" s="25"/>
      <c r="J2029" s="138">
        <v>0</v>
      </c>
    </row>
    <row r="2030" spans="1:10" ht="51.75" hidden="1" thickBot="1" x14ac:dyDescent="0.3">
      <c r="A2030" s="221"/>
      <c r="B2030" s="223"/>
      <c r="C2030" s="30" t="s">
        <v>640</v>
      </c>
      <c r="D2030" s="41" t="s">
        <v>93</v>
      </c>
      <c r="E2030" s="31">
        <v>1.0210999999999999</v>
      </c>
      <c r="F2030" s="28" t="s">
        <v>521</v>
      </c>
      <c r="G2030" s="28" t="str">
        <f t="shared" si="32"/>
        <v/>
      </c>
      <c r="H2030" s="33">
        <f>SUM(G2030:G2032)</f>
        <v>0.83320319999999981</v>
      </c>
      <c r="I2030" s="34"/>
      <c r="J2030" s="138">
        <v>0</v>
      </c>
    </row>
    <row r="2031" spans="1:10" ht="26.25" hidden="1" thickBot="1" x14ac:dyDescent="0.3">
      <c r="A2031" s="221"/>
      <c r="B2031" s="223"/>
      <c r="C2031" s="30" t="s">
        <v>107</v>
      </c>
      <c r="D2031" s="41" t="s">
        <v>12</v>
      </c>
      <c r="E2031" s="31">
        <f>0.064*0.3</f>
        <v>1.9199999999999998E-2</v>
      </c>
      <c r="F2031" s="25">
        <v>19.094999999999999</v>
      </c>
      <c r="G2031" s="28">
        <f t="shared" si="32"/>
        <v>0.36662399999999995</v>
      </c>
      <c r="H2031" s="29"/>
      <c r="I2031" s="25"/>
      <c r="J2031" s="138">
        <v>0</v>
      </c>
    </row>
    <row r="2032" spans="1:10" ht="15.75" hidden="1" thickBot="1" x14ac:dyDescent="0.3">
      <c r="A2032" s="221"/>
      <c r="B2032" s="223"/>
      <c r="C2032" s="30" t="s">
        <v>39</v>
      </c>
      <c r="D2032" s="41" t="s">
        <v>12</v>
      </c>
      <c r="E2032" s="31">
        <f>0.064*0.3</f>
        <v>1.9199999999999998E-2</v>
      </c>
      <c r="F2032" s="25">
        <v>24.300999999999998</v>
      </c>
      <c r="G2032" s="28">
        <f t="shared" si="32"/>
        <v>0.46657919999999992</v>
      </c>
      <c r="H2032" s="29"/>
      <c r="I2032" s="25"/>
      <c r="J2032" s="138">
        <v>0</v>
      </c>
    </row>
    <row r="2033" spans="1:10" ht="15.75" hidden="1" thickBot="1" x14ac:dyDescent="0.3">
      <c r="A2033" s="221"/>
      <c r="B2033" s="223"/>
      <c r="C2033" s="30"/>
      <c r="D2033" s="41"/>
      <c r="E2033" s="31"/>
      <c r="F2033" s="28" t="s">
        <v>521</v>
      </c>
      <c r="G2033" s="28" t="str">
        <f t="shared" si="32"/>
        <v/>
      </c>
      <c r="H2033" s="29"/>
      <c r="I2033" s="25"/>
      <c r="J2033" s="138">
        <v>0</v>
      </c>
    </row>
    <row r="2034" spans="1:10" ht="39" hidden="1" thickBot="1" x14ac:dyDescent="0.3">
      <c r="A2034" s="221"/>
      <c r="B2034" s="223"/>
      <c r="C2034" s="46" t="s">
        <v>641</v>
      </c>
      <c r="D2034" s="41"/>
      <c r="E2034" s="31"/>
      <c r="F2034" s="28" t="s">
        <v>521</v>
      </c>
      <c r="G2034" s="28" t="str">
        <f t="shared" si="32"/>
        <v/>
      </c>
      <c r="H2034" s="29"/>
      <c r="I2034" s="25"/>
      <c r="J2034" s="138">
        <v>0</v>
      </c>
    </row>
    <row r="2035" spans="1:10" ht="15.75" hidden="1" thickBot="1" x14ac:dyDescent="0.3">
      <c r="A2035" s="227"/>
      <c r="B2035" s="224"/>
      <c r="C2035" s="30"/>
      <c r="D2035" s="30"/>
      <c r="E2035" s="31"/>
      <c r="F2035" s="25" t="s">
        <v>521</v>
      </c>
      <c r="G2035" s="25" t="str">
        <f t="shared" si="32"/>
        <v/>
      </c>
      <c r="H2035" s="29"/>
      <c r="I2035" s="25"/>
      <c r="J2035" s="138">
        <v>0</v>
      </c>
    </row>
    <row r="2036" spans="1:10" ht="15.75" hidden="1" thickBot="1" x14ac:dyDescent="0.3">
      <c r="A2036" s="220" t="s">
        <v>642</v>
      </c>
      <c r="B2036" s="222" t="e">
        <f>INDEX(Orçamentária!A:B,MATCH(Composições!A2036,Orçamentária!A:A,0),2)</f>
        <v>#N/A</v>
      </c>
      <c r="C2036" s="35"/>
      <c r="D2036" s="20" t="s">
        <v>93</v>
      </c>
      <c r="E2036" s="21"/>
      <c r="F2036" s="36" t="s">
        <v>521</v>
      </c>
      <c r="G2036" s="22" t="str">
        <f t="shared" si="32"/>
        <v/>
      </c>
      <c r="H2036" s="23"/>
      <c r="I2036" s="24"/>
      <c r="J2036" s="138">
        <v>0</v>
      </c>
    </row>
    <row r="2037" spans="1:10" ht="15.75" hidden="1" thickBot="1" x14ac:dyDescent="0.3">
      <c r="A2037" s="221"/>
      <c r="B2037" s="223"/>
      <c r="C2037" s="26"/>
      <c r="D2037" s="26"/>
      <c r="E2037" s="27"/>
      <c r="F2037" s="37" t="s">
        <v>521</v>
      </c>
      <c r="G2037" s="25" t="str">
        <f t="shared" si="32"/>
        <v/>
      </c>
      <c r="H2037" s="29"/>
      <c r="I2037" s="25"/>
      <c r="J2037" s="138">
        <v>0</v>
      </c>
    </row>
    <row r="2038" spans="1:10" ht="39" hidden="1" thickBot="1" x14ac:dyDescent="0.3">
      <c r="A2038" s="221"/>
      <c r="B2038" s="223"/>
      <c r="C2038" s="30" t="s">
        <v>643</v>
      </c>
      <c r="D2038" s="41" t="s">
        <v>93</v>
      </c>
      <c r="E2038" s="31">
        <v>1.0210999999999999</v>
      </c>
      <c r="F2038" s="28" t="s">
        <v>521</v>
      </c>
      <c r="G2038" s="28" t="str">
        <f t="shared" si="32"/>
        <v/>
      </c>
      <c r="H2038" s="33">
        <f>SUM(G2038:G2040)</f>
        <v>0.79414680000000004</v>
      </c>
      <c r="I2038" s="34"/>
      <c r="J2038" s="138">
        <v>0</v>
      </c>
    </row>
    <row r="2039" spans="1:10" ht="26.25" hidden="1" thickBot="1" x14ac:dyDescent="0.3">
      <c r="A2039" s="221"/>
      <c r="B2039" s="223"/>
      <c r="C2039" s="30" t="s">
        <v>107</v>
      </c>
      <c r="D2039" s="41" t="s">
        <v>12</v>
      </c>
      <c r="E2039" s="31">
        <f>0.061*0.3</f>
        <v>1.83E-2</v>
      </c>
      <c r="F2039" s="25">
        <v>19.094999999999999</v>
      </c>
      <c r="G2039" s="28">
        <f t="shared" si="32"/>
        <v>0.34943849999999999</v>
      </c>
      <c r="H2039" s="29"/>
      <c r="I2039" s="25"/>
      <c r="J2039" s="138">
        <v>0</v>
      </c>
    </row>
    <row r="2040" spans="1:10" ht="15.75" hidden="1" thickBot="1" x14ac:dyDescent="0.3">
      <c r="A2040" s="221"/>
      <c r="B2040" s="223"/>
      <c r="C2040" s="30" t="s">
        <v>39</v>
      </c>
      <c r="D2040" s="41" t="s">
        <v>12</v>
      </c>
      <c r="E2040" s="31">
        <f>0.061*0.3</f>
        <v>1.83E-2</v>
      </c>
      <c r="F2040" s="25">
        <v>24.300999999999998</v>
      </c>
      <c r="G2040" s="28">
        <f t="shared" si="32"/>
        <v>0.4447083</v>
      </c>
      <c r="H2040" s="29"/>
      <c r="I2040" s="25"/>
      <c r="J2040" s="138">
        <v>0</v>
      </c>
    </row>
    <row r="2041" spans="1:10" ht="15.75" hidden="1" thickBot="1" x14ac:dyDescent="0.3">
      <c r="A2041" s="221"/>
      <c r="B2041" s="223"/>
      <c r="C2041" s="30"/>
      <c r="D2041" s="41"/>
      <c r="E2041" s="31"/>
      <c r="F2041" s="28" t="s">
        <v>521</v>
      </c>
      <c r="G2041" s="28" t="str">
        <f t="shared" si="32"/>
        <v/>
      </c>
      <c r="H2041" s="29"/>
      <c r="I2041" s="25"/>
      <c r="J2041" s="138">
        <v>0</v>
      </c>
    </row>
    <row r="2042" spans="1:10" ht="39" hidden="1" thickBot="1" x14ac:dyDescent="0.3">
      <c r="A2042" s="221"/>
      <c r="B2042" s="223"/>
      <c r="C2042" s="46" t="s">
        <v>641</v>
      </c>
      <c r="D2042" s="41"/>
      <c r="E2042" s="31"/>
      <c r="F2042" s="28" t="s">
        <v>521</v>
      </c>
      <c r="G2042" s="28" t="str">
        <f t="shared" si="32"/>
        <v/>
      </c>
      <c r="H2042" s="29"/>
      <c r="I2042" s="25"/>
      <c r="J2042" s="138">
        <v>0</v>
      </c>
    </row>
    <row r="2043" spans="1:10" ht="15.75" hidden="1" thickBot="1" x14ac:dyDescent="0.3">
      <c r="A2043" s="227"/>
      <c r="B2043" s="224"/>
      <c r="C2043" s="30"/>
      <c r="D2043" s="30"/>
      <c r="E2043" s="31"/>
      <c r="F2043" s="25" t="s">
        <v>521</v>
      </c>
      <c r="G2043" s="25" t="str">
        <f t="shared" si="32"/>
        <v/>
      </c>
      <c r="H2043" s="29"/>
      <c r="I2043" s="25"/>
      <c r="J2043" s="138">
        <v>0</v>
      </c>
    </row>
    <row r="2044" spans="1:10" ht="15.75" hidden="1" thickBot="1" x14ac:dyDescent="0.3">
      <c r="A2044" s="220" t="s">
        <v>644</v>
      </c>
      <c r="B2044" s="222" t="e">
        <f>INDEX(Orçamentária!A:B,MATCH(Composições!A2044,Orçamentária!A:A,0),2)</f>
        <v>#N/A</v>
      </c>
      <c r="C2044" s="35"/>
      <c r="D2044" s="20" t="s">
        <v>93</v>
      </c>
      <c r="E2044" s="21"/>
      <c r="F2044" s="36" t="s">
        <v>521</v>
      </c>
      <c r="G2044" s="22" t="str">
        <f t="shared" si="32"/>
        <v/>
      </c>
      <c r="H2044" s="23"/>
      <c r="I2044" s="24"/>
      <c r="J2044" s="138">
        <v>0</v>
      </c>
    </row>
    <row r="2045" spans="1:10" ht="15.75" hidden="1" thickBot="1" x14ac:dyDescent="0.3">
      <c r="A2045" s="221"/>
      <c r="B2045" s="223"/>
      <c r="C2045" s="26"/>
      <c r="D2045" s="26"/>
      <c r="E2045" s="27"/>
      <c r="F2045" s="37" t="s">
        <v>521</v>
      </c>
      <c r="G2045" s="25" t="str">
        <f t="shared" si="32"/>
        <v/>
      </c>
      <c r="H2045" s="29"/>
      <c r="I2045" s="25"/>
      <c r="J2045" s="138">
        <v>0</v>
      </c>
    </row>
    <row r="2046" spans="1:10" ht="39" hidden="1" thickBot="1" x14ac:dyDescent="0.3">
      <c r="A2046" s="221"/>
      <c r="B2046" s="223"/>
      <c r="C2046" s="30" t="s">
        <v>645</v>
      </c>
      <c r="D2046" s="41" t="s">
        <v>93</v>
      </c>
      <c r="E2046" s="31">
        <v>1.0210999999999999</v>
      </c>
      <c r="F2046" s="28" t="s">
        <v>521</v>
      </c>
      <c r="G2046" s="28" t="str">
        <f t="shared" si="32"/>
        <v/>
      </c>
      <c r="H2046" s="33">
        <f>SUM(G2046:G2048)</f>
        <v>0.67697759999999996</v>
      </c>
      <c r="I2046" s="34"/>
      <c r="J2046" s="138">
        <v>0</v>
      </c>
    </row>
    <row r="2047" spans="1:10" ht="26.25" hidden="1" thickBot="1" x14ac:dyDescent="0.3">
      <c r="A2047" s="221"/>
      <c r="B2047" s="223"/>
      <c r="C2047" s="30" t="s">
        <v>107</v>
      </c>
      <c r="D2047" s="41" t="s">
        <v>12</v>
      </c>
      <c r="E2047" s="31">
        <f>0.052*0.3</f>
        <v>1.5599999999999999E-2</v>
      </c>
      <c r="F2047" s="25">
        <v>19.094999999999999</v>
      </c>
      <c r="G2047" s="28">
        <f t="shared" si="32"/>
        <v>0.29788199999999998</v>
      </c>
      <c r="H2047" s="29"/>
      <c r="I2047" s="25"/>
      <c r="J2047" s="138">
        <v>0</v>
      </c>
    </row>
    <row r="2048" spans="1:10" ht="15.75" hidden="1" thickBot="1" x14ac:dyDescent="0.3">
      <c r="A2048" s="221"/>
      <c r="B2048" s="223"/>
      <c r="C2048" s="30" t="s">
        <v>39</v>
      </c>
      <c r="D2048" s="41" t="s">
        <v>12</v>
      </c>
      <c r="E2048" s="31">
        <f>0.052*0.3</f>
        <v>1.5599999999999999E-2</v>
      </c>
      <c r="F2048" s="25">
        <v>24.300999999999998</v>
      </c>
      <c r="G2048" s="28">
        <f t="shared" si="32"/>
        <v>0.37909559999999998</v>
      </c>
      <c r="H2048" s="29"/>
      <c r="I2048" s="25"/>
      <c r="J2048" s="138">
        <v>0</v>
      </c>
    </row>
    <row r="2049" spans="1:10" ht="15.75" hidden="1" thickBot="1" x14ac:dyDescent="0.3">
      <c r="A2049" s="221"/>
      <c r="B2049" s="223"/>
      <c r="C2049" s="30"/>
      <c r="D2049" s="41"/>
      <c r="E2049" s="31"/>
      <c r="F2049" s="28" t="s">
        <v>521</v>
      </c>
      <c r="G2049" s="28" t="str">
        <f t="shared" si="32"/>
        <v/>
      </c>
      <c r="H2049" s="29"/>
      <c r="I2049" s="25"/>
      <c r="J2049" s="138">
        <v>0</v>
      </c>
    </row>
    <row r="2050" spans="1:10" ht="39" hidden="1" thickBot="1" x14ac:dyDescent="0.3">
      <c r="A2050" s="221"/>
      <c r="B2050" s="223"/>
      <c r="C2050" s="46" t="s">
        <v>641</v>
      </c>
      <c r="D2050" s="41"/>
      <c r="E2050" s="31"/>
      <c r="F2050" s="28" t="s">
        <v>521</v>
      </c>
      <c r="G2050" s="28" t="str">
        <f t="shared" si="32"/>
        <v/>
      </c>
      <c r="H2050" s="29"/>
      <c r="I2050" s="25"/>
      <c r="J2050" s="138">
        <v>0</v>
      </c>
    </row>
    <row r="2051" spans="1:10" ht="15.75" hidden="1" thickBot="1" x14ac:dyDescent="0.3">
      <c r="A2051" s="227"/>
      <c r="B2051" s="224"/>
      <c r="C2051" s="30"/>
      <c r="D2051" s="30"/>
      <c r="E2051" s="31"/>
      <c r="F2051" s="25" t="s">
        <v>521</v>
      </c>
      <c r="G2051" s="25" t="str">
        <f t="shared" si="32"/>
        <v/>
      </c>
      <c r="H2051" s="29"/>
      <c r="I2051" s="25"/>
      <c r="J2051" s="138">
        <v>0</v>
      </c>
    </row>
    <row r="2052" spans="1:10" ht="15.75" hidden="1" thickBot="1" x14ac:dyDescent="0.3">
      <c r="A2052" s="220" t="s">
        <v>646</v>
      </c>
      <c r="B2052" s="222" t="e">
        <f>INDEX(Orçamentária!A:B,MATCH(Composições!A2052,Orçamentária!A:A,0),2)</f>
        <v>#N/A</v>
      </c>
      <c r="C2052" s="35"/>
      <c r="D2052" s="20" t="s">
        <v>93</v>
      </c>
      <c r="E2052" s="21"/>
      <c r="F2052" s="36" t="s">
        <v>521</v>
      </c>
      <c r="G2052" s="22" t="str">
        <f t="shared" si="32"/>
        <v/>
      </c>
      <c r="H2052" s="23"/>
      <c r="I2052" s="24"/>
      <c r="J2052" s="138">
        <v>0</v>
      </c>
    </row>
    <row r="2053" spans="1:10" ht="15.75" hidden="1" thickBot="1" x14ac:dyDescent="0.3">
      <c r="A2053" s="221"/>
      <c r="B2053" s="223"/>
      <c r="C2053" s="26"/>
      <c r="D2053" s="26"/>
      <c r="E2053" s="27"/>
      <c r="F2053" s="37" t="s">
        <v>521</v>
      </c>
      <c r="G2053" s="25" t="str">
        <f t="shared" si="32"/>
        <v/>
      </c>
      <c r="H2053" s="29"/>
      <c r="I2053" s="25"/>
      <c r="J2053" s="138">
        <v>0</v>
      </c>
    </row>
    <row r="2054" spans="1:10" ht="39" hidden="1" thickBot="1" x14ac:dyDescent="0.3">
      <c r="A2054" s="221"/>
      <c r="B2054" s="223"/>
      <c r="C2054" s="30" t="s">
        <v>647</v>
      </c>
      <c r="D2054" s="41" t="s">
        <v>93</v>
      </c>
      <c r="E2054" s="31">
        <v>1.0210999999999999</v>
      </c>
      <c r="F2054" s="28" t="s">
        <v>521</v>
      </c>
      <c r="G2054" s="28" t="str">
        <f t="shared" si="32"/>
        <v/>
      </c>
      <c r="H2054" s="33">
        <f>SUM(G2054:G2056)</f>
        <v>0.83320319999999981</v>
      </c>
      <c r="I2054" s="34"/>
      <c r="J2054" s="138">
        <v>0</v>
      </c>
    </row>
    <row r="2055" spans="1:10" ht="26.25" hidden="1" thickBot="1" x14ac:dyDescent="0.3">
      <c r="A2055" s="221"/>
      <c r="B2055" s="223"/>
      <c r="C2055" s="30" t="s">
        <v>107</v>
      </c>
      <c r="D2055" s="41" t="s">
        <v>12</v>
      </c>
      <c r="E2055" s="31">
        <f>0.064*0.3</f>
        <v>1.9199999999999998E-2</v>
      </c>
      <c r="F2055" s="25">
        <v>19.094999999999999</v>
      </c>
      <c r="G2055" s="28">
        <f t="shared" si="32"/>
        <v>0.36662399999999995</v>
      </c>
      <c r="H2055" s="29"/>
      <c r="I2055" s="25"/>
      <c r="J2055" s="138">
        <v>0</v>
      </c>
    </row>
    <row r="2056" spans="1:10" ht="15.75" hidden="1" thickBot="1" x14ac:dyDescent="0.3">
      <c r="A2056" s="221"/>
      <c r="B2056" s="223"/>
      <c r="C2056" s="30" t="s">
        <v>39</v>
      </c>
      <c r="D2056" s="41" t="s">
        <v>12</v>
      </c>
      <c r="E2056" s="31">
        <f>0.064*0.3</f>
        <v>1.9199999999999998E-2</v>
      </c>
      <c r="F2056" s="25">
        <v>24.300999999999998</v>
      </c>
      <c r="G2056" s="28">
        <f t="shared" si="32"/>
        <v>0.46657919999999992</v>
      </c>
      <c r="H2056" s="29"/>
      <c r="I2056" s="25"/>
      <c r="J2056" s="138">
        <v>0</v>
      </c>
    </row>
    <row r="2057" spans="1:10" ht="15.75" hidden="1" thickBot="1" x14ac:dyDescent="0.3">
      <c r="A2057" s="221"/>
      <c r="B2057" s="223"/>
      <c r="C2057" s="30"/>
      <c r="D2057" s="41"/>
      <c r="E2057" s="31"/>
      <c r="F2057" s="28" t="s">
        <v>521</v>
      </c>
      <c r="G2057" s="28" t="str">
        <f t="shared" si="32"/>
        <v/>
      </c>
      <c r="H2057" s="29"/>
      <c r="I2057" s="25"/>
      <c r="J2057" s="138">
        <v>0</v>
      </c>
    </row>
    <row r="2058" spans="1:10" ht="39" hidden="1" thickBot="1" x14ac:dyDescent="0.3">
      <c r="A2058" s="221"/>
      <c r="B2058" s="223"/>
      <c r="C2058" s="46" t="s">
        <v>641</v>
      </c>
      <c r="D2058" s="41"/>
      <c r="E2058" s="31"/>
      <c r="F2058" s="28" t="s">
        <v>521</v>
      </c>
      <c r="G2058" s="28" t="str">
        <f t="shared" si="32"/>
        <v/>
      </c>
      <c r="H2058" s="29"/>
      <c r="I2058" s="25"/>
      <c r="J2058" s="138">
        <v>0</v>
      </c>
    </row>
    <row r="2059" spans="1:10" ht="15.75" hidden="1" thickBot="1" x14ac:dyDescent="0.3">
      <c r="A2059" s="227"/>
      <c r="B2059" s="224"/>
      <c r="C2059" s="30"/>
      <c r="D2059" s="30"/>
      <c r="E2059" s="31"/>
      <c r="F2059" s="25" t="s">
        <v>521</v>
      </c>
      <c r="G2059" s="25" t="str">
        <f t="shared" si="32"/>
        <v/>
      </c>
      <c r="H2059" s="29"/>
      <c r="I2059" s="25"/>
      <c r="J2059" s="138">
        <v>0</v>
      </c>
    </row>
    <row r="2060" spans="1:10" ht="15.75" hidden="1" thickBot="1" x14ac:dyDescent="0.3">
      <c r="A2060" s="220" t="s">
        <v>648</v>
      </c>
      <c r="B2060" s="222" t="e">
        <f>INDEX(Orçamentária!A:B,MATCH(Composições!A2060,Orçamentária!A:A,0),2)</f>
        <v>#N/A</v>
      </c>
      <c r="C2060" s="35"/>
      <c r="D2060" s="20" t="s">
        <v>93</v>
      </c>
      <c r="E2060" s="21"/>
      <c r="F2060" s="36" t="s">
        <v>521</v>
      </c>
      <c r="G2060" s="22" t="str">
        <f t="shared" si="32"/>
        <v/>
      </c>
      <c r="H2060" s="23"/>
      <c r="I2060" s="24"/>
      <c r="J2060" s="138">
        <v>0</v>
      </c>
    </row>
    <row r="2061" spans="1:10" ht="15.75" hidden="1" thickBot="1" x14ac:dyDescent="0.3">
      <c r="A2061" s="221"/>
      <c r="B2061" s="223"/>
      <c r="C2061" s="26"/>
      <c r="D2061" s="26"/>
      <c r="E2061" s="27"/>
      <c r="F2061" s="37" t="s">
        <v>521</v>
      </c>
      <c r="G2061" s="25" t="str">
        <f t="shared" si="32"/>
        <v/>
      </c>
      <c r="H2061" s="29"/>
      <c r="I2061" s="25"/>
      <c r="J2061" s="138">
        <v>0</v>
      </c>
    </row>
    <row r="2062" spans="1:10" ht="39" hidden="1" thickBot="1" x14ac:dyDescent="0.3">
      <c r="A2062" s="221"/>
      <c r="B2062" s="223"/>
      <c r="C2062" s="30" t="s">
        <v>649</v>
      </c>
      <c r="D2062" s="41" t="s">
        <v>93</v>
      </c>
      <c r="E2062" s="31">
        <v>1.0210999999999999</v>
      </c>
      <c r="F2062" s="28" t="s">
        <v>521</v>
      </c>
      <c r="G2062" s="28" t="str">
        <f t="shared" si="32"/>
        <v/>
      </c>
      <c r="H2062" s="33">
        <f>SUM(G2062:G2064)</f>
        <v>0.74207160000000005</v>
      </c>
      <c r="I2062" s="34"/>
      <c r="J2062" s="138">
        <v>0</v>
      </c>
    </row>
    <row r="2063" spans="1:10" ht="26.25" hidden="1" thickBot="1" x14ac:dyDescent="0.3">
      <c r="A2063" s="221"/>
      <c r="B2063" s="223"/>
      <c r="C2063" s="30" t="s">
        <v>107</v>
      </c>
      <c r="D2063" s="41" t="s">
        <v>12</v>
      </c>
      <c r="E2063" s="31">
        <f>0.057*0.3</f>
        <v>1.7100000000000001E-2</v>
      </c>
      <c r="F2063" s="25">
        <v>19.094999999999999</v>
      </c>
      <c r="G2063" s="28">
        <f t="shared" si="32"/>
        <v>0.3265245</v>
      </c>
      <c r="H2063" s="29"/>
      <c r="I2063" s="25"/>
      <c r="J2063" s="138">
        <v>0</v>
      </c>
    </row>
    <row r="2064" spans="1:10" ht="15.75" hidden="1" thickBot="1" x14ac:dyDescent="0.3">
      <c r="A2064" s="221"/>
      <c r="B2064" s="223"/>
      <c r="C2064" s="30" t="s">
        <v>39</v>
      </c>
      <c r="D2064" s="41" t="s">
        <v>12</v>
      </c>
      <c r="E2064" s="31">
        <f>0.057*0.3</f>
        <v>1.7100000000000001E-2</v>
      </c>
      <c r="F2064" s="25">
        <v>24.300999999999998</v>
      </c>
      <c r="G2064" s="28">
        <f t="shared" si="32"/>
        <v>0.4155471</v>
      </c>
      <c r="H2064" s="29"/>
      <c r="I2064" s="25"/>
      <c r="J2064" s="138">
        <v>0</v>
      </c>
    </row>
    <row r="2065" spans="1:10" ht="15.75" hidden="1" thickBot="1" x14ac:dyDescent="0.3">
      <c r="A2065" s="221"/>
      <c r="B2065" s="223"/>
      <c r="C2065" s="30"/>
      <c r="D2065" s="41"/>
      <c r="E2065" s="31"/>
      <c r="F2065" s="28" t="s">
        <v>521</v>
      </c>
      <c r="G2065" s="28" t="str">
        <f t="shared" si="32"/>
        <v/>
      </c>
      <c r="H2065" s="29"/>
      <c r="I2065" s="25"/>
      <c r="J2065" s="138">
        <v>0</v>
      </c>
    </row>
    <row r="2066" spans="1:10" ht="39" hidden="1" thickBot="1" x14ac:dyDescent="0.3">
      <c r="A2066" s="221"/>
      <c r="B2066" s="223"/>
      <c r="C2066" s="46" t="s">
        <v>641</v>
      </c>
      <c r="D2066" s="41"/>
      <c r="E2066" s="31"/>
      <c r="F2066" s="28" t="s">
        <v>521</v>
      </c>
      <c r="G2066" s="28" t="str">
        <f t="shared" ref="G2066:G2129" si="33">IF(ISNUMBER(F2066),E2066*F2066,"")</f>
        <v/>
      </c>
      <c r="H2066" s="29"/>
      <c r="I2066" s="25"/>
      <c r="J2066" s="138">
        <v>0</v>
      </c>
    </row>
    <row r="2067" spans="1:10" ht="15.75" hidden="1" thickBot="1" x14ac:dyDescent="0.3">
      <c r="A2067" s="227"/>
      <c r="B2067" s="224"/>
      <c r="C2067" s="30"/>
      <c r="D2067" s="30"/>
      <c r="E2067" s="31"/>
      <c r="F2067" s="25" t="s">
        <v>521</v>
      </c>
      <c r="G2067" s="25" t="str">
        <f t="shared" si="33"/>
        <v/>
      </c>
      <c r="H2067" s="29"/>
      <c r="I2067" s="25"/>
      <c r="J2067" s="138">
        <v>0</v>
      </c>
    </row>
    <row r="2068" spans="1:10" ht="15.75" hidden="1" thickBot="1" x14ac:dyDescent="0.3">
      <c r="A2068" s="220" t="s">
        <v>650</v>
      </c>
      <c r="B2068" s="222" t="e">
        <f>INDEX(Orçamentária!A:B,MATCH(Composições!A2068,Orçamentária!A:A,0),2)</f>
        <v>#N/A</v>
      </c>
      <c r="C2068" s="35"/>
      <c r="D2068" s="20" t="s">
        <v>93</v>
      </c>
      <c r="E2068" s="21"/>
      <c r="F2068" s="36" t="s">
        <v>521</v>
      </c>
      <c r="G2068" s="22" t="str">
        <f t="shared" si="33"/>
        <v/>
      </c>
      <c r="H2068" s="23"/>
      <c r="I2068" s="24"/>
      <c r="J2068" s="138">
        <v>0</v>
      </c>
    </row>
    <row r="2069" spans="1:10" ht="15.75" hidden="1" thickBot="1" x14ac:dyDescent="0.3">
      <c r="A2069" s="221"/>
      <c r="B2069" s="223"/>
      <c r="C2069" s="26"/>
      <c r="D2069" s="26"/>
      <c r="E2069" s="27"/>
      <c r="F2069" s="37" t="s">
        <v>521</v>
      </c>
      <c r="G2069" s="25" t="str">
        <f t="shared" si="33"/>
        <v/>
      </c>
      <c r="H2069" s="29"/>
      <c r="I2069" s="25"/>
      <c r="J2069" s="138">
        <v>0</v>
      </c>
    </row>
    <row r="2070" spans="1:10" ht="39" hidden="1" thickBot="1" x14ac:dyDescent="0.3">
      <c r="A2070" s="221"/>
      <c r="B2070" s="223"/>
      <c r="C2070" s="30" t="s">
        <v>651</v>
      </c>
      <c r="D2070" s="41" t="s">
        <v>93</v>
      </c>
      <c r="E2070" s="31">
        <v>1.0210999999999999</v>
      </c>
      <c r="F2070" s="28" t="s">
        <v>521</v>
      </c>
      <c r="G2070" s="28" t="str">
        <f t="shared" si="33"/>
        <v/>
      </c>
      <c r="H2070" s="33">
        <f>SUM(G2070:G2072)</f>
        <v>0.83320319999999981</v>
      </c>
      <c r="I2070" s="34"/>
      <c r="J2070" s="138">
        <v>0</v>
      </c>
    </row>
    <row r="2071" spans="1:10" ht="26.25" hidden="1" thickBot="1" x14ac:dyDescent="0.3">
      <c r="A2071" s="221"/>
      <c r="B2071" s="223"/>
      <c r="C2071" s="30" t="s">
        <v>107</v>
      </c>
      <c r="D2071" s="41" t="s">
        <v>12</v>
      </c>
      <c r="E2071" s="31">
        <f>0.064*0.3</f>
        <v>1.9199999999999998E-2</v>
      </c>
      <c r="F2071" s="25">
        <v>19.094999999999999</v>
      </c>
      <c r="G2071" s="28">
        <f t="shared" si="33"/>
        <v>0.36662399999999995</v>
      </c>
      <c r="H2071" s="29"/>
      <c r="I2071" s="25"/>
      <c r="J2071" s="138">
        <v>0</v>
      </c>
    </row>
    <row r="2072" spans="1:10" ht="15.75" hidden="1" thickBot="1" x14ac:dyDescent="0.3">
      <c r="A2072" s="221"/>
      <c r="B2072" s="223"/>
      <c r="C2072" s="30" t="s">
        <v>39</v>
      </c>
      <c r="D2072" s="41" t="s">
        <v>12</v>
      </c>
      <c r="E2072" s="31">
        <f>0.064*0.3</f>
        <v>1.9199999999999998E-2</v>
      </c>
      <c r="F2072" s="25">
        <v>24.300999999999998</v>
      </c>
      <c r="G2072" s="28">
        <f t="shared" si="33"/>
        <v>0.46657919999999992</v>
      </c>
      <c r="H2072" s="29"/>
      <c r="I2072" s="25"/>
      <c r="J2072" s="138">
        <v>0</v>
      </c>
    </row>
    <row r="2073" spans="1:10" ht="15.75" hidden="1" thickBot="1" x14ac:dyDescent="0.3">
      <c r="A2073" s="221"/>
      <c r="B2073" s="223"/>
      <c r="C2073" s="30"/>
      <c r="D2073" s="41"/>
      <c r="E2073" s="31"/>
      <c r="F2073" s="28" t="s">
        <v>521</v>
      </c>
      <c r="G2073" s="28" t="str">
        <f t="shared" si="33"/>
        <v/>
      </c>
      <c r="H2073" s="29"/>
      <c r="I2073" s="25"/>
      <c r="J2073" s="138">
        <v>0</v>
      </c>
    </row>
    <row r="2074" spans="1:10" ht="39" hidden="1" thickBot="1" x14ac:dyDescent="0.3">
      <c r="A2074" s="221"/>
      <c r="B2074" s="223"/>
      <c r="C2074" s="46" t="s">
        <v>641</v>
      </c>
      <c r="D2074" s="41"/>
      <c r="E2074" s="31"/>
      <c r="F2074" s="28" t="s">
        <v>521</v>
      </c>
      <c r="G2074" s="28" t="str">
        <f t="shared" si="33"/>
        <v/>
      </c>
      <c r="H2074" s="29"/>
      <c r="I2074" s="25"/>
      <c r="J2074" s="138">
        <v>0</v>
      </c>
    </row>
    <row r="2075" spans="1:10" ht="15.75" hidden="1" thickBot="1" x14ac:dyDescent="0.3">
      <c r="A2075" s="227"/>
      <c r="B2075" s="224"/>
      <c r="C2075" s="30"/>
      <c r="D2075" s="30"/>
      <c r="E2075" s="31"/>
      <c r="F2075" s="25" t="s">
        <v>521</v>
      </c>
      <c r="G2075" s="25" t="str">
        <f t="shared" si="33"/>
        <v/>
      </c>
      <c r="H2075" s="29"/>
      <c r="I2075" s="25"/>
      <c r="J2075" s="138">
        <v>0</v>
      </c>
    </row>
    <row r="2076" spans="1:10" ht="15.75" hidden="1" thickBot="1" x14ac:dyDescent="0.3">
      <c r="A2076" s="220" t="s">
        <v>652</v>
      </c>
      <c r="B2076" s="222" t="e">
        <f>INDEX(Orçamentária!A:B,MATCH(Composições!A2076,Orçamentária!A:A,0),2)</f>
        <v>#N/A</v>
      </c>
      <c r="C2076" s="35"/>
      <c r="D2076" s="20" t="s">
        <v>93</v>
      </c>
      <c r="E2076" s="21"/>
      <c r="F2076" s="36" t="s">
        <v>521</v>
      </c>
      <c r="G2076" s="22" t="str">
        <f t="shared" si="33"/>
        <v/>
      </c>
      <c r="H2076" s="23"/>
      <c r="I2076" s="24"/>
      <c r="J2076" s="138">
        <v>0</v>
      </c>
    </row>
    <row r="2077" spans="1:10" ht="15.75" hidden="1" thickBot="1" x14ac:dyDescent="0.3">
      <c r="A2077" s="221"/>
      <c r="B2077" s="223"/>
      <c r="C2077" s="26"/>
      <c r="D2077" s="26"/>
      <c r="E2077" s="27"/>
      <c r="F2077" s="37" t="s">
        <v>521</v>
      </c>
      <c r="G2077" s="25" t="str">
        <f t="shared" si="33"/>
        <v/>
      </c>
      <c r="H2077" s="29"/>
      <c r="I2077" s="25"/>
      <c r="J2077" s="138">
        <v>0</v>
      </c>
    </row>
    <row r="2078" spans="1:10" ht="39" hidden="1" thickBot="1" x14ac:dyDescent="0.3">
      <c r="A2078" s="221"/>
      <c r="B2078" s="223"/>
      <c r="C2078" s="30" t="s">
        <v>653</v>
      </c>
      <c r="D2078" s="41" t="s">
        <v>93</v>
      </c>
      <c r="E2078" s="31">
        <v>1.0210999999999999</v>
      </c>
      <c r="F2078" s="28" t="s">
        <v>521</v>
      </c>
      <c r="G2078" s="28" t="str">
        <f t="shared" si="33"/>
        <v/>
      </c>
      <c r="H2078" s="33">
        <f>SUM(G2078:G2080)</f>
        <v>0.83320319999999981</v>
      </c>
      <c r="I2078" s="34"/>
      <c r="J2078" s="138">
        <v>0</v>
      </c>
    </row>
    <row r="2079" spans="1:10" ht="26.25" hidden="1" thickBot="1" x14ac:dyDescent="0.3">
      <c r="A2079" s="221"/>
      <c r="B2079" s="223"/>
      <c r="C2079" s="30" t="s">
        <v>107</v>
      </c>
      <c r="D2079" s="41" t="s">
        <v>12</v>
      </c>
      <c r="E2079" s="31">
        <f>0.064*0.3</f>
        <v>1.9199999999999998E-2</v>
      </c>
      <c r="F2079" s="25">
        <v>19.094999999999999</v>
      </c>
      <c r="G2079" s="28">
        <f t="shared" si="33"/>
        <v>0.36662399999999995</v>
      </c>
      <c r="H2079" s="29"/>
      <c r="I2079" s="25"/>
      <c r="J2079" s="138">
        <v>0</v>
      </c>
    </row>
    <row r="2080" spans="1:10" ht="15.75" hidden="1" thickBot="1" x14ac:dyDescent="0.3">
      <c r="A2080" s="221"/>
      <c r="B2080" s="223"/>
      <c r="C2080" s="30" t="s">
        <v>39</v>
      </c>
      <c r="D2080" s="41" t="s">
        <v>12</v>
      </c>
      <c r="E2080" s="31">
        <f>0.064*0.3</f>
        <v>1.9199999999999998E-2</v>
      </c>
      <c r="F2080" s="25">
        <v>24.300999999999998</v>
      </c>
      <c r="G2080" s="28">
        <f t="shared" si="33"/>
        <v>0.46657919999999992</v>
      </c>
      <c r="H2080" s="29"/>
      <c r="I2080" s="25"/>
      <c r="J2080" s="138">
        <v>0</v>
      </c>
    </row>
    <row r="2081" spans="1:10" ht="15.75" hidden="1" thickBot="1" x14ac:dyDescent="0.3">
      <c r="A2081" s="221"/>
      <c r="B2081" s="223"/>
      <c r="C2081" s="30"/>
      <c r="D2081" s="41"/>
      <c r="E2081" s="31"/>
      <c r="F2081" s="28" t="s">
        <v>521</v>
      </c>
      <c r="G2081" s="28" t="str">
        <f t="shared" si="33"/>
        <v/>
      </c>
      <c r="H2081" s="29"/>
      <c r="I2081" s="25"/>
      <c r="J2081" s="138">
        <v>0</v>
      </c>
    </row>
    <row r="2082" spans="1:10" ht="39" hidden="1" thickBot="1" x14ac:dyDescent="0.3">
      <c r="A2082" s="221"/>
      <c r="B2082" s="223"/>
      <c r="C2082" s="46" t="s">
        <v>641</v>
      </c>
      <c r="D2082" s="41"/>
      <c r="E2082" s="31"/>
      <c r="F2082" s="28" t="s">
        <v>521</v>
      </c>
      <c r="G2082" s="28" t="str">
        <f t="shared" si="33"/>
        <v/>
      </c>
      <c r="H2082" s="29"/>
      <c r="I2082" s="25"/>
      <c r="J2082" s="138">
        <v>0</v>
      </c>
    </row>
    <row r="2083" spans="1:10" ht="15.75" hidden="1" thickBot="1" x14ac:dyDescent="0.3">
      <c r="A2083" s="227"/>
      <c r="B2083" s="224"/>
      <c r="C2083" s="30"/>
      <c r="D2083" s="30"/>
      <c r="E2083" s="31"/>
      <c r="F2083" s="25" t="s">
        <v>521</v>
      </c>
      <c r="G2083" s="25" t="str">
        <f t="shared" si="33"/>
        <v/>
      </c>
      <c r="H2083" s="29"/>
      <c r="I2083" s="25"/>
      <c r="J2083" s="138">
        <v>0</v>
      </c>
    </row>
    <row r="2084" spans="1:10" ht="15.75" hidden="1" thickBot="1" x14ac:dyDescent="0.3">
      <c r="A2084" s="220" t="s">
        <v>654</v>
      </c>
      <c r="B2084" s="222" t="e">
        <f>INDEX(Orçamentária!A:B,MATCH(Composições!A2084,Orçamentária!A:A,0),2)</f>
        <v>#N/A</v>
      </c>
      <c r="C2084" s="35"/>
      <c r="D2084" s="20" t="s">
        <v>93</v>
      </c>
      <c r="E2084" s="21"/>
      <c r="F2084" s="36" t="s">
        <v>521</v>
      </c>
      <c r="G2084" s="22" t="str">
        <f t="shared" si="33"/>
        <v/>
      </c>
      <c r="H2084" s="23"/>
      <c r="I2084" s="24"/>
      <c r="J2084" s="138">
        <v>0</v>
      </c>
    </row>
    <row r="2085" spans="1:10" ht="15.75" hidden="1" thickBot="1" x14ac:dyDescent="0.3">
      <c r="A2085" s="221"/>
      <c r="B2085" s="223"/>
      <c r="C2085" s="26"/>
      <c r="D2085" s="26"/>
      <c r="E2085" s="27"/>
      <c r="F2085" s="37" t="s">
        <v>521</v>
      </c>
      <c r="G2085" s="25" t="str">
        <f t="shared" si="33"/>
        <v/>
      </c>
      <c r="H2085" s="29"/>
      <c r="I2085" s="25"/>
      <c r="J2085" s="138">
        <v>0</v>
      </c>
    </row>
    <row r="2086" spans="1:10" ht="39" hidden="1" thickBot="1" x14ac:dyDescent="0.3">
      <c r="A2086" s="221"/>
      <c r="B2086" s="223"/>
      <c r="C2086" s="30" t="s">
        <v>655</v>
      </c>
      <c r="D2086" s="41" t="s">
        <v>93</v>
      </c>
      <c r="E2086" s="31">
        <v>1.0210999999999999</v>
      </c>
      <c r="F2086" s="28" t="s">
        <v>521</v>
      </c>
      <c r="G2086" s="28" t="str">
        <f t="shared" si="33"/>
        <v/>
      </c>
      <c r="H2086" s="33">
        <f>SUM(G2086:G2088)</f>
        <v>0.83320319999999981</v>
      </c>
      <c r="I2086" s="34"/>
      <c r="J2086" s="138">
        <v>0</v>
      </c>
    </row>
    <row r="2087" spans="1:10" ht="26.25" hidden="1" thickBot="1" x14ac:dyDescent="0.3">
      <c r="A2087" s="221"/>
      <c r="B2087" s="223"/>
      <c r="C2087" s="30" t="s">
        <v>107</v>
      </c>
      <c r="D2087" s="41" t="s">
        <v>12</v>
      </c>
      <c r="E2087" s="31">
        <f>0.064*0.3</f>
        <v>1.9199999999999998E-2</v>
      </c>
      <c r="F2087" s="25">
        <v>19.094999999999999</v>
      </c>
      <c r="G2087" s="28">
        <f t="shared" si="33"/>
        <v>0.36662399999999995</v>
      </c>
      <c r="H2087" s="29"/>
      <c r="I2087" s="25"/>
      <c r="J2087" s="138">
        <v>0</v>
      </c>
    </row>
    <row r="2088" spans="1:10" ht="15.75" hidden="1" thickBot="1" x14ac:dyDescent="0.3">
      <c r="A2088" s="221"/>
      <c r="B2088" s="223"/>
      <c r="C2088" s="30" t="s">
        <v>39</v>
      </c>
      <c r="D2088" s="41" t="s">
        <v>12</v>
      </c>
      <c r="E2088" s="31">
        <f>0.064*0.3</f>
        <v>1.9199999999999998E-2</v>
      </c>
      <c r="F2088" s="25">
        <v>24.300999999999998</v>
      </c>
      <c r="G2088" s="28">
        <f t="shared" si="33"/>
        <v>0.46657919999999992</v>
      </c>
      <c r="H2088" s="29"/>
      <c r="I2088" s="25"/>
      <c r="J2088" s="138">
        <v>0</v>
      </c>
    </row>
    <row r="2089" spans="1:10" ht="15.75" hidden="1" thickBot="1" x14ac:dyDescent="0.3">
      <c r="A2089" s="221"/>
      <c r="B2089" s="223"/>
      <c r="C2089" s="30"/>
      <c r="D2089" s="41"/>
      <c r="E2089" s="31"/>
      <c r="F2089" s="28" t="s">
        <v>521</v>
      </c>
      <c r="G2089" s="28" t="str">
        <f t="shared" si="33"/>
        <v/>
      </c>
      <c r="H2089" s="29"/>
      <c r="I2089" s="25"/>
      <c r="J2089" s="138">
        <v>0</v>
      </c>
    </row>
    <row r="2090" spans="1:10" ht="39" hidden="1" thickBot="1" x14ac:dyDescent="0.3">
      <c r="A2090" s="221"/>
      <c r="B2090" s="223"/>
      <c r="C2090" s="46" t="s">
        <v>641</v>
      </c>
      <c r="D2090" s="41"/>
      <c r="E2090" s="31"/>
      <c r="F2090" s="28" t="s">
        <v>521</v>
      </c>
      <c r="G2090" s="28" t="str">
        <f t="shared" si="33"/>
        <v/>
      </c>
      <c r="H2090" s="29"/>
      <c r="I2090" s="25"/>
      <c r="J2090" s="138">
        <v>0</v>
      </c>
    </row>
    <row r="2091" spans="1:10" ht="15.75" hidden="1" thickBot="1" x14ac:dyDescent="0.3">
      <c r="A2091" s="227"/>
      <c r="B2091" s="224"/>
      <c r="C2091" s="30"/>
      <c r="D2091" s="30"/>
      <c r="E2091" s="31"/>
      <c r="F2091" s="25" t="s">
        <v>521</v>
      </c>
      <c r="G2091" s="25" t="str">
        <f t="shared" si="33"/>
        <v/>
      </c>
      <c r="H2091" s="29"/>
      <c r="I2091" s="25"/>
      <c r="J2091" s="138">
        <v>0</v>
      </c>
    </row>
    <row r="2092" spans="1:10" ht="15.75" hidden="1" thickBot="1" x14ac:dyDescent="0.3">
      <c r="A2092" s="220" t="s">
        <v>656</v>
      </c>
      <c r="B2092" s="222" t="e">
        <f>INDEX(Orçamentária!A:B,MATCH(Composições!A2092,Orçamentária!A:A,0),2)</f>
        <v>#N/A</v>
      </c>
      <c r="C2092" s="35"/>
      <c r="D2092" s="20" t="s">
        <v>93</v>
      </c>
      <c r="E2092" s="21"/>
      <c r="F2092" s="36" t="s">
        <v>521</v>
      </c>
      <c r="G2092" s="22" t="str">
        <f t="shared" si="33"/>
        <v/>
      </c>
      <c r="H2092" s="23"/>
      <c r="I2092" s="24"/>
      <c r="J2092" s="138">
        <v>0</v>
      </c>
    </row>
    <row r="2093" spans="1:10" ht="15.75" hidden="1" thickBot="1" x14ac:dyDescent="0.3">
      <c r="A2093" s="221"/>
      <c r="B2093" s="223"/>
      <c r="C2093" s="26"/>
      <c r="D2093" s="26"/>
      <c r="E2093" s="27"/>
      <c r="F2093" s="37" t="s">
        <v>521</v>
      </c>
      <c r="G2093" s="25" t="str">
        <f t="shared" si="33"/>
        <v/>
      </c>
      <c r="H2093" s="29"/>
      <c r="I2093" s="25"/>
      <c r="J2093" s="138">
        <v>0</v>
      </c>
    </row>
    <row r="2094" spans="1:10" ht="39" hidden="1" thickBot="1" x14ac:dyDescent="0.3">
      <c r="A2094" s="221"/>
      <c r="B2094" s="223"/>
      <c r="C2094" s="30" t="s">
        <v>657</v>
      </c>
      <c r="D2094" s="41" t="s">
        <v>93</v>
      </c>
      <c r="E2094" s="31">
        <v>1.0210999999999999</v>
      </c>
      <c r="F2094" s="28" t="s">
        <v>521</v>
      </c>
      <c r="G2094" s="28" t="str">
        <f t="shared" si="33"/>
        <v/>
      </c>
      <c r="H2094" s="33">
        <f>SUM(G2094:G2096)</f>
        <v>0.83320319999999981</v>
      </c>
      <c r="I2094" s="34"/>
      <c r="J2094" s="138">
        <v>0</v>
      </c>
    </row>
    <row r="2095" spans="1:10" ht="26.25" hidden="1" thickBot="1" x14ac:dyDescent="0.3">
      <c r="A2095" s="221"/>
      <c r="B2095" s="223"/>
      <c r="C2095" s="30" t="s">
        <v>107</v>
      </c>
      <c r="D2095" s="41" t="s">
        <v>12</v>
      </c>
      <c r="E2095" s="31">
        <f>0.064*0.3</f>
        <v>1.9199999999999998E-2</v>
      </c>
      <c r="F2095" s="25">
        <v>19.094999999999999</v>
      </c>
      <c r="G2095" s="28">
        <f t="shared" si="33"/>
        <v>0.36662399999999995</v>
      </c>
      <c r="H2095" s="29"/>
      <c r="I2095" s="25"/>
      <c r="J2095" s="138">
        <v>0</v>
      </c>
    </row>
    <row r="2096" spans="1:10" ht="15.75" hidden="1" thickBot="1" x14ac:dyDescent="0.3">
      <c r="A2096" s="221"/>
      <c r="B2096" s="223"/>
      <c r="C2096" s="30" t="s">
        <v>39</v>
      </c>
      <c r="D2096" s="41" t="s">
        <v>12</v>
      </c>
      <c r="E2096" s="31">
        <f>0.064*0.3</f>
        <v>1.9199999999999998E-2</v>
      </c>
      <c r="F2096" s="25">
        <v>24.300999999999998</v>
      </c>
      <c r="G2096" s="28">
        <f t="shared" si="33"/>
        <v>0.46657919999999992</v>
      </c>
      <c r="H2096" s="29"/>
      <c r="I2096" s="25"/>
      <c r="J2096" s="138">
        <v>0</v>
      </c>
    </row>
    <row r="2097" spans="1:10" ht="15.75" hidden="1" thickBot="1" x14ac:dyDescent="0.3">
      <c r="A2097" s="221"/>
      <c r="B2097" s="223"/>
      <c r="C2097" s="30"/>
      <c r="D2097" s="41"/>
      <c r="E2097" s="31"/>
      <c r="F2097" s="28" t="s">
        <v>521</v>
      </c>
      <c r="G2097" s="28" t="str">
        <f t="shared" si="33"/>
        <v/>
      </c>
      <c r="H2097" s="29"/>
      <c r="I2097" s="25"/>
      <c r="J2097" s="138">
        <v>0</v>
      </c>
    </row>
    <row r="2098" spans="1:10" ht="39" hidden="1" thickBot="1" x14ac:dyDescent="0.3">
      <c r="A2098" s="221"/>
      <c r="B2098" s="223"/>
      <c r="C2098" s="46" t="s">
        <v>641</v>
      </c>
      <c r="D2098" s="41"/>
      <c r="E2098" s="31"/>
      <c r="F2098" s="28" t="s">
        <v>521</v>
      </c>
      <c r="G2098" s="28" t="str">
        <f t="shared" si="33"/>
        <v/>
      </c>
      <c r="H2098" s="29"/>
      <c r="I2098" s="25"/>
      <c r="J2098" s="138">
        <v>0</v>
      </c>
    </row>
    <row r="2099" spans="1:10" ht="15.75" hidden="1" thickBot="1" x14ac:dyDescent="0.3">
      <c r="A2099" s="227"/>
      <c r="B2099" s="224"/>
      <c r="C2099" s="30"/>
      <c r="D2099" s="30"/>
      <c r="E2099" s="31"/>
      <c r="F2099" s="25" t="s">
        <v>521</v>
      </c>
      <c r="G2099" s="25" t="str">
        <f t="shared" si="33"/>
        <v/>
      </c>
      <c r="H2099" s="29"/>
      <c r="I2099" s="25"/>
      <c r="J2099" s="138">
        <v>0</v>
      </c>
    </row>
    <row r="2100" spans="1:10" ht="15.75" hidden="1" thickBot="1" x14ac:dyDescent="0.3">
      <c r="A2100" s="220" t="s">
        <v>658</v>
      </c>
      <c r="B2100" s="222" t="e">
        <f>INDEX(Orçamentária!A:B,MATCH(Composições!A2100,Orçamentária!A:A,0),2)</f>
        <v>#N/A</v>
      </c>
      <c r="C2100" s="35"/>
      <c r="D2100" s="20" t="s">
        <v>93</v>
      </c>
      <c r="E2100" s="21"/>
      <c r="F2100" s="36" t="s">
        <v>521</v>
      </c>
      <c r="G2100" s="22" t="str">
        <f t="shared" si="33"/>
        <v/>
      </c>
      <c r="H2100" s="23"/>
      <c r="I2100" s="24"/>
      <c r="J2100" s="138">
        <v>0</v>
      </c>
    </row>
    <row r="2101" spans="1:10" ht="15.75" hidden="1" thickBot="1" x14ac:dyDescent="0.3">
      <c r="A2101" s="221"/>
      <c r="B2101" s="223"/>
      <c r="C2101" s="26"/>
      <c r="D2101" s="26"/>
      <c r="E2101" s="27"/>
      <c r="F2101" s="37" t="s">
        <v>521</v>
      </c>
      <c r="G2101" s="25" t="str">
        <f t="shared" si="33"/>
        <v/>
      </c>
      <c r="H2101" s="29"/>
      <c r="I2101" s="25"/>
      <c r="J2101" s="138">
        <v>0</v>
      </c>
    </row>
    <row r="2102" spans="1:10" ht="39" hidden="1" thickBot="1" x14ac:dyDescent="0.3">
      <c r="A2102" s="221"/>
      <c r="B2102" s="223"/>
      <c r="C2102" s="30" t="s">
        <v>659</v>
      </c>
      <c r="D2102" s="41" t="s">
        <v>93</v>
      </c>
      <c r="E2102" s="31">
        <v>1.0210999999999999</v>
      </c>
      <c r="F2102" s="28" t="s">
        <v>521</v>
      </c>
      <c r="G2102" s="28" t="str">
        <f t="shared" si="33"/>
        <v/>
      </c>
      <c r="H2102" s="33">
        <f>SUM(G2102:G2104)</f>
        <v>0.83320319999999981</v>
      </c>
      <c r="I2102" s="34"/>
      <c r="J2102" s="138">
        <v>0</v>
      </c>
    </row>
    <row r="2103" spans="1:10" ht="26.25" hidden="1" thickBot="1" x14ac:dyDescent="0.3">
      <c r="A2103" s="221"/>
      <c r="B2103" s="223"/>
      <c r="C2103" s="30" t="s">
        <v>107</v>
      </c>
      <c r="D2103" s="41" t="s">
        <v>12</v>
      </c>
      <c r="E2103" s="31">
        <f>0.064*0.3</f>
        <v>1.9199999999999998E-2</v>
      </c>
      <c r="F2103" s="25">
        <v>19.094999999999999</v>
      </c>
      <c r="G2103" s="28">
        <f t="shared" si="33"/>
        <v>0.36662399999999995</v>
      </c>
      <c r="H2103" s="29"/>
      <c r="I2103" s="25"/>
      <c r="J2103" s="138">
        <v>0</v>
      </c>
    </row>
    <row r="2104" spans="1:10" ht="15.75" hidden="1" thickBot="1" x14ac:dyDescent="0.3">
      <c r="A2104" s="221"/>
      <c r="B2104" s="223"/>
      <c r="C2104" s="30" t="s">
        <v>39</v>
      </c>
      <c r="D2104" s="41" t="s">
        <v>12</v>
      </c>
      <c r="E2104" s="31">
        <f>0.064*0.3</f>
        <v>1.9199999999999998E-2</v>
      </c>
      <c r="F2104" s="25">
        <v>24.300999999999998</v>
      </c>
      <c r="G2104" s="28">
        <f t="shared" si="33"/>
        <v>0.46657919999999992</v>
      </c>
      <c r="H2104" s="29"/>
      <c r="I2104" s="25"/>
      <c r="J2104" s="138">
        <v>0</v>
      </c>
    </row>
    <row r="2105" spans="1:10" ht="15.75" hidden="1" thickBot="1" x14ac:dyDescent="0.3">
      <c r="A2105" s="221"/>
      <c r="B2105" s="223"/>
      <c r="C2105" s="30"/>
      <c r="D2105" s="41"/>
      <c r="E2105" s="31"/>
      <c r="F2105" s="28" t="s">
        <v>521</v>
      </c>
      <c r="G2105" s="28" t="str">
        <f t="shared" si="33"/>
        <v/>
      </c>
      <c r="H2105" s="29"/>
      <c r="I2105" s="25"/>
      <c r="J2105" s="138">
        <v>0</v>
      </c>
    </row>
    <row r="2106" spans="1:10" ht="39" hidden="1" thickBot="1" x14ac:dyDescent="0.3">
      <c r="A2106" s="221"/>
      <c r="B2106" s="223"/>
      <c r="C2106" s="46" t="s">
        <v>641</v>
      </c>
      <c r="D2106" s="41"/>
      <c r="E2106" s="31"/>
      <c r="F2106" s="28" t="s">
        <v>521</v>
      </c>
      <c r="G2106" s="28" t="str">
        <f t="shared" si="33"/>
        <v/>
      </c>
      <c r="H2106" s="29"/>
      <c r="I2106" s="25"/>
      <c r="J2106" s="138">
        <v>0</v>
      </c>
    </row>
    <row r="2107" spans="1:10" ht="15.75" hidden="1" thickBot="1" x14ac:dyDescent="0.3">
      <c r="A2107" s="227"/>
      <c r="B2107" s="224"/>
      <c r="C2107" s="30"/>
      <c r="D2107" s="30"/>
      <c r="E2107" s="31"/>
      <c r="F2107" s="25" t="s">
        <v>521</v>
      </c>
      <c r="G2107" s="25" t="str">
        <f t="shared" si="33"/>
        <v/>
      </c>
      <c r="H2107" s="29"/>
      <c r="I2107" s="25"/>
      <c r="J2107" s="138">
        <v>0</v>
      </c>
    </row>
    <row r="2108" spans="1:10" ht="15.75" hidden="1" thickBot="1" x14ac:dyDescent="0.3">
      <c r="A2108" s="220" t="s">
        <v>660</v>
      </c>
      <c r="B2108" s="222" t="e">
        <f>INDEX(Orçamentária!A:B,MATCH(Composições!A2108,Orçamentária!A:A,0),2)</f>
        <v>#N/A</v>
      </c>
      <c r="C2108" s="35"/>
      <c r="D2108" s="20" t="s">
        <v>93</v>
      </c>
      <c r="E2108" s="21"/>
      <c r="F2108" s="36" t="s">
        <v>521</v>
      </c>
      <c r="G2108" s="22" t="str">
        <f t="shared" si="33"/>
        <v/>
      </c>
      <c r="H2108" s="23"/>
      <c r="I2108" s="24"/>
      <c r="J2108" s="138">
        <v>0</v>
      </c>
    </row>
    <row r="2109" spans="1:10" ht="15.75" hidden="1" thickBot="1" x14ac:dyDescent="0.3">
      <c r="A2109" s="221"/>
      <c r="B2109" s="223"/>
      <c r="C2109" s="26"/>
      <c r="D2109" s="26"/>
      <c r="E2109" s="27"/>
      <c r="F2109" s="37" t="s">
        <v>521</v>
      </c>
      <c r="G2109" s="25" t="str">
        <f t="shared" si="33"/>
        <v/>
      </c>
      <c r="H2109" s="29"/>
      <c r="I2109" s="25"/>
      <c r="J2109" s="138">
        <v>0</v>
      </c>
    </row>
    <row r="2110" spans="1:10" ht="39" hidden="1" thickBot="1" x14ac:dyDescent="0.3">
      <c r="A2110" s="221"/>
      <c r="B2110" s="223"/>
      <c r="C2110" s="30" t="s">
        <v>661</v>
      </c>
      <c r="D2110" s="41" t="s">
        <v>93</v>
      </c>
      <c r="E2110" s="31">
        <v>1.0210999999999999</v>
      </c>
      <c r="F2110" s="28" t="s">
        <v>521</v>
      </c>
      <c r="G2110" s="28" t="str">
        <f t="shared" si="33"/>
        <v/>
      </c>
      <c r="H2110" s="33">
        <f>SUM(G2110:G2112)</f>
        <v>0.83320319999999981</v>
      </c>
      <c r="I2110" s="34"/>
      <c r="J2110" s="138">
        <v>0</v>
      </c>
    </row>
    <row r="2111" spans="1:10" ht="26.25" hidden="1" thickBot="1" x14ac:dyDescent="0.3">
      <c r="A2111" s="221"/>
      <c r="B2111" s="223"/>
      <c r="C2111" s="30" t="s">
        <v>107</v>
      </c>
      <c r="D2111" s="41" t="s">
        <v>12</v>
      </c>
      <c r="E2111" s="31">
        <f>0.064*0.3</f>
        <v>1.9199999999999998E-2</v>
      </c>
      <c r="F2111" s="25">
        <v>19.094999999999999</v>
      </c>
      <c r="G2111" s="28">
        <f t="shared" si="33"/>
        <v>0.36662399999999995</v>
      </c>
      <c r="H2111" s="29"/>
      <c r="I2111" s="25"/>
      <c r="J2111" s="138">
        <v>0</v>
      </c>
    </row>
    <row r="2112" spans="1:10" ht="15.75" hidden="1" thickBot="1" x14ac:dyDescent="0.3">
      <c r="A2112" s="221"/>
      <c r="B2112" s="223"/>
      <c r="C2112" s="30" t="s">
        <v>39</v>
      </c>
      <c r="D2112" s="41" t="s">
        <v>12</v>
      </c>
      <c r="E2112" s="31">
        <f>0.064*0.3</f>
        <v>1.9199999999999998E-2</v>
      </c>
      <c r="F2112" s="25">
        <v>24.300999999999998</v>
      </c>
      <c r="G2112" s="28">
        <f t="shared" si="33"/>
        <v>0.46657919999999992</v>
      </c>
      <c r="H2112" s="29"/>
      <c r="I2112" s="25"/>
      <c r="J2112" s="138">
        <v>0</v>
      </c>
    </row>
    <row r="2113" spans="1:10" ht="15.75" hidden="1" thickBot="1" x14ac:dyDescent="0.3">
      <c r="A2113" s="221"/>
      <c r="B2113" s="223"/>
      <c r="C2113" s="30"/>
      <c r="D2113" s="41"/>
      <c r="E2113" s="31"/>
      <c r="F2113" s="28" t="s">
        <v>521</v>
      </c>
      <c r="G2113" s="28" t="str">
        <f t="shared" si="33"/>
        <v/>
      </c>
      <c r="H2113" s="29"/>
      <c r="I2113" s="25"/>
      <c r="J2113" s="138">
        <v>0</v>
      </c>
    </row>
    <row r="2114" spans="1:10" ht="39" hidden="1" thickBot="1" x14ac:dyDescent="0.3">
      <c r="A2114" s="221"/>
      <c r="B2114" s="223"/>
      <c r="C2114" s="46" t="s">
        <v>641</v>
      </c>
      <c r="D2114" s="41"/>
      <c r="E2114" s="31"/>
      <c r="F2114" s="28" t="s">
        <v>521</v>
      </c>
      <c r="G2114" s="28" t="str">
        <f t="shared" si="33"/>
        <v/>
      </c>
      <c r="H2114" s="29"/>
      <c r="I2114" s="25"/>
      <c r="J2114" s="138">
        <v>0</v>
      </c>
    </row>
    <row r="2115" spans="1:10" ht="15.75" hidden="1" thickBot="1" x14ac:dyDescent="0.3">
      <c r="A2115" s="227"/>
      <c r="B2115" s="224"/>
      <c r="C2115" s="30"/>
      <c r="D2115" s="30"/>
      <c r="E2115" s="31"/>
      <c r="F2115" s="25" t="s">
        <v>521</v>
      </c>
      <c r="G2115" s="25" t="str">
        <f t="shared" si="33"/>
        <v/>
      </c>
      <c r="H2115" s="29"/>
      <c r="I2115" s="25"/>
      <c r="J2115" s="138">
        <v>0</v>
      </c>
    </row>
    <row r="2116" spans="1:10" ht="15.75" hidden="1" thickBot="1" x14ac:dyDescent="0.3">
      <c r="A2116" s="220" t="s">
        <v>662</v>
      </c>
      <c r="B2116" s="222" t="e">
        <f>INDEX(Orçamentária!A:B,MATCH(Composições!A2116,Orçamentária!A:A,0),2)</f>
        <v>#N/A</v>
      </c>
      <c r="C2116" s="35"/>
      <c r="D2116" s="20" t="s">
        <v>95</v>
      </c>
      <c r="E2116" s="21"/>
      <c r="F2116" s="36" t="s">
        <v>521</v>
      </c>
      <c r="G2116" s="22" t="str">
        <f t="shared" si="33"/>
        <v/>
      </c>
      <c r="H2116" s="23"/>
      <c r="I2116" s="24"/>
      <c r="J2116" s="138">
        <v>0</v>
      </c>
    </row>
    <row r="2117" spans="1:10" ht="15.75" hidden="1" thickBot="1" x14ac:dyDescent="0.3">
      <c r="A2117" s="221"/>
      <c r="B2117" s="223"/>
      <c r="C2117" s="26"/>
      <c r="D2117" s="26"/>
      <c r="E2117" s="27"/>
      <c r="F2117" s="37" t="s">
        <v>521</v>
      </c>
      <c r="G2117" s="25" t="str">
        <f t="shared" si="33"/>
        <v/>
      </c>
      <c r="H2117" s="29"/>
      <c r="I2117" s="25"/>
      <c r="J2117" s="138">
        <v>0</v>
      </c>
    </row>
    <row r="2118" spans="1:10" ht="26.25" hidden="1" thickBot="1" x14ac:dyDescent="0.3">
      <c r="A2118" s="221"/>
      <c r="B2118" s="223"/>
      <c r="C2118" s="30" t="s">
        <v>107</v>
      </c>
      <c r="D2118" s="41" t="s">
        <v>12</v>
      </c>
      <c r="E2118" s="31">
        <v>0.2</v>
      </c>
      <c r="F2118" s="25">
        <v>19.094999999999999</v>
      </c>
      <c r="G2118" s="28">
        <f t="shared" si="33"/>
        <v>3.819</v>
      </c>
      <c r="H2118" s="33">
        <f>SUM(G2118:G2120)</f>
        <v>8.6791999999999998</v>
      </c>
      <c r="I2118" s="34"/>
      <c r="J2118" s="138">
        <v>0</v>
      </c>
    </row>
    <row r="2119" spans="1:10" ht="15.75" hidden="1" thickBot="1" x14ac:dyDescent="0.3">
      <c r="A2119" s="221"/>
      <c r="B2119" s="223"/>
      <c r="C2119" s="30" t="s">
        <v>39</v>
      </c>
      <c r="D2119" s="41" t="s">
        <v>12</v>
      </c>
      <c r="E2119" s="31">
        <v>0.2</v>
      </c>
      <c r="F2119" s="25">
        <v>24.300999999999998</v>
      </c>
      <c r="G2119" s="28">
        <f t="shared" si="33"/>
        <v>4.8601999999999999</v>
      </c>
      <c r="H2119" s="29"/>
      <c r="I2119" s="25"/>
      <c r="J2119" s="138">
        <v>0</v>
      </c>
    </row>
    <row r="2120" spans="1:10" ht="15.75" hidden="1" thickBot="1" x14ac:dyDescent="0.3">
      <c r="A2120" s="221"/>
      <c r="B2120" s="223"/>
      <c r="C2120" s="30" t="s">
        <v>663</v>
      </c>
      <c r="D2120" s="41" t="s">
        <v>95</v>
      </c>
      <c r="E2120" s="31">
        <v>1.05</v>
      </c>
      <c r="F2120" s="28" t="s">
        <v>521</v>
      </c>
      <c r="G2120" s="28" t="str">
        <f t="shared" si="33"/>
        <v/>
      </c>
      <c r="H2120" s="29"/>
      <c r="I2120" s="25"/>
      <c r="J2120" s="138">
        <v>0</v>
      </c>
    </row>
    <row r="2121" spans="1:10" ht="15.75" hidden="1" thickBot="1" x14ac:dyDescent="0.3">
      <c r="A2121" s="227"/>
      <c r="B2121" s="224"/>
      <c r="C2121" s="30"/>
      <c r="D2121" s="30"/>
      <c r="E2121" s="31"/>
      <c r="F2121" s="25" t="s">
        <v>521</v>
      </c>
      <c r="G2121" s="25" t="str">
        <f t="shared" si="33"/>
        <v/>
      </c>
      <c r="H2121" s="29"/>
      <c r="I2121" s="25"/>
      <c r="J2121" s="138">
        <v>0</v>
      </c>
    </row>
    <row r="2122" spans="1:10" ht="15.75" hidden="1" thickBot="1" x14ac:dyDescent="0.3">
      <c r="A2122" s="220" t="s">
        <v>664</v>
      </c>
      <c r="B2122" s="222" t="e">
        <f>INDEX(Orçamentária!A:B,MATCH(Composições!A2122,Orçamentária!A:A,0),2)</f>
        <v>#N/A</v>
      </c>
      <c r="C2122" s="35"/>
      <c r="D2122" s="20" t="s">
        <v>93</v>
      </c>
      <c r="E2122" s="21"/>
      <c r="F2122" s="36" t="s">
        <v>521</v>
      </c>
      <c r="G2122" s="22" t="str">
        <f t="shared" si="33"/>
        <v/>
      </c>
      <c r="H2122" s="23"/>
      <c r="I2122" s="24"/>
      <c r="J2122" s="138">
        <v>0</v>
      </c>
    </row>
    <row r="2123" spans="1:10" ht="15.75" hidden="1" thickBot="1" x14ac:dyDescent="0.3">
      <c r="A2123" s="221"/>
      <c r="B2123" s="223"/>
      <c r="C2123" s="26"/>
      <c r="D2123" s="26"/>
      <c r="E2123" s="27"/>
      <c r="F2123" s="37" t="s">
        <v>521</v>
      </c>
      <c r="G2123" s="25" t="str">
        <f t="shared" si="33"/>
        <v/>
      </c>
      <c r="H2123" s="29"/>
      <c r="I2123" s="25"/>
      <c r="J2123" s="138">
        <v>0</v>
      </c>
    </row>
    <row r="2124" spans="1:10" ht="15.75" hidden="1" thickBot="1" x14ac:dyDescent="0.3">
      <c r="A2124" s="221"/>
      <c r="B2124" s="223"/>
      <c r="C2124" s="30" t="s">
        <v>39</v>
      </c>
      <c r="D2124" s="41" t="s">
        <v>12</v>
      </c>
      <c r="E2124" s="31">
        <v>0.29199999999999998</v>
      </c>
      <c r="F2124" s="25">
        <v>24.300999999999998</v>
      </c>
      <c r="G2124" s="25">
        <f t="shared" si="33"/>
        <v>7.0958919999999992</v>
      </c>
      <c r="H2124" s="33">
        <f>SUM(G2124:G2126)</f>
        <v>98.801614999999998</v>
      </c>
      <c r="I2124" s="34"/>
      <c r="J2124" s="138">
        <v>0</v>
      </c>
    </row>
    <row r="2125" spans="1:10" ht="26.25" hidden="1" thickBot="1" x14ac:dyDescent="0.3">
      <c r="A2125" s="221"/>
      <c r="B2125" s="223"/>
      <c r="C2125" s="30" t="s">
        <v>107</v>
      </c>
      <c r="D2125" s="41" t="s">
        <v>12</v>
      </c>
      <c r="E2125" s="31">
        <v>0.29199999999999998</v>
      </c>
      <c r="F2125" s="25">
        <v>19.094999999999999</v>
      </c>
      <c r="G2125" s="25">
        <f t="shared" si="33"/>
        <v>5.5757399999999997</v>
      </c>
      <c r="H2125" s="29"/>
      <c r="I2125" s="25"/>
      <c r="J2125" s="138">
        <v>0</v>
      </c>
    </row>
    <row r="2126" spans="1:10" ht="26.25" hidden="1" thickBot="1" x14ac:dyDescent="0.3">
      <c r="A2126" s="221"/>
      <c r="B2126" s="223"/>
      <c r="C2126" s="30" t="s">
        <v>665</v>
      </c>
      <c r="D2126" s="41" t="s">
        <v>93</v>
      </c>
      <c r="E2126" s="31">
        <v>1.0389999999999999</v>
      </c>
      <c r="F2126" s="28">
        <v>82.897000000000006</v>
      </c>
      <c r="G2126" s="25">
        <f t="shared" si="33"/>
        <v>86.129982999999996</v>
      </c>
      <c r="H2126" s="29"/>
      <c r="I2126" s="25"/>
      <c r="J2126" s="138">
        <v>0</v>
      </c>
    </row>
    <row r="2127" spans="1:10" ht="15.75" hidden="1" thickBot="1" x14ac:dyDescent="0.3">
      <c r="A2127" s="227"/>
      <c r="B2127" s="224"/>
      <c r="C2127" s="30"/>
      <c r="D2127" s="30"/>
      <c r="E2127" s="31"/>
      <c r="F2127" s="25" t="s">
        <v>521</v>
      </c>
      <c r="G2127" s="25" t="str">
        <f t="shared" si="33"/>
        <v/>
      </c>
      <c r="H2127" s="29"/>
      <c r="I2127" s="25"/>
      <c r="J2127" s="138">
        <v>0</v>
      </c>
    </row>
    <row r="2128" spans="1:10" ht="15.75" hidden="1" thickBot="1" x14ac:dyDescent="0.3">
      <c r="A2128" s="220" t="s">
        <v>666</v>
      </c>
      <c r="B2128" s="222" t="e">
        <f>INDEX(Orçamentária!A:B,MATCH(Composições!A2128,Orçamentária!A:A,0),2)</f>
        <v>#N/A</v>
      </c>
      <c r="C2128" s="35"/>
      <c r="D2128" s="20" t="s">
        <v>93</v>
      </c>
      <c r="E2128" s="21"/>
      <c r="F2128" s="36" t="s">
        <v>521</v>
      </c>
      <c r="G2128" s="22" t="str">
        <f t="shared" si="33"/>
        <v/>
      </c>
      <c r="H2128" s="23"/>
      <c r="I2128" s="24"/>
      <c r="J2128" s="138">
        <v>0</v>
      </c>
    </row>
    <row r="2129" spans="1:10" ht="15.75" hidden="1" thickBot="1" x14ac:dyDescent="0.3">
      <c r="A2129" s="221"/>
      <c r="B2129" s="223"/>
      <c r="C2129" s="26"/>
      <c r="D2129" s="26"/>
      <c r="E2129" s="27"/>
      <c r="F2129" s="37" t="s">
        <v>521</v>
      </c>
      <c r="G2129" s="25" t="str">
        <f t="shared" si="33"/>
        <v/>
      </c>
      <c r="H2129" s="29"/>
      <c r="I2129" s="25"/>
      <c r="J2129" s="138">
        <v>0</v>
      </c>
    </row>
    <row r="2130" spans="1:10" ht="15.75" hidden="1" thickBot="1" x14ac:dyDescent="0.3">
      <c r="A2130" s="221"/>
      <c r="B2130" s="223"/>
      <c r="C2130" s="30" t="s">
        <v>39</v>
      </c>
      <c r="D2130" s="41" t="s">
        <v>12</v>
      </c>
      <c r="E2130" s="31">
        <v>0.27500000000000002</v>
      </c>
      <c r="F2130" s="25">
        <v>24.300999999999998</v>
      </c>
      <c r="G2130" s="25">
        <f t="shared" ref="G2130:G2193" si="34">IF(ISNUMBER(F2130),E2130*F2130,"")</f>
        <v>6.6827750000000004</v>
      </c>
      <c r="H2130" s="33">
        <f>SUM(G2130:G2132)</f>
        <v>90.966993499999973</v>
      </c>
      <c r="I2130" s="34"/>
      <c r="J2130" s="138">
        <v>0</v>
      </c>
    </row>
    <row r="2131" spans="1:10" ht="26.25" hidden="1" thickBot="1" x14ac:dyDescent="0.3">
      <c r="A2131" s="221"/>
      <c r="B2131" s="223"/>
      <c r="C2131" s="30" t="s">
        <v>107</v>
      </c>
      <c r="D2131" s="41" t="s">
        <v>12</v>
      </c>
      <c r="E2131" s="31">
        <v>0.27500000000000002</v>
      </c>
      <c r="F2131" s="25">
        <v>19.094999999999999</v>
      </c>
      <c r="G2131" s="25">
        <f t="shared" si="34"/>
        <v>5.251125</v>
      </c>
      <c r="H2131" s="29"/>
      <c r="I2131" s="25"/>
      <c r="J2131" s="138">
        <v>0</v>
      </c>
    </row>
    <row r="2132" spans="1:10" ht="26.25" hidden="1" thickBot="1" x14ac:dyDescent="0.3">
      <c r="A2132" s="221"/>
      <c r="B2132" s="223"/>
      <c r="C2132" s="30" t="s">
        <v>1818</v>
      </c>
      <c r="D2132" s="41" t="s">
        <v>93</v>
      </c>
      <c r="E2132" s="31">
        <v>1.0389999999999999</v>
      </c>
      <c r="F2132" s="25">
        <v>76.066499999999991</v>
      </c>
      <c r="G2132" s="25">
        <f t="shared" si="34"/>
        <v>79.033093499999978</v>
      </c>
      <c r="H2132" s="29"/>
      <c r="I2132" s="25"/>
      <c r="J2132" s="138">
        <v>0</v>
      </c>
    </row>
    <row r="2133" spans="1:10" ht="15.75" hidden="1" thickBot="1" x14ac:dyDescent="0.3">
      <c r="A2133" s="227"/>
      <c r="B2133" s="224"/>
      <c r="C2133" s="30"/>
      <c r="D2133" s="30"/>
      <c r="E2133" s="31"/>
      <c r="F2133" s="25" t="s">
        <v>521</v>
      </c>
      <c r="G2133" s="25" t="str">
        <f t="shared" si="34"/>
        <v/>
      </c>
      <c r="H2133" s="29"/>
      <c r="I2133" s="25"/>
      <c r="J2133" s="138">
        <v>0</v>
      </c>
    </row>
    <row r="2134" spans="1:10" ht="15.75" hidden="1" thickBot="1" x14ac:dyDescent="0.3">
      <c r="A2134" s="220" t="s">
        <v>667</v>
      </c>
      <c r="B2134" s="222" t="e">
        <f>INDEX(Orçamentária!A:B,MATCH(Composições!A2134,Orçamentária!A:A,0),2)</f>
        <v>#N/A</v>
      </c>
      <c r="C2134" s="35"/>
      <c r="D2134" s="20" t="s">
        <v>93</v>
      </c>
      <c r="E2134" s="21"/>
      <c r="F2134" s="36" t="s">
        <v>521</v>
      </c>
      <c r="G2134" s="22" t="str">
        <f t="shared" si="34"/>
        <v/>
      </c>
      <c r="H2134" s="23"/>
      <c r="I2134" s="24"/>
      <c r="J2134" s="138">
        <v>0</v>
      </c>
    </row>
    <row r="2135" spans="1:10" ht="15.75" hidden="1" thickBot="1" x14ac:dyDescent="0.3">
      <c r="A2135" s="221"/>
      <c r="B2135" s="223"/>
      <c r="C2135" s="26"/>
      <c r="D2135" s="26"/>
      <c r="E2135" s="27"/>
      <c r="F2135" s="37" t="s">
        <v>521</v>
      </c>
      <c r="G2135" s="25" t="str">
        <f t="shared" si="34"/>
        <v/>
      </c>
      <c r="H2135" s="29"/>
      <c r="I2135" s="25"/>
      <c r="J2135" s="138">
        <v>0</v>
      </c>
    </row>
    <row r="2136" spans="1:10" ht="15.75" hidden="1" thickBot="1" x14ac:dyDescent="0.3">
      <c r="A2136" s="221"/>
      <c r="B2136" s="223"/>
      <c r="C2136" s="30" t="s">
        <v>39</v>
      </c>
      <c r="D2136" s="41" t="s">
        <v>12</v>
      </c>
      <c r="E2136" s="31">
        <v>0.29699999999999999</v>
      </c>
      <c r="F2136" s="25">
        <v>24.300999999999998</v>
      </c>
      <c r="G2136" s="28">
        <f t="shared" si="34"/>
        <v>7.2173969999999992</v>
      </c>
      <c r="H2136" s="33">
        <f>SUM(G2136:G2138)</f>
        <v>71.864849499999991</v>
      </c>
      <c r="I2136" s="34"/>
      <c r="J2136" s="138">
        <v>0</v>
      </c>
    </row>
    <row r="2137" spans="1:10" ht="26.25" hidden="1" thickBot="1" x14ac:dyDescent="0.3">
      <c r="A2137" s="221"/>
      <c r="B2137" s="223"/>
      <c r="C2137" s="30" t="s">
        <v>107</v>
      </c>
      <c r="D2137" s="41" t="s">
        <v>12</v>
      </c>
      <c r="E2137" s="31">
        <v>0.29699999999999999</v>
      </c>
      <c r="F2137" s="25">
        <v>19.094999999999999</v>
      </c>
      <c r="G2137" s="28">
        <f t="shared" si="34"/>
        <v>5.6712149999999992</v>
      </c>
      <c r="H2137" s="29"/>
      <c r="I2137" s="25"/>
      <c r="J2137" s="138">
        <v>0</v>
      </c>
    </row>
    <row r="2138" spans="1:10" ht="26.25" hidden="1" thickBot="1" x14ac:dyDescent="0.3">
      <c r="A2138" s="221"/>
      <c r="B2138" s="223"/>
      <c r="C2138" s="30" t="s">
        <v>1819</v>
      </c>
      <c r="D2138" s="41" t="s">
        <v>93</v>
      </c>
      <c r="E2138" s="31">
        <v>1.0389999999999999</v>
      </c>
      <c r="F2138" s="25">
        <v>56.762499999999996</v>
      </c>
      <c r="G2138" s="28">
        <f t="shared" si="34"/>
        <v>58.976237499999989</v>
      </c>
      <c r="H2138" s="29"/>
      <c r="I2138" s="25"/>
      <c r="J2138" s="138">
        <v>0</v>
      </c>
    </row>
    <row r="2139" spans="1:10" ht="15.75" hidden="1" thickBot="1" x14ac:dyDescent="0.3">
      <c r="A2139" s="227"/>
      <c r="B2139" s="224"/>
      <c r="C2139" s="30"/>
      <c r="D2139" s="30"/>
      <c r="E2139" s="31"/>
      <c r="F2139" s="25" t="s">
        <v>521</v>
      </c>
      <c r="G2139" s="25" t="str">
        <f t="shared" si="34"/>
        <v/>
      </c>
      <c r="H2139" s="29"/>
      <c r="I2139" s="25"/>
      <c r="J2139" s="138">
        <v>0</v>
      </c>
    </row>
    <row r="2140" spans="1:10" ht="15.75" hidden="1" thickBot="1" x14ac:dyDescent="0.3">
      <c r="A2140" s="220" t="s">
        <v>668</v>
      </c>
      <c r="B2140" s="222" t="e">
        <f>INDEX(Orçamentária!A:B,MATCH(Composições!A2140,Orçamentária!A:A,0),2)</f>
        <v>#N/A</v>
      </c>
      <c r="C2140" s="35"/>
      <c r="D2140" s="20" t="s">
        <v>93</v>
      </c>
      <c r="E2140" s="21"/>
      <c r="F2140" s="36" t="s">
        <v>521</v>
      </c>
      <c r="G2140" s="22" t="str">
        <f t="shared" si="34"/>
        <v/>
      </c>
      <c r="H2140" s="23"/>
      <c r="I2140" s="24"/>
      <c r="J2140" s="138">
        <v>0</v>
      </c>
    </row>
    <row r="2141" spans="1:10" ht="15.75" hidden="1" thickBot="1" x14ac:dyDescent="0.3">
      <c r="A2141" s="221"/>
      <c r="B2141" s="223"/>
      <c r="C2141" s="26"/>
      <c r="D2141" s="26"/>
      <c r="E2141" s="27"/>
      <c r="F2141" s="37" t="s">
        <v>521</v>
      </c>
      <c r="G2141" s="25" t="str">
        <f t="shared" si="34"/>
        <v/>
      </c>
      <c r="H2141" s="29"/>
      <c r="I2141" s="25"/>
      <c r="J2141" s="138">
        <v>0</v>
      </c>
    </row>
    <row r="2142" spans="1:10" ht="15.75" hidden="1" thickBot="1" x14ac:dyDescent="0.3">
      <c r="A2142" s="221"/>
      <c r="B2142" s="223"/>
      <c r="C2142" s="30" t="s">
        <v>39</v>
      </c>
      <c r="D2142" s="41" t="s">
        <v>12</v>
      </c>
      <c r="E2142" s="31">
        <v>0.29699999999999999</v>
      </c>
      <c r="F2142" s="25">
        <v>24.300999999999998</v>
      </c>
      <c r="G2142" s="25">
        <f t="shared" si="34"/>
        <v>7.2173969999999992</v>
      </c>
      <c r="H2142" s="33">
        <f>SUM(G2142:G2144)</f>
        <v>65.291096499999995</v>
      </c>
      <c r="I2142" s="34"/>
      <c r="J2142" s="138">
        <v>0</v>
      </c>
    </row>
    <row r="2143" spans="1:10" ht="26.25" hidden="1" thickBot="1" x14ac:dyDescent="0.3">
      <c r="A2143" s="221"/>
      <c r="B2143" s="223"/>
      <c r="C2143" s="30" t="s">
        <v>107</v>
      </c>
      <c r="D2143" s="41" t="s">
        <v>12</v>
      </c>
      <c r="E2143" s="31">
        <v>0.29699999999999999</v>
      </c>
      <c r="F2143" s="25">
        <v>19.094999999999999</v>
      </c>
      <c r="G2143" s="25">
        <f t="shared" si="34"/>
        <v>5.6712149999999992</v>
      </c>
      <c r="H2143" s="29"/>
      <c r="I2143" s="25"/>
      <c r="J2143" s="138">
        <v>0</v>
      </c>
    </row>
    <row r="2144" spans="1:10" ht="26.25" hidden="1" thickBot="1" x14ac:dyDescent="0.3">
      <c r="A2144" s="221"/>
      <c r="B2144" s="223"/>
      <c r="C2144" s="30" t="s">
        <v>669</v>
      </c>
      <c r="D2144" s="41" t="s">
        <v>93</v>
      </c>
      <c r="E2144" s="31">
        <v>1.0389999999999999</v>
      </c>
      <c r="F2144" s="28">
        <v>50.435499999999998</v>
      </c>
      <c r="G2144" s="25">
        <f t="shared" si="34"/>
        <v>52.402484499999993</v>
      </c>
      <c r="H2144" s="29"/>
      <c r="I2144" s="25"/>
      <c r="J2144" s="138">
        <v>0</v>
      </c>
    </row>
    <row r="2145" spans="1:10" ht="15.75" hidden="1" thickBot="1" x14ac:dyDescent="0.3">
      <c r="A2145" s="227"/>
      <c r="B2145" s="224"/>
      <c r="C2145" s="30"/>
      <c r="D2145" s="30"/>
      <c r="E2145" s="31"/>
      <c r="F2145" s="25" t="s">
        <v>521</v>
      </c>
      <c r="G2145" s="25" t="str">
        <f t="shared" si="34"/>
        <v/>
      </c>
      <c r="H2145" s="29"/>
      <c r="I2145" s="25"/>
      <c r="J2145" s="138">
        <v>0</v>
      </c>
    </row>
    <row r="2146" spans="1:10" ht="15.75" hidden="1" thickBot="1" x14ac:dyDescent="0.3">
      <c r="A2146" s="220" t="s">
        <v>670</v>
      </c>
      <c r="B2146" s="222" t="e">
        <f>INDEX(Orçamentária!A:B,MATCH(Composições!A2146,Orçamentária!A:A,0),2)</f>
        <v>#N/A</v>
      </c>
      <c r="C2146" s="35"/>
      <c r="D2146" s="20" t="s">
        <v>93</v>
      </c>
      <c r="E2146" s="21"/>
      <c r="F2146" s="36" t="s">
        <v>521</v>
      </c>
      <c r="G2146" s="22" t="str">
        <f t="shared" si="34"/>
        <v/>
      </c>
      <c r="H2146" s="23"/>
      <c r="I2146" s="24"/>
      <c r="J2146" s="138">
        <v>0</v>
      </c>
    </row>
    <row r="2147" spans="1:10" ht="15.75" hidden="1" thickBot="1" x14ac:dyDescent="0.3">
      <c r="A2147" s="221"/>
      <c r="B2147" s="223"/>
      <c r="C2147" s="26"/>
      <c r="D2147" s="26"/>
      <c r="E2147" s="27"/>
      <c r="F2147" s="37" t="s">
        <v>521</v>
      </c>
      <c r="G2147" s="25" t="str">
        <f t="shared" si="34"/>
        <v/>
      </c>
      <c r="H2147" s="29"/>
      <c r="I2147" s="25"/>
      <c r="J2147" s="138">
        <v>0</v>
      </c>
    </row>
    <row r="2148" spans="1:10" ht="26.25" hidden="1" thickBot="1" x14ac:dyDescent="0.3">
      <c r="A2148" s="221"/>
      <c r="B2148" s="223"/>
      <c r="C2148" s="30" t="s">
        <v>671</v>
      </c>
      <c r="D2148" s="41" t="s">
        <v>93</v>
      </c>
      <c r="E2148" s="31">
        <v>1.0210999999999999</v>
      </c>
      <c r="F2148" s="28">
        <v>41.182499999999997</v>
      </c>
      <c r="G2148" s="28">
        <f t="shared" si="34"/>
        <v>42.051450749999994</v>
      </c>
      <c r="H2148" s="33">
        <f>SUM(G2148:G2150)</f>
        <v>43.904459949999996</v>
      </c>
      <c r="I2148" s="34"/>
      <c r="J2148" s="138">
        <v>0</v>
      </c>
    </row>
    <row r="2149" spans="1:10" ht="26.25" hidden="1" thickBot="1" x14ac:dyDescent="0.3">
      <c r="A2149" s="221"/>
      <c r="B2149" s="223"/>
      <c r="C2149" s="30" t="s">
        <v>107</v>
      </c>
      <c r="D2149" s="41" t="s">
        <v>12</v>
      </c>
      <c r="E2149" s="31">
        <f>0.061*0.7</f>
        <v>4.2699999999999995E-2</v>
      </c>
      <c r="F2149" s="25">
        <v>19.094999999999999</v>
      </c>
      <c r="G2149" s="28">
        <f t="shared" si="34"/>
        <v>0.81535649999999982</v>
      </c>
      <c r="H2149" s="29"/>
      <c r="I2149" s="25"/>
      <c r="J2149" s="138">
        <v>0</v>
      </c>
    </row>
    <row r="2150" spans="1:10" ht="15.75" hidden="1" thickBot="1" x14ac:dyDescent="0.3">
      <c r="A2150" s="221"/>
      <c r="B2150" s="223"/>
      <c r="C2150" s="30" t="s">
        <v>39</v>
      </c>
      <c r="D2150" s="41" t="s">
        <v>12</v>
      </c>
      <c r="E2150" s="31">
        <f>0.061*0.7</f>
        <v>4.2699999999999995E-2</v>
      </c>
      <c r="F2150" s="25">
        <v>24.300999999999998</v>
      </c>
      <c r="G2150" s="28">
        <f t="shared" si="34"/>
        <v>1.0376526999999998</v>
      </c>
      <c r="H2150" s="29"/>
      <c r="I2150" s="25"/>
      <c r="J2150" s="138">
        <v>0</v>
      </c>
    </row>
    <row r="2151" spans="1:10" ht="15.75" hidden="1" thickBot="1" x14ac:dyDescent="0.3">
      <c r="A2151" s="221"/>
      <c r="B2151" s="223"/>
      <c r="C2151" s="30"/>
      <c r="D2151" s="41"/>
      <c r="E2151" s="31"/>
      <c r="F2151" s="25" t="s">
        <v>521</v>
      </c>
      <c r="G2151" s="28" t="str">
        <f t="shared" si="34"/>
        <v/>
      </c>
      <c r="H2151" s="29"/>
      <c r="I2151" s="25"/>
      <c r="J2151" s="138">
        <v>0</v>
      </c>
    </row>
    <row r="2152" spans="1:10" ht="39" hidden="1" thickBot="1" x14ac:dyDescent="0.3">
      <c r="A2152" s="221"/>
      <c r="B2152" s="223"/>
      <c r="C2152" s="46" t="s">
        <v>641</v>
      </c>
      <c r="D2152" s="41"/>
      <c r="E2152" s="31"/>
      <c r="F2152" s="25" t="s">
        <v>521</v>
      </c>
      <c r="G2152" s="28" t="str">
        <f t="shared" si="34"/>
        <v/>
      </c>
      <c r="H2152" s="29"/>
      <c r="I2152" s="25"/>
      <c r="J2152" s="138">
        <v>0</v>
      </c>
    </row>
    <row r="2153" spans="1:10" ht="15.75" hidden="1" thickBot="1" x14ac:dyDescent="0.3">
      <c r="A2153" s="227"/>
      <c r="B2153" s="224"/>
      <c r="C2153" s="30"/>
      <c r="D2153" s="30"/>
      <c r="E2153" s="31"/>
      <c r="F2153" s="25" t="s">
        <v>521</v>
      </c>
      <c r="G2153" s="25" t="str">
        <f t="shared" si="34"/>
        <v/>
      </c>
      <c r="H2153" s="29"/>
      <c r="I2153" s="25"/>
      <c r="J2153" s="138">
        <v>0</v>
      </c>
    </row>
    <row r="2154" spans="1:10" ht="15.75" hidden="1" thickBot="1" x14ac:dyDescent="0.3">
      <c r="A2154" s="220" t="s">
        <v>672</v>
      </c>
      <c r="B2154" s="222" t="e">
        <f>INDEX(Orçamentária!A:B,MATCH(Composições!A2154,Orçamentária!A:A,0),2)</f>
        <v>#N/A</v>
      </c>
      <c r="C2154" s="35"/>
      <c r="D2154" s="20" t="s">
        <v>93</v>
      </c>
      <c r="E2154" s="21"/>
      <c r="F2154" s="36" t="s">
        <v>521</v>
      </c>
      <c r="G2154" s="22" t="str">
        <f t="shared" si="34"/>
        <v/>
      </c>
      <c r="H2154" s="23"/>
      <c r="I2154" s="24"/>
      <c r="J2154" s="138">
        <v>0</v>
      </c>
    </row>
    <row r="2155" spans="1:10" ht="15.75" hidden="1" thickBot="1" x14ac:dyDescent="0.3">
      <c r="A2155" s="221"/>
      <c r="B2155" s="223"/>
      <c r="C2155" s="26"/>
      <c r="D2155" s="26"/>
      <c r="E2155" s="27"/>
      <c r="F2155" s="37" t="s">
        <v>521</v>
      </c>
      <c r="G2155" s="25" t="str">
        <f t="shared" si="34"/>
        <v/>
      </c>
      <c r="H2155" s="29"/>
      <c r="I2155" s="25"/>
      <c r="J2155" s="138">
        <v>0</v>
      </c>
    </row>
    <row r="2156" spans="1:10" ht="26.25" hidden="1" thickBot="1" x14ac:dyDescent="0.3">
      <c r="A2156" s="221"/>
      <c r="B2156" s="223"/>
      <c r="C2156" s="30" t="s">
        <v>673</v>
      </c>
      <c r="D2156" s="41" t="s">
        <v>93</v>
      </c>
      <c r="E2156" s="31">
        <v>1.0210999999999999</v>
      </c>
      <c r="F2156" s="28">
        <v>19.731499999999997</v>
      </c>
      <c r="G2156" s="28">
        <f t="shared" si="34"/>
        <v>20.147834649999997</v>
      </c>
      <c r="H2156" s="33">
        <f>SUM(G2156:G2158)</f>
        <v>21.727449049999997</v>
      </c>
      <c r="I2156" s="34"/>
      <c r="J2156" s="138">
        <v>0</v>
      </c>
    </row>
    <row r="2157" spans="1:10" ht="26.25" hidden="1" thickBot="1" x14ac:dyDescent="0.3">
      <c r="A2157" s="221"/>
      <c r="B2157" s="223"/>
      <c r="C2157" s="30" t="s">
        <v>107</v>
      </c>
      <c r="D2157" s="41" t="s">
        <v>12</v>
      </c>
      <c r="E2157" s="31">
        <f>0.052*0.7</f>
        <v>3.6399999999999995E-2</v>
      </c>
      <c r="F2157" s="25">
        <v>19.094999999999999</v>
      </c>
      <c r="G2157" s="28">
        <f t="shared" si="34"/>
        <v>0.69505799999999984</v>
      </c>
      <c r="H2157" s="29"/>
      <c r="I2157" s="25"/>
      <c r="J2157" s="138">
        <v>0</v>
      </c>
    </row>
    <row r="2158" spans="1:10" ht="15.75" hidden="1" thickBot="1" x14ac:dyDescent="0.3">
      <c r="A2158" s="221"/>
      <c r="B2158" s="223"/>
      <c r="C2158" s="30" t="s">
        <v>39</v>
      </c>
      <c r="D2158" s="41" t="s">
        <v>12</v>
      </c>
      <c r="E2158" s="31">
        <f>0.052*0.7</f>
        <v>3.6399999999999995E-2</v>
      </c>
      <c r="F2158" s="25">
        <v>24.300999999999998</v>
      </c>
      <c r="G2158" s="28">
        <f t="shared" si="34"/>
        <v>0.8845563999999998</v>
      </c>
      <c r="H2158" s="29"/>
      <c r="I2158" s="25"/>
      <c r="J2158" s="138">
        <v>0</v>
      </c>
    </row>
    <row r="2159" spans="1:10" ht="15.75" hidden="1" thickBot="1" x14ac:dyDescent="0.3">
      <c r="A2159" s="221"/>
      <c r="B2159" s="223"/>
      <c r="C2159" s="30"/>
      <c r="D2159" s="41"/>
      <c r="E2159" s="31"/>
      <c r="F2159" s="28" t="s">
        <v>521</v>
      </c>
      <c r="G2159" s="28" t="str">
        <f t="shared" si="34"/>
        <v/>
      </c>
      <c r="H2159" s="29"/>
      <c r="I2159" s="25"/>
      <c r="J2159" s="138">
        <v>0</v>
      </c>
    </row>
    <row r="2160" spans="1:10" ht="39" hidden="1" thickBot="1" x14ac:dyDescent="0.3">
      <c r="A2160" s="221"/>
      <c r="B2160" s="223"/>
      <c r="C2160" s="46" t="s">
        <v>641</v>
      </c>
      <c r="D2160" s="41"/>
      <c r="E2160" s="31"/>
      <c r="F2160" s="28" t="s">
        <v>521</v>
      </c>
      <c r="G2160" s="28" t="str">
        <f t="shared" si="34"/>
        <v/>
      </c>
      <c r="H2160" s="29"/>
      <c r="I2160" s="25"/>
      <c r="J2160" s="138">
        <v>0</v>
      </c>
    </row>
    <row r="2161" spans="1:10" ht="15.75" hidden="1" thickBot="1" x14ac:dyDescent="0.3">
      <c r="A2161" s="227"/>
      <c r="B2161" s="224"/>
      <c r="C2161" s="30"/>
      <c r="D2161" s="30"/>
      <c r="E2161" s="31"/>
      <c r="F2161" s="25" t="s">
        <v>521</v>
      </c>
      <c r="G2161" s="25" t="str">
        <f t="shared" si="34"/>
        <v/>
      </c>
      <c r="H2161" s="29"/>
      <c r="I2161" s="25"/>
      <c r="J2161" s="138">
        <v>0</v>
      </c>
    </row>
    <row r="2162" spans="1:10" ht="15.75" hidden="1" thickBot="1" x14ac:dyDescent="0.3">
      <c r="A2162" s="220" t="s">
        <v>674</v>
      </c>
      <c r="B2162" s="222" t="e">
        <f>INDEX(Orçamentária!A:B,MATCH(Composições!A2162,Orçamentária!A:A,0),2)</f>
        <v>#N/A</v>
      </c>
      <c r="C2162" s="35"/>
      <c r="D2162" s="20" t="s">
        <v>93</v>
      </c>
      <c r="E2162" s="21"/>
      <c r="F2162" s="36" t="s">
        <v>521</v>
      </c>
      <c r="G2162" s="22" t="str">
        <f t="shared" si="34"/>
        <v/>
      </c>
      <c r="H2162" s="23"/>
      <c r="I2162" s="24"/>
      <c r="J2162" s="138">
        <v>0</v>
      </c>
    </row>
    <row r="2163" spans="1:10" ht="15.75" hidden="1" thickBot="1" x14ac:dyDescent="0.3">
      <c r="A2163" s="221"/>
      <c r="B2163" s="223"/>
      <c r="C2163" s="26"/>
      <c r="D2163" s="26"/>
      <c r="E2163" s="27"/>
      <c r="F2163" s="37" t="s">
        <v>521</v>
      </c>
      <c r="G2163" s="25" t="str">
        <f t="shared" si="34"/>
        <v/>
      </c>
      <c r="H2163" s="29"/>
      <c r="I2163" s="25"/>
      <c r="J2163" s="138">
        <v>0</v>
      </c>
    </row>
    <row r="2164" spans="1:10" ht="26.25" hidden="1" thickBot="1" x14ac:dyDescent="0.3">
      <c r="A2164" s="221"/>
      <c r="B2164" s="223"/>
      <c r="C2164" s="30" t="s">
        <v>675</v>
      </c>
      <c r="D2164" s="41" t="s">
        <v>93</v>
      </c>
      <c r="E2164" s="31">
        <v>1.0210999999999999</v>
      </c>
      <c r="F2164" s="28">
        <v>61.949499999999993</v>
      </c>
      <c r="G2164" s="28">
        <f t="shared" si="34"/>
        <v>63.256634449999986</v>
      </c>
      <c r="H2164" s="33">
        <f>SUM(G2164:G2166)</f>
        <v>65.200775249999978</v>
      </c>
      <c r="I2164" s="34"/>
      <c r="J2164" s="138">
        <v>0</v>
      </c>
    </row>
    <row r="2165" spans="1:10" ht="26.25" hidden="1" thickBot="1" x14ac:dyDescent="0.3">
      <c r="A2165" s="221"/>
      <c r="B2165" s="223"/>
      <c r="C2165" s="30" t="s">
        <v>107</v>
      </c>
      <c r="D2165" s="41" t="s">
        <v>12</v>
      </c>
      <c r="E2165" s="31">
        <f>0.064*0.7</f>
        <v>4.48E-2</v>
      </c>
      <c r="F2165" s="25">
        <v>19.094999999999999</v>
      </c>
      <c r="G2165" s="28">
        <f t="shared" si="34"/>
        <v>0.85545599999999999</v>
      </c>
      <c r="H2165" s="29"/>
      <c r="I2165" s="25"/>
      <c r="J2165" s="138">
        <v>0</v>
      </c>
    </row>
    <row r="2166" spans="1:10" ht="15.75" hidden="1" thickBot="1" x14ac:dyDescent="0.3">
      <c r="A2166" s="221"/>
      <c r="B2166" s="223"/>
      <c r="C2166" s="30" t="s">
        <v>39</v>
      </c>
      <c r="D2166" s="41" t="s">
        <v>12</v>
      </c>
      <c r="E2166" s="31">
        <f>0.064*0.7</f>
        <v>4.48E-2</v>
      </c>
      <c r="F2166" s="25">
        <v>24.300999999999998</v>
      </c>
      <c r="G2166" s="28">
        <f t="shared" si="34"/>
        <v>1.0886848</v>
      </c>
      <c r="H2166" s="29"/>
      <c r="I2166" s="25"/>
      <c r="J2166" s="138">
        <v>0</v>
      </c>
    </row>
    <row r="2167" spans="1:10" ht="15.75" hidden="1" thickBot="1" x14ac:dyDescent="0.3">
      <c r="A2167" s="221"/>
      <c r="B2167" s="223"/>
      <c r="C2167" s="30"/>
      <c r="D2167" s="41"/>
      <c r="E2167" s="31"/>
      <c r="F2167" s="28" t="s">
        <v>521</v>
      </c>
      <c r="G2167" s="28" t="str">
        <f t="shared" si="34"/>
        <v/>
      </c>
      <c r="H2167" s="29"/>
      <c r="I2167" s="25"/>
      <c r="J2167" s="138">
        <v>0</v>
      </c>
    </row>
    <row r="2168" spans="1:10" ht="39" hidden="1" thickBot="1" x14ac:dyDescent="0.3">
      <c r="A2168" s="221"/>
      <c r="B2168" s="223"/>
      <c r="C2168" s="46" t="s">
        <v>641</v>
      </c>
      <c r="D2168" s="41"/>
      <c r="E2168" s="31"/>
      <c r="F2168" s="28" t="s">
        <v>521</v>
      </c>
      <c r="G2168" s="28" t="str">
        <f t="shared" si="34"/>
        <v/>
      </c>
      <c r="H2168" s="29"/>
      <c r="I2168" s="25"/>
      <c r="J2168" s="138">
        <v>0</v>
      </c>
    </row>
    <row r="2169" spans="1:10" ht="15.75" hidden="1" thickBot="1" x14ac:dyDescent="0.3">
      <c r="A2169" s="227"/>
      <c r="B2169" s="224"/>
      <c r="C2169" s="30"/>
      <c r="D2169" s="30"/>
      <c r="E2169" s="31"/>
      <c r="F2169" s="25" t="s">
        <v>521</v>
      </c>
      <c r="G2169" s="25" t="str">
        <f t="shared" si="34"/>
        <v/>
      </c>
      <c r="H2169" s="29"/>
      <c r="I2169" s="25"/>
      <c r="J2169" s="138">
        <v>0</v>
      </c>
    </row>
    <row r="2170" spans="1:10" ht="15.75" hidden="1" thickBot="1" x14ac:dyDescent="0.3">
      <c r="A2170" s="220" t="s">
        <v>676</v>
      </c>
      <c r="B2170" s="222" t="e">
        <f>INDEX(Orçamentária!A:B,MATCH(Composições!A2170,Orçamentária!A:A,0),2)</f>
        <v>#N/A</v>
      </c>
      <c r="C2170" s="35"/>
      <c r="D2170" s="20" t="s">
        <v>93</v>
      </c>
      <c r="E2170" s="21"/>
      <c r="F2170" s="36" t="s">
        <v>521</v>
      </c>
      <c r="G2170" s="22" t="str">
        <f t="shared" si="34"/>
        <v/>
      </c>
      <c r="H2170" s="23"/>
      <c r="I2170" s="24"/>
      <c r="J2170" s="138">
        <v>0</v>
      </c>
    </row>
    <row r="2171" spans="1:10" ht="15.75" hidden="1" thickBot="1" x14ac:dyDescent="0.3">
      <c r="A2171" s="221"/>
      <c r="B2171" s="223"/>
      <c r="C2171" s="26"/>
      <c r="D2171" s="26"/>
      <c r="E2171" s="27"/>
      <c r="F2171" s="37" t="s">
        <v>521</v>
      </c>
      <c r="G2171" s="25" t="str">
        <f t="shared" si="34"/>
        <v/>
      </c>
      <c r="H2171" s="29"/>
      <c r="I2171" s="25"/>
      <c r="J2171" s="138">
        <v>0</v>
      </c>
    </row>
    <row r="2172" spans="1:10" ht="26.25" hidden="1" thickBot="1" x14ac:dyDescent="0.3">
      <c r="A2172" s="221"/>
      <c r="B2172" s="223"/>
      <c r="C2172" s="30" t="s">
        <v>677</v>
      </c>
      <c r="D2172" s="41" t="s">
        <v>93</v>
      </c>
      <c r="E2172" s="31">
        <v>1.0210999999999999</v>
      </c>
      <c r="F2172" s="28">
        <v>30.361999999999998</v>
      </c>
      <c r="G2172" s="28">
        <f t="shared" si="34"/>
        <v>31.002638199999996</v>
      </c>
      <c r="H2172" s="33">
        <f>SUM(G2172:G2174)</f>
        <v>32.734138599999994</v>
      </c>
      <c r="I2172" s="34"/>
      <c r="J2172" s="138">
        <v>0</v>
      </c>
    </row>
    <row r="2173" spans="1:10" ht="26.25" hidden="1" thickBot="1" x14ac:dyDescent="0.3">
      <c r="A2173" s="221"/>
      <c r="B2173" s="223"/>
      <c r="C2173" s="30" t="s">
        <v>107</v>
      </c>
      <c r="D2173" s="41" t="s">
        <v>12</v>
      </c>
      <c r="E2173" s="31">
        <f>0.057*0.7</f>
        <v>3.9899999999999998E-2</v>
      </c>
      <c r="F2173" s="25">
        <v>19.094999999999999</v>
      </c>
      <c r="G2173" s="28">
        <f t="shared" si="34"/>
        <v>0.76189049999999992</v>
      </c>
      <c r="H2173" s="29"/>
      <c r="I2173" s="25"/>
      <c r="J2173" s="138">
        <v>0</v>
      </c>
    </row>
    <row r="2174" spans="1:10" ht="15.75" hidden="1" thickBot="1" x14ac:dyDescent="0.3">
      <c r="A2174" s="221"/>
      <c r="B2174" s="223"/>
      <c r="C2174" s="30" t="s">
        <v>39</v>
      </c>
      <c r="D2174" s="41" t="s">
        <v>12</v>
      </c>
      <c r="E2174" s="31">
        <f>0.057*0.7</f>
        <v>3.9899999999999998E-2</v>
      </c>
      <c r="F2174" s="25">
        <v>24.300999999999998</v>
      </c>
      <c r="G2174" s="28">
        <f t="shared" si="34"/>
        <v>0.96960989999999991</v>
      </c>
      <c r="H2174" s="29"/>
      <c r="I2174" s="25"/>
      <c r="J2174" s="138">
        <v>0</v>
      </c>
    </row>
    <row r="2175" spans="1:10" ht="15.75" hidden="1" thickBot="1" x14ac:dyDescent="0.3">
      <c r="A2175" s="221"/>
      <c r="B2175" s="223"/>
      <c r="C2175" s="30"/>
      <c r="D2175" s="41"/>
      <c r="E2175" s="31"/>
      <c r="F2175" s="28" t="s">
        <v>521</v>
      </c>
      <c r="G2175" s="28" t="str">
        <f t="shared" si="34"/>
        <v/>
      </c>
      <c r="H2175" s="29"/>
      <c r="I2175" s="25"/>
      <c r="J2175" s="138">
        <v>0</v>
      </c>
    </row>
    <row r="2176" spans="1:10" ht="39" hidden="1" thickBot="1" x14ac:dyDescent="0.3">
      <c r="A2176" s="221"/>
      <c r="B2176" s="223"/>
      <c r="C2176" s="46" t="s">
        <v>641</v>
      </c>
      <c r="D2176" s="41"/>
      <c r="E2176" s="31"/>
      <c r="F2176" s="28" t="s">
        <v>521</v>
      </c>
      <c r="G2176" s="28" t="str">
        <f t="shared" si="34"/>
        <v/>
      </c>
      <c r="H2176" s="29"/>
      <c r="I2176" s="25"/>
      <c r="J2176" s="138">
        <v>0</v>
      </c>
    </row>
    <row r="2177" spans="1:10" ht="15.75" hidden="1" thickBot="1" x14ac:dyDescent="0.3">
      <c r="A2177" s="227"/>
      <c r="B2177" s="224"/>
      <c r="C2177" s="30"/>
      <c r="D2177" s="30"/>
      <c r="E2177" s="31"/>
      <c r="F2177" s="25" t="s">
        <v>521</v>
      </c>
      <c r="G2177" s="25" t="str">
        <f t="shared" si="34"/>
        <v/>
      </c>
      <c r="H2177" s="29"/>
      <c r="I2177" s="25"/>
      <c r="J2177" s="138">
        <v>0</v>
      </c>
    </row>
    <row r="2178" spans="1:10" ht="15.75" hidden="1" thickBot="1" x14ac:dyDescent="0.3">
      <c r="A2178" s="220" t="s">
        <v>678</v>
      </c>
      <c r="B2178" s="222" t="e">
        <f>INDEX(Orçamentária!A:B,MATCH(Composições!A2178,Orçamentária!A:A,0),2)</f>
        <v>#N/A</v>
      </c>
      <c r="C2178" s="35"/>
      <c r="D2178" s="20" t="s">
        <v>93</v>
      </c>
      <c r="E2178" s="21"/>
      <c r="F2178" s="36" t="s">
        <v>521</v>
      </c>
      <c r="G2178" s="22" t="str">
        <f t="shared" si="34"/>
        <v/>
      </c>
      <c r="H2178" s="23"/>
      <c r="I2178" s="24"/>
      <c r="J2178" s="138">
        <v>0</v>
      </c>
    </row>
    <row r="2179" spans="1:10" ht="15.75" hidden="1" thickBot="1" x14ac:dyDescent="0.3">
      <c r="A2179" s="221"/>
      <c r="B2179" s="223"/>
      <c r="C2179" s="26"/>
      <c r="D2179" s="26"/>
      <c r="E2179" s="27"/>
      <c r="F2179" s="37" t="s">
        <v>521</v>
      </c>
      <c r="G2179" s="25" t="str">
        <f t="shared" si="34"/>
        <v/>
      </c>
      <c r="H2179" s="29"/>
      <c r="I2179" s="25"/>
      <c r="J2179" s="138">
        <v>0</v>
      </c>
    </row>
    <row r="2180" spans="1:10" ht="26.25" hidden="1" thickBot="1" x14ac:dyDescent="0.3">
      <c r="A2180" s="221"/>
      <c r="B2180" s="223"/>
      <c r="C2180" s="30" t="s">
        <v>679</v>
      </c>
      <c r="D2180" s="41" t="s">
        <v>93</v>
      </c>
      <c r="E2180" s="31">
        <v>1.0210999999999999</v>
      </c>
      <c r="F2180" s="28">
        <v>51.223999999999997</v>
      </c>
      <c r="G2180" s="28">
        <f t="shared" si="34"/>
        <v>52.304826399999989</v>
      </c>
      <c r="H2180" s="33">
        <f>SUM(G2180:G2182)</f>
        <v>54.248967199999989</v>
      </c>
      <c r="I2180" s="34"/>
      <c r="J2180" s="138">
        <v>0</v>
      </c>
    </row>
    <row r="2181" spans="1:10" ht="26.25" hidden="1" thickBot="1" x14ac:dyDescent="0.3">
      <c r="A2181" s="221"/>
      <c r="B2181" s="223"/>
      <c r="C2181" s="30" t="s">
        <v>107</v>
      </c>
      <c r="D2181" s="41" t="s">
        <v>12</v>
      </c>
      <c r="E2181" s="31">
        <f>0.064*0.7</f>
        <v>4.48E-2</v>
      </c>
      <c r="F2181" s="25">
        <v>19.094999999999999</v>
      </c>
      <c r="G2181" s="28">
        <f t="shared" si="34"/>
        <v>0.85545599999999999</v>
      </c>
      <c r="H2181" s="29"/>
      <c r="I2181" s="25"/>
      <c r="J2181" s="138">
        <v>0</v>
      </c>
    </row>
    <row r="2182" spans="1:10" ht="15.75" hidden="1" thickBot="1" x14ac:dyDescent="0.3">
      <c r="A2182" s="221"/>
      <c r="B2182" s="223"/>
      <c r="C2182" s="30" t="s">
        <v>39</v>
      </c>
      <c r="D2182" s="41" t="s">
        <v>12</v>
      </c>
      <c r="E2182" s="31">
        <f>0.064*0.7</f>
        <v>4.48E-2</v>
      </c>
      <c r="F2182" s="25">
        <v>24.300999999999998</v>
      </c>
      <c r="G2182" s="28">
        <f t="shared" si="34"/>
        <v>1.0886848</v>
      </c>
      <c r="H2182" s="29"/>
      <c r="I2182" s="25"/>
      <c r="J2182" s="138">
        <v>0</v>
      </c>
    </row>
    <row r="2183" spans="1:10" ht="15.75" hidden="1" thickBot="1" x14ac:dyDescent="0.3">
      <c r="A2183" s="221"/>
      <c r="B2183" s="223"/>
      <c r="C2183" s="30"/>
      <c r="D2183" s="41"/>
      <c r="E2183" s="31"/>
      <c r="F2183" s="28" t="s">
        <v>521</v>
      </c>
      <c r="G2183" s="28" t="str">
        <f t="shared" si="34"/>
        <v/>
      </c>
      <c r="H2183" s="29"/>
      <c r="I2183" s="25"/>
      <c r="J2183" s="138">
        <v>0</v>
      </c>
    </row>
    <row r="2184" spans="1:10" ht="39" hidden="1" thickBot="1" x14ac:dyDescent="0.3">
      <c r="A2184" s="221"/>
      <c r="B2184" s="223"/>
      <c r="C2184" s="46" t="s">
        <v>641</v>
      </c>
      <c r="D2184" s="41"/>
      <c r="E2184" s="31"/>
      <c r="F2184" s="28" t="s">
        <v>521</v>
      </c>
      <c r="G2184" s="28" t="str">
        <f t="shared" si="34"/>
        <v/>
      </c>
      <c r="H2184" s="29"/>
      <c r="I2184" s="25"/>
      <c r="J2184" s="138">
        <v>0</v>
      </c>
    </row>
    <row r="2185" spans="1:10" ht="15.75" hidden="1" thickBot="1" x14ac:dyDescent="0.3">
      <c r="A2185" s="227"/>
      <c r="B2185" s="224"/>
      <c r="C2185" s="30"/>
      <c r="D2185" s="30"/>
      <c r="E2185" s="31"/>
      <c r="F2185" s="25" t="s">
        <v>521</v>
      </c>
      <c r="G2185" s="25" t="str">
        <f t="shared" si="34"/>
        <v/>
      </c>
      <c r="H2185" s="29"/>
      <c r="I2185" s="25"/>
      <c r="J2185" s="138">
        <v>0</v>
      </c>
    </row>
    <row r="2186" spans="1:10" ht="15.75" hidden="1" thickBot="1" x14ac:dyDescent="0.3">
      <c r="A2186" s="220" t="s">
        <v>680</v>
      </c>
      <c r="B2186" s="222" t="e">
        <f>INDEX(Orçamentária!A:B,MATCH(Composições!A2186,Orçamentária!A:A,0),2)</f>
        <v>#N/A</v>
      </c>
      <c r="C2186" s="35"/>
      <c r="D2186" s="20" t="s">
        <v>93</v>
      </c>
      <c r="E2186" s="21"/>
      <c r="F2186" s="36" t="s">
        <v>521</v>
      </c>
      <c r="G2186" s="22" t="str">
        <f t="shared" si="34"/>
        <v/>
      </c>
      <c r="H2186" s="23"/>
      <c r="I2186" s="24"/>
      <c r="J2186" s="138">
        <v>0</v>
      </c>
    </row>
    <row r="2187" spans="1:10" ht="15.75" hidden="1" thickBot="1" x14ac:dyDescent="0.3">
      <c r="A2187" s="221"/>
      <c r="B2187" s="223"/>
      <c r="C2187" s="26"/>
      <c r="D2187" s="26"/>
      <c r="E2187" s="27"/>
      <c r="F2187" s="37" t="s">
        <v>521</v>
      </c>
      <c r="G2187" s="25" t="str">
        <f t="shared" si="34"/>
        <v/>
      </c>
      <c r="H2187" s="29"/>
      <c r="I2187" s="25"/>
      <c r="J2187" s="138">
        <v>0</v>
      </c>
    </row>
    <row r="2188" spans="1:10" ht="26.25" hidden="1" thickBot="1" x14ac:dyDescent="0.3">
      <c r="A2188" s="221"/>
      <c r="B2188" s="223"/>
      <c r="C2188" s="30" t="s">
        <v>681</v>
      </c>
      <c r="D2188" s="41" t="s">
        <v>93</v>
      </c>
      <c r="E2188" s="31">
        <v>1.0210999999999999</v>
      </c>
      <c r="F2188" s="28">
        <v>0</v>
      </c>
      <c r="G2188" s="28">
        <f t="shared" si="34"/>
        <v>0</v>
      </c>
      <c r="H2188" s="33">
        <f>SUM(G2188:G2190)</f>
        <v>1.9441408</v>
      </c>
      <c r="I2188" s="34"/>
      <c r="J2188" s="138">
        <v>0</v>
      </c>
    </row>
    <row r="2189" spans="1:10" ht="26.25" hidden="1" thickBot="1" x14ac:dyDescent="0.3">
      <c r="A2189" s="221"/>
      <c r="B2189" s="223"/>
      <c r="C2189" s="30" t="s">
        <v>107</v>
      </c>
      <c r="D2189" s="41" t="s">
        <v>12</v>
      </c>
      <c r="E2189" s="31">
        <f>0.064*0.7</f>
        <v>4.48E-2</v>
      </c>
      <c r="F2189" s="25">
        <v>19.094999999999999</v>
      </c>
      <c r="G2189" s="28">
        <f t="shared" si="34"/>
        <v>0.85545599999999999</v>
      </c>
      <c r="H2189" s="29"/>
      <c r="I2189" s="25"/>
      <c r="J2189" s="138">
        <v>0</v>
      </c>
    </row>
    <row r="2190" spans="1:10" ht="15.75" hidden="1" thickBot="1" x14ac:dyDescent="0.3">
      <c r="A2190" s="221"/>
      <c r="B2190" s="223"/>
      <c r="C2190" s="30" t="s">
        <v>39</v>
      </c>
      <c r="D2190" s="41" t="s">
        <v>12</v>
      </c>
      <c r="E2190" s="31">
        <f>0.064*0.7</f>
        <v>4.48E-2</v>
      </c>
      <c r="F2190" s="25">
        <v>24.300999999999998</v>
      </c>
      <c r="G2190" s="28">
        <f t="shared" si="34"/>
        <v>1.0886848</v>
      </c>
      <c r="H2190" s="29"/>
      <c r="I2190" s="25"/>
      <c r="J2190" s="138">
        <v>0</v>
      </c>
    </row>
    <row r="2191" spans="1:10" ht="15.75" hidden="1" thickBot="1" x14ac:dyDescent="0.3">
      <c r="A2191" s="221"/>
      <c r="B2191" s="223"/>
      <c r="C2191" s="30"/>
      <c r="D2191" s="41"/>
      <c r="E2191" s="31"/>
      <c r="F2191" s="28" t="s">
        <v>521</v>
      </c>
      <c r="G2191" s="28" t="str">
        <f t="shared" si="34"/>
        <v/>
      </c>
      <c r="H2191" s="29"/>
      <c r="I2191" s="25"/>
      <c r="J2191" s="138">
        <v>0</v>
      </c>
    </row>
    <row r="2192" spans="1:10" ht="39" hidden="1" thickBot="1" x14ac:dyDescent="0.3">
      <c r="A2192" s="221"/>
      <c r="B2192" s="223"/>
      <c r="C2192" s="46" t="s">
        <v>641</v>
      </c>
      <c r="D2192" s="41"/>
      <c r="E2192" s="31"/>
      <c r="F2192" s="28" t="s">
        <v>521</v>
      </c>
      <c r="G2192" s="28" t="str">
        <f t="shared" si="34"/>
        <v/>
      </c>
      <c r="H2192" s="29"/>
      <c r="I2192" s="25"/>
      <c r="J2192" s="138">
        <v>0</v>
      </c>
    </row>
    <row r="2193" spans="1:10" ht="15.75" hidden="1" thickBot="1" x14ac:dyDescent="0.3">
      <c r="A2193" s="227"/>
      <c r="B2193" s="224"/>
      <c r="C2193" s="30"/>
      <c r="D2193" s="30"/>
      <c r="E2193" s="31"/>
      <c r="F2193" s="25" t="s">
        <v>521</v>
      </c>
      <c r="G2193" s="25" t="str">
        <f t="shared" si="34"/>
        <v/>
      </c>
      <c r="H2193" s="29"/>
      <c r="I2193" s="25"/>
      <c r="J2193" s="138">
        <v>0</v>
      </c>
    </row>
    <row r="2194" spans="1:10" ht="15.75" hidden="1" thickBot="1" x14ac:dyDescent="0.3">
      <c r="A2194" s="220" t="s">
        <v>682</v>
      </c>
      <c r="B2194" s="222" t="e">
        <f>INDEX(Orçamentária!A:B,MATCH(Composições!A2194,Orçamentária!A:A,0),2)</f>
        <v>#N/A</v>
      </c>
      <c r="C2194" s="35"/>
      <c r="D2194" s="20" t="s">
        <v>93</v>
      </c>
      <c r="E2194" s="21"/>
      <c r="F2194" s="36" t="s">
        <v>521</v>
      </c>
      <c r="G2194" s="22" t="str">
        <f t="shared" ref="G2194:G2257" si="35">IF(ISNUMBER(F2194),E2194*F2194,"")</f>
        <v/>
      </c>
      <c r="H2194" s="23"/>
      <c r="I2194" s="24"/>
      <c r="J2194" s="138">
        <v>0</v>
      </c>
    </row>
    <row r="2195" spans="1:10" ht="15.75" hidden="1" thickBot="1" x14ac:dyDescent="0.3">
      <c r="A2195" s="221"/>
      <c r="B2195" s="223"/>
      <c r="C2195" s="26"/>
      <c r="D2195" s="26"/>
      <c r="E2195" s="27"/>
      <c r="F2195" s="37" t="s">
        <v>521</v>
      </c>
      <c r="G2195" s="25" t="str">
        <f t="shared" si="35"/>
        <v/>
      </c>
      <c r="H2195" s="29"/>
      <c r="I2195" s="25"/>
      <c r="J2195" s="138">
        <v>0</v>
      </c>
    </row>
    <row r="2196" spans="1:10" ht="26.25" hidden="1" thickBot="1" x14ac:dyDescent="0.3">
      <c r="A2196" s="221"/>
      <c r="B2196" s="223"/>
      <c r="C2196" s="30" t="s">
        <v>683</v>
      </c>
      <c r="D2196" s="41" t="s">
        <v>93</v>
      </c>
      <c r="E2196" s="31">
        <v>1.0210999999999999</v>
      </c>
      <c r="F2196" s="28">
        <v>0</v>
      </c>
      <c r="G2196" s="28">
        <f t="shared" si="35"/>
        <v>0</v>
      </c>
      <c r="H2196" s="33">
        <f>SUM(G2196:G2198)</f>
        <v>1.9441408</v>
      </c>
      <c r="I2196" s="34"/>
      <c r="J2196" s="138">
        <v>0</v>
      </c>
    </row>
    <row r="2197" spans="1:10" ht="26.25" hidden="1" thickBot="1" x14ac:dyDescent="0.3">
      <c r="A2197" s="221"/>
      <c r="B2197" s="223"/>
      <c r="C2197" s="30" t="s">
        <v>107</v>
      </c>
      <c r="D2197" s="41" t="s">
        <v>12</v>
      </c>
      <c r="E2197" s="31">
        <f>0.064*0.7</f>
        <v>4.48E-2</v>
      </c>
      <c r="F2197" s="25">
        <v>19.094999999999999</v>
      </c>
      <c r="G2197" s="28">
        <f t="shared" si="35"/>
        <v>0.85545599999999999</v>
      </c>
      <c r="H2197" s="29"/>
      <c r="I2197" s="25"/>
      <c r="J2197" s="138">
        <v>0</v>
      </c>
    </row>
    <row r="2198" spans="1:10" ht="15.75" hidden="1" thickBot="1" x14ac:dyDescent="0.3">
      <c r="A2198" s="221"/>
      <c r="B2198" s="223"/>
      <c r="C2198" s="30" t="s">
        <v>39</v>
      </c>
      <c r="D2198" s="41" t="s">
        <v>12</v>
      </c>
      <c r="E2198" s="31">
        <f>0.064*0.7</f>
        <v>4.48E-2</v>
      </c>
      <c r="F2198" s="25">
        <v>24.300999999999998</v>
      </c>
      <c r="G2198" s="28">
        <f t="shared" si="35"/>
        <v>1.0886848</v>
      </c>
      <c r="H2198" s="29"/>
      <c r="I2198" s="25"/>
      <c r="J2198" s="138">
        <v>0</v>
      </c>
    </row>
    <row r="2199" spans="1:10" ht="15.75" hidden="1" thickBot="1" x14ac:dyDescent="0.3">
      <c r="A2199" s="221"/>
      <c r="B2199" s="223"/>
      <c r="C2199" s="30"/>
      <c r="D2199" s="41"/>
      <c r="E2199" s="31"/>
      <c r="F2199" s="28" t="s">
        <v>521</v>
      </c>
      <c r="G2199" s="28" t="str">
        <f t="shared" si="35"/>
        <v/>
      </c>
      <c r="H2199" s="29"/>
      <c r="I2199" s="25"/>
      <c r="J2199" s="138">
        <v>0</v>
      </c>
    </row>
    <row r="2200" spans="1:10" ht="39" hidden="1" thickBot="1" x14ac:dyDescent="0.3">
      <c r="A2200" s="221"/>
      <c r="B2200" s="223"/>
      <c r="C2200" s="46" t="s">
        <v>641</v>
      </c>
      <c r="D2200" s="41"/>
      <c r="E2200" s="31"/>
      <c r="F2200" s="28" t="s">
        <v>521</v>
      </c>
      <c r="G2200" s="28" t="str">
        <f t="shared" si="35"/>
        <v/>
      </c>
      <c r="H2200" s="29"/>
      <c r="I2200" s="25"/>
      <c r="J2200" s="138">
        <v>0</v>
      </c>
    </row>
    <row r="2201" spans="1:10" ht="15.75" hidden="1" thickBot="1" x14ac:dyDescent="0.3">
      <c r="A2201" s="227"/>
      <c r="B2201" s="224"/>
      <c r="C2201" s="30"/>
      <c r="D2201" s="30"/>
      <c r="E2201" s="31"/>
      <c r="F2201" s="25" t="s">
        <v>521</v>
      </c>
      <c r="G2201" s="25" t="str">
        <f t="shared" si="35"/>
        <v/>
      </c>
      <c r="H2201" s="29"/>
      <c r="I2201" s="25"/>
      <c r="J2201" s="138">
        <v>0</v>
      </c>
    </row>
    <row r="2202" spans="1:10" ht="15.75" hidden="1" thickBot="1" x14ac:dyDescent="0.3">
      <c r="A2202" s="220" t="s">
        <v>684</v>
      </c>
      <c r="B2202" s="222" t="e">
        <f>INDEX(Orçamentária!A:B,MATCH(Composições!A2202,Orçamentária!A:A,0),2)</f>
        <v>#N/A</v>
      </c>
      <c r="C2202" s="35"/>
      <c r="D2202" s="20" t="s">
        <v>93</v>
      </c>
      <c r="E2202" s="21"/>
      <c r="F2202" s="36" t="s">
        <v>521</v>
      </c>
      <c r="G2202" s="22" t="str">
        <f t="shared" si="35"/>
        <v/>
      </c>
      <c r="H2202" s="23"/>
      <c r="I2202" s="24"/>
      <c r="J2202" s="138">
        <v>0</v>
      </c>
    </row>
    <row r="2203" spans="1:10" ht="15.75" hidden="1" thickBot="1" x14ac:dyDescent="0.3">
      <c r="A2203" s="221"/>
      <c r="B2203" s="223"/>
      <c r="C2203" s="26"/>
      <c r="D2203" s="26"/>
      <c r="E2203" s="27"/>
      <c r="F2203" s="37" t="s">
        <v>521</v>
      </c>
      <c r="G2203" s="25" t="str">
        <f t="shared" si="35"/>
        <v/>
      </c>
      <c r="H2203" s="29"/>
      <c r="I2203" s="25"/>
      <c r="J2203" s="138">
        <v>0</v>
      </c>
    </row>
    <row r="2204" spans="1:10" ht="26.25" hidden="1" thickBot="1" x14ac:dyDescent="0.3">
      <c r="A2204" s="221"/>
      <c r="B2204" s="223"/>
      <c r="C2204" s="30" t="s">
        <v>685</v>
      </c>
      <c r="D2204" s="41" t="s">
        <v>93</v>
      </c>
      <c r="E2204" s="31">
        <v>1.0210999999999999</v>
      </c>
      <c r="F2204" s="28">
        <v>0</v>
      </c>
      <c r="G2204" s="28">
        <f t="shared" si="35"/>
        <v>0</v>
      </c>
      <c r="H2204" s="33">
        <f>SUM(G2204:G2206)</f>
        <v>1.9441408</v>
      </c>
      <c r="I2204" s="34"/>
      <c r="J2204" s="138">
        <v>0</v>
      </c>
    </row>
    <row r="2205" spans="1:10" ht="26.25" hidden="1" thickBot="1" x14ac:dyDescent="0.3">
      <c r="A2205" s="221"/>
      <c r="B2205" s="223"/>
      <c r="C2205" s="30" t="s">
        <v>107</v>
      </c>
      <c r="D2205" s="41" t="s">
        <v>12</v>
      </c>
      <c r="E2205" s="31">
        <f>0.064*0.7</f>
        <v>4.48E-2</v>
      </c>
      <c r="F2205" s="25">
        <v>19.094999999999999</v>
      </c>
      <c r="G2205" s="28">
        <f t="shared" si="35"/>
        <v>0.85545599999999999</v>
      </c>
      <c r="H2205" s="29"/>
      <c r="I2205" s="25"/>
      <c r="J2205" s="138">
        <v>0</v>
      </c>
    </row>
    <row r="2206" spans="1:10" ht="15.75" hidden="1" thickBot="1" x14ac:dyDescent="0.3">
      <c r="A2206" s="221"/>
      <c r="B2206" s="223"/>
      <c r="C2206" s="30" t="s">
        <v>39</v>
      </c>
      <c r="D2206" s="41" t="s">
        <v>12</v>
      </c>
      <c r="E2206" s="31">
        <f>0.064*0.7</f>
        <v>4.48E-2</v>
      </c>
      <c r="F2206" s="25">
        <v>24.300999999999998</v>
      </c>
      <c r="G2206" s="28">
        <f t="shared" si="35"/>
        <v>1.0886848</v>
      </c>
      <c r="H2206" s="29"/>
      <c r="I2206" s="25"/>
      <c r="J2206" s="138">
        <v>0</v>
      </c>
    </row>
    <row r="2207" spans="1:10" ht="15.75" hidden="1" thickBot="1" x14ac:dyDescent="0.3">
      <c r="A2207" s="221"/>
      <c r="B2207" s="223"/>
      <c r="C2207" s="30"/>
      <c r="D2207" s="41"/>
      <c r="E2207" s="31"/>
      <c r="F2207" s="28" t="s">
        <v>521</v>
      </c>
      <c r="G2207" s="28" t="str">
        <f t="shared" si="35"/>
        <v/>
      </c>
      <c r="H2207" s="29"/>
      <c r="I2207" s="25"/>
      <c r="J2207" s="138">
        <v>0</v>
      </c>
    </row>
    <row r="2208" spans="1:10" ht="39" hidden="1" thickBot="1" x14ac:dyDescent="0.3">
      <c r="A2208" s="221"/>
      <c r="B2208" s="223"/>
      <c r="C2208" s="46" t="s">
        <v>641</v>
      </c>
      <c r="D2208" s="41"/>
      <c r="E2208" s="31"/>
      <c r="F2208" s="28" t="s">
        <v>521</v>
      </c>
      <c r="G2208" s="28" t="str">
        <f t="shared" si="35"/>
        <v/>
      </c>
      <c r="H2208" s="29"/>
      <c r="I2208" s="25"/>
      <c r="J2208" s="138">
        <v>0</v>
      </c>
    </row>
    <row r="2209" spans="1:10" ht="15.75" hidden="1" thickBot="1" x14ac:dyDescent="0.3">
      <c r="A2209" s="227"/>
      <c r="B2209" s="224"/>
      <c r="C2209" s="30"/>
      <c r="D2209" s="30"/>
      <c r="E2209" s="31"/>
      <c r="F2209" s="25" t="s">
        <v>521</v>
      </c>
      <c r="G2209" s="25" t="str">
        <f t="shared" si="35"/>
        <v/>
      </c>
      <c r="H2209" s="29"/>
      <c r="I2209" s="25"/>
      <c r="J2209" s="138">
        <v>0</v>
      </c>
    </row>
    <row r="2210" spans="1:10" ht="15.75" hidden="1" thickBot="1" x14ac:dyDescent="0.3">
      <c r="A2210" s="220" t="s">
        <v>686</v>
      </c>
      <c r="B2210" s="222" t="e">
        <f>INDEX(Orçamentária!A:B,MATCH(Composições!A2210,Orçamentária!A:A,0),2)</f>
        <v>#N/A</v>
      </c>
      <c r="C2210" s="35"/>
      <c r="D2210" s="20" t="s">
        <v>95</v>
      </c>
      <c r="E2210" s="21"/>
      <c r="F2210" s="36" t="s">
        <v>521</v>
      </c>
      <c r="G2210" s="22" t="str">
        <f t="shared" si="35"/>
        <v/>
      </c>
      <c r="H2210" s="23"/>
      <c r="I2210" s="24"/>
      <c r="J2210" s="138">
        <v>0</v>
      </c>
    </row>
    <row r="2211" spans="1:10" ht="15.75" hidden="1" thickBot="1" x14ac:dyDescent="0.3">
      <c r="A2211" s="221"/>
      <c r="B2211" s="223"/>
      <c r="C2211" s="26"/>
      <c r="D2211" s="26"/>
      <c r="E2211" s="27"/>
      <c r="F2211" s="37" t="s">
        <v>521</v>
      </c>
      <c r="G2211" s="25" t="str">
        <f t="shared" si="35"/>
        <v/>
      </c>
      <c r="H2211" s="29"/>
      <c r="I2211" s="25"/>
      <c r="J2211" s="138">
        <v>0</v>
      </c>
    </row>
    <row r="2212" spans="1:10" ht="15.75" hidden="1" thickBot="1" x14ac:dyDescent="0.3">
      <c r="A2212" s="221"/>
      <c r="B2212" s="223"/>
      <c r="C2212" s="30" t="s">
        <v>605</v>
      </c>
      <c r="D2212" s="30" t="s">
        <v>12</v>
      </c>
      <c r="E2212" s="31">
        <v>1.8</v>
      </c>
      <c r="F2212" s="25">
        <v>23.331999999999997</v>
      </c>
      <c r="G2212" s="25">
        <f t="shared" si="35"/>
        <v>41.997599999999998</v>
      </c>
      <c r="H2212" s="33">
        <f>SUM(G2212:G2213)</f>
        <v>103.40369999999999</v>
      </c>
      <c r="I2212" s="34"/>
      <c r="J2212" s="138">
        <v>0</v>
      </c>
    </row>
    <row r="2213" spans="1:10" ht="15.75" hidden="1" thickBot="1" x14ac:dyDescent="0.3">
      <c r="A2213" s="221"/>
      <c r="B2213" s="223"/>
      <c r="C2213" s="30" t="s">
        <v>128</v>
      </c>
      <c r="D2213" s="30" t="s">
        <v>12</v>
      </c>
      <c r="E2213" s="31">
        <v>3.15</v>
      </c>
      <c r="F2213" s="25">
        <v>19.494</v>
      </c>
      <c r="G2213" s="25">
        <f t="shared" si="35"/>
        <v>61.406099999999995</v>
      </c>
      <c r="H2213" s="29"/>
      <c r="I2213" s="25"/>
      <c r="J2213" s="138">
        <v>0</v>
      </c>
    </row>
    <row r="2214" spans="1:10" ht="15.75" hidden="1" thickBot="1" x14ac:dyDescent="0.3">
      <c r="A2214" s="227"/>
      <c r="B2214" s="224"/>
      <c r="C2214" s="30"/>
      <c r="D2214" s="30"/>
      <c r="E2214" s="31"/>
      <c r="F2214" s="25" t="s">
        <v>521</v>
      </c>
      <c r="G2214" s="25" t="str">
        <f t="shared" si="35"/>
        <v/>
      </c>
      <c r="H2214" s="29"/>
      <c r="I2214" s="25"/>
      <c r="J2214" s="138">
        <v>0</v>
      </c>
    </row>
    <row r="2215" spans="1:10" ht="15.75" hidden="1" thickBot="1" x14ac:dyDescent="0.3">
      <c r="A2215" s="220" t="s">
        <v>687</v>
      </c>
      <c r="B2215" s="222" t="e">
        <f>INDEX(Orçamentária!A:B,MATCH(Composições!A2215,Orçamentária!A:A,0),2)</f>
        <v>#N/A</v>
      </c>
      <c r="C2215" s="35"/>
      <c r="D2215" s="20" t="s">
        <v>95</v>
      </c>
      <c r="E2215" s="21"/>
      <c r="F2215" s="36" t="s">
        <v>521</v>
      </c>
      <c r="G2215" s="22" t="str">
        <f t="shared" si="35"/>
        <v/>
      </c>
      <c r="H2215" s="23"/>
      <c r="I2215" s="24"/>
      <c r="J2215" s="138">
        <v>0</v>
      </c>
    </row>
    <row r="2216" spans="1:10" ht="15.75" hidden="1" thickBot="1" x14ac:dyDescent="0.3">
      <c r="A2216" s="221"/>
      <c r="B2216" s="223"/>
      <c r="C2216" s="26"/>
      <c r="D2216" s="26"/>
      <c r="E2216" s="27"/>
      <c r="F2216" s="37" t="s">
        <v>521</v>
      </c>
      <c r="G2216" s="25" t="str">
        <f t="shared" si="35"/>
        <v/>
      </c>
      <c r="H2216" s="29"/>
      <c r="I2216" s="25"/>
      <c r="J2216" s="138">
        <v>0</v>
      </c>
    </row>
    <row r="2217" spans="1:10" ht="15.75" hidden="1" thickBot="1" x14ac:dyDescent="0.3">
      <c r="A2217" s="221"/>
      <c r="B2217" s="223"/>
      <c r="C2217" s="30" t="s">
        <v>605</v>
      </c>
      <c r="D2217" s="30" t="s">
        <v>12</v>
      </c>
      <c r="E2217" s="31">
        <v>1.8</v>
      </c>
      <c r="F2217" s="25">
        <v>23.331999999999997</v>
      </c>
      <c r="G2217" s="25">
        <f t="shared" si="35"/>
        <v>41.997599999999998</v>
      </c>
      <c r="H2217" s="33">
        <f>SUM(G2217:G2220)</f>
        <v>233.44065000000001</v>
      </c>
      <c r="I2217" s="34"/>
      <c r="J2217" s="138">
        <v>0</v>
      </c>
    </row>
    <row r="2218" spans="1:10" ht="15.75" hidden="1" thickBot="1" x14ac:dyDescent="0.3">
      <c r="A2218" s="221"/>
      <c r="B2218" s="223"/>
      <c r="C2218" s="30" t="s">
        <v>128</v>
      </c>
      <c r="D2218" s="30" t="s">
        <v>12</v>
      </c>
      <c r="E2218" s="31">
        <f>3.15/2</f>
        <v>1.575</v>
      </c>
      <c r="F2218" s="25">
        <v>19.494</v>
      </c>
      <c r="G2218" s="28">
        <f t="shared" si="35"/>
        <v>30.703049999999998</v>
      </c>
      <c r="H2218" s="38"/>
      <c r="I2218" s="34"/>
      <c r="J2218" s="138">
        <v>0</v>
      </c>
    </row>
    <row r="2219" spans="1:10" ht="26.25" hidden="1" thickBot="1" x14ac:dyDescent="0.3">
      <c r="A2219" s="221"/>
      <c r="B2219" s="223"/>
      <c r="C2219" s="30" t="s">
        <v>688</v>
      </c>
      <c r="D2219" s="30" t="s">
        <v>20</v>
      </c>
      <c r="E2219" s="31">
        <v>2</v>
      </c>
      <c r="F2219" s="28">
        <v>33.6965</v>
      </c>
      <c r="G2219" s="25">
        <f t="shared" si="35"/>
        <v>67.393000000000001</v>
      </c>
      <c r="H2219" s="38"/>
      <c r="I2219" s="34"/>
      <c r="J2219" s="138">
        <v>0</v>
      </c>
    </row>
    <row r="2220" spans="1:10" ht="15.75" hidden="1" thickBot="1" x14ac:dyDescent="0.3">
      <c r="A2220" s="221"/>
      <c r="B2220" s="223"/>
      <c r="C2220" s="30" t="s">
        <v>689</v>
      </c>
      <c r="D2220" s="30" t="s">
        <v>95</v>
      </c>
      <c r="E2220" s="31">
        <v>1</v>
      </c>
      <c r="F2220" s="28">
        <v>93.346999999999994</v>
      </c>
      <c r="G2220" s="25">
        <f t="shared" si="35"/>
        <v>93.346999999999994</v>
      </c>
      <c r="H2220" s="29"/>
      <c r="I2220" s="25"/>
      <c r="J2220" s="138">
        <v>0</v>
      </c>
    </row>
    <row r="2221" spans="1:10" ht="15.75" hidden="1" thickBot="1" x14ac:dyDescent="0.3">
      <c r="A2221" s="227"/>
      <c r="B2221" s="224"/>
      <c r="C2221" s="30"/>
      <c r="D2221" s="30"/>
      <c r="E2221" s="31"/>
      <c r="F2221" s="25" t="s">
        <v>521</v>
      </c>
      <c r="G2221" s="25" t="str">
        <f t="shared" si="35"/>
        <v/>
      </c>
      <c r="H2221" s="29"/>
      <c r="I2221" s="25"/>
      <c r="J2221" s="138">
        <v>0</v>
      </c>
    </row>
    <row r="2222" spans="1:10" ht="15.75" hidden="1" thickBot="1" x14ac:dyDescent="0.3">
      <c r="A2222" s="228" t="s">
        <v>690</v>
      </c>
      <c r="B2222" s="222" t="e">
        <f>INDEX(Orçamentária!A:B,MATCH(Composições!A2222,Orçamentária!A:A,0),2)</f>
        <v>#N/A</v>
      </c>
      <c r="C2222" s="35"/>
      <c r="D2222" s="20" t="s">
        <v>95</v>
      </c>
      <c r="E2222" s="21"/>
      <c r="F2222" s="36" t="s">
        <v>521</v>
      </c>
      <c r="G2222" s="22" t="str">
        <f t="shared" si="35"/>
        <v/>
      </c>
      <c r="H2222" s="23"/>
      <c r="I2222" s="24"/>
      <c r="J2222" s="138">
        <v>0</v>
      </c>
    </row>
    <row r="2223" spans="1:10" ht="15.75" hidden="1" thickBot="1" x14ac:dyDescent="0.3">
      <c r="A2223" s="229"/>
      <c r="B2223" s="223"/>
      <c r="C2223" s="26"/>
      <c r="D2223" s="26"/>
      <c r="E2223" s="27"/>
      <c r="F2223" s="37" t="s">
        <v>521</v>
      </c>
      <c r="G2223" s="25" t="str">
        <f t="shared" si="35"/>
        <v/>
      </c>
      <c r="H2223" s="29"/>
      <c r="I2223" s="25"/>
      <c r="J2223" s="138">
        <v>0</v>
      </c>
    </row>
    <row r="2224" spans="1:10" ht="15.75" hidden="1" thickBot="1" x14ac:dyDescent="0.3">
      <c r="A2224" s="229"/>
      <c r="B2224" s="223"/>
      <c r="C2224" s="30" t="s">
        <v>605</v>
      </c>
      <c r="D2224" s="30" t="s">
        <v>12</v>
      </c>
      <c r="E2224" s="31">
        <v>1.6</v>
      </c>
      <c r="F2224" s="25">
        <v>23.331999999999997</v>
      </c>
      <c r="G2224" s="28">
        <f t="shared" si="35"/>
        <v>37.331199999999995</v>
      </c>
      <c r="H2224" s="33">
        <f>SUM(G2224:G2227)</f>
        <v>233.75319999999999</v>
      </c>
      <c r="I2224" s="34"/>
      <c r="J2224" s="138">
        <v>0</v>
      </c>
    </row>
    <row r="2225" spans="1:10" ht="15.75" hidden="1" thickBot="1" x14ac:dyDescent="0.3">
      <c r="A2225" s="229"/>
      <c r="B2225" s="223"/>
      <c r="C2225" s="30" t="s">
        <v>128</v>
      </c>
      <c r="D2225" s="30" t="s">
        <v>12</v>
      </c>
      <c r="E2225" s="31">
        <v>1.6</v>
      </c>
      <c r="F2225" s="25">
        <v>19.494</v>
      </c>
      <c r="G2225" s="28">
        <f t="shared" si="35"/>
        <v>31.1904</v>
      </c>
      <c r="H2225" s="38"/>
      <c r="I2225" s="34"/>
      <c r="J2225" s="138">
        <v>0</v>
      </c>
    </row>
    <row r="2226" spans="1:10" ht="26.25" hidden="1" thickBot="1" x14ac:dyDescent="0.3">
      <c r="A2226" s="229"/>
      <c r="B2226" s="223"/>
      <c r="C2226" s="154" t="s">
        <v>2333</v>
      </c>
      <c r="D2226" s="30" t="s">
        <v>95</v>
      </c>
      <c r="E2226" s="31">
        <v>1.2</v>
      </c>
      <c r="F2226" s="28">
        <v>137.69299999999998</v>
      </c>
      <c r="G2226" s="25">
        <f t="shared" si="35"/>
        <v>165.23159999999999</v>
      </c>
      <c r="H2226" s="29"/>
      <c r="I2226" s="25"/>
      <c r="J2226" s="138">
        <v>0</v>
      </c>
    </row>
    <row r="2227" spans="1:10" ht="15.75" hidden="1" thickBot="1" x14ac:dyDescent="0.3">
      <c r="A2227" s="229"/>
      <c r="B2227" s="223"/>
      <c r="C2227" s="154" t="s">
        <v>2787</v>
      </c>
      <c r="D2227" s="30" t="s">
        <v>95</v>
      </c>
      <c r="E2227" s="31">
        <v>1</v>
      </c>
      <c r="F2227" s="28" t="s">
        <v>521</v>
      </c>
      <c r="G2227" s="25" t="str">
        <f t="shared" si="35"/>
        <v/>
      </c>
      <c r="H2227" s="29"/>
      <c r="I2227" s="25"/>
      <c r="J2227" s="138">
        <v>0</v>
      </c>
    </row>
    <row r="2228" spans="1:10" ht="15.75" hidden="1" thickBot="1" x14ac:dyDescent="0.3">
      <c r="A2228" s="230"/>
      <c r="B2228" s="224"/>
      <c r="C2228" s="30"/>
      <c r="D2228" s="30"/>
      <c r="E2228" s="31"/>
      <c r="F2228" s="25" t="s">
        <v>521</v>
      </c>
      <c r="G2228" s="25" t="str">
        <f t="shared" si="35"/>
        <v/>
      </c>
      <c r="H2228" s="29"/>
      <c r="I2228" s="25"/>
      <c r="J2228" s="138">
        <v>0</v>
      </c>
    </row>
    <row r="2229" spans="1:10" ht="15.75" hidden="1" thickBot="1" x14ac:dyDescent="0.3">
      <c r="A2229" s="228" t="s">
        <v>691</v>
      </c>
      <c r="B2229" s="222" t="e">
        <f>INDEX(Orçamentária!A:B,MATCH(Composições!A2229,Orçamentária!A:A,0),2)</f>
        <v>#N/A</v>
      </c>
      <c r="C2229" s="35"/>
      <c r="D2229" s="20" t="s">
        <v>95</v>
      </c>
      <c r="E2229" s="21"/>
      <c r="F2229" s="36" t="s">
        <v>521</v>
      </c>
      <c r="G2229" s="22" t="str">
        <f t="shared" si="35"/>
        <v/>
      </c>
      <c r="H2229" s="23"/>
      <c r="I2229" s="24"/>
      <c r="J2229" s="138">
        <v>0</v>
      </c>
    </row>
    <row r="2230" spans="1:10" ht="15.75" hidden="1" thickBot="1" x14ac:dyDescent="0.3">
      <c r="A2230" s="229"/>
      <c r="B2230" s="223"/>
      <c r="C2230" s="26"/>
      <c r="D2230" s="26"/>
      <c r="E2230" s="27"/>
      <c r="F2230" s="37" t="s">
        <v>521</v>
      </c>
      <c r="G2230" s="25" t="str">
        <f t="shared" si="35"/>
        <v/>
      </c>
      <c r="H2230" s="29"/>
      <c r="I2230" s="25"/>
      <c r="J2230" s="138">
        <v>0</v>
      </c>
    </row>
    <row r="2231" spans="1:10" ht="15.75" hidden="1" thickBot="1" x14ac:dyDescent="0.3">
      <c r="A2231" s="229"/>
      <c r="B2231" s="223"/>
      <c r="C2231" s="30" t="s">
        <v>605</v>
      </c>
      <c r="D2231" s="30" t="s">
        <v>12</v>
      </c>
      <c r="E2231" s="31">
        <v>2.4</v>
      </c>
      <c r="F2231" s="25">
        <v>23.331999999999997</v>
      </c>
      <c r="G2231" s="28">
        <f t="shared" si="35"/>
        <v>55.996799999999993</v>
      </c>
      <c r="H2231" s="33">
        <f>SUM(G2231:G2233)</f>
        <v>175.98179999999996</v>
      </c>
      <c r="I2231" s="34"/>
      <c r="J2231" s="138">
        <v>0</v>
      </c>
    </row>
    <row r="2232" spans="1:10" ht="15.75" hidden="1" thickBot="1" x14ac:dyDescent="0.3">
      <c r="A2232" s="229"/>
      <c r="B2232" s="223"/>
      <c r="C2232" s="30" t="s">
        <v>128</v>
      </c>
      <c r="D2232" s="30" t="s">
        <v>12</v>
      </c>
      <c r="E2232" s="31">
        <v>2.4</v>
      </c>
      <c r="F2232" s="25">
        <v>19.494</v>
      </c>
      <c r="G2232" s="28">
        <f t="shared" si="35"/>
        <v>46.785599999999995</v>
      </c>
      <c r="H2232" s="29"/>
      <c r="I2232" s="25"/>
      <c r="J2232" s="138">
        <v>0</v>
      </c>
    </row>
    <row r="2233" spans="1:10" ht="15.75" hidden="1" thickBot="1" x14ac:dyDescent="0.3">
      <c r="A2233" s="229"/>
      <c r="B2233" s="223"/>
      <c r="C2233" s="154" t="s">
        <v>2308</v>
      </c>
      <c r="D2233" s="30" t="s">
        <v>95</v>
      </c>
      <c r="E2233" s="31">
        <v>1.2</v>
      </c>
      <c r="F2233" s="28">
        <v>60.999499999999991</v>
      </c>
      <c r="G2233" s="25">
        <f t="shared" si="35"/>
        <v>73.199399999999983</v>
      </c>
      <c r="H2233" s="29"/>
      <c r="I2233" s="25"/>
      <c r="J2233" s="138">
        <v>0</v>
      </c>
    </row>
    <row r="2234" spans="1:10" ht="15.75" hidden="1" thickBot="1" x14ac:dyDescent="0.3">
      <c r="A2234" s="230"/>
      <c r="B2234" s="224"/>
      <c r="C2234" s="30"/>
      <c r="D2234" s="30"/>
      <c r="E2234" s="31"/>
      <c r="F2234" s="25" t="s">
        <v>521</v>
      </c>
      <c r="G2234" s="25" t="str">
        <f t="shared" si="35"/>
        <v/>
      </c>
      <c r="H2234" s="29"/>
      <c r="I2234" s="25"/>
      <c r="J2234" s="138">
        <v>0</v>
      </c>
    </row>
    <row r="2235" spans="1:10" ht="15.75" hidden="1" thickBot="1" x14ac:dyDescent="0.3">
      <c r="A2235" s="220" t="s">
        <v>692</v>
      </c>
      <c r="B2235" s="222" t="e">
        <f>INDEX(Orçamentária!A:B,MATCH(Composições!A2235,Orçamentária!A:A,0),2)</f>
        <v>#N/A</v>
      </c>
      <c r="C2235" s="35"/>
      <c r="D2235" s="20" t="s">
        <v>20</v>
      </c>
      <c r="E2235" s="21"/>
      <c r="F2235" s="36" t="s">
        <v>521</v>
      </c>
      <c r="G2235" s="22" t="str">
        <f t="shared" si="35"/>
        <v/>
      </c>
      <c r="H2235" s="23"/>
      <c r="I2235" s="24"/>
      <c r="J2235" s="138">
        <v>0</v>
      </c>
    </row>
    <row r="2236" spans="1:10" ht="15.75" hidden="1" thickBot="1" x14ac:dyDescent="0.3">
      <c r="A2236" s="221"/>
      <c r="B2236" s="223"/>
      <c r="C2236" s="26"/>
      <c r="D2236" s="26"/>
      <c r="E2236" s="27"/>
      <c r="F2236" s="37" t="s">
        <v>521</v>
      </c>
      <c r="G2236" s="25" t="str">
        <f t="shared" si="35"/>
        <v/>
      </c>
      <c r="H2236" s="29"/>
      <c r="I2236" s="25"/>
      <c r="J2236" s="138">
        <v>0</v>
      </c>
    </row>
    <row r="2237" spans="1:10" ht="15.75" hidden="1" thickBot="1" x14ac:dyDescent="0.3">
      <c r="A2237" s="221"/>
      <c r="B2237" s="223"/>
      <c r="C2237" s="30" t="s">
        <v>605</v>
      </c>
      <c r="D2237" s="30" t="s">
        <v>12</v>
      </c>
      <c r="E2237" s="31">
        <v>1</v>
      </c>
      <c r="F2237" s="25">
        <v>23.331999999999997</v>
      </c>
      <c r="G2237" s="28">
        <f t="shared" si="35"/>
        <v>23.331999999999997</v>
      </c>
      <c r="H2237" s="33">
        <f>SUM(G2237:G2239)</f>
        <v>42.825999999999993</v>
      </c>
      <c r="I2237" s="34"/>
      <c r="J2237" s="138">
        <v>0</v>
      </c>
    </row>
    <row r="2238" spans="1:10" ht="15.75" hidden="1" thickBot="1" x14ac:dyDescent="0.3">
      <c r="A2238" s="221"/>
      <c r="B2238" s="223"/>
      <c r="C2238" s="30" t="s">
        <v>128</v>
      </c>
      <c r="D2238" s="30" t="s">
        <v>12</v>
      </c>
      <c r="E2238" s="31">
        <v>1</v>
      </c>
      <c r="F2238" s="25">
        <v>19.494</v>
      </c>
      <c r="G2238" s="28">
        <f t="shared" si="35"/>
        <v>19.494</v>
      </c>
      <c r="H2238" s="29"/>
      <c r="I2238" s="25"/>
      <c r="J2238" s="138">
        <v>0</v>
      </c>
    </row>
    <row r="2239" spans="1:10" ht="26.25" hidden="1" thickBot="1" x14ac:dyDescent="0.3">
      <c r="A2239" s="221"/>
      <c r="B2239" s="223"/>
      <c r="C2239" s="30" t="s">
        <v>693</v>
      </c>
      <c r="D2239" s="30" t="s">
        <v>20</v>
      </c>
      <c r="E2239" s="31">
        <v>1</v>
      </c>
      <c r="F2239" s="28" t="s">
        <v>521</v>
      </c>
      <c r="G2239" s="25" t="str">
        <f t="shared" si="35"/>
        <v/>
      </c>
      <c r="H2239" s="29"/>
      <c r="I2239" s="25"/>
      <c r="J2239" s="138">
        <v>0</v>
      </c>
    </row>
    <row r="2240" spans="1:10" ht="15.75" hidden="1" thickBot="1" x14ac:dyDescent="0.3">
      <c r="A2240" s="227"/>
      <c r="B2240" s="224"/>
      <c r="C2240" s="30"/>
      <c r="D2240" s="30"/>
      <c r="E2240" s="31"/>
      <c r="F2240" s="25" t="s">
        <v>521</v>
      </c>
      <c r="G2240" s="25" t="str">
        <f t="shared" si="35"/>
        <v/>
      </c>
      <c r="H2240" s="29"/>
      <c r="I2240" s="25"/>
      <c r="J2240" s="138">
        <v>0</v>
      </c>
    </row>
    <row r="2241" spans="1:10" ht="15.75" hidden="1" thickBot="1" x14ac:dyDescent="0.3">
      <c r="A2241" s="220" t="s">
        <v>694</v>
      </c>
      <c r="B2241" s="222" t="e">
        <f>INDEX(Orçamentária!A:B,MATCH(Composições!A2241,Orçamentária!A:A,0),2)</f>
        <v>#N/A</v>
      </c>
      <c r="C2241" s="35"/>
      <c r="D2241" s="20" t="s">
        <v>20</v>
      </c>
      <c r="E2241" s="21"/>
      <c r="F2241" s="36" t="s">
        <v>521</v>
      </c>
      <c r="G2241" s="22" t="str">
        <f t="shared" si="35"/>
        <v/>
      </c>
      <c r="H2241" s="23"/>
      <c r="I2241" s="24"/>
      <c r="J2241" s="138">
        <v>0</v>
      </c>
    </row>
    <row r="2242" spans="1:10" ht="15.75" hidden="1" thickBot="1" x14ac:dyDescent="0.3">
      <c r="A2242" s="221"/>
      <c r="B2242" s="223"/>
      <c r="C2242" s="26"/>
      <c r="D2242" s="26"/>
      <c r="E2242" s="27"/>
      <c r="F2242" s="37" t="s">
        <v>521</v>
      </c>
      <c r="G2242" s="25" t="str">
        <f t="shared" si="35"/>
        <v/>
      </c>
      <c r="H2242" s="29"/>
      <c r="I2242" s="25"/>
      <c r="J2242" s="138">
        <v>0</v>
      </c>
    </row>
    <row r="2243" spans="1:10" ht="51.75" hidden="1" thickBot="1" x14ac:dyDescent="0.3">
      <c r="A2243" s="221"/>
      <c r="B2243" s="223"/>
      <c r="C2243" s="30" t="s">
        <v>2272</v>
      </c>
      <c r="D2243" s="41" t="s">
        <v>1437</v>
      </c>
      <c r="E2243" s="31">
        <v>1</v>
      </c>
      <c r="F2243" s="28">
        <v>167.68449999999999</v>
      </c>
      <c r="G2243" s="28">
        <f t="shared" si="35"/>
        <v>167.68449999999999</v>
      </c>
      <c r="H2243" s="33">
        <f>SUM(G2243:G2251)</f>
        <v>331.94128124999997</v>
      </c>
      <c r="I2243" s="34"/>
      <c r="J2243" s="138">
        <v>0</v>
      </c>
    </row>
    <row r="2244" spans="1:10" ht="15.75" hidden="1" thickBot="1" x14ac:dyDescent="0.3">
      <c r="A2244" s="221"/>
      <c r="B2244" s="223"/>
      <c r="C2244" s="30" t="s">
        <v>1438</v>
      </c>
      <c r="D2244" s="44" t="s">
        <v>897</v>
      </c>
      <c r="E2244" s="31">
        <v>1.0999999999999999E-2</v>
      </c>
      <c r="F2244" s="28">
        <v>28.9085</v>
      </c>
      <c r="G2244" s="28">
        <f t="shared" si="35"/>
        <v>0.31799349999999998</v>
      </c>
      <c r="H2244" s="29"/>
      <c r="I2244" s="25"/>
      <c r="J2244" s="138">
        <v>0</v>
      </c>
    </row>
    <row r="2245" spans="1:10" ht="15.75" hidden="1" thickBot="1" x14ac:dyDescent="0.3">
      <c r="A2245" s="221"/>
      <c r="B2245" s="223"/>
      <c r="C2245" s="30" t="s">
        <v>98</v>
      </c>
      <c r="D2245" s="41" t="s">
        <v>897</v>
      </c>
      <c r="E2245" s="31">
        <v>2.4E-2</v>
      </c>
      <c r="F2245" s="25">
        <v>21.935499999999998</v>
      </c>
      <c r="G2245" s="28">
        <f t="shared" si="35"/>
        <v>0.52645199999999992</v>
      </c>
      <c r="H2245" s="29"/>
      <c r="I2245" s="25"/>
      <c r="J2245" s="138">
        <v>0</v>
      </c>
    </row>
    <row r="2246" spans="1:10" ht="15.75" hidden="1" thickBot="1" x14ac:dyDescent="0.3">
      <c r="A2246" s="221"/>
      <c r="B2246" s="223"/>
      <c r="C2246" s="30" t="s">
        <v>701</v>
      </c>
      <c r="D2246" s="41" t="s">
        <v>702</v>
      </c>
      <c r="E2246" s="31">
        <f>2.741+0.068</f>
        <v>2.8090000000000002</v>
      </c>
      <c r="F2246" s="25">
        <v>23.616999999999997</v>
      </c>
      <c r="G2246" s="28">
        <f t="shared" si="35"/>
        <v>66.340153000000001</v>
      </c>
      <c r="H2246" s="29"/>
      <c r="I2246" s="25"/>
      <c r="J2246" s="138">
        <v>0</v>
      </c>
    </row>
    <row r="2247" spans="1:10" ht="15.75" hidden="1" thickBot="1" x14ac:dyDescent="0.3">
      <c r="A2247" s="221"/>
      <c r="B2247" s="223"/>
      <c r="C2247" s="30" t="s">
        <v>703</v>
      </c>
      <c r="D2247" s="41" t="s">
        <v>702</v>
      </c>
      <c r="E2247" s="31">
        <f>1.375+0.034</f>
        <v>1.409</v>
      </c>
      <c r="F2247" s="25">
        <v>18.420500000000001</v>
      </c>
      <c r="G2247" s="28">
        <f t="shared" si="35"/>
        <v>25.954484500000003</v>
      </c>
      <c r="H2247" s="29"/>
      <c r="I2247" s="25"/>
      <c r="J2247" s="138">
        <v>0</v>
      </c>
    </row>
    <row r="2248" spans="1:10" ht="15.75" hidden="1" thickBot="1" x14ac:dyDescent="0.3">
      <c r="A2248" s="221"/>
      <c r="B2248" s="223"/>
      <c r="C2248" s="30" t="s">
        <v>1721</v>
      </c>
      <c r="D2248" s="41" t="s">
        <v>897</v>
      </c>
      <c r="E2248" s="31">
        <v>6.0000000000000001E-3</v>
      </c>
      <c r="F2248" s="25">
        <v>24.661999999999999</v>
      </c>
      <c r="G2248" s="28">
        <f t="shared" si="35"/>
        <v>0.14797199999999999</v>
      </c>
      <c r="H2248" s="29"/>
      <c r="I2248" s="25"/>
      <c r="J2248" s="138">
        <v>0</v>
      </c>
    </row>
    <row r="2249" spans="1:10" ht="39" hidden="1" thickBot="1" x14ac:dyDescent="0.3">
      <c r="A2249" s="221"/>
      <c r="B2249" s="223"/>
      <c r="C2249" s="30" t="s">
        <v>2273</v>
      </c>
      <c r="D2249" s="41" t="s">
        <v>479</v>
      </c>
      <c r="E2249" s="31">
        <f>(2.1*2+0.8)*1.163</f>
        <v>5.8150000000000004</v>
      </c>
      <c r="F2249" s="28">
        <v>9.8419999999999987</v>
      </c>
      <c r="G2249" s="28">
        <f t="shared" si="35"/>
        <v>57.231229999999996</v>
      </c>
      <c r="H2249" s="29"/>
      <c r="I2249" s="25"/>
      <c r="J2249" s="138">
        <v>0</v>
      </c>
    </row>
    <row r="2250" spans="1:10" ht="15.75" hidden="1" thickBot="1" x14ac:dyDescent="0.3">
      <c r="A2250" s="221"/>
      <c r="B2250" s="223"/>
      <c r="C2250" s="30" t="s">
        <v>202</v>
      </c>
      <c r="D2250" s="44" t="s">
        <v>102</v>
      </c>
      <c r="E2250" s="31">
        <f>ROUND(0.108*0.15*(2*2.1+0.8),4)</f>
        <v>8.1000000000000003E-2</v>
      </c>
      <c r="F2250" s="28" t="s">
        <v>521</v>
      </c>
      <c r="G2250" s="25" t="str">
        <f t="shared" si="35"/>
        <v/>
      </c>
      <c r="H2250" s="29"/>
      <c r="I2250" s="25"/>
      <c r="J2250" s="138">
        <v>0</v>
      </c>
    </row>
    <row r="2251" spans="1:10" ht="15.75" hidden="1" thickBot="1" x14ac:dyDescent="0.3">
      <c r="A2251" s="221"/>
      <c r="B2251" s="223"/>
      <c r="C2251" s="30" t="s">
        <v>100</v>
      </c>
      <c r="D2251" s="30" t="s">
        <v>12</v>
      </c>
      <c r="E2251" s="31">
        <f>ROUND(0.7076*0.15*(2*2.1+0.8),4)</f>
        <v>0.53069999999999995</v>
      </c>
      <c r="F2251" s="25">
        <v>25.887499999999999</v>
      </c>
      <c r="G2251" s="25">
        <f t="shared" si="35"/>
        <v>13.738496249999999</v>
      </c>
      <c r="H2251" s="29"/>
      <c r="I2251" s="25"/>
      <c r="J2251" s="138">
        <v>0</v>
      </c>
    </row>
    <row r="2252" spans="1:10" ht="15.75" hidden="1" thickBot="1" x14ac:dyDescent="0.3">
      <c r="A2252" s="221"/>
      <c r="B2252" s="223"/>
      <c r="C2252" s="30"/>
      <c r="D2252" s="30"/>
      <c r="E2252" s="31"/>
      <c r="F2252" s="25" t="s">
        <v>521</v>
      </c>
      <c r="G2252" s="25"/>
      <c r="H2252" s="29"/>
      <c r="I2252" s="25"/>
      <c r="J2252" s="138">
        <v>0</v>
      </c>
    </row>
    <row r="2253" spans="1:10" ht="39" hidden="1" thickBot="1" x14ac:dyDescent="0.3">
      <c r="A2253" s="221"/>
      <c r="B2253" s="223"/>
      <c r="C2253" s="46" t="s">
        <v>1761</v>
      </c>
      <c r="D2253" s="30"/>
      <c r="E2253" s="31"/>
      <c r="F2253" s="25" t="s">
        <v>521</v>
      </c>
      <c r="G2253" s="25"/>
      <c r="H2253" s="29"/>
      <c r="I2253" s="25"/>
      <c r="J2253" s="138">
        <v>0</v>
      </c>
    </row>
    <row r="2254" spans="1:10" ht="15.75" hidden="1" thickBot="1" x14ac:dyDescent="0.3">
      <c r="A2254" s="227"/>
      <c r="B2254" s="224"/>
      <c r="C2254" s="30"/>
      <c r="D2254" s="30"/>
      <c r="E2254" s="31"/>
      <c r="F2254" s="25" t="s">
        <v>521</v>
      </c>
      <c r="G2254" s="25" t="str">
        <f t="shared" ref="G2254:G2267" si="36">IF(ISNUMBER(F2254),E2254*F2254,"")</f>
        <v/>
      </c>
      <c r="H2254" s="29"/>
      <c r="I2254" s="25"/>
      <c r="J2254" s="138">
        <v>0</v>
      </c>
    </row>
    <row r="2255" spans="1:10" ht="15.75" hidden="1" thickBot="1" x14ac:dyDescent="0.3">
      <c r="A2255" s="220" t="s">
        <v>696</v>
      </c>
      <c r="B2255" s="222" t="e">
        <f>INDEX(Orçamentária!A:B,MATCH(Composições!A2255,Orçamentária!A:A,0),2)</f>
        <v>#N/A</v>
      </c>
      <c r="C2255" s="131"/>
      <c r="D2255" s="20" t="s">
        <v>95</v>
      </c>
      <c r="E2255" s="21"/>
      <c r="F2255" s="36" t="s">
        <v>521</v>
      </c>
      <c r="G2255" s="22" t="str">
        <f t="shared" si="36"/>
        <v/>
      </c>
      <c r="H2255" s="23"/>
      <c r="I2255" s="24"/>
      <c r="J2255" s="138">
        <v>0</v>
      </c>
    </row>
    <row r="2256" spans="1:10" ht="15.75" hidden="1" thickBot="1" x14ac:dyDescent="0.3">
      <c r="A2256" s="221"/>
      <c r="B2256" s="223"/>
      <c r="C2256" s="26"/>
      <c r="D2256" s="26"/>
      <c r="E2256" s="27"/>
      <c r="F2256" s="37" t="s">
        <v>521</v>
      </c>
      <c r="G2256" s="25" t="str">
        <f t="shared" si="36"/>
        <v/>
      </c>
      <c r="H2256" s="29"/>
      <c r="I2256" s="25"/>
      <c r="J2256" s="138">
        <v>0</v>
      </c>
    </row>
    <row r="2257" spans="1:10" ht="15.75" hidden="1" thickBot="1" x14ac:dyDescent="0.3">
      <c r="A2257" s="221"/>
      <c r="B2257" s="223"/>
      <c r="C2257" s="30" t="s">
        <v>23</v>
      </c>
      <c r="D2257" s="30" t="s">
        <v>12</v>
      </c>
      <c r="E2257" s="31">
        <v>0.3</v>
      </c>
      <c r="F2257" s="25">
        <v>18.420500000000001</v>
      </c>
      <c r="G2257" s="28">
        <f t="shared" si="36"/>
        <v>5.5261500000000003</v>
      </c>
      <c r="H2257" s="33">
        <f>SUM(G2257:G2259)</f>
        <v>12.525749999999999</v>
      </c>
      <c r="I2257" s="34"/>
      <c r="J2257" s="138">
        <v>0</v>
      </c>
    </row>
    <row r="2258" spans="1:10" ht="15.75" hidden="1" thickBot="1" x14ac:dyDescent="0.3">
      <c r="A2258" s="221"/>
      <c r="B2258" s="223"/>
      <c r="C2258" s="30" t="s">
        <v>605</v>
      </c>
      <c r="D2258" s="30" t="s">
        <v>12</v>
      </c>
      <c r="E2258" s="31">
        <v>0.3</v>
      </c>
      <c r="F2258" s="25">
        <v>23.331999999999997</v>
      </c>
      <c r="G2258" s="28">
        <f t="shared" si="36"/>
        <v>6.9995999999999992</v>
      </c>
      <c r="H2258" s="39"/>
      <c r="I2258" s="40"/>
      <c r="J2258" s="138">
        <v>0</v>
      </c>
    </row>
    <row r="2259" spans="1:10" ht="26.25" hidden="1" thickBot="1" x14ac:dyDescent="0.3">
      <c r="A2259" s="221"/>
      <c r="B2259" s="223"/>
      <c r="C2259" s="30" t="s">
        <v>697</v>
      </c>
      <c r="D2259" s="41" t="s">
        <v>95</v>
      </c>
      <c r="E2259" s="31">
        <v>1</v>
      </c>
      <c r="F2259" s="28" t="s">
        <v>521</v>
      </c>
      <c r="G2259" s="28" t="str">
        <f t="shared" si="36"/>
        <v/>
      </c>
      <c r="H2259" s="29"/>
      <c r="I2259" s="25"/>
      <c r="J2259" s="138">
        <v>0</v>
      </c>
    </row>
    <row r="2260" spans="1:10" ht="15.75" hidden="1" thickBot="1" x14ac:dyDescent="0.3">
      <c r="A2260" s="227"/>
      <c r="B2260" s="224"/>
      <c r="C2260" s="30"/>
      <c r="D2260" s="30"/>
      <c r="E2260" s="31"/>
      <c r="F2260" s="25" t="s">
        <v>521</v>
      </c>
      <c r="G2260" s="25" t="str">
        <f t="shared" si="36"/>
        <v/>
      </c>
      <c r="H2260" s="29"/>
      <c r="I2260" s="25"/>
      <c r="J2260" s="138">
        <v>0</v>
      </c>
    </row>
    <row r="2261" spans="1:10" ht="15.75" hidden="1" thickBot="1" x14ac:dyDescent="0.3">
      <c r="A2261" s="228" t="s">
        <v>698</v>
      </c>
      <c r="B2261" s="222" t="e">
        <f>INDEX(Orçamentária!A:B,MATCH(Composições!A2261,Orçamentária!A:A,0),2)</f>
        <v>#N/A</v>
      </c>
      <c r="C2261" s="35"/>
      <c r="D2261" s="20" t="s">
        <v>20</v>
      </c>
      <c r="E2261" s="21"/>
      <c r="F2261" s="36" t="s">
        <v>521</v>
      </c>
      <c r="G2261" s="22" t="str">
        <f t="shared" si="36"/>
        <v/>
      </c>
      <c r="H2261" s="23"/>
      <c r="I2261" s="24"/>
      <c r="J2261" s="138">
        <v>0</v>
      </c>
    </row>
    <row r="2262" spans="1:10" ht="15.75" hidden="1" thickBot="1" x14ac:dyDescent="0.3">
      <c r="A2262" s="229"/>
      <c r="B2262" s="223"/>
      <c r="C2262" s="26"/>
      <c r="D2262" s="26"/>
      <c r="E2262" s="27"/>
      <c r="F2262" s="37" t="s">
        <v>521</v>
      </c>
      <c r="G2262" s="25" t="str">
        <f t="shared" si="36"/>
        <v/>
      </c>
      <c r="H2262" s="29"/>
      <c r="I2262" s="25"/>
      <c r="J2262" s="138">
        <v>0</v>
      </c>
    </row>
    <row r="2263" spans="1:10" ht="51.75" hidden="1" thickBot="1" x14ac:dyDescent="0.3">
      <c r="A2263" s="229"/>
      <c r="B2263" s="223"/>
      <c r="C2263" s="30" t="s">
        <v>1950</v>
      </c>
      <c r="D2263" s="41" t="s">
        <v>279</v>
      </c>
      <c r="E2263" s="31">
        <v>1</v>
      </c>
      <c r="F2263" s="28">
        <v>228.37049999999996</v>
      </c>
      <c r="G2263" s="28">
        <f t="shared" si="36"/>
        <v>228.37049999999996</v>
      </c>
      <c r="H2263" s="33">
        <f>SUM(G2263:G2267)</f>
        <v>308.20071759999996</v>
      </c>
      <c r="I2263" s="34"/>
      <c r="J2263" s="138">
        <v>0</v>
      </c>
    </row>
    <row r="2264" spans="1:10" ht="15.75" hidden="1" thickBot="1" x14ac:dyDescent="0.3">
      <c r="A2264" s="229"/>
      <c r="B2264" s="223"/>
      <c r="C2264" s="30" t="s">
        <v>701</v>
      </c>
      <c r="D2264" s="41" t="s">
        <v>702</v>
      </c>
      <c r="E2264" s="31">
        <f>ROUND(1.282*0.8,4)</f>
        <v>1.0256000000000001</v>
      </c>
      <c r="F2264" s="25">
        <v>23.616999999999997</v>
      </c>
      <c r="G2264" s="28">
        <f t="shared" si="36"/>
        <v>24.221595199999999</v>
      </c>
      <c r="H2264" s="29"/>
      <c r="I2264" s="25"/>
      <c r="J2264" s="138">
        <v>0</v>
      </c>
    </row>
    <row r="2265" spans="1:10" ht="15.75" hidden="1" thickBot="1" x14ac:dyDescent="0.3">
      <c r="A2265" s="229"/>
      <c r="B2265" s="223"/>
      <c r="C2265" s="30" t="s">
        <v>703</v>
      </c>
      <c r="D2265" s="41" t="s">
        <v>702</v>
      </c>
      <c r="E2265" s="31">
        <f>ROUND(0.641*0.8,4)</f>
        <v>0.51280000000000003</v>
      </c>
      <c r="F2265" s="25">
        <v>18.420500000000001</v>
      </c>
      <c r="G2265" s="28">
        <f t="shared" si="36"/>
        <v>9.4460324000000018</v>
      </c>
      <c r="H2265" s="29"/>
      <c r="I2265" s="25"/>
      <c r="J2265" s="138">
        <v>0</v>
      </c>
    </row>
    <row r="2266" spans="1:10" ht="15.75" hidden="1" thickBot="1" x14ac:dyDescent="0.3">
      <c r="A2266" s="229"/>
      <c r="B2266" s="223"/>
      <c r="C2266" s="30" t="s">
        <v>202</v>
      </c>
      <c r="D2266" s="44" t="s">
        <v>102</v>
      </c>
      <c r="E2266" s="31">
        <f>ROUND(0.108*(2*0.6*2.1),4)</f>
        <v>0.2722</v>
      </c>
      <c r="F2266" s="28" t="s">
        <v>521</v>
      </c>
      <c r="G2266" s="25" t="str">
        <f t="shared" si="36"/>
        <v/>
      </c>
      <c r="H2266" s="29"/>
      <c r="I2266" s="25"/>
      <c r="J2266" s="138">
        <v>0</v>
      </c>
    </row>
    <row r="2267" spans="1:10" ht="15.75" hidden="1" thickBot="1" x14ac:dyDescent="0.3">
      <c r="A2267" s="229"/>
      <c r="B2267" s="223"/>
      <c r="C2267" s="30" t="s">
        <v>100</v>
      </c>
      <c r="D2267" s="30" t="s">
        <v>12</v>
      </c>
      <c r="E2267" s="31">
        <f>ROUND(0.7076*(2*0.6*2.1),4)</f>
        <v>1.7831999999999999</v>
      </c>
      <c r="F2267" s="25">
        <v>25.887499999999999</v>
      </c>
      <c r="G2267" s="25">
        <f t="shared" si="36"/>
        <v>46.162589999999994</v>
      </c>
      <c r="H2267" s="29"/>
      <c r="I2267" s="25"/>
      <c r="J2267" s="138">
        <v>0</v>
      </c>
    </row>
    <row r="2268" spans="1:10" ht="15.75" hidden="1" thickBot="1" x14ac:dyDescent="0.3">
      <c r="A2268" s="229"/>
      <c r="B2268" s="223"/>
      <c r="C2268" s="30"/>
      <c r="D2268" s="30"/>
      <c r="E2268" s="31"/>
      <c r="F2268" s="25" t="s">
        <v>521</v>
      </c>
      <c r="G2268" s="25"/>
      <c r="H2268" s="29"/>
      <c r="I2268" s="25"/>
      <c r="J2268" s="138">
        <v>0</v>
      </c>
    </row>
    <row r="2269" spans="1:10" ht="39" hidden="1" thickBot="1" x14ac:dyDescent="0.3">
      <c r="A2269" s="229"/>
      <c r="B2269" s="223"/>
      <c r="C2269" s="46" t="s">
        <v>1761</v>
      </c>
      <c r="D2269" s="30"/>
      <c r="E2269" s="31"/>
      <c r="F2269" s="25" t="s">
        <v>521</v>
      </c>
      <c r="G2269" s="25"/>
      <c r="H2269" s="29"/>
      <c r="I2269" s="25"/>
      <c r="J2269" s="138">
        <v>0</v>
      </c>
    </row>
    <row r="2270" spans="1:10" ht="15.75" hidden="1" thickBot="1" x14ac:dyDescent="0.3">
      <c r="A2270" s="229"/>
      <c r="B2270" s="223"/>
      <c r="C2270" s="30"/>
      <c r="D2270" s="41"/>
      <c r="E2270" s="31"/>
      <c r="F2270" s="28" t="s">
        <v>521</v>
      </c>
      <c r="G2270" s="28" t="str">
        <f t="shared" ref="G2270:G2277" si="37">IF(ISNUMBER(F2270),E2270*F2270,"")</f>
        <v/>
      </c>
      <c r="H2270" s="29"/>
      <c r="I2270" s="25"/>
      <c r="J2270" s="138">
        <v>0</v>
      </c>
    </row>
    <row r="2271" spans="1:10" ht="15.75" hidden="1" thickBot="1" x14ac:dyDescent="0.3">
      <c r="A2271" s="228" t="s">
        <v>704</v>
      </c>
      <c r="B2271" s="222" t="e">
        <f>INDEX(Orçamentária!A:B,MATCH(Composições!A2271,Orçamentária!A:A,0),2)</f>
        <v>#N/A</v>
      </c>
      <c r="C2271" s="35"/>
      <c r="D2271" s="20" t="s">
        <v>20</v>
      </c>
      <c r="E2271" s="21"/>
      <c r="F2271" s="36" t="s">
        <v>521</v>
      </c>
      <c r="G2271" s="22" t="str">
        <f t="shared" si="37"/>
        <v/>
      </c>
      <c r="H2271" s="23"/>
      <c r="I2271" s="24"/>
      <c r="J2271" s="138">
        <v>0</v>
      </c>
    </row>
    <row r="2272" spans="1:10" ht="15.75" hidden="1" thickBot="1" x14ac:dyDescent="0.3">
      <c r="A2272" s="229"/>
      <c r="B2272" s="223"/>
      <c r="C2272" s="26"/>
      <c r="D2272" s="26"/>
      <c r="E2272" s="27"/>
      <c r="F2272" s="37" t="s">
        <v>521</v>
      </c>
      <c r="G2272" s="25" t="str">
        <f t="shared" si="37"/>
        <v/>
      </c>
      <c r="H2272" s="29"/>
      <c r="I2272" s="25"/>
      <c r="J2272" s="138">
        <v>0</v>
      </c>
    </row>
    <row r="2273" spans="1:10" ht="51.75" hidden="1" thickBot="1" x14ac:dyDescent="0.3">
      <c r="A2273" s="229"/>
      <c r="B2273" s="223"/>
      <c r="C2273" s="30" t="s">
        <v>1945</v>
      </c>
      <c r="D2273" s="41" t="s">
        <v>279</v>
      </c>
      <c r="E2273" s="31">
        <v>1</v>
      </c>
      <c r="F2273" s="28">
        <v>230.85</v>
      </c>
      <c r="G2273" s="28">
        <f t="shared" si="37"/>
        <v>230.85</v>
      </c>
      <c r="H2273" s="33">
        <f>SUM(G2273:G2277)</f>
        <v>321.83795144999999</v>
      </c>
      <c r="I2273" s="34"/>
      <c r="J2273" s="138">
        <v>0</v>
      </c>
    </row>
    <row r="2274" spans="1:10" ht="15.75" hidden="1" thickBot="1" x14ac:dyDescent="0.3">
      <c r="A2274" s="229"/>
      <c r="B2274" s="223"/>
      <c r="C2274" s="30" t="s">
        <v>701</v>
      </c>
      <c r="D2274" s="41" t="s">
        <v>702</v>
      </c>
      <c r="E2274" s="31">
        <f>ROUND(1.414*0.8,4)</f>
        <v>1.1312</v>
      </c>
      <c r="F2274" s="25">
        <v>23.616999999999997</v>
      </c>
      <c r="G2274" s="28">
        <f t="shared" si="37"/>
        <v>26.715550399999998</v>
      </c>
      <c r="H2274" s="29"/>
      <c r="I2274" s="25"/>
      <c r="J2274" s="138">
        <v>0</v>
      </c>
    </row>
    <row r="2275" spans="1:10" ht="15.75" hidden="1" thickBot="1" x14ac:dyDescent="0.3">
      <c r="A2275" s="229"/>
      <c r="B2275" s="223"/>
      <c r="C2275" s="30" t="s">
        <v>703</v>
      </c>
      <c r="D2275" s="41" t="s">
        <v>702</v>
      </c>
      <c r="E2275" s="31">
        <f>ROUND(0.707*0.8,4)</f>
        <v>0.56559999999999999</v>
      </c>
      <c r="F2275" s="25">
        <v>18.420500000000001</v>
      </c>
      <c r="G2275" s="28">
        <f t="shared" si="37"/>
        <v>10.4186348</v>
      </c>
      <c r="H2275" s="29"/>
      <c r="I2275" s="25"/>
      <c r="J2275" s="138">
        <v>0</v>
      </c>
    </row>
    <row r="2276" spans="1:10" ht="15.75" hidden="1" thickBot="1" x14ac:dyDescent="0.3">
      <c r="A2276" s="229"/>
      <c r="B2276" s="223"/>
      <c r="C2276" s="30" t="s">
        <v>202</v>
      </c>
      <c r="D2276" s="44" t="s">
        <v>102</v>
      </c>
      <c r="E2276" s="31">
        <f>ROUND(0.108*(2*0.7*2.1),4)</f>
        <v>0.3175</v>
      </c>
      <c r="F2276" s="28" t="s">
        <v>521</v>
      </c>
      <c r="G2276" s="25" t="str">
        <f t="shared" si="37"/>
        <v/>
      </c>
      <c r="H2276" s="29"/>
      <c r="I2276" s="25"/>
      <c r="J2276" s="138">
        <v>0</v>
      </c>
    </row>
    <row r="2277" spans="1:10" ht="15.75" hidden="1" thickBot="1" x14ac:dyDescent="0.3">
      <c r="A2277" s="229"/>
      <c r="B2277" s="223"/>
      <c r="C2277" s="30" t="s">
        <v>100</v>
      </c>
      <c r="D2277" s="30" t="s">
        <v>12</v>
      </c>
      <c r="E2277" s="31">
        <f>ROUND(0.7076*(2*0.7*2.1),4)</f>
        <v>2.0802999999999998</v>
      </c>
      <c r="F2277" s="25">
        <v>25.887499999999999</v>
      </c>
      <c r="G2277" s="25">
        <f t="shared" si="37"/>
        <v>53.853766249999993</v>
      </c>
      <c r="H2277" s="29"/>
      <c r="I2277" s="25"/>
      <c r="J2277" s="138">
        <v>0</v>
      </c>
    </row>
    <row r="2278" spans="1:10" ht="15.75" hidden="1" thickBot="1" x14ac:dyDescent="0.3">
      <c r="A2278" s="229"/>
      <c r="B2278" s="223"/>
      <c r="C2278" s="30"/>
      <c r="D2278" s="30"/>
      <c r="E2278" s="31"/>
      <c r="F2278" s="25" t="s">
        <v>521</v>
      </c>
      <c r="G2278" s="25"/>
      <c r="H2278" s="29"/>
      <c r="I2278" s="25"/>
      <c r="J2278" s="138">
        <v>0</v>
      </c>
    </row>
    <row r="2279" spans="1:10" ht="39" hidden="1" thickBot="1" x14ac:dyDescent="0.3">
      <c r="A2279" s="229"/>
      <c r="B2279" s="223"/>
      <c r="C2279" s="46" t="s">
        <v>1761</v>
      </c>
      <c r="D2279" s="30"/>
      <c r="E2279" s="31"/>
      <c r="F2279" s="25" t="s">
        <v>521</v>
      </c>
      <c r="G2279" s="25"/>
      <c r="H2279" s="29"/>
      <c r="I2279" s="25"/>
      <c r="J2279" s="138">
        <v>0</v>
      </c>
    </row>
    <row r="2280" spans="1:10" ht="15.75" hidden="1" thickBot="1" x14ac:dyDescent="0.3">
      <c r="A2280" s="229"/>
      <c r="B2280" s="223"/>
      <c r="C2280" s="30"/>
      <c r="D2280" s="41"/>
      <c r="E2280" s="31"/>
      <c r="F2280" s="28" t="s">
        <v>521</v>
      </c>
      <c r="G2280" s="28" t="str">
        <f t="shared" ref="G2280:G2287" si="38">IF(ISNUMBER(F2280),E2280*F2280,"")</f>
        <v/>
      </c>
      <c r="H2280" s="29"/>
      <c r="I2280" s="25"/>
      <c r="J2280" s="138">
        <v>0</v>
      </c>
    </row>
    <row r="2281" spans="1:10" ht="15.75" hidden="1" thickBot="1" x14ac:dyDescent="0.3">
      <c r="A2281" s="228" t="s">
        <v>705</v>
      </c>
      <c r="B2281" s="222" t="e">
        <f>INDEX(Orçamentária!A:B,MATCH(Composições!A2281,Orçamentária!A:A,0),2)</f>
        <v>#N/A</v>
      </c>
      <c r="C2281" s="35"/>
      <c r="D2281" s="20" t="s">
        <v>20</v>
      </c>
      <c r="E2281" s="21"/>
      <c r="F2281" s="36" t="s">
        <v>521</v>
      </c>
      <c r="G2281" s="22" t="str">
        <f t="shared" si="38"/>
        <v/>
      </c>
      <c r="H2281" s="23"/>
      <c r="I2281" s="24"/>
      <c r="J2281" s="138">
        <v>0</v>
      </c>
    </row>
    <row r="2282" spans="1:10" ht="15.75" hidden="1" thickBot="1" x14ac:dyDescent="0.3">
      <c r="A2282" s="229"/>
      <c r="B2282" s="223"/>
      <c r="C2282" s="26"/>
      <c r="D2282" s="26"/>
      <c r="E2282" s="27"/>
      <c r="F2282" s="37" t="s">
        <v>521</v>
      </c>
      <c r="G2282" s="25" t="str">
        <f t="shared" si="38"/>
        <v/>
      </c>
      <c r="H2282" s="29"/>
      <c r="I2282" s="25"/>
      <c r="J2282" s="138">
        <v>0</v>
      </c>
    </row>
    <row r="2283" spans="1:10" ht="51.75" hidden="1" thickBot="1" x14ac:dyDescent="0.3">
      <c r="A2283" s="229"/>
      <c r="B2283" s="223"/>
      <c r="C2283" s="30" t="s">
        <v>1947</v>
      </c>
      <c r="D2283" s="41" t="s">
        <v>279</v>
      </c>
      <c r="E2283" s="31">
        <v>1</v>
      </c>
      <c r="F2283" s="28">
        <v>286.07349999999997</v>
      </c>
      <c r="G2283" s="28">
        <f t="shared" si="38"/>
        <v>286.07349999999997</v>
      </c>
      <c r="H2283" s="33">
        <f>SUM(G2283:G2287)</f>
        <v>388.22177404999996</v>
      </c>
      <c r="I2283" s="34"/>
      <c r="J2283" s="138">
        <v>0</v>
      </c>
    </row>
    <row r="2284" spans="1:10" ht="15.75" hidden="1" thickBot="1" x14ac:dyDescent="0.3">
      <c r="A2284" s="229"/>
      <c r="B2284" s="223"/>
      <c r="C2284" s="30" t="s">
        <v>701</v>
      </c>
      <c r="D2284" s="41" t="s">
        <v>702</v>
      </c>
      <c r="E2284" s="31">
        <f>ROUND(1.546*0.8,4)</f>
        <v>1.2367999999999999</v>
      </c>
      <c r="F2284" s="25">
        <v>23.616999999999997</v>
      </c>
      <c r="G2284" s="28">
        <f t="shared" si="38"/>
        <v>29.209505599999993</v>
      </c>
      <c r="H2284" s="29"/>
      <c r="I2284" s="25"/>
      <c r="J2284" s="138">
        <v>0</v>
      </c>
    </row>
    <row r="2285" spans="1:10" ht="15.75" hidden="1" thickBot="1" x14ac:dyDescent="0.3">
      <c r="A2285" s="229"/>
      <c r="B2285" s="223"/>
      <c r="C2285" s="30" t="s">
        <v>703</v>
      </c>
      <c r="D2285" s="41" t="s">
        <v>702</v>
      </c>
      <c r="E2285" s="31">
        <f>ROUND(0.773*0.8,4)</f>
        <v>0.61839999999999995</v>
      </c>
      <c r="F2285" s="25">
        <v>18.420500000000001</v>
      </c>
      <c r="G2285" s="28">
        <f t="shared" si="38"/>
        <v>11.391237199999999</v>
      </c>
      <c r="H2285" s="29"/>
      <c r="I2285" s="25"/>
      <c r="J2285" s="138">
        <v>0</v>
      </c>
    </row>
    <row r="2286" spans="1:10" ht="15.75" hidden="1" thickBot="1" x14ac:dyDescent="0.3">
      <c r="A2286" s="229"/>
      <c r="B2286" s="223"/>
      <c r="C2286" s="30" t="s">
        <v>202</v>
      </c>
      <c r="D2286" s="44" t="s">
        <v>102</v>
      </c>
      <c r="E2286" s="31">
        <f>ROUND(0.108*(2*0.8*2.1),4)</f>
        <v>0.3629</v>
      </c>
      <c r="F2286" s="28" t="s">
        <v>521</v>
      </c>
      <c r="G2286" s="25" t="str">
        <f t="shared" si="38"/>
        <v/>
      </c>
      <c r="H2286" s="29"/>
      <c r="I2286" s="25"/>
      <c r="J2286" s="138">
        <v>0</v>
      </c>
    </row>
    <row r="2287" spans="1:10" ht="15.75" hidden="1" thickBot="1" x14ac:dyDescent="0.3">
      <c r="A2287" s="229"/>
      <c r="B2287" s="223"/>
      <c r="C2287" s="30" t="s">
        <v>100</v>
      </c>
      <c r="D2287" s="30" t="s">
        <v>12</v>
      </c>
      <c r="E2287" s="31">
        <f>ROUND(0.7076*(2*0.8*2.1),4)</f>
        <v>2.3774999999999999</v>
      </c>
      <c r="F2287" s="25">
        <v>25.887499999999999</v>
      </c>
      <c r="G2287" s="25">
        <f t="shared" si="38"/>
        <v>61.547531249999999</v>
      </c>
      <c r="H2287" s="29"/>
      <c r="I2287" s="25"/>
      <c r="J2287" s="138">
        <v>0</v>
      </c>
    </row>
    <row r="2288" spans="1:10" ht="15.75" hidden="1" thickBot="1" x14ac:dyDescent="0.3">
      <c r="A2288" s="229"/>
      <c r="B2288" s="223"/>
      <c r="C2288" s="30"/>
      <c r="D2288" s="30"/>
      <c r="E2288" s="31"/>
      <c r="F2288" s="25" t="s">
        <v>521</v>
      </c>
      <c r="G2288" s="25"/>
      <c r="H2288" s="29"/>
      <c r="I2288" s="25"/>
      <c r="J2288" s="138">
        <v>0</v>
      </c>
    </row>
    <row r="2289" spans="1:10" ht="39" hidden="1" thickBot="1" x14ac:dyDescent="0.3">
      <c r="A2289" s="229"/>
      <c r="B2289" s="223"/>
      <c r="C2289" s="46" t="s">
        <v>1761</v>
      </c>
      <c r="D2289" s="30"/>
      <c r="E2289" s="31"/>
      <c r="F2289" s="25" t="s">
        <v>521</v>
      </c>
      <c r="G2289" s="25"/>
      <c r="H2289" s="29"/>
      <c r="I2289" s="25"/>
      <c r="J2289" s="138">
        <v>0</v>
      </c>
    </row>
    <row r="2290" spans="1:10" ht="15.75" hidden="1" thickBot="1" x14ac:dyDescent="0.3">
      <c r="A2290" s="229"/>
      <c r="B2290" s="223"/>
      <c r="C2290" s="30"/>
      <c r="D2290" s="41"/>
      <c r="E2290" s="31"/>
      <c r="F2290" s="28" t="s">
        <v>521</v>
      </c>
      <c r="G2290" s="28" t="str">
        <f t="shared" ref="G2290:G2297" si="39">IF(ISNUMBER(F2290),E2290*F2290,"")</f>
        <v/>
      </c>
      <c r="H2290" s="29"/>
      <c r="I2290" s="25"/>
      <c r="J2290" s="138">
        <v>0</v>
      </c>
    </row>
    <row r="2291" spans="1:10" ht="15.75" hidden="1" thickBot="1" x14ac:dyDescent="0.3">
      <c r="A2291" s="228" t="s">
        <v>706</v>
      </c>
      <c r="B2291" s="222" t="e">
        <f>INDEX(Orçamentária!A:B,MATCH(Composições!A2291,Orçamentária!A:A,0),2)</f>
        <v>#N/A</v>
      </c>
      <c r="C2291" s="35"/>
      <c r="D2291" s="20" t="s">
        <v>20</v>
      </c>
      <c r="E2291" s="21"/>
      <c r="F2291" s="36" t="s">
        <v>521</v>
      </c>
      <c r="G2291" s="22" t="str">
        <f t="shared" si="39"/>
        <v/>
      </c>
      <c r="H2291" s="23"/>
      <c r="I2291" s="24"/>
      <c r="J2291" s="138">
        <v>0</v>
      </c>
    </row>
    <row r="2292" spans="1:10" ht="15.75" hidden="1" thickBot="1" x14ac:dyDescent="0.3">
      <c r="A2292" s="229"/>
      <c r="B2292" s="223"/>
      <c r="C2292" s="26"/>
      <c r="D2292" s="26"/>
      <c r="E2292" s="27"/>
      <c r="F2292" s="37" t="s">
        <v>521</v>
      </c>
      <c r="G2292" s="25" t="str">
        <f t="shared" si="39"/>
        <v/>
      </c>
      <c r="H2292" s="29"/>
      <c r="I2292" s="25"/>
      <c r="J2292" s="138">
        <v>0</v>
      </c>
    </row>
    <row r="2293" spans="1:10" ht="51.75" hidden="1" thickBot="1" x14ac:dyDescent="0.3">
      <c r="A2293" s="229"/>
      <c r="B2293" s="223"/>
      <c r="C2293" s="30" t="s">
        <v>1948</v>
      </c>
      <c r="D2293" s="41" t="s">
        <v>279</v>
      </c>
      <c r="E2293" s="31">
        <v>1</v>
      </c>
      <c r="F2293" s="28">
        <v>327.28449999999998</v>
      </c>
      <c r="G2293" s="28">
        <f t="shared" si="39"/>
        <v>327.28449999999998</v>
      </c>
      <c r="H2293" s="33">
        <f>SUM(G2293:G2297)</f>
        <v>440.59309665000001</v>
      </c>
      <c r="I2293" s="34"/>
      <c r="J2293" s="138">
        <v>0</v>
      </c>
    </row>
    <row r="2294" spans="1:10" ht="15.75" hidden="1" thickBot="1" x14ac:dyDescent="0.3">
      <c r="A2294" s="229"/>
      <c r="B2294" s="223"/>
      <c r="C2294" s="30" t="s">
        <v>701</v>
      </c>
      <c r="D2294" s="41" t="s">
        <v>702</v>
      </c>
      <c r="E2294" s="31">
        <f>ROUND(1.678*0.8,4)</f>
        <v>1.3424</v>
      </c>
      <c r="F2294" s="25">
        <v>23.616999999999997</v>
      </c>
      <c r="G2294" s="28">
        <f t="shared" si="39"/>
        <v>31.703460799999998</v>
      </c>
      <c r="H2294" s="29"/>
      <c r="I2294" s="25"/>
      <c r="J2294" s="138">
        <v>0</v>
      </c>
    </row>
    <row r="2295" spans="1:10" ht="15.75" hidden="1" thickBot="1" x14ac:dyDescent="0.3">
      <c r="A2295" s="229"/>
      <c r="B2295" s="223"/>
      <c r="C2295" s="30" t="s">
        <v>703</v>
      </c>
      <c r="D2295" s="41" t="s">
        <v>702</v>
      </c>
      <c r="E2295" s="31">
        <f>ROUND(0.839*0.8,4)</f>
        <v>0.67120000000000002</v>
      </c>
      <c r="F2295" s="25">
        <v>18.420500000000001</v>
      </c>
      <c r="G2295" s="28">
        <f t="shared" si="39"/>
        <v>12.3638396</v>
      </c>
      <c r="H2295" s="29"/>
      <c r="I2295" s="25"/>
      <c r="J2295" s="138">
        <v>0</v>
      </c>
    </row>
    <row r="2296" spans="1:10" ht="15.75" hidden="1" thickBot="1" x14ac:dyDescent="0.3">
      <c r="A2296" s="229"/>
      <c r="B2296" s="223"/>
      <c r="C2296" s="30" t="s">
        <v>202</v>
      </c>
      <c r="D2296" s="44" t="s">
        <v>102</v>
      </c>
      <c r="E2296" s="31">
        <f>ROUND(0.108*(2*0.9*2.1),4)</f>
        <v>0.40820000000000001</v>
      </c>
      <c r="F2296" s="28" t="s">
        <v>521</v>
      </c>
      <c r="G2296" s="25" t="str">
        <f t="shared" si="39"/>
        <v/>
      </c>
      <c r="H2296" s="29"/>
      <c r="I2296" s="25"/>
      <c r="J2296" s="138">
        <v>0</v>
      </c>
    </row>
    <row r="2297" spans="1:10" ht="15.75" hidden="1" thickBot="1" x14ac:dyDescent="0.3">
      <c r="A2297" s="229"/>
      <c r="B2297" s="223"/>
      <c r="C2297" s="30" t="s">
        <v>100</v>
      </c>
      <c r="D2297" s="30" t="s">
        <v>12</v>
      </c>
      <c r="E2297" s="31">
        <f>ROUND(0.7076*(2*0.9*2.1),4)</f>
        <v>2.6747000000000001</v>
      </c>
      <c r="F2297" s="25">
        <v>25.887499999999999</v>
      </c>
      <c r="G2297" s="25">
        <f t="shared" si="39"/>
        <v>69.241296250000005</v>
      </c>
      <c r="H2297" s="29"/>
      <c r="I2297" s="25"/>
      <c r="J2297" s="138">
        <v>0</v>
      </c>
    </row>
    <row r="2298" spans="1:10" ht="15.75" hidden="1" thickBot="1" x14ac:dyDescent="0.3">
      <c r="A2298" s="229"/>
      <c r="B2298" s="223"/>
      <c r="C2298" s="30"/>
      <c r="D2298" s="30"/>
      <c r="E2298" s="31"/>
      <c r="F2298" s="25" t="s">
        <v>521</v>
      </c>
      <c r="G2298" s="25"/>
      <c r="H2298" s="29"/>
      <c r="I2298" s="25"/>
      <c r="J2298" s="138">
        <v>0</v>
      </c>
    </row>
    <row r="2299" spans="1:10" ht="39" hidden="1" thickBot="1" x14ac:dyDescent="0.3">
      <c r="A2299" s="229"/>
      <c r="B2299" s="223"/>
      <c r="C2299" s="46" t="s">
        <v>1761</v>
      </c>
      <c r="D2299" s="30"/>
      <c r="E2299" s="31"/>
      <c r="F2299" s="25" t="s">
        <v>521</v>
      </c>
      <c r="G2299" s="25"/>
      <c r="H2299" s="29"/>
      <c r="I2299" s="25"/>
      <c r="J2299" s="138">
        <v>0</v>
      </c>
    </row>
    <row r="2300" spans="1:10" ht="15.75" hidden="1" thickBot="1" x14ac:dyDescent="0.3">
      <c r="A2300" s="229"/>
      <c r="B2300" s="223"/>
      <c r="C2300" s="30"/>
      <c r="D2300" s="41"/>
      <c r="E2300" s="31"/>
      <c r="F2300" s="28" t="s">
        <v>521</v>
      </c>
      <c r="G2300" s="28" t="str">
        <f t="shared" ref="G2300:G2307" si="40">IF(ISNUMBER(F2300),E2300*F2300,"")</f>
        <v/>
      </c>
      <c r="H2300" s="29"/>
      <c r="I2300" s="25"/>
      <c r="J2300" s="138">
        <v>0</v>
      </c>
    </row>
    <row r="2301" spans="1:10" ht="15.75" hidden="1" thickBot="1" x14ac:dyDescent="0.3">
      <c r="A2301" s="228" t="s">
        <v>707</v>
      </c>
      <c r="B2301" s="222" t="e">
        <f>INDEX(Orçamentária!A:B,MATCH(Composições!A2301,Orçamentária!A:A,0),2)</f>
        <v>#N/A</v>
      </c>
      <c r="C2301" s="35"/>
      <c r="D2301" s="20" t="s">
        <v>20</v>
      </c>
      <c r="E2301" s="21"/>
      <c r="F2301" s="36" t="s">
        <v>521</v>
      </c>
      <c r="G2301" s="22" t="str">
        <f t="shared" si="40"/>
        <v/>
      </c>
      <c r="H2301" s="23"/>
      <c r="I2301" s="24"/>
      <c r="J2301" s="138">
        <v>0</v>
      </c>
    </row>
    <row r="2302" spans="1:10" ht="15.75" hidden="1" thickBot="1" x14ac:dyDescent="0.3">
      <c r="A2302" s="229"/>
      <c r="B2302" s="223"/>
      <c r="C2302" s="26"/>
      <c r="D2302" s="26"/>
      <c r="E2302" s="27"/>
      <c r="F2302" s="37" t="s">
        <v>521</v>
      </c>
      <c r="G2302" s="25" t="str">
        <f t="shared" si="40"/>
        <v/>
      </c>
      <c r="H2302" s="29"/>
      <c r="I2302" s="25"/>
      <c r="J2302" s="138">
        <v>0</v>
      </c>
    </row>
    <row r="2303" spans="1:10" ht="51.75" hidden="1" thickBot="1" x14ac:dyDescent="0.3">
      <c r="A2303" s="229"/>
      <c r="B2303" s="223"/>
      <c r="C2303" s="30" t="s">
        <v>1943</v>
      </c>
      <c r="D2303" s="41" t="s">
        <v>279</v>
      </c>
      <c r="E2303" s="31">
        <v>1</v>
      </c>
      <c r="F2303" s="28">
        <v>350.55949999999996</v>
      </c>
      <c r="G2303" s="28">
        <f t="shared" si="40"/>
        <v>350.55949999999996</v>
      </c>
      <c r="H2303" s="33">
        <f>SUM(G2303:G2307)</f>
        <v>471.56186164999997</v>
      </c>
      <c r="I2303" s="34"/>
      <c r="J2303" s="138">
        <v>0</v>
      </c>
    </row>
    <row r="2304" spans="1:10" ht="15.75" hidden="1" thickBot="1" x14ac:dyDescent="0.3">
      <c r="A2304" s="229"/>
      <c r="B2304" s="223"/>
      <c r="C2304" s="30" t="s">
        <v>701</v>
      </c>
      <c r="D2304" s="41" t="s">
        <v>702</v>
      </c>
      <c r="E2304" s="31">
        <f>ROUND(1.678*0.8,4)</f>
        <v>1.3424</v>
      </c>
      <c r="F2304" s="25">
        <v>23.616999999999997</v>
      </c>
      <c r="G2304" s="28">
        <f t="shared" si="40"/>
        <v>31.703460799999998</v>
      </c>
      <c r="H2304" s="29"/>
      <c r="I2304" s="25"/>
      <c r="J2304" s="138">
        <v>0</v>
      </c>
    </row>
    <row r="2305" spans="1:10" ht="15.75" hidden="1" thickBot="1" x14ac:dyDescent="0.3">
      <c r="A2305" s="229"/>
      <c r="B2305" s="223"/>
      <c r="C2305" s="30" t="s">
        <v>703</v>
      </c>
      <c r="D2305" s="41" t="s">
        <v>702</v>
      </c>
      <c r="E2305" s="31">
        <f>ROUND(0.839*0.8,4)</f>
        <v>0.67120000000000002</v>
      </c>
      <c r="F2305" s="25">
        <v>18.420500000000001</v>
      </c>
      <c r="G2305" s="28">
        <f t="shared" si="40"/>
        <v>12.3638396</v>
      </c>
      <c r="H2305" s="29"/>
      <c r="I2305" s="25"/>
      <c r="J2305" s="138">
        <v>0</v>
      </c>
    </row>
    <row r="2306" spans="1:10" ht="15.75" hidden="1" thickBot="1" x14ac:dyDescent="0.3">
      <c r="A2306" s="229"/>
      <c r="B2306" s="223"/>
      <c r="C2306" s="30" t="s">
        <v>202</v>
      </c>
      <c r="D2306" s="44" t="s">
        <v>102</v>
      </c>
      <c r="E2306" s="31">
        <f>ROUND(0.108*(2*1*2.1),4)</f>
        <v>0.4536</v>
      </c>
      <c r="F2306" s="28" t="s">
        <v>521</v>
      </c>
      <c r="G2306" s="25" t="str">
        <f t="shared" si="40"/>
        <v/>
      </c>
      <c r="H2306" s="29"/>
      <c r="I2306" s="25"/>
      <c r="J2306" s="138">
        <v>0</v>
      </c>
    </row>
    <row r="2307" spans="1:10" ht="15.75" hidden="1" thickBot="1" x14ac:dyDescent="0.3">
      <c r="A2307" s="229"/>
      <c r="B2307" s="223"/>
      <c r="C2307" s="30" t="s">
        <v>100</v>
      </c>
      <c r="D2307" s="30" t="s">
        <v>12</v>
      </c>
      <c r="E2307" s="31">
        <f>ROUND(0.7076*(2*1*2.1),4)</f>
        <v>2.9719000000000002</v>
      </c>
      <c r="F2307" s="25">
        <v>25.887499999999999</v>
      </c>
      <c r="G2307" s="25">
        <f t="shared" si="40"/>
        <v>76.935061250000004</v>
      </c>
      <c r="H2307" s="29"/>
      <c r="I2307" s="25"/>
      <c r="J2307" s="138">
        <v>0</v>
      </c>
    </row>
    <row r="2308" spans="1:10" ht="15.75" hidden="1" thickBot="1" x14ac:dyDescent="0.3">
      <c r="A2308" s="229"/>
      <c r="B2308" s="223"/>
      <c r="C2308" s="30"/>
      <c r="D2308" s="30"/>
      <c r="E2308" s="31"/>
      <c r="F2308" s="25" t="s">
        <v>521</v>
      </c>
      <c r="G2308" s="25"/>
      <c r="H2308" s="29"/>
      <c r="I2308" s="25"/>
      <c r="J2308" s="138">
        <v>0</v>
      </c>
    </row>
    <row r="2309" spans="1:10" ht="39" hidden="1" thickBot="1" x14ac:dyDescent="0.3">
      <c r="A2309" s="229"/>
      <c r="B2309" s="223"/>
      <c r="C2309" s="46" t="s">
        <v>1761</v>
      </c>
      <c r="D2309" s="30"/>
      <c r="E2309" s="31"/>
      <c r="F2309" s="25" t="s">
        <v>521</v>
      </c>
      <c r="G2309" s="25"/>
      <c r="H2309" s="29"/>
      <c r="I2309" s="25"/>
      <c r="J2309" s="138">
        <v>0</v>
      </c>
    </row>
    <row r="2310" spans="1:10" ht="15.75" hidden="1" thickBot="1" x14ac:dyDescent="0.3">
      <c r="A2310" s="229"/>
      <c r="B2310" s="223"/>
      <c r="C2310" s="30"/>
      <c r="D2310" s="41"/>
      <c r="E2310" s="31"/>
      <c r="F2310" s="28" t="s">
        <v>521</v>
      </c>
      <c r="G2310" s="28" t="str">
        <f t="shared" ref="G2310:G2373" si="41">IF(ISNUMBER(F2310),E2310*F2310,"")</f>
        <v/>
      </c>
      <c r="H2310" s="29"/>
      <c r="I2310" s="25"/>
      <c r="J2310" s="138">
        <v>0</v>
      </c>
    </row>
    <row r="2311" spans="1:10" ht="15.75" hidden="1" thickBot="1" x14ac:dyDescent="0.3">
      <c r="A2311" s="228" t="s">
        <v>708</v>
      </c>
      <c r="B2311" s="222" t="e">
        <f>INDEX(Orçamentária!A:B,MATCH(Composições!A2311,Orçamentária!A:A,0),2)</f>
        <v>#N/A</v>
      </c>
      <c r="C2311" s="35"/>
      <c r="D2311" s="20" t="s">
        <v>20</v>
      </c>
      <c r="E2311" s="21"/>
      <c r="F2311" s="36" t="s">
        <v>521</v>
      </c>
      <c r="G2311" s="22" t="str">
        <f t="shared" si="41"/>
        <v/>
      </c>
      <c r="H2311" s="23"/>
      <c r="I2311" s="24"/>
      <c r="J2311" s="138">
        <v>0</v>
      </c>
    </row>
    <row r="2312" spans="1:10" ht="15.75" hidden="1" thickBot="1" x14ac:dyDescent="0.3">
      <c r="A2312" s="229"/>
      <c r="B2312" s="223"/>
      <c r="C2312" s="26"/>
      <c r="D2312" s="26"/>
      <c r="E2312" s="27"/>
      <c r="F2312" s="37" t="s">
        <v>521</v>
      </c>
      <c r="G2312" s="25" t="str">
        <f t="shared" si="41"/>
        <v/>
      </c>
      <c r="H2312" s="29"/>
      <c r="I2312" s="25"/>
      <c r="J2312" s="138">
        <v>0</v>
      </c>
    </row>
    <row r="2313" spans="1:10" ht="15.75" hidden="1" thickBot="1" x14ac:dyDescent="0.3">
      <c r="A2313" s="229"/>
      <c r="B2313" s="223"/>
      <c r="C2313" s="30" t="s">
        <v>1438</v>
      </c>
      <c r="D2313" s="41" t="s">
        <v>897</v>
      </c>
      <c r="E2313" s="31">
        <v>1.0999999999999999E-2</v>
      </c>
      <c r="F2313" s="28">
        <v>28.9085</v>
      </c>
      <c r="G2313" s="25">
        <f t="shared" si="41"/>
        <v>0.31799349999999998</v>
      </c>
      <c r="H2313" s="33">
        <f>SUM(G2313:G2316)</f>
        <v>90.575260999999998</v>
      </c>
      <c r="I2313" s="34"/>
      <c r="J2313" s="138">
        <v>0</v>
      </c>
    </row>
    <row r="2314" spans="1:10" ht="15.75" hidden="1" thickBot="1" x14ac:dyDescent="0.3">
      <c r="A2314" s="229"/>
      <c r="B2314" s="223"/>
      <c r="C2314" s="30" t="s">
        <v>98</v>
      </c>
      <c r="D2314" s="44" t="s">
        <v>897</v>
      </c>
      <c r="E2314" s="31">
        <v>2.4E-2</v>
      </c>
      <c r="F2314" s="28">
        <v>21.935499999999998</v>
      </c>
      <c r="G2314" s="25">
        <f t="shared" si="41"/>
        <v>0.52645199999999992</v>
      </c>
      <c r="H2314" s="29"/>
      <c r="I2314" s="25"/>
      <c r="J2314" s="138">
        <v>0</v>
      </c>
    </row>
    <row r="2315" spans="1:10" ht="15.75" hidden="1" thickBot="1" x14ac:dyDescent="0.3">
      <c r="A2315" s="229"/>
      <c r="B2315" s="223"/>
      <c r="C2315" s="30" t="s">
        <v>701</v>
      </c>
      <c r="D2315" s="41" t="s">
        <v>702</v>
      </c>
      <c r="E2315" s="31">
        <v>2.7410000000000001</v>
      </c>
      <c r="F2315" s="25">
        <v>23.616999999999997</v>
      </c>
      <c r="G2315" s="25">
        <f t="shared" si="41"/>
        <v>64.734196999999995</v>
      </c>
      <c r="H2315" s="29"/>
      <c r="I2315" s="25"/>
      <c r="J2315" s="138">
        <v>0</v>
      </c>
    </row>
    <row r="2316" spans="1:10" ht="15.75" hidden="1" thickBot="1" x14ac:dyDescent="0.3">
      <c r="A2316" s="229"/>
      <c r="B2316" s="223"/>
      <c r="C2316" s="30" t="s">
        <v>703</v>
      </c>
      <c r="D2316" s="41" t="s">
        <v>702</v>
      </c>
      <c r="E2316" s="31">
        <v>1.357</v>
      </c>
      <c r="F2316" s="25">
        <v>18.420500000000001</v>
      </c>
      <c r="G2316" s="25">
        <f t="shared" si="41"/>
        <v>24.9966185</v>
      </c>
      <c r="H2316" s="29"/>
      <c r="I2316" s="25"/>
      <c r="J2316" s="138">
        <v>0</v>
      </c>
    </row>
    <row r="2317" spans="1:10" ht="15.75" hidden="1" thickBot="1" x14ac:dyDescent="0.3">
      <c r="A2317" s="229"/>
      <c r="B2317" s="223"/>
      <c r="C2317" s="30"/>
      <c r="D2317" s="30"/>
      <c r="E2317" s="31"/>
      <c r="F2317" s="25" t="s">
        <v>521</v>
      </c>
      <c r="G2317" s="28" t="str">
        <f t="shared" si="41"/>
        <v/>
      </c>
      <c r="H2317" s="29"/>
      <c r="I2317" s="25"/>
      <c r="J2317" s="138">
        <v>0</v>
      </c>
    </row>
    <row r="2318" spans="1:10" ht="15.75" hidden="1" thickBot="1" x14ac:dyDescent="0.3">
      <c r="A2318" s="228" t="s">
        <v>709</v>
      </c>
      <c r="B2318" s="222" t="e">
        <f>INDEX(Orçamentária!A:B,MATCH(Composições!A2318,Orçamentária!A:A,0),2)</f>
        <v>#N/A</v>
      </c>
      <c r="C2318" s="35"/>
      <c r="D2318" s="20" t="s">
        <v>20</v>
      </c>
      <c r="E2318" s="21"/>
      <c r="F2318" s="36" t="s">
        <v>521</v>
      </c>
      <c r="G2318" s="22" t="str">
        <f t="shared" si="41"/>
        <v/>
      </c>
      <c r="H2318" s="23"/>
      <c r="I2318" s="24"/>
      <c r="J2318" s="138">
        <v>0</v>
      </c>
    </row>
    <row r="2319" spans="1:10" ht="15.75" hidden="1" thickBot="1" x14ac:dyDescent="0.3">
      <c r="A2319" s="229"/>
      <c r="B2319" s="223"/>
      <c r="C2319" s="26"/>
      <c r="D2319" s="26"/>
      <c r="E2319" s="27"/>
      <c r="F2319" s="37" t="s">
        <v>521</v>
      </c>
      <c r="G2319" s="28" t="str">
        <f t="shared" si="41"/>
        <v/>
      </c>
      <c r="H2319" s="29"/>
      <c r="I2319" s="25"/>
      <c r="J2319" s="138">
        <v>0</v>
      </c>
    </row>
    <row r="2320" spans="1:10" ht="26.25" hidden="1" thickBot="1" x14ac:dyDescent="0.3">
      <c r="A2320" s="229"/>
      <c r="B2320" s="223"/>
      <c r="C2320" s="30" t="s">
        <v>700</v>
      </c>
      <c r="D2320" s="30" t="s">
        <v>279</v>
      </c>
      <c r="E2320" s="31">
        <v>19.8</v>
      </c>
      <c r="F2320" s="25">
        <v>9.5000000000000001E-2</v>
      </c>
      <c r="G2320" s="28">
        <f t="shared" si="41"/>
        <v>1.881</v>
      </c>
      <c r="H2320" s="33">
        <f>SUM(G2320:G2323)</f>
        <v>66.127115500000002</v>
      </c>
      <c r="I2320" s="34"/>
      <c r="J2320" s="138">
        <v>0</v>
      </c>
    </row>
    <row r="2321" spans="1:10" ht="15.75" hidden="1" thickBot="1" x14ac:dyDescent="0.3">
      <c r="A2321" s="229"/>
      <c r="B2321" s="223"/>
      <c r="C2321" s="30" t="s">
        <v>701</v>
      </c>
      <c r="D2321" s="30" t="s">
        <v>702</v>
      </c>
      <c r="E2321" s="31">
        <v>1.546</v>
      </c>
      <c r="F2321" s="25">
        <v>23.616999999999997</v>
      </c>
      <c r="G2321" s="28">
        <f t="shared" si="41"/>
        <v>36.511882</v>
      </c>
      <c r="H2321" s="29"/>
      <c r="I2321" s="25"/>
      <c r="J2321" s="138">
        <v>0</v>
      </c>
    </row>
    <row r="2322" spans="1:10" ht="15.75" hidden="1" thickBot="1" x14ac:dyDescent="0.3">
      <c r="A2322" s="229"/>
      <c r="B2322" s="223"/>
      <c r="C2322" s="30" t="s">
        <v>710</v>
      </c>
      <c r="D2322" s="30" t="s">
        <v>702</v>
      </c>
      <c r="E2322" s="31">
        <v>0.221</v>
      </c>
      <c r="F2322" s="25">
        <v>24.889999999999997</v>
      </c>
      <c r="G2322" s="28">
        <f t="shared" si="41"/>
        <v>5.5006899999999996</v>
      </c>
      <c r="H2322" s="29"/>
      <c r="I2322" s="25"/>
      <c r="J2322" s="138">
        <v>0</v>
      </c>
    </row>
    <row r="2323" spans="1:10" ht="15.75" hidden="1" thickBot="1" x14ac:dyDescent="0.3">
      <c r="A2323" s="229"/>
      <c r="B2323" s="223"/>
      <c r="C2323" s="30" t="s">
        <v>703</v>
      </c>
      <c r="D2323" s="30" t="s">
        <v>702</v>
      </c>
      <c r="E2323" s="31">
        <v>1.2070000000000001</v>
      </c>
      <c r="F2323" s="25">
        <v>18.420500000000001</v>
      </c>
      <c r="G2323" s="28">
        <f t="shared" si="41"/>
        <v>22.233543500000003</v>
      </c>
      <c r="H2323" s="29"/>
      <c r="I2323" s="25"/>
      <c r="J2323" s="138">
        <v>0</v>
      </c>
    </row>
    <row r="2324" spans="1:10" ht="15.75" hidden="1" thickBot="1" x14ac:dyDescent="0.3">
      <c r="A2324" s="229"/>
      <c r="B2324" s="223"/>
      <c r="C2324" s="30"/>
      <c r="D2324" s="30"/>
      <c r="E2324" s="31"/>
      <c r="F2324" s="25" t="s">
        <v>521</v>
      </c>
      <c r="G2324" s="28" t="str">
        <f t="shared" si="41"/>
        <v/>
      </c>
      <c r="H2324" s="29"/>
      <c r="I2324" s="25"/>
      <c r="J2324" s="138">
        <v>0</v>
      </c>
    </row>
    <row r="2325" spans="1:10" ht="15.75" hidden="1" thickBot="1" x14ac:dyDescent="0.3">
      <c r="A2325" s="220" t="s">
        <v>711</v>
      </c>
      <c r="B2325" s="222" t="e">
        <f>INDEX(Orçamentária!A:B,MATCH(Composições!A2325,Orçamentária!A:A,0),2)</f>
        <v>#N/A</v>
      </c>
      <c r="C2325" s="35"/>
      <c r="D2325" s="20" t="s">
        <v>20</v>
      </c>
      <c r="E2325" s="21"/>
      <c r="F2325" s="36" t="s">
        <v>521</v>
      </c>
      <c r="G2325" s="22" t="str">
        <f t="shared" si="41"/>
        <v/>
      </c>
      <c r="H2325" s="23"/>
      <c r="I2325" s="24"/>
      <c r="J2325" s="138">
        <v>0</v>
      </c>
    </row>
    <row r="2326" spans="1:10" ht="15.75" hidden="1" thickBot="1" x14ac:dyDescent="0.3">
      <c r="A2326" s="221"/>
      <c r="B2326" s="223"/>
      <c r="C2326" s="26"/>
      <c r="D2326" s="26"/>
      <c r="E2326" s="27"/>
      <c r="F2326" s="37" t="s">
        <v>521</v>
      </c>
      <c r="G2326" s="28" t="str">
        <f t="shared" si="41"/>
        <v/>
      </c>
      <c r="H2326" s="29"/>
      <c r="I2326" s="25"/>
      <c r="J2326" s="138">
        <v>0</v>
      </c>
    </row>
    <row r="2327" spans="1:10" ht="26.25" hidden="1" thickBot="1" x14ac:dyDescent="0.3">
      <c r="A2327" s="221"/>
      <c r="B2327" s="223"/>
      <c r="C2327" s="30" t="s">
        <v>699</v>
      </c>
      <c r="D2327" s="41" t="s">
        <v>279</v>
      </c>
      <c r="E2327" s="31">
        <v>1</v>
      </c>
      <c r="F2327" s="28">
        <v>19.541499999999999</v>
      </c>
      <c r="G2327" s="28">
        <f t="shared" si="41"/>
        <v>19.541499999999999</v>
      </c>
      <c r="H2327" s="33">
        <f>SUM(G2327:G2329)</f>
        <v>49.611260999999999</v>
      </c>
      <c r="I2327" s="34"/>
      <c r="J2327" s="138">
        <v>0</v>
      </c>
    </row>
    <row r="2328" spans="1:10" ht="15.75" hidden="1" thickBot="1" x14ac:dyDescent="0.3">
      <c r="A2328" s="221"/>
      <c r="B2328" s="223"/>
      <c r="C2328" s="30" t="s">
        <v>703</v>
      </c>
      <c r="D2328" s="41" t="s">
        <v>12</v>
      </c>
      <c r="E2328" s="31">
        <v>0.45800000000000002</v>
      </c>
      <c r="F2328" s="25">
        <v>18.420500000000001</v>
      </c>
      <c r="G2328" s="28">
        <f t="shared" si="41"/>
        <v>8.4365890000000014</v>
      </c>
      <c r="H2328" s="29"/>
      <c r="I2328" s="25"/>
      <c r="J2328" s="138">
        <v>0</v>
      </c>
    </row>
    <row r="2329" spans="1:10" ht="15.75" hidden="1" thickBot="1" x14ac:dyDescent="0.3">
      <c r="A2329" s="221"/>
      <c r="B2329" s="223"/>
      <c r="C2329" s="30" t="s">
        <v>44</v>
      </c>
      <c r="D2329" s="41" t="s">
        <v>12</v>
      </c>
      <c r="E2329" s="31">
        <v>0.91600000000000004</v>
      </c>
      <c r="F2329" s="25">
        <v>23.616999999999997</v>
      </c>
      <c r="G2329" s="28">
        <f t="shared" si="41"/>
        <v>21.633171999999998</v>
      </c>
      <c r="H2329" s="29"/>
      <c r="I2329" s="25"/>
      <c r="J2329" s="138">
        <v>0</v>
      </c>
    </row>
    <row r="2330" spans="1:10" ht="15.75" hidden="1" thickBot="1" x14ac:dyDescent="0.3">
      <c r="A2330" s="227"/>
      <c r="B2330" s="224"/>
      <c r="C2330" s="30"/>
      <c r="D2330" s="30"/>
      <c r="E2330" s="31"/>
      <c r="F2330" s="25" t="s">
        <v>521</v>
      </c>
      <c r="G2330" s="28" t="str">
        <f t="shared" si="41"/>
        <v/>
      </c>
      <c r="H2330" s="29"/>
      <c r="I2330" s="25"/>
      <c r="J2330" s="138">
        <v>0</v>
      </c>
    </row>
    <row r="2331" spans="1:10" ht="15.75" hidden="1" thickBot="1" x14ac:dyDescent="0.3">
      <c r="A2331" s="220" t="s">
        <v>712</v>
      </c>
      <c r="B2331" s="222" t="e">
        <f>INDEX(Orçamentária!A:B,MATCH(Composições!A2331,Orçamentária!A:A,0),2)</f>
        <v>#N/A</v>
      </c>
      <c r="C2331" s="35"/>
      <c r="D2331" s="20" t="s">
        <v>20</v>
      </c>
      <c r="E2331" s="21"/>
      <c r="F2331" s="36" t="s">
        <v>521</v>
      </c>
      <c r="G2331" s="22" t="str">
        <f t="shared" si="41"/>
        <v/>
      </c>
      <c r="H2331" s="23"/>
      <c r="I2331" s="24"/>
      <c r="J2331" s="138">
        <v>0</v>
      </c>
    </row>
    <row r="2332" spans="1:10" ht="15.75" hidden="1" thickBot="1" x14ac:dyDescent="0.3">
      <c r="A2332" s="221"/>
      <c r="B2332" s="223"/>
      <c r="C2332" s="26"/>
      <c r="D2332" s="26"/>
      <c r="E2332" s="27"/>
      <c r="F2332" s="37" t="s">
        <v>521</v>
      </c>
      <c r="G2332" s="28" t="str">
        <f t="shared" si="41"/>
        <v/>
      </c>
      <c r="H2332" s="29"/>
      <c r="I2332" s="25"/>
      <c r="J2332" s="138">
        <v>0</v>
      </c>
    </row>
    <row r="2333" spans="1:10" ht="39" hidden="1" thickBot="1" x14ac:dyDescent="0.3">
      <c r="A2333" s="221"/>
      <c r="B2333" s="223"/>
      <c r="C2333" s="30" t="s">
        <v>713</v>
      </c>
      <c r="D2333" s="41" t="s">
        <v>144</v>
      </c>
      <c r="E2333" s="31">
        <v>1</v>
      </c>
      <c r="F2333" s="28" t="s">
        <v>521</v>
      </c>
      <c r="G2333" s="28" t="str">
        <f t="shared" si="41"/>
        <v/>
      </c>
      <c r="H2333" s="33">
        <f>SUM(G2333:G2335)</f>
        <v>25.187711</v>
      </c>
      <c r="I2333" s="34"/>
      <c r="J2333" s="138">
        <v>0</v>
      </c>
    </row>
    <row r="2334" spans="1:10" ht="15.75" hidden="1" thickBot="1" x14ac:dyDescent="0.3">
      <c r="A2334" s="221"/>
      <c r="B2334" s="223"/>
      <c r="C2334" s="30" t="s">
        <v>44</v>
      </c>
      <c r="D2334" s="41" t="s">
        <v>12</v>
      </c>
      <c r="E2334" s="31">
        <v>0.76700000000000002</v>
      </c>
      <c r="F2334" s="25">
        <v>23.616999999999997</v>
      </c>
      <c r="G2334" s="28">
        <f t="shared" si="41"/>
        <v>18.114238999999998</v>
      </c>
      <c r="H2334" s="29"/>
      <c r="I2334" s="25"/>
      <c r="J2334" s="138">
        <v>0</v>
      </c>
    </row>
    <row r="2335" spans="1:10" ht="15.75" hidden="1" thickBot="1" x14ac:dyDescent="0.3">
      <c r="A2335" s="221"/>
      <c r="B2335" s="223"/>
      <c r="C2335" s="30" t="s">
        <v>23</v>
      </c>
      <c r="D2335" s="41" t="s">
        <v>12</v>
      </c>
      <c r="E2335" s="31">
        <v>0.38400000000000001</v>
      </c>
      <c r="F2335" s="25">
        <v>18.420500000000001</v>
      </c>
      <c r="G2335" s="28">
        <f t="shared" si="41"/>
        <v>7.0734720000000006</v>
      </c>
      <c r="H2335" s="29"/>
      <c r="I2335" s="25"/>
      <c r="J2335" s="138">
        <v>0</v>
      </c>
    </row>
    <row r="2336" spans="1:10" ht="15.75" hidden="1" thickBot="1" x14ac:dyDescent="0.3">
      <c r="A2336" s="227"/>
      <c r="B2336" s="224"/>
      <c r="C2336" s="30"/>
      <c r="D2336" s="30"/>
      <c r="E2336" s="31"/>
      <c r="F2336" s="25" t="s">
        <v>521</v>
      </c>
      <c r="G2336" s="28" t="str">
        <f t="shared" si="41"/>
        <v/>
      </c>
      <c r="H2336" s="29"/>
      <c r="I2336" s="25"/>
      <c r="J2336" s="138">
        <v>0</v>
      </c>
    </row>
    <row r="2337" spans="1:10" ht="15.75" hidden="1" thickBot="1" x14ac:dyDescent="0.3">
      <c r="A2337" s="220" t="s">
        <v>714</v>
      </c>
      <c r="B2337" s="222" t="e">
        <f>INDEX(Orçamentária!A:B,MATCH(Composições!A2337,Orçamentária!A:A,0),2)</f>
        <v>#N/A</v>
      </c>
      <c r="C2337" s="35"/>
      <c r="D2337" s="20" t="s">
        <v>20</v>
      </c>
      <c r="E2337" s="21"/>
      <c r="F2337" s="36" t="s">
        <v>521</v>
      </c>
      <c r="G2337" s="22" t="str">
        <f t="shared" si="41"/>
        <v/>
      </c>
      <c r="H2337" s="23"/>
      <c r="I2337" s="24"/>
      <c r="J2337" s="138">
        <v>0</v>
      </c>
    </row>
    <row r="2338" spans="1:10" ht="15.75" hidden="1" thickBot="1" x14ac:dyDescent="0.3">
      <c r="A2338" s="221"/>
      <c r="B2338" s="223"/>
      <c r="C2338" s="26"/>
      <c r="D2338" s="26"/>
      <c r="E2338" s="27"/>
      <c r="F2338" s="37" t="s">
        <v>521</v>
      </c>
      <c r="G2338" s="28" t="str">
        <f t="shared" si="41"/>
        <v/>
      </c>
      <c r="H2338" s="29"/>
      <c r="I2338" s="25"/>
      <c r="J2338" s="138">
        <v>0</v>
      </c>
    </row>
    <row r="2339" spans="1:10" ht="39" hidden="1" thickBot="1" x14ac:dyDescent="0.3">
      <c r="A2339" s="221"/>
      <c r="B2339" s="223"/>
      <c r="C2339" s="30" t="s">
        <v>715</v>
      </c>
      <c r="D2339" s="41" t="s">
        <v>144</v>
      </c>
      <c r="E2339" s="31">
        <v>1</v>
      </c>
      <c r="F2339" s="28" t="s">
        <v>521</v>
      </c>
      <c r="G2339" s="28" t="str">
        <f t="shared" si="41"/>
        <v/>
      </c>
      <c r="H2339" s="33">
        <f>SUM(G2339:G2341)</f>
        <v>32.8929045</v>
      </c>
      <c r="I2339" s="34"/>
      <c r="J2339" s="138">
        <v>0</v>
      </c>
    </row>
    <row r="2340" spans="1:10" ht="15.75" hidden="1" thickBot="1" x14ac:dyDescent="0.3">
      <c r="A2340" s="221"/>
      <c r="B2340" s="223"/>
      <c r="C2340" s="30" t="s">
        <v>44</v>
      </c>
      <c r="D2340" s="41" t="s">
        <v>12</v>
      </c>
      <c r="E2340" s="31">
        <v>1.002</v>
      </c>
      <c r="F2340" s="25">
        <v>23.616999999999997</v>
      </c>
      <c r="G2340" s="28">
        <f t="shared" si="41"/>
        <v>23.664233999999997</v>
      </c>
      <c r="H2340" s="29"/>
      <c r="I2340" s="25"/>
      <c r="J2340" s="138">
        <v>0</v>
      </c>
    </row>
    <row r="2341" spans="1:10" ht="15.75" hidden="1" thickBot="1" x14ac:dyDescent="0.3">
      <c r="A2341" s="221"/>
      <c r="B2341" s="223"/>
      <c r="C2341" s="30" t="s">
        <v>23</v>
      </c>
      <c r="D2341" s="41" t="s">
        <v>12</v>
      </c>
      <c r="E2341" s="31">
        <v>0.501</v>
      </c>
      <c r="F2341" s="25">
        <v>18.420500000000001</v>
      </c>
      <c r="G2341" s="28">
        <f t="shared" si="41"/>
        <v>9.2286704999999998</v>
      </c>
      <c r="H2341" s="29"/>
      <c r="I2341" s="25"/>
      <c r="J2341" s="138">
        <v>0</v>
      </c>
    </row>
    <row r="2342" spans="1:10" ht="15.75" hidden="1" thickBot="1" x14ac:dyDescent="0.3">
      <c r="A2342" s="227"/>
      <c r="B2342" s="224"/>
      <c r="C2342" s="30"/>
      <c r="D2342" s="30"/>
      <c r="E2342" s="31"/>
      <c r="F2342" s="25" t="s">
        <v>521</v>
      </c>
      <c r="G2342" s="28" t="str">
        <f t="shared" si="41"/>
        <v/>
      </c>
      <c r="H2342" s="29"/>
      <c r="I2342" s="25"/>
      <c r="J2342" s="138">
        <v>0</v>
      </c>
    </row>
    <row r="2343" spans="1:10" ht="15.75" hidden="1" thickBot="1" x14ac:dyDescent="0.3">
      <c r="A2343" s="220" t="s">
        <v>716</v>
      </c>
      <c r="B2343" s="222" t="e">
        <f>INDEX(Orçamentária!A:B,MATCH(Composições!A2343,Orçamentária!A:A,0),2)</f>
        <v>#N/A</v>
      </c>
      <c r="C2343" s="35"/>
      <c r="D2343" s="20" t="s">
        <v>20</v>
      </c>
      <c r="E2343" s="21"/>
      <c r="F2343" s="36" t="s">
        <v>521</v>
      </c>
      <c r="G2343" s="22" t="str">
        <f t="shared" si="41"/>
        <v/>
      </c>
      <c r="H2343" s="23"/>
      <c r="I2343" s="24"/>
      <c r="J2343" s="138">
        <v>0</v>
      </c>
    </row>
    <row r="2344" spans="1:10" ht="15.75" hidden="1" thickBot="1" x14ac:dyDescent="0.3">
      <c r="A2344" s="221"/>
      <c r="B2344" s="223"/>
      <c r="C2344" s="26"/>
      <c r="D2344" s="26"/>
      <c r="E2344" s="27"/>
      <c r="F2344" s="37" t="s">
        <v>521</v>
      </c>
      <c r="G2344" s="28" t="str">
        <f t="shared" si="41"/>
        <v/>
      </c>
      <c r="H2344" s="29"/>
      <c r="I2344" s="25"/>
      <c r="J2344" s="138">
        <v>0</v>
      </c>
    </row>
    <row r="2345" spans="1:10" ht="39" hidden="1" thickBot="1" x14ac:dyDescent="0.3">
      <c r="A2345" s="221"/>
      <c r="B2345" s="223"/>
      <c r="C2345" s="30" t="s">
        <v>717</v>
      </c>
      <c r="D2345" s="41" t="s">
        <v>144</v>
      </c>
      <c r="E2345" s="31">
        <v>1</v>
      </c>
      <c r="F2345" s="28" t="s">
        <v>521</v>
      </c>
      <c r="G2345" s="28" t="str">
        <f t="shared" si="41"/>
        <v/>
      </c>
      <c r="H2345" s="33">
        <f>SUM(G2345:G2347)</f>
        <v>32.8929045</v>
      </c>
      <c r="I2345" s="34"/>
      <c r="J2345" s="138">
        <v>0</v>
      </c>
    </row>
    <row r="2346" spans="1:10" ht="15.75" hidden="1" thickBot="1" x14ac:dyDescent="0.3">
      <c r="A2346" s="221"/>
      <c r="B2346" s="223"/>
      <c r="C2346" s="30" t="s">
        <v>44</v>
      </c>
      <c r="D2346" s="41" t="s">
        <v>12</v>
      </c>
      <c r="E2346" s="31">
        <v>1.002</v>
      </c>
      <c r="F2346" s="25">
        <v>23.616999999999997</v>
      </c>
      <c r="G2346" s="28">
        <f t="shared" si="41"/>
        <v>23.664233999999997</v>
      </c>
      <c r="H2346" s="29"/>
      <c r="I2346" s="25"/>
      <c r="J2346" s="138">
        <v>0</v>
      </c>
    </row>
    <row r="2347" spans="1:10" ht="15.75" hidden="1" thickBot="1" x14ac:dyDescent="0.3">
      <c r="A2347" s="221"/>
      <c r="B2347" s="223"/>
      <c r="C2347" s="30" t="s">
        <v>23</v>
      </c>
      <c r="D2347" s="41" t="s">
        <v>12</v>
      </c>
      <c r="E2347" s="31">
        <v>0.501</v>
      </c>
      <c r="F2347" s="25">
        <v>18.420500000000001</v>
      </c>
      <c r="G2347" s="28">
        <f t="shared" si="41"/>
        <v>9.2286704999999998</v>
      </c>
      <c r="H2347" s="29"/>
      <c r="I2347" s="25"/>
      <c r="J2347" s="138">
        <v>0</v>
      </c>
    </row>
    <row r="2348" spans="1:10" ht="15.75" hidden="1" thickBot="1" x14ac:dyDescent="0.3">
      <c r="A2348" s="227"/>
      <c r="B2348" s="224"/>
      <c r="C2348" s="30"/>
      <c r="D2348" s="30"/>
      <c r="E2348" s="31"/>
      <c r="F2348" s="25" t="s">
        <v>521</v>
      </c>
      <c r="G2348" s="28" t="str">
        <f t="shared" si="41"/>
        <v/>
      </c>
      <c r="H2348" s="29"/>
      <c r="I2348" s="25"/>
      <c r="J2348" s="138">
        <v>0</v>
      </c>
    </row>
    <row r="2349" spans="1:10" ht="15.75" hidden="1" thickBot="1" x14ac:dyDescent="0.3">
      <c r="A2349" s="220" t="s">
        <v>718</v>
      </c>
      <c r="B2349" s="222" t="e">
        <f>INDEX(Orçamentária!A:B,MATCH(Composições!A2349,Orçamentária!A:A,0),2)</f>
        <v>#N/A</v>
      </c>
      <c r="C2349" s="35"/>
      <c r="D2349" s="20" t="s">
        <v>20</v>
      </c>
      <c r="E2349" s="21"/>
      <c r="F2349" s="36" t="s">
        <v>521</v>
      </c>
      <c r="G2349" s="22" t="str">
        <f t="shared" si="41"/>
        <v/>
      </c>
      <c r="H2349" s="23"/>
      <c r="I2349" s="24"/>
      <c r="J2349" s="138">
        <v>0</v>
      </c>
    </row>
    <row r="2350" spans="1:10" ht="15.75" hidden="1" thickBot="1" x14ac:dyDescent="0.3">
      <c r="A2350" s="221"/>
      <c r="B2350" s="223"/>
      <c r="C2350" s="26"/>
      <c r="D2350" s="26"/>
      <c r="E2350" s="27"/>
      <c r="F2350" s="37" t="s">
        <v>521</v>
      </c>
      <c r="G2350" s="28" t="str">
        <f t="shared" si="41"/>
        <v/>
      </c>
      <c r="H2350" s="29"/>
      <c r="I2350" s="25"/>
      <c r="J2350" s="138">
        <v>0</v>
      </c>
    </row>
    <row r="2351" spans="1:10" ht="15.75" hidden="1" thickBot="1" x14ac:dyDescent="0.3">
      <c r="A2351" s="221"/>
      <c r="B2351" s="223"/>
      <c r="C2351" s="30" t="s">
        <v>44</v>
      </c>
      <c r="D2351" s="30" t="s">
        <v>12</v>
      </c>
      <c r="E2351" s="31">
        <v>1.002</v>
      </c>
      <c r="F2351" s="25">
        <v>23.616999999999997</v>
      </c>
      <c r="G2351" s="28">
        <f t="shared" si="41"/>
        <v>23.664233999999997</v>
      </c>
      <c r="H2351" s="33">
        <f>SUM(G2351:G2352)</f>
        <v>32.8929045</v>
      </c>
      <c r="I2351" s="34"/>
      <c r="J2351" s="138">
        <v>0</v>
      </c>
    </row>
    <row r="2352" spans="1:10" ht="15.75" hidden="1" thickBot="1" x14ac:dyDescent="0.3">
      <c r="A2352" s="221"/>
      <c r="B2352" s="223"/>
      <c r="C2352" s="30" t="s">
        <v>23</v>
      </c>
      <c r="D2352" s="30" t="s">
        <v>12</v>
      </c>
      <c r="E2352" s="31">
        <v>0.501</v>
      </c>
      <c r="F2352" s="25">
        <v>18.420500000000001</v>
      </c>
      <c r="G2352" s="28">
        <f t="shared" si="41"/>
        <v>9.2286704999999998</v>
      </c>
      <c r="H2352" s="29"/>
      <c r="I2352" s="25"/>
      <c r="J2352" s="138">
        <v>0</v>
      </c>
    </row>
    <row r="2353" spans="1:10" ht="15.75" hidden="1" thickBot="1" x14ac:dyDescent="0.3">
      <c r="A2353" s="227"/>
      <c r="B2353" s="224"/>
      <c r="C2353" s="30"/>
      <c r="D2353" s="30"/>
      <c r="E2353" s="31"/>
      <c r="F2353" s="25" t="s">
        <v>521</v>
      </c>
      <c r="G2353" s="28" t="str">
        <f t="shared" si="41"/>
        <v/>
      </c>
      <c r="H2353" s="29"/>
      <c r="I2353" s="25"/>
      <c r="J2353" s="138">
        <v>0</v>
      </c>
    </row>
    <row r="2354" spans="1:10" ht="15.75" hidden="1" thickBot="1" x14ac:dyDescent="0.3">
      <c r="A2354" s="220" t="s">
        <v>719</v>
      </c>
      <c r="B2354" s="222" t="e">
        <f>INDEX(Orçamentária!A:B,MATCH(Composições!A2354,Orçamentária!A:A,0),2)</f>
        <v>#N/A</v>
      </c>
      <c r="C2354" s="35"/>
      <c r="D2354" s="20" t="s">
        <v>20</v>
      </c>
      <c r="E2354" s="21"/>
      <c r="F2354" s="36" t="s">
        <v>521</v>
      </c>
      <c r="G2354" s="22" t="str">
        <f t="shared" si="41"/>
        <v/>
      </c>
      <c r="H2354" s="23"/>
      <c r="I2354" s="24"/>
      <c r="J2354" s="138">
        <v>0</v>
      </c>
    </row>
    <row r="2355" spans="1:10" ht="15.75" hidden="1" thickBot="1" x14ac:dyDescent="0.3">
      <c r="A2355" s="221"/>
      <c r="B2355" s="223"/>
      <c r="C2355" s="26"/>
      <c r="D2355" s="26"/>
      <c r="E2355" s="27"/>
      <c r="F2355" s="37" t="s">
        <v>521</v>
      </c>
      <c r="G2355" s="28" t="str">
        <f t="shared" si="41"/>
        <v/>
      </c>
      <c r="H2355" s="29"/>
      <c r="I2355" s="25"/>
      <c r="J2355" s="138">
        <v>0</v>
      </c>
    </row>
    <row r="2356" spans="1:10" ht="15.75" hidden="1" thickBot="1" x14ac:dyDescent="0.3">
      <c r="A2356" s="221"/>
      <c r="B2356" s="223"/>
      <c r="C2356" s="30" t="s">
        <v>605</v>
      </c>
      <c r="D2356" s="30" t="s">
        <v>12</v>
      </c>
      <c r="E2356" s="31">
        <v>1</v>
      </c>
      <c r="F2356" s="25">
        <v>23.331999999999997</v>
      </c>
      <c r="G2356" s="28">
        <f t="shared" si="41"/>
        <v>23.331999999999997</v>
      </c>
      <c r="H2356" s="33">
        <f>SUM(G2356:G2357)</f>
        <v>23.331999999999997</v>
      </c>
      <c r="I2356" s="34"/>
      <c r="J2356" s="138">
        <v>0</v>
      </c>
    </row>
    <row r="2357" spans="1:10" ht="26.25" hidden="1" thickBot="1" x14ac:dyDescent="0.3">
      <c r="A2357" s="221"/>
      <c r="B2357" s="223"/>
      <c r="C2357" s="30" t="s">
        <v>720</v>
      </c>
      <c r="D2357" s="30" t="s">
        <v>20</v>
      </c>
      <c r="E2357" s="31">
        <v>1</v>
      </c>
      <c r="F2357" s="28" t="s">
        <v>521</v>
      </c>
      <c r="G2357" s="28" t="str">
        <f t="shared" si="41"/>
        <v/>
      </c>
      <c r="H2357" s="29"/>
      <c r="I2357" s="25"/>
      <c r="J2357" s="138">
        <v>0</v>
      </c>
    </row>
    <row r="2358" spans="1:10" ht="15.75" hidden="1" thickBot="1" x14ac:dyDescent="0.3">
      <c r="A2358" s="227"/>
      <c r="B2358" s="224"/>
      <c r="C2358" s="30"/>
      <c r="D2358" s="30"/>
      <c r="E2358" s="31"/>
      <c r="F2358" s="25" t="s">
        <v>521</v>
      </c>
      <c r="G2358" s="28" t="str">
        <f t="shared" si="41"/>
        <v/>
      </c>
      <c r="H2358" s="29"/>
      <c r="I2358" s="25"/>
      <c r="J2358" s="138">
        <v>0</v>
      </c>
    </row>
    <row r="2359" spans="1:10" ht="15.75" hidden="1" thickBot="1" x14ac:dyDescent="0.3">
      <c r="A2359" s="220" t="s">
        <v>721</v>
      </c>
      <c r="B2359" s="222" t="e">
        <f>INDEX(Orçamentária!A:B,MATCH(Composições!A2359,Orçamentária!A:A,0),2)</f>
        <v>#N/A</v>
      </c>
      <c r="C2359" s="35"/>
      <c r="D2359" s="20" t="s">
        <v>20</v>
      </c>
      <c r="E2359" s="21"/>
      <c r="F2359" s="36" t="s">
        <v>521</v>
      </c>
      <c r="G2359" s="22" t="str">
        <f t="shared" si="41"/>
        <v/>
      </c>
      <c r="H2359" s="23"/>
      <c r="I2359" s="24"/>
      <c r="J2359" s="138">
        <v>0</v>
      </c>
    </row>
    <row r="2360" spans="1:10" ht="15.75" hidden="1" thickBot="1" x14ac:dyDescent="0.3">
      <c r="A2360" s="221"/>
      <c r="B2360" s="223"/>
      <c r="C2360" s="26"/>
      <c r="D2360" s="26"/>
      <c r="E2360" s="27"/>
      <c r="F2360" s="37" t="s">
        <v>521</v>
      </c>
      <c r="G2360" s="28" t="str">
        <f t="shared" si="41"/>
        <v/>
      </c>
      <c r="H2360" s="29"/>
      <c r="I2360" s="25"/>
      <c r="J2360" s="138">
        <v>0</v>
      </c>
    </row>
    <row r="2361" spans="1:10" ht="15.75" hidden="1" thickBot="1" x14ac:dyDescent="0.3">
      <c r="A2361" s="221"/>
      <c r="B2361" s="223"/>
      <c r="C2361" s="30" t="s">
        <v>605</v>
      </c>
      <c r="D2361" s="30" t="s">
        <v>12</v>
      </c>
      <c r="E2361" s="31">
        <f>1/2</f>
        <v>0.5</v>
      </c>
      <c r="F2361" s="25">
        <v>23.331999999999997</v>
      </c>
      <c r="G2361" s="28">
        <f t="shared" si="41"/>
        <v>11.665999999999999</v>
      </c>
      <c r="H2361" s="33">
        <f>SUM(G2361:G2362)</f>
        <v>11.665999999999999</v>
      </c>
      <c r="I2361" s="34"/>
      <c r="J2361" s="138">
        <v>0</v>
      </c>
    </row>
    <row r="2362" spans="1:10" ht="39" hidden="1" thickBot="1" x14ac:dyDescent="0.3">
      <c r="A2362" s="221"/>
      <c r="B2362" s="223"/>
      <c r="C2362" s="30" t="s">
        <v>722</v>
      </c>
      <c r="D2362" s="30" t="s">
        <v>20</v>
      </c>
      <c r="E2362" s="31">
        <v>1</v>
      </c>
      <c r="F2362" s="28" t="s">
        <v>521</v>
      </c>
      <c r="G2362" s="28" t="str">
        <f t="shared" si="41"/>
        <v/>
      </c>
      <c r="H2362" s="29"/>
      <c r="I2362" s="25"/>
      <c r="J2362" s="138">
        <v>0</v>
      </c>
    </row>
    <row r="2363" spans="1:10" ht="15.75" hidden="1" thickBot="1" x14ac:dyDescent="0.3">
      <c r="A2363" s="227"/>
      <c r="B2363" s="224"/>
      <c r="C2363" s="30"/>
      <c r="D2363" s="30"/>
      <c r="E2363" s="31"/>
      <c r="F2363" s="25" t="s">
        <v>521</v>
      </c>
      <c r="G2363" s="28" t="str">
        <f t="shared" si="41"/>
        <v/>
      </c>
      <c r="H2363" s="29"/>
      <c r="I2363" s="25"/>
      <c r="J2363" s="138">
        <v>0</v>
      </c>
    </row>
    <row r="2364" spans="1:10" ht="15.75" hidden="1" thickBot="1" x14ac:dyDescent="0.3">
      <c r="A2364" s="220" t="s">
        <v>723</v>
      </c>
      <c r="B2364" s="222" t="e">
        <f>INDEX(Orçamentária!A:B,MATCH(Composições!A2364,Orçamentária!A:A,0),2)</f>
        <v>#N/A</v>
      </c>
      <c r="C2364" s="35"/>
      <c r="D2364" s="20" t="s">
        <v>93</v>
      </c>
      <c r="E2364" s="21"/>
      <c r="F2364" s="36" t="s">
        <v>521</v>
      </c>
      <c r="G2364" s="22" t="str">
        <f t="shared" si="41"/>
        <v/>
      </c>
      <c r="H2364" s="23"/>
      <c r="I2364" s="24"/>
      <c r="J2364" s="138">
        <v>0</v>
      </c>
    </row>
    <row r="2365" spans="1:10" ht="15.75" hidden="1" thickBot="1" x14ac:dyDescent="0.3">
      <c r="A2365" s="221"/>
      <c r="B2365" s="223"/>
      <c r="C2365" s="26"/>
      <c r="D2365" s="26"/>
      <c r="E2365" s="27"/>
      <c r="F2365" s="37" t="s">
        <v>521</v>
      </c>
      <c r="G2365" s="28" t="str">
        <f t="shared" si="41"/>
        <v/>
      </c>
      <c r="H2365" s="29"/>
      <c r="I2365" s="25"/>
      <c r="J2365" s="138">
        <v>0</v>
      </c>
    </row>
    <row r="2366" spans="1:10" ht="15.75" hidden="1" thickBot="1" x14ac:dyDescent="0.3">
      <c r="A2366" s="221"/>
      <c r="B2366" s="223"/>
      <c r="C2366" s="30" t="s">
        <v>74</v>
      </c>
      <c r="D2366" s="30" t="s">
        <v>12</v>
      </c>
      <c r="E2366" s="31">
        <v>2.8E-3</v>
      </c>
      <c r="F2366" s="25">
        <v>19.4085</v>
      </c>
      <c r="G2366" s="28">
        <f t="shared" si="41"/>
        <v>5.4343799999999998E-2</v>
      </c>
      <c r="H2366" s="33">
        <f>SUM(G2366:G2368)</f>
        <v>0.12475399999999999</v>
      </c>
      <c r="I2366" s="34"/>
      <c r="J2366" s="138">
        <v>0</v>
      </c>
    </row>
    <row r="2367" spans="1:10" ht="15.75" hidden="1" thickBot="1" x14ac:dyDescent="0.3">
      <c r="A2367" s="221"/>
      <c r="B2367" s="223"/>
      <c r="C2367" s="30" t="s">
        <v>30</v>
      </c>
      <c r="D2367" s="30" t="s">
        <v>12</v>
      </c>
      <c r="E2367" s="31">
        <v>2.8E-3</v>
      </c>
      <c r="F2367" s="25">
        <v>25.146499999999996</v>
      </c>
      <c r="G2367" s="28">
        <f t="shared" si="41"/>
        <v>7.0410199999999992E-2</v>
      </c>
      <c r="H2367" s="29"/>
      <c r="I2367" s="25"/>
      <c r="J2367" s="138">
        <v>0</v>
      </c>
    </row>
    <row r="2368" spans="1:10" ht="26.25" hidden="1" thickBot="1" x14ac:dyDescent="0.3">
      <c r="A2368" s="221"/>
      <c r="B2368" s="223"/>
      <c r="C2368" s="30" t="s">
        <v>724</v>
      </c>
      <c r="D2368" s="30" t="s">
        <v>93</v>
      </c>
      <c r="E2368" s="31">
        <v>1.05</v>
      </c>
      <c r="F2368" s="28" t="s">
        <v>521</v>
      </c>
      <c r="G2368" s="28" t="str">
        <f t="shared" si="41"/>
        <v/>
      </c>
      <c r="H2368" s="29"/>
      <c r="I2368" s="25"/>
      <c r="J2368" s="138">
        <v>0</v>
      </c>
    </row>
    <row r="2369" spans="1:10" ht="15.75" hidden="1" thickBot="1" x14ac:dyDescent="0.3">
      <c r="A2369" s="227"/>
      <c r="B2369" s="224"/>
      <c r="C2369" s="30"/>
      <c r="D2369" s="30"/>
      <c r="E2369" s="31"/>
      <c r="F2369" s="25" t="s">
        <v>521</v>
      </c>
      <c r="G2369" s="28" t="str">
        <f t="shared" si="41"/>
        <v/>
      </c>
      <c r="H2369" s="29"/>
      <c r="I2369" s="25"/>
      <c r="J2369" s="138">
        <v>0</v>
      </c>
    </row>
    <row r="2370" spans="1:10" ht="15.75" hidden="1" thickBot="1" x14ac:dyDescent="0.3">
      <c r="A2370" s="220" t="s">
        <v>725</v>
      </c>
      <c r="B2370" s="222" t="e">
        <f>INDEX(Orçamentária!A:B,MATCH(Composições!A2370,Orçamentária!A:A,0),2)</f>
        <v>#N/A</v>
      </c>
      <c r="C2370" s="35"/>
      <c r="D2370" s="20" t="s">
        <v>20</v>
      </c>
      <c r="E2370" s="21"/>
      <c r="F2370" s="36" t="s">
        <v>521</v>
      </c>
      <c r="G2370" s="22" t="str">
        <f t="shared" si="41"/>
        <v/>
      </c>
      <c r="H2370" s="23"/>
      <c r="I2370" s="24"/>
      <c r="J2370" s="138">
        <v>0</v>
      </c>
    </row>
    <row r="2371" spans="1:10" ht="15.75" hidden="1" thickBot="1" x14ac:dyDescent="0.3">
      <c r="A2371" s="221"/>
      <c r="B2371" s="223"/>
      <c r="C2371" s="26"/>
      <c r="D2371" s="26"/>
      <c r="E2371" s="27"/>
      <c r="F2371" s="37" t="s">
        <v>521</v>
      </c>
      <c r="G2371" s="28" t="str">
        <f t="shared" si="41"/>
        <v/>
      </c>
      <c r="H2371" s="29"/>
      <c r="I2371" s="25"/>
      <c r="J2371" s="138">
        <v>0</v>
      </c>
    </row>
    <row r="2372" spans="1:10" ht="26.25" hidden="1" thickBot="1" x14ac:dyDescent="0.3">
      <c r="A2372" s="221"/>
      <c r="B2372" s="223"/>
      <c r="C2372" s="30" t="s">
        <v>726</v>
      </c>
      <c r="D2372" s="30" t="s">
        <v>144</v>
      </c>
      <c r="E2372" s="31">
        <v>1</v>
      </c>
      <c r="F2372" s="28" t="s">
        <v>521</v>
      </c>
      <c r="G2372" s="28" t="str">
        <f t="shared" si="41"/>
        <v/>
      </c>
      <c r="H2372" s="33">
        <f>SUM(G2372:G2376)</f>
        <v>18.374482</v>
      </c>
      <c r="I2372" s="34"/>
      <c r="J2372" s="138">
        <v>0</v>
      </c>
    </row>
    <row r="2373" spans="1:10" ht="15.75" hidden="1" thickBot="1" x14ac:dyDescent="0.3">
      <c r="A2373" s="221"/>
      <c r="B2373" s="223"/>
      <c r="C2373" s="30" t="s">
        <v>727</v>
      </c>
      <c r="D2373" s="30" t="s">
        <v>144</v>
      </c>
      <c r="E2373" s="31">
        <v>1</v>
      </c>
      <c r="F2373" s="28" t="s">
        <v>521</v>
      </c>
      <c r="G2373" s="28" t="str">
        <f t="shared" si="41"/>
        <v/>
      </c>
      <c r="H2373" s="29"/>
      <c r="I2373" s="25"/>
      <c r="J2373" s="138">
        <v>0</v>
      </c>
    </row>
    <row r="2374" spans="1:10" ht="15.75" hidden="1" thickBot="1" x14ac:dyDescent="0.3">
      <c r="A2374" s="221"/>
      <c r="B2374" s="223"/>
      <c r="C2374" s="30" t="s">
        <v>728</v>
      </c>
      <c r="D2374" s="30" t="s">
        <v>144</v>
      </c>
      <c r="E2374" s="31">
        <v>1</v>
      </c>
      <c r="F2374" s="28" t="s">
        <v>521</v>
      </c>
      <c r="G2374" s="28" t="str">
        <f t="shared" ref="G2374:G2437" si="42">IF(ISNUMBER(F2374),E2374*F2374,"")</f>
        <v/>
      </c>
      <c r="H2374" s="29"/>
      <c r="I2374" s="25"/>
      <c r="J2374" s="138">
        <v>0</v>
      </c>
    </row>
    <row r="2375" spans="1:10" ht="15.75" hidden="1" thickBot="1" x14ac:dyDescent="0.3">
      <c r="A2375" s="221"/>
      <c r="B2375" s="223"/>
      <c r="C2375" s="30" t="s">
        <v>74</v>
      </c>
      <c r="D2375" s="41" t="s">
        <v>12</v>
      </c>
      <c r="E2375" s="31">
        <f>0.2062*2</f>
        <v>0.41239999999999999</v>
      </c>
      <c r="F2375" s="25">
        <v>19.4085</v>
      </c>
      <c r="G2375" s="28">
        <f t="shared" si="42"/>
        <v>8.0040654</v>
      </c>
      <c r="H2375" s="29"/>
      <c r="I2375" s="25"/>
      <c r="J2375" s="138">
        <v>0</v>
      </c>
    </row>
    <row r="2376" spans="1:10" ht="15.75" hidden="1" thickBot="1" x14ac:dyDescent="0.3">
      <c r="A2376" s="221"/>
      <c r="B2376" s="223"/>
      <c r="C2376" s="30" t="s">
        <v>30</v>
      </c>
      <c r="D2376" s="30" t="s">
        <v>12</v>
      </c>
      <c r="E2376" s="31">
        <f>0.2062*2</f>
        <v>0.41239999999999999</v>
      </c>
      <c r="F2376" s="25">
        <v>25.146499999999996</v>
      </c>
      <c r="G2376" s="28">
        <f t="shared" si="42"/>
        <v>10.370416599999999</v>
      </c>
      <c r="H2376" s="29"/>
      <c r="I2376" s="25"/>
      <c r="J2376" s="138">
        <v>0</v>
      </c>
    </row>
    <row r="2377" spans="1:10" ht="15.75" hidden="1" thickBot="1" x14ac:dyDescent="0.3">
      <c r="A2377" s="227"/>
      <c r="B2377" s="224"/>
      <c r="C2377" s="30"/>
      <c r="D2377" s="30"/>
      <c r="E2377" s="31"/>
      <c r="F2377" s="25" t="s">
        <v>521</v>
      </c>
      <c r="G2377" s="28" t="str">
        <f t="shared" si="42"/>
        <v/>
      </c>
      <c r="H2377" s="29"/>
      <c r="I2377" s="25"/>
      <c r="J2377" s="138">
        <v>0</v>
      </c>
    </row>
    <row r="2378" spans="1:10" ht="15.75" hidden="1" thickBot="1" x14ac:dyDescent="0.3">
      <c r="A2378" s="220" t="s">
        <v>729</v>
      </c>
      <c r="B2378" s="222" t="e">
        <f>INDEX(Orçamentária!A:B,MATCH(Composições!A2378,Orçamentária!A:A,0),2)</f>
        <v>#N/A</v>
      </c>
      <c r="C2378" s="35"/>
      <c r="D2378" s="20" t="s">
        <v>20</v>
      </c>
      <c r="E2378" s="21"/>
      <c r="F2378" s="36" t="s">
        <v>521</v>
      </c>
      <c r="G2378" s="22" t="str">
        <f t="shared" si="42"/>
        <v/>
      </c>
      <c r="H2378" s="23"/>
      <c r="I2378" s="24"/>
      <c r="J2378" s="138">
        <v>0</v>
      </c>
    </row>
    <row r="2379" spans="1:10" ht="15.75" hidden="1" thickBot="1" x14ac:dyDescent="0.3">
      <c r="A2379" s="221"/>
      <c r="B2379" s="223"/>
      <c r="C2379" s="26"/>
      <c r="D2379" s="26"/>
      <c r="E2379" s="27"/>
      <c r="F2379" s="37" t="s">
        <v>521</v>
      </c>
      <c r="G2379" s="28" t="str">
        <f t="shared" si="42"/>
        <v/>
      </c>
      <c r="H2379" s="29"/>
      <c r="I2379" s="25"/>
      <c r="J2379" s="138">
        <v>0</v>
      </c>
    </row>
    <row r="2380" spans="1:10" ht="15.75" hidden="1" thickBot="1" x14ac:dyDescent="0.3">
      <c r="A2380" s="221"/>
      <c r="B2380" s="223"/>
      <c r="C2380" s="30" t="s">
        <v>74</v>
      </c>
      <c r="D2380" s="41" t="s">
        <v>12</v>
      </c>
      <c r="E2380" s="31">
        <f>6.2007</f>
        <v>6.2007000000000003</v>
      </c>
      <c r="F2380" s="25">
        <v>19.4085</v>
      </c>
      <c r="G2380" s="28">
        <f t="shared" si="42"/>
        <v>120.34628595000001</v>
      </c>
      <c r="H2380" s="33">
        <f>SUM(G2380:G2383)</f>
        <v>276.27218849999997</v>
      </c>
      <c r="I2380" s="34"/>
      <c r="J2380" s="138">
        <v>0</v>
      </c>
    </row>
    <row r="2381" spans="1:10" ht="15.75" hidden="1" thickBot="1" x14ac:dyDescent="0.3">
      <c r="A2381" s="221"/>
      <c r="B2381" s="223"/>
      <c r="C2381" s="30" t="s">
        <v>30</v>
      </c>
      <c r="D2381" s="30" t="s">
        <v>12</v>
      </c>
      <c r="E2381" s="31">
        <f>6.2007</f>
        <v>6.2007000000000003</v>
      </c>
      <c r="F2381" s="25">
        <v>25.146499999999996</v>
      </c>
      <c r="G2381" s="28">
        <f t="shared" si="42"/>
        <v>155.92590254999999</v>
      </c>
      <c r="H2381" s="29"/>
      <c r="I2381" s="25"/>
      <c r="J2381" s="138">
        <v>0</v>
      </c>
    </row>
    <row r="2382" spans="1:10" ht="26.25" hidden="1" thickBot="1" x14ac:dyDescent="0.3">
      <c r="A2382" s="221"/>
      <c r="B2382" s="223"/>
      <c r="C2382" s="30" t="s">
        <v>730</v>
      </c>
      <c r="D2382" s="30" t="s">
        <v>20</v>
      </c>
      <c r="E2382" s="31">
        <v>1</v>
      </c>
      <c r="F2382" s="28" t="s">
        <v>521</v>
      </c>
      <c r="G2382" s="28" t="str">
        <f t="shared" si="42"/>
        <v/>
      </c>
      <c r="H2382" s="29"/>
      <c r="I2382" s="25"/>
      <c r="J2382" s="138">
        <v>0</v>
      </c>
    </row>
    <row r="2383" spans="1:10" ht="15.75" hidden="1" thickBot="1" x14ac:dyDescent="0.3">
      <c r="A2383" s="221"/>
      <c r="B2383" s="223"/>
      <c r="C2383" s="30" t="s">
        <v>727</v>
      </c>
      <c r="D2383" s="30" t="s">
        <v>144</v>
      </c>
      <c r="E2383" s="31">
        <v>24</v>
      </c>
      <c r="F2383" s="28" t="s">
        <v>521</v>
      </c>
      <c r="G2383" s="28" t="str">
        <f t="shared" si="42"/>
        <v/>
      </c>
      <c r="H2383" s="29"/>
      <c r="I2383" s="25"/>
      <c r="J2383" s="138">
        <v>0</v>
      </c>
    </row>
    <row r="2384" spans="1:10" ht="15.75" hidden="1" thickBot="1" x14ac:dyDescent="0.3">
      <c r="A2384" s="227"/>
      <c r="B2384" s="224"/>
      <c r="C2384" s="30"/>
      <c r="D2384" s="30"/>
      <c r="E2384" s="31"/>
      <c r="F2384" s="25" t="s">
        <v>521</v>
      </c>
      <c r="G2384" s="28" t="str">
        <f t="shared" si="42"/>
        <v/>
      </c>
      <c r="H2384" s="29"/>
      <c r="I2384" s="25"/>
      <c r="J2384" s="138">
        <v>0</v>
      </c>
    </row>
    <row r="2385" spans="1:10" ht="15.75" hidden="1" thickBot="1" x14ac:dyDescent="0.3">
      <c r="A2385" s="220" t="s">
        <v>731</v>
      </c>
      <c r="B2385" s="222" t="e">
        <f>INDEX(Orçamentária!A:B,MATCH(Composições!A2385,Orçamentária!A:A,0),2)</f>
        <v>#N/A</v>
      </c>
      <c r="C2385" s="35"/>
      <c r="D2385" s="20" t="s">
        <v>93</v>
      </c>
      <c r="E2385" s="21"/>
      <c r="F2385" s="36" t="s">
        <v>521</v>
      </c>
      <c r="G2385" s="22" t="str">
        <f t="shared" si="42"/>
        <v/>
      </c>
      <c r="H2385" s="23"/>
      <c r="I2385" s="24"/>
      <c r="J2385" s="138">
        <v>0</v>
      </c>
    </row>
    <row r="2386" spans="1:10" ht="15.75" hidden="1" thickBot="1" x14ac:dyDescent="0.3">
      <c r="A2386" s="225"/>
      <c r="B2386" s="223"/>
      <c r="C2386" s="26"/>
      <c r="D2386" s="26"/>
      <c r="E2386" s="27"/>
      <c r="F2386" s="37" t="s">
        <v>521</v>
      </c>
      <c r="G2386" s="28" t="str">
        <f t="shared" si="42"/>
        <v/>
      </c>
      <c r="H2386" s="29"/>
      <c r="I2386" s="25"/>
      <c r="J2386" s="138">
        <v>0</v>
      </c>
    </row>
    <row r="2387" spans="1:10" ht="15.75" hidden="1" thickBot="1" x14ac:dyDescent="0.3">
      <c r="A2387" s="225"/>
      <c r="B2387" s="223"/>
      <c r="C2387" s="30" t="s">
        <v>74</v>
      </c>
      <c r="D2387" s="41" t="s">
        <v>12</v>
      </c>
      <c r="E2387" s="31">
        <v>6.4100000000000004E-2</v>
      </c>
      <c r="F2387" s="25">
        <v>19.4085</v>
      </c>
      <c r="G2387" s="28">
        <f t="shared" si="42"/>
        <v>1.2440848500000001</v>
      </c>
      <c r="H2387" s="33">
        <f>SUM(G2387:G2389)</f>
        <v>4.1228005000000003</v>
      </c>
      <c r="I2387" s="34"/>
      <c r="J2387" s="138">
        <v>0</v>
      </c>
    </row>
    <row r="2388" spans="1:10" ht="15.75" hidden="1" thickBot="1" x14ac:dyDescent="0.3">
      <c r="A2388" s="225"/>
      <c r="B2388" s="223"/>
      <c r="C2388" s="30" t="s">
        <v>30</v>
      </c>
      <c r="D2388" s="30" t="s">
        <v>12</v>
      </c>
      <c r="E2388" s="31">
        <v>6.4100000000000004E-2</v>
      </c>
      <c r="F2388" s="25">
        <v>25.146499999999996</v>
      </c>
      <c r="G2388" s="28">
        <f t="shared" si="42"/>
        <v>1.6118906499999999</v>
      </c>
      <c r="H2388" s="29"/>
      <c r="I2388" s="25"/>
      <c r="J2388" s="138">
        <v>0</v>
      </c>
    </row>
    <row r="2389" spans="1:10" ht="26.25" hidden="1" thickBot="1" x14ac:dyDescent="0.3">
      <c r="A2389" s="225"/>
      <c r="B2389" s="223"/>
      <c r="C2389" s="30" t="s">
        <v>732</v>
      </c>
      <c r="D2389" s="30" t="s">
        <v>93</v>
      </c>
      <c r="E2389" s="31">
        <v>1.05</v>
      </c>
      <c r="F2389" s="28">
        <v>1.2064999999999999</v>
      </c>
      <c r="G2389" s="28">
        <f t="shared" si="42"/>
        <v>1.2668249999999999</v>
      </c>
      <c r="H2389" s="29"/>
      <c r="I2389" s="25"/>
      <c r="J2389" s="138">
        <v>0</v>
      </c>
    </row>
    <row r="2390" spans="1:10" ht="15.75" hidden="1" thickBot="1" x14ac:dyDescent="0.3">
      <c r="A2390" s="226"/>
      <c r="B2390" s="224"/>
      <c r="C2390" s="30"/>
      <c r="D2390" s="30"/>
      <c r="E2390" s="31"/>
      <c r="F2390" s="28" t="s">
        <v>521</v>
      </c>
      <c r="G2390" s="28" t="str">
        <f t="shared" si="42"/>
        <v/>
      </c>
      <c r="H2390" s="29"/>
      <c r="I2390" s="25"/>
      <c r="J2390" s="138">
        <v>0</v>
      </c>
    </row>
    <row r="2391" spans="1:10" ht="15.75" hidden="1" thickBot="1" x14ac:dyDescent="0.3">
      <c r="A2391" s="220" t="s">
        <v>733</v>
      </c>
      <c r="B2391" s="222" t="e">
        <f>INDEX(Orçamentária!A:B,MATCH(Composições!A2391,Orçamentária!A:A,0),2)</f>
        <v>#N/A</v>
      </c>
      <c r="C2391" s="35"/>
      <c r="D2391" s="20" t="s">
        <v>20</v>
      </c>
      <c r="E2391" s="21"/>
      <c r="F2391" s="36" t="s">
        <v>521</v>
      </c>
      <c r="G2391" s="22" t="str">
        <f t="shared" si="42"/>
        <v/>
      </c>
      <c r="H2391" s="23"/>
      <c r="I2391" s="24"/>
      <c r="J2391" s="138">
        <v>0</v>
      </c>
    </row>
    <row r="2392" spans="1:10" ht="15.75" hidden="1" thickBot="1" x14ac:dyDescent="0.3">
      <c r="A2392" s="221"/>
      <c r="B2392" s="223"/>
      <c r="C2392" s="26"/>
      <c r="D2392" s="26"/>
      <c r="E2392" s="27"/>
      <c r="F2392" s="37" t="s">
        <v>521</v>
      </c>
      <c r="G2392" s="28" t="str">
        <f t="shared" si="42"/>
        <v/>
      </c>
      <c r="H2392" s="29"/>
      <c r="I2392" s="25"/>
      <c r="J2392" s="138">
        <v>0</v>
      </c>
    </row>
    <row r="2393" spans="1:10" ht="26.25" hidden="1" thickBot="1" x14ac:dyDescent="0.3">
      <c r="A2393" s="221"/>
      <c r="B2393" s="223"/>
      <c r="C2393" s="30" t="s">
        <v>734</v>
      </c>
      <c r="D2393" s="30" t="s">
        <v>144</v>
      </c>
      <c r="E2393" s="31">
        <v>1</v>
      </c>
      <c r="F2393" s="28" t="s">
        <v>521</v>
      </c>
      <c r="G2393" s="28" t="str">
        <f t="shared" si="42"/>
        <v/>
      </c>
      <c r="H2393" s="33">
        <f>SUM(G2393:G2396)</f>
        <v>45.467740999999997</v>
      </c>
      <c r="I2393" s="34"/>
      <c r="J2393" s="138">
        <v>0</v>
      </c>
    </row>
    <row r="2394" spans="1:10" ht="15.75" hidden="1" thickBot="1" x14ac:dyDescent="0.3">
      <c r="A2394" s="221"/>
      <c r="B2394" s="223"/>
      <c r="C2394" s="30" t="s">
        <v>735</v>
      </c>
      <c r="D2394" s="30" t="s">
        <v>279</v>
      </c>
      <c r="E2394" s="31">
        <v>1</v>
      </c>
      <c r="F2394" s="28">
        <v>36.280499999999996</v>
      </c>
      <c r="G2394" s="28">
        <f t="shared" si="42"/>
        <v>36.280499999999996</v>
      </c>
      <c r="H2394" s="29"/>
      <c r="I2394" s="25"/>
      <c r="J2394" s="138">
        <v>0</v>
      </c>
    </row>
    <row r="2395" spans="1:10" ht="15.75" hidden="1" thickBot="1" x14ac:dyDescent="0.3">
      <c r="A2395" s="221"/>
      <c r="B2395" s="223"/>
      <c r="C2395" s="30" t="s">
        <v>74</v>
      </c>
      <c r="D2395" s="41" t="s">
        <v>12</v>
      </c>
      <c r="E2395" s="31">
        <v>0.20619999999999999</v>
      </c>
      <c r="F2395" s="25">
        <v>19.4085</v>
      </c>
      <c r="G2395" s="28">
        <f t="shared" si="42"/>
        <v>4.0020327</v>
      </c>
      <c r="H2395" s="29"/>
      <c r="I2395" s="25"/>
      <c r="J2395" s="138">
        <v>0</v>
      </c>
    </row>
    <row r="2396" spans="1:10" ht="15.75" hidden="1" thickBot="1" x14ac:dyDescent="0.3">
      <c r="A2396" s="221"/>
      <c r="B2396" s="223"/>
      <c r="C2396" s="30" t="s">
        <v>30</v>
      </c>
      <c r="D2396" s="30" t="s">
        <v>12</v>
      </c>
      <c r="E2396" s="31">
        <v>0.20619999999999999</v>
      </c>
      <c r="F2396" s="25">
        <v>25.146499999999996</v>
      </c>
      <c r="G2396" s="28">
        <f t="shared" si="42"/>
        <v>5.1852082999999993</v>
      </c>
      <c r="H2396" s="29"/>
      <c r="I2396" s="25"/>
      <c r="J2396" s="138">
        <v>0</v>
      </c>
    </row>
    <row r="2397" spans="1:10" ht="15.75" hidden="1" thickBot="1" x14ac:dyDescent="0.3">
      <c r="A2397" s="227"/>
      <c r="B2397" s="224"/>
      <c r="C2397" s="30"/>
      <c r="D2397" s="30"/>
      <c r="E2397" s="31"/>
      <c r="F2397" s="25" t="s">
        <v>521</v>
      </c>
      <c r="G2397" s="28" t="str">
        <f t="shared" si="42"/>
        <v/>
      </c>
      <c r="H2397" s="29"/>
      <c r="I2397" s="25"/>
      <c r="J2397" s="138">
        <v>0</v>
      </c>
    </row>
    <row r="2398" spans="1:10" ht="15.75" hidden="1" thickBot="1" x14ac:dyDescent="0.3">
      <c r="A2398" s="220" t="s">
        <v>736</v>
      </c>
      <c r="B2398" s="222" t="e">
        <f>INDEX(Orçamentária!A:B,MATCH(Composições!A2398,Orçamentária!A:A,0),2)</f>
        <v>#N/A</v>
      </c>
      <c r="C2398" s="35"/>
      <c r="D2398" s="20" t="s">
        <v>20</v>
      </c>
      <c r="E2398" s="21"/>
      <c r="F2398" s="36" t="s">
        <v>521</v>
      </c>
      <c r="G2398" s="22" t="str">
        <f t="shared" si="42"/>
        <v/>
      </c>
      <c r="H2398" s="23"/>
      <c r="I2398" s="24"/>
      <c r="J2398" s="138">
        <v>0</v>
      </c>
    </row>
    <row r="2399" spans="1:10" ht="15.75" hidden="1" thickBot="1" x14ac:dyDescent="0.3">
      <c r="A2399" s="221"/>
      <c r="B2399" s="223"/>
      <c r="C2399" s="26"/>
      <c r="D2399" s="26"/>
      <c r="E2399" s="27"/>
      <c r="F2399" s="37" t="s">
        <v>521</v>
      </c>
      <c r="G2399" s="28" t="str">
        <f t="shared" si="42"/>
        <v/>
      </c>
      <c r="H2399" s="29"/>
      <c r="I2399" s="25"/>
      <c r="J2399" s="138">
        <v>0</v>
      </c>
    </row>
    <row r="2400" spans="1:10" ht="15.75" hidden="1" thickBot="1" x14ac:dyDescent="0.3">
      <c r="A2400" s="221"/>
      <c r="B2400" s="223"/>
      <c r="C2400" s="30" t="s">
        <v>52</v>
      </c>
      <c r="D2400" s="41" t="s">
        <v>12</v>
      </c>
      <c r="E2400" s="31">
        <v>3.5</v>
      </c>
      <c r="F2400" s="25">
        <v>21.184999999999999</v>
      </c>
      <c r="G2400" s="28">
        <f t="shared" si="42"/>
        <v>74.147499999999994</v>
      </c>
      <c r="H2400" s="33">
        <f>SUM(G2400:G2402)</f>
        <v>166.61574999999999</v>
      </c>
      <c r="I2400" s="34"/>
      <c r="J2400" s="138">
        <v>0</v>
      </c>
    </row>
    <row r="2401" spans="1:10" ht="26.25" hidden="1" thickBot="1" x14ac:dyDescent="0.3">
      <c r="A2401" s="221"/>
      <c r="B2401" s="223"/>
      <c r="C2401" s="30" t="s">
        <v>568</v>
      </c>
      <c r="D2401" s="41" t="s">
        <v>12</v>
      </c>
      <c r="E2401" s="31">
        <v>3.5</v>
      </c>
      <c r="F2401" s="25">
        <v>26.419499999999999</v>
      </c>
      <c r="G2401" s="28">
        <f t="shared" si="42"/>
        <v>92.468249999999998</v>
      </c>
      <c r="H2401" s="29"/>
      <c r="I2401" s="25"/>
      <c r="J2401" s="138">
        <v>0</v>
      </c>
    </row>
    <row r="2402" spans="1:10" ht="26.25" hidden="1" thickBot="1" x14ac:dyDescent="0.3">
      <c r="A2402" s="221"/>
      <c r="B2402" s="223"/>
      <c r="C2402" s="30" t="s">
        <v>737</v>
      </c>
      <c r="D2402" s="30" t="s">
        <v>144</v>
      </c>
      <c r="E2402" s="31">
        <v>1</v>
      </c>
      <c r="F2402" s="28" t="s">
        <v>521</v>
      </c>
      <c r="G2402" s="28" t="str">
        <f t="shared" si="42"/>
        <v/>
      </c>
      <c r="H2402" s="29"/>
      <c r="I2402" s="25"/>
      <c r="J2402" s="138">
        <v>0</v>
      </c>
    </row>
    <row r="2403" spans="1:10" ht="15.75" hidden="1" thickBot="1" x14ac:dyDescent="0.3">
      <c r="A2403" s="227"/>
      <c r="B2403" s="224"/>
      <c r="C2403" s="30"/>
      <c r="D2403" s="30"/>
      <c r="E2403" s="31"/>
      <c r="F2403" s="25" t="s">
        <v>521</v>
      </c>
      <c r="G2403" s="28" t="str">
        <f t="shared" si="42"/>
        <v/>
      </c>
      <c r="H2403" s="29"/>
      <c r="I2403" s="25"/>
      <c r="J2403" s="138">
        <v>0</v>
      </c>
    </row>
    <row r="2404" spans="1:10" ht="15.75" hidden="1" thickBot="1" x14ac:dyDescent="0.3">
      <c r="A2404" s="220" t="s">
        <v>1458</v>
      </c>
      <c r="B2404" s="222" t="e">
        <f>INDEX(Orçamentária!A:B,MATCH(Composições!A2404,Orçamentária!A:A,0),2)</f>
        <v>#N/A</v>
      </c>
      <c r="C2404" s="35"/>
      <c r="D2404" s="20" t="s">
        <v>20</v>
      </c>
      <c r="E2404" s="21"/>
      <c r="F2404" s="36" t="s">
        <v>521</v>
      </c>
      <c r="G2404" s="22" t="str">
        <f t="shared" si="42"/>
        <v/>
      </c>
      <c r="H2404" s="23"/>
      <c r="I2404" s="24"/>
      <c r="J2404" s="138">
        <v>0</v>
      </c>
    </row>
    <row r="2405" spans="1:10" ht="15.75" hidden="1" thickBot="1" x14ac:dyDescent="0.3">
      <c r="A2405" s="221"/>
      <c r="B2405" s="223"/>
      <c r="C2405" s="26"/>
      <c r="D2405" s="26"/>
      <c r="E2405" s="27"/>
      <c r="F2405" s="37" t="s">
        <v>521</v>
      </c>
      <c r="G2405" s="28" t="str">
        <f t="shared" si="42"/>
        <v/>
      </c>
      <c r="H2405" s="29"/>
      <c r="I2405" s="25"/>
      <c r="J2405" s="138">
        <v>0</v>
      </c>
    </row>
    <row r="2406" spans="1:10" ht="26.25" hidden="1" thickBot="1" x14ac:dyDescent="0.3">
      <c r="A2406" s="221"/>
      <c r="B2406" s="223"/>
      <c r="C2406" s="30" t="s">
        <v>2274</v>
      </c>
      <c r="D2406" s="30" t="s">
        <v>279</v>
      </c>
      <c r="E2406" s="31">
        <v>1</v>
      </c>
      <c r="F2406" s="25">
        <v>16.9955</v>
      </c>
      <c r="G2406" s="28">
        <f t="shared" si="42"/>
        <v>16.9955</v>
      </c>
      <c r="H2406" s="33">
        <f>SUM(G2406:G2406)</f>
        <v>16.9955</v>
      </c>
      <c r="I2406" s="34"/>
      <c r="J2406" s="138">
        <v>0</v>
      </c>
    </row>
    <row r="2407" spans="1:10" ht="15.75" hidden="1" thickBot="1" x14ac:dyDescent="0.3">
      <c r="A2407" s="227"/>
      <c r="B2407" s="224"/>
      <c r="C2407" s="30"/>
      <c r="D2407" s="30"/>
      <c r="E2407" s="31"/>
      <c r="F2407" s="25" t="s">
        <v>521</v>
      </c>
      <c r="G2407" s="28" t="str">
        <f t="shared" si="42"/>
        <v/>
      </c>
      <c r="H2407" s="29"/>
      <c r="I2407" s="25"/>
      <c r="J2407" s="138">
        <v>0</v>
      </c>
    </row>
    <row r="2408" spans="1:10" ht="15.75" hidden="1" thickBot="1" x14ac:dyDescent="0.3">
      <c r="A2408" s="220" t="s">
        <v>1459</v>
      </c>
      <c r="B2408" s="222" t="e">
        <f>INDEX(Orçamentária!A:B,MATCH(Composições!A2408,Orçamentária!A:A,0),2)</f>
        <v>#N/A</v>
      </c>
      <c r="C2408" s="35"/>
      <c r="D2408" s="20" t="s">
        <v>20</v>
      </c>
      <c r="E2408" s="21"/>
      <c r="F2408" s="36" t="s">
        <v>521</v>
      </c>
      <c r="G2408" s="22" t="str">
        <f t="shared" si="42"/>
        <v/>
      </c>
      <c r="H2408" s="23"/>
      <c r="I2408" s="24"/>
      <c r="J2408" s="138">
        <v>0</v>
      </c>
    </row>
    <row r="2409" spans="1:10" ht="15.75" hidden="1" thickBot="1" x14ac:dyDescent="0.3">
      <c r="A2409" s="221"/>
      <c r="B2409" s="223"/>
      <c r="C2409" s="26"/>
      <c r="D2409" s="26"/>
      <c r="E2409" s="27"/>
      <c r="F2409" s="37" t="s">
        <v>521</v>
      </c>
      <c r="G2409" s="28" t="str">
        <f t="shared" si="42"/>
        <v/>
      </c>
      <c r="H2409" s="29"/>
      <c r="I2409" s="25"/>
      <c r="J2409" s="138">
        <v>0</v>
      </c>
    </row>
    <row r="2410" spans="1:10" ht="51.75" hidden="1" thickBot="1" x14ac:dyDescent="0.3">
      <c r="A2410" s="221"/>
      <c r="B2410" s="223"/>
      <c r="C2410" s="30" t="s">
        <v>1940</v>
      </c>
      <c r="D2410" s="41" t="s">
        <v>739</v>
      </c>
      <c r="E2410" s="31">
        <v>1</v>
      </c>
      <c r="F2410" s="25">
        <v>58.909499999999994</v>
      </c>
      <c r="G2410" s="28">
        <f t="shared" si="42"/>
        <v>58.909499999999994</v>
      </c>
      <c r="H2410" s="33">
        <f>SUM(G2410:G2410)</f>
        <v>58.909499999999994</v>
      </c>
      <c r="I2410" s="34"/>
      <c r="J2410" s="138">
        <v>0</v>
      </c>
    </row>
    <row r="2411" spans="1:10" ht="15.75" hidden="1" thickBot="1" x14ac:dyDescent="0.3">
      <c r="A2411" s="227"/>
      <c r="B2411" s="224"/>
      <c r="C2411" s="30"/>
      <c r="D2411" s="30"/>
      <c r="E2411" s="31"/>
      <c r="F2411" s="25" t="s">
        <v>521</v>
      </c>
      <c r="G2411" s="28" t="str">
        <f t="shared" si="42"/>
        <v/>
      </c>
      <c r="H2411" s="29"/>
      <c r="I2411" s="25"/>
      <c r="J2411" s="138">
        <v>0</v>
      </c>
    </row>
    <row r="2412" spans="1:10" ht="15.75" hidden="1" thickBot="1" x14ac:dyDescent="0.3">
      <c r="A2412" s="220" t="s">
        <v>738</v>
      </c>
      <c r="B2412" s="222" t="e">
        <f>INDEX(Orçamentária!A:B,MATCH(Composições!A2412,Orçamentária!A:A,0),2)</f>
        <v>#N/A</v>
      </c>
      <c r="C2412" s="35"/>
      <c r="D2412" s="20" t="s">
        <v>20</v>
      </c>
      <c r="E2412" s="21"/>
      <c r="F2412" s="36" t="s">
        <v>521</v>
      </c>
      <c r="G2412" s="22" t="str">
        <f t="shared" si="42"/>
        <v/>
      </c>
      <c r="H2412" s="23"/>
      <c r="I2412" s="24"/>
      <c r="J2412" s="138">
        <v>0</v>
      </c>
    </row>
    <row r="2413" spans="1:10" ht="15.75" hidden="1" thickBot="1" x14ac:dyDescent="0.3">
      <c r="A2413" s="221"/>
      <c r="B2413" s="223"/>
      <c r="C2413" s="26"/>
      <c r="D2413" s="26"/>
      <c r="E2413" s="27"/>
      <c r="F2413" s="37" t="s">
        <v>521</v>
      </c>
      <c r="G2413" s="28" t="str">
        <f t="shared" si="42"/>
        <v/>
      </c>
      <c r="H2413" s="29"/>
      <c r="I2413" s="25"/>
      <c r="J2413" s="138">
        <v>0</v>
      </c>
    </row>
    <row r="2414" spans="1:10" ht="51.75" hidden="1" thickBot="1" x14ac:dyDescent="0.3">
      <c r="A2414" s="221"/>
      <c r="B2414" s="223"/>
      <c r="C2414" s="30" t="s">
        <v>1941</v>
      </c>
      <c r="D2414" s="41" t="s">
        <v>739</v>
      </c>
      <c r="E2414" s="31">
        <v>1</v>
      </c>
      <c r="F2414" s="25">
        <v>76.560500000000005</v>
      </c>
      <c r="G2414" s="28">
        <f t="shared" si="42"/>
        <v>76.560500000000005</v>
      </c>
      <c r="H2414" s="33">
        <f>SUM(G2414:G2414)</f>
        <v>76.560500000000005</v>
      </c>
      <c r="I2414" s="34"/>
      <c r="J2414" s="138">
        <v>0</v>
      </c>
    </row>
    <row r="2415" spans="1:10" ht="15.75" hidden="1" thickBot="1" x14ac:dyDescent="0.3">
      <c r="A2415" s="227"/>
      <c r="B2415" s="224"/>
      <c r="C2415" s="30"/>
      <c r="D2415" s="30"/>
      <c r="E2415" s="31"/>
      <c r="F2415" s="25" t="s">
        <v>521</v>
      </c>
      <c r="G2415" s="28" t="str">
        <f t="shared" si="42"/>
        <v/>
      </c>
      <c r="H2415" s="29"/>
      <c r="I2415" s="25"/>
      <c r="J2415" s="138">
        <v>0</v>
      </c>
    </row>
    <row r="2416" spans="1:10" ht="15.75" hidden="1" thickBot="1" x14ac:dyDescent="0.3">
      <c r="A2416" s="220" t="s">
        <v>1460</v>
      </c>
      <c r="B2416" s="222" t="e">
        <f>INDEX(Orçamentária!A:B,MATCH(Composições!A2416,Orçamentária!A:A,0),2)</f>
        <v>#N/A</v>
      </c>
      <c r="C2416" s="35"/>
      <c r="D2416" s="20" t="s">
        <v>20</v>
      </c>
      <c r="E2416" s="21"/>
      <c r="F2416" s="36" t="s">
        <v>521</v>
      </c>
      <c r="G2416" s="22" t="str">
        <f t="shared" si="42"/>
        <v/>
      </c>
      <c r="H2416" s="23"/>
      <c r="I2416" s="24"/>
      <c r="J2416" s="138">
        <v>0</v>
      </c>
    </row>
    <row r="2417" spans="1:10" ht="15.75" hidden="1" thickBot="1" x14ac:dyDescent="0.3">
      <c r="A2417" s="221"/>
      <c r="B2417" s="223"/>
      <c r="C2417" s="26"/>
      <c r="D2417" s="26"/>
      <c r="E2417" s="27"/>
      <c r="F2417" s="37" t="s">
        <v>521</v>
      </c>
      <c r="G2417" s="28" t="str">
        <f t="shared" si="42"/>
        <v/>
      </c>
      <c r="H2417" s="29"/>
      <c r="I2417" s="25"/>
      <c r="J2417" s="138">
        <v>0</v>
      </c>
    </row>
    <row r="2418" spans="1:10" ht="51.75" hidden="1" thickBot="1" x14ac:dyDescent="0.3">
      <c r="A2418" s="221"/>
      <c r="B2418" s="223"/>
      <c r="C2418" s="30" t="s">
        <v>1939</v>
      </c>
      <c r="D2418" s="41" t="s">
        <v>739</v>
      </c>
      <c r="E2418" s="31">
        <v>1</v>
      </c>
      <c r="F2418" s="25">
        <v>46.321999999999996</v>
      </c>
      <c r="G2418" s="28">
        <f t="shared" si="42"/>
        <v>46.321999999999996</v>
      </c>
      <c r="H2418" s="33">
        <f>SUM(G2418:G2418)</f>
        <v>46.321999999999996</v>
      </c>
      <c r="I2418" s="34"/>
      <c r="J2418" s="138">
        <v>0</v>
      </c>
    </row>
    <row r="2419" spans="1:10" ht="15.75" hidden="1" thickBot="1" x14ac:dyDescent="0.3">
      <c r="A2419" s="227"/>
      <c r="B2419" s="224"/>
      <c r="C2419" s="30"/>
      <c r="D2419" s="30"/>
      <c r="E2419" s="31"/>
      <c r="F2419" s="25" t="s">
        <v>521</v>
      </c>
      <c r="G2419" s="28" t="str">
        <f t="shared" si="42"/>
        <v/>
      </c>
      <c r="H2419" s="29"/>
      <c r="I2419" s="25"/>
      <c r="J2419" s="138">
        <v>0</v>
      </c>
    </row>
    <row r="2420" spans="1:10" ht="15.75" hidden="1" thickBot="1" x14ac:dyDescent="0.3">
      <c r="A2420" s="220" t="s">
        <v>1461</v>
      </c>
      <c r="B2420" s="222" t="e">
        <f>INDEX(Orçamentária!A:B,MATCH(Composições!A2420,Orçamentária!A:A,0),2)</f>
        <v>#N/A</v>
      </c>
      <c r="C2420" s="35"/>
      <c r="D2420" s="20" t="s">
        <v>20</v>
      </c>
      <c r="E2420" s="21"/>
      <c r="F2420" s="36" t="s">
        <v>521</v>
      </c>
      <c r="G2420" s="22" t="str">
        <f t="shared" si="42"/>
        <v/>
      </c>
      <c r="H2420" s="23"/>
      <c r="I2420" s="24"/>
      <c r="J2420" s="138">
        <v>0</v>
      </c>
    </row>
    <row r="2421" spans="1:10" ht="15.75" hidden="1" thickBot="1" x14ac:dyDescent="0.3">
      <c r="A2421" s="221"/>
      <c r="B2421" s="223"/>
      <c r="C2421" s="26"/>
      <c r="D2421" s="26"/>
      <c r="E2421" s="27"/>
      <c r="F2421" s="37" t="s">
        <v>521</v>
      </c>
      <c r="G2421" s="28" t="str">
        <f t="shared" si="42"/>
        <v/>
      </c>
      <c r="H2421" s="29"/>
      <c r="I2421" s="25"/>
      <c r="J2421" s="138">
        <v>0</v>
      </c>
    </row>
    <row r="2422" spans="1:10" ht="26.25" hidden="1" thickBot="1" x14ac:dyDescent="0.3">
      <c r="A2422" s="221"/>
      <c r="B2422" s="223"/>
      <c r="C2422" s="30" t="s">
        <v>1952</v>
      </c>
      <c r="D2422" s="30" t="s">
        <v>279</v>
      </c>
      <c r="E2422" s="31">
        <v>1</v>
      </c>
      <c r="F2422" s="25">
        <v>41.106500000000004</v>
      </c>
      <c r="G2422" s="28">
        <f t="shared" si="42"/>
        <v>41.106500000000004</v>
      </c>
      <c r="H2422" s="33">
        <f>SUM(G2422:G2422)</f>
        <v>41.106500000000004</v>
      </c>
      <c r="I2422" s="34"/>
      <c r="J2422" s="138">
        <v>0</v>
      </c>
    </row>
    <row r="2423" spans="1:10" ht="15.75" hidden="1" thickBot="1" x14ac:dyDescent="0.3">
      <c r="A2423" s="227"/>
      <c r="B2423" s="224"/>
      <c r="C2423" s="30"/>
      <c r="D2423" s="30"/>
      <c r="E2423" s="31"/>
      <c r="F2423" s="25" t="s">
        <v>521</v>
      </c>
      <c r="G2423" s="28" t="str">
        <f t="shared" si="42"/>
        <v/>
      </c>
      <c r="H2423" s="29"/>
      <c r="I2423" s="25"/>
      <c r="J2423" s="138">
        <v>0</v>
      </c>
    </row>
    <row r="2424" spans="1:10" ht="15.75" hidden="1" thickBot="1" x14ac:dyDescent="0.3">
      <c r="A2424" s="220" t="s">
        <v>1462</v>
      </c>
      <c r="B2424" s="222" t="e">
        <f>INDEX(Orçamentária!A:B,MATCH(Composições!A2424,Orçamentária!A:A,0),2)</f>
        <v>#N/A</v>
      </c>
      <c r="C2424" s="35"/>
      <c r="D2424" s="20" t="s">
        <v>20</v>
      </c>
      <c r="E2424" s="21"/>
      <c r="F2424" s="36" t="s">
        <v>521</v>
      </c>
      <c r="G2424" s="22" t="str">
        <f t="shared" si="42"/>
        <v/>
      </c>
      <c r="H2424" s="23"/>
      <c r="I2424" s="24"/>
      <c r="J2424" s="138">
        <v>0</v>
      </c>
    </row>
    <row r="2425" spans="1:10" ht="15.75" hidden="1" thickBot="1" x14ac:dyDescent="0.3">
      <c r="A2425" s="221"/>
      <c r="B2425" s="223"/>
      <c r="C2425" s="26"/>
      <c r="D2425" s="26"/>
      <c r="E2425" s="27"/>
      <c r="F2425" s="37" t="s">
        <v>521</v>
      </c>
      <c r="G2425" s="28" t="str">
        <f t="shared" si="42"/>
        <v/>
      </c>
      <c r="H2425" s="29"/>
      <c r="I2425" s="25"/>
      <c r="J2425" s="138">
        <v>0</v>
      </c>
    </row>
    <row r="2426" spans="1:10" ht="39" hidden="1" thickBot="1" x14ac:dyDescent="0.3">
      <c r="A2426" s="221"/>
      <c r="B2426" s="223"/>
      <c r="C2426" s="30" t="s">
        <v>1937</v>
      </c>
      <c r="D2426" s="30" t="s">
        <v>279</v>
      </c>
      <c r="E2426" s="31">
        <v>1</v>
      </c>
      <c r="F2426" s="25">
        <v>11.637499999999999</v>
      </c>
      <c r="G2426" s="28">
        <f t="shared" si="42"/>
        <v>11.637499999999999</v>
      </c>
      <c r="H2426" s="33">
        <f>SUM(G2426:G2426)</f>
        <v>11.637499999999999</v>
      </c>
      <c r="I2426" s="34"/>
      <c r="J2426" s="138">
        <v>0</v>
      </c>
    </row>
    <row r="2427" spans="1:10" ht="39" hidden="1" thickBot="1" x14ac:dyDescent="0.3">
      <c r="A2427" s="227"/>
      <c r="B2427" s="224"/>
      <c r="C2427" s="30" t="s">
        <v>1938</v>
      </c>
      <c r="D2427" s="30"/>
      <c r="E2427" s="31"/>
      <c r="F2427" s="25" t="s">
        <v>521</v>
      </c>
      <c r="G2427" s="28" t="str">
        <f t="shared" si="42"/>
        <v/>
      </c>
      <c r="H2427" s="29"/>
      <c r="I2427" s="25"/>
      <c r="J2427" s="138">
        <v>0</v>
      </c>
    </row>
    <row r="2428" spans="1:10" ht="15.75" hidden="1" thickBot="1" x14ac:dyDescent="0.3">
      <c r="A2428" s="220" t="s">
        <v>1463</v>
      </c>
      <c r="B2428" s="222" t="e">
        <f>INDEX(Orçamentária!A:B,MATCH(Composições!A2428,Orçamentária!A:A,0),2)</f>
        <v>#N/A</v>
      </c>
      <c r="C2428" s="35"/>
      <c r="D2428" s="20" t="s">
        <v>20</v>
      </c>
      <c r="E2428" s="21"/>
      <c r="F2428" s="36" t="s">
        <v>521</v>
      </c>
      <c r="G2428" s="22" t="str">
        <f t="shared" si="42"/>
        <v/>
      </c>
      <c r="H2428" s="23"/>
      <c r="I2428" s="24"/>
      <c r="J2428" s="138">
        <v>0</v>
      </c>
    </row>
    <row r="2429" spans="1:10" ht="15.75" hidden="1" thickBot="1" x14ac:dyDescent="0.3">
      <c r="A2429" s="221"/>
      <c r="B2429" s="223"/>
      <c r="C2429" s="26"/>
      <c r="D2429" s="26"/>
      <c r="E2429" s="27"/>
      <c r="F2429" s="37" t="s">
        <v>521</v>
      </c>
      <c r="G2429" s="28" t="str">
        <f t="shared" si="42"/>
        <v/>
      </c>
      <c r="H2429" s="29"/>
      <c r="I2429" s="25"/>
      <c r="J2429" s="138">
        <v>0</v>
      </c>
    </row>
    <row r="2430" spans="1:10" ht="51.75" hidden="1" thickBot="1" x14ac:dyDescent="0.3">
      <c r="A2430" s="221"/>
      <c r="B2430" s="223"/>
      <c r="C2430" s="30" t="s">
        <v>1936</v>
      </c>
      <c r="D2430" s="30" t="s">
        <v>279</v>
      </c>
      <c r="E2430" s="31">
        <v>1</v>
      </c>
      <c r="F2430" s="25">
        <v>11.628</v>
      </c>
      <c r="G2430" s="28">
        <f t="shared" si="42"/>
        <v>11.628</v>
      </c>
      <c r="H2430" s="33">
        <f>SUM(G2430:G2430)</f>
        <v>11.628</v>
      </c>
      <c r="I2430" s="34"/>
      <c r="J2430" s="138">
        <v>0</v>
      </c>
    </row>
    <row r="2431" spans="1:10" ht="15.75" hidden="1" thickBot="1" x14ac:dyDescent="0.3">
      <c r="A2431" s="227"/>
      <c r="B2431" s="224"/>
      <c r="C2431" s="30"/>
      <c r="D2431" s="30"/>
      <c r="E2431" s="31"/>
      <c r="F2431" s="25" t="s">
        <v>521</v>
      </c>
      <c r="G2431" s="28" t="str">
        <f t="shared" si="42"/>
        <v/>
      </c>
      <c r="H2431" s="29"/>
      <c r="I2431" s="25"/>
      <c r="J2431" s="138">
        <v>0</v>
      </c>
    </row>
    <row r="2432" spans="1:10" ht="15.75" hidden="1" thickBot="1" x14ac:dyDescent="0.3">
      <c r="A2432" s="220" t="s">
        <v>1464</v>
      </c>
      <c r="B2432" s="222" t="e">
        <f>INDEX(Orçamentária!A:B,MATCH(Composições!A2432,Orçamentária!A:A,0),2)</f>
        <v>#N/A</v>
      </c>
      <c r="C2432" s="35"/>
      <c r="D2432" s="20" t="s">
        <v>20</v>
      </c>
      <c r="E2432" s="21"/>
      <c r="F2432" s="36" t="s">
        <v>521</v>
      </c>
      <c r="G2432" s="22" t="str">
        <f t="shared" si="42"/>
        <v/>
      </c>
      <c r="H2432" s="23"/>
      <c r="I2432" s="24"/>
      <c r="J2432" s="138">
        <v>0</v>
      </c>
    </row>
    <row r="2433" spans="1:10" ht="15.75" hidden="1" thickBot="1" x14ac:dyDescent="0.3">
      <c r="A2433" s="221"/>
      <c r="B2433" s="223"/>
      <c r="C2433" s="26"/>
      <c r="D2433" s="26"/>
      <c r="E2433" s="27"/>
      <c r="F2433" s="37" t="s">
        <v>521</v>
      </c>
      <c r="G2433" s="28" t="str">
        <f t="shared" si="42"/>
        <v/>
      </c>
      <c r="H2433" s="29"/>
      <c r="I2433" s="25"/>
      <c r="J2433" s="138">
        <v>0</v>
      </c>
    </row>
    <row r="2434" spans="1:10" ht="51.75" hidden="1" thickBot="1" x14ac:dyDescent="0.3">
      <c r="A2434" s="221"/>
      <c r="B2434" s="223"/>
      <c r="C2434" s="30" t="s">
        <v>1936</v>
      </c>
      <c r="D2434" s="30" t="s">
        <v>279</v>
      </c>
      <c r="E2434" s="31">
        <v>1</v>
      </c>
      <c r="F2434" s="25">
        <v>11.628</v>
      </c>
      <c r="G2434" s="28">
        <f t="shared" si="42"/>
        <v>11.628</v>
      </c>
      <c r="H2434" s="33">
        <f>SUM(G2434:G2434)</f>
        <v>11.628</v>
      </c>
      <c r="I2434" s="34"/>
      <c r="J2434" s="138">
        <v>0</v>
      </c>
    </row>
    <row r="2435" spans="1:10" ht="15.75" hidden="1" thickBot="1" x14ac:dyDescent="0.3">
      <c r="A2435" s="227"/>
      <c r="B2435" s="224"/>
      <c r="C2435" s="30"/>
      <c r="D2435" s="30"/>
      <c r="E2435" s="31"/>
      <c r="F2435" s="25" t="s">
        <v>521</v>
      </c>
      <c r="G2435" s="28" t="str">
        <f t="shared" si="42"/>
        <v/>
      </c>
      <c r="H2435" s="29"/>
      <c r="I2435" s="25"/>
      <c r="J2435" s="138">
        <v>0</v>
      </c>
    </row>
    <row r="2436" spans="1:10" ht="15.75" hidden="1" thickBot="1" x14ac:dyDescent="0.3">
      <c r="A2436" s="220" t="s">
        <v>1466</v>
      </c>
      <c r="B2436" s="222" t="e">
        <f>INDEX(Orçamentária!A:B,MATCH(Composições!A2436,Orçamentária!A:A,0),2)</f>
        <v>#N/A</v>
      </c>
      <c r="C2436" s="35"/>
      <c r="D2436" s="20" t="s">
        <v>20</v>
      </c>
      <c r="E2436" s="21"/>
      <c r="F2436" s="36" t="s">
        <v>521</v>
      </c>
      <c r="G2436" s="22" t="str">
        <f t="shared" si="42"/>
        <v/>
      </c>
      <c r="H2436" s="23"/>
      <c r="I2436" s="24"/>
      <c r="J2436" s="138">
        <v>0</v>
      </c>
    </row>
    <row r="2437" spans="1:10" ht="15.75" hidden="1" thickBot="1" x14ac:dyDescent="0.3">
      <c r="A2437" s="221"/>
      <c r="B2437" s="223"/>
      <c r="C2437" s="26"/>
      <c r="D2437" s="26"/>
      <c r="E2437" s="27"/>
      <c r="F2437" s="37" t="s">
        <v>521</v>
      </c>
      <c r="G2437" s="28" t="str">
        <f t="shared" si="42"/>
        <v/>
      </c>
      <c r="H2437" s="29"/>
      <c r="I2437" s="25"/>
      <c r="J2437" s="138">
        <v>0</v>
      </c>
    </row>
    <row r="2438" spans="1:10" ht="39" hidden="1" thickBot="1" x14ac:dyDescent="0.3">
      <c r="A2438" s="221"/>
      <c r="B2438" s="223"/>
      <c r="C2438" s="30" t="s">
        <v>1951</v>
      </c>
      <c r="D2438" s="30" t="s">
        <v>279</v>
      </c>
      <c r="E2438" s="31">
        <v>1</v>
      </c>
      <c r="F2438" s="25">
        <v>18.211500000000001</v>
      </c>
      <c r="G2438" s="28">
        <f t="shared" ref="G2438:G2501" si="43">IF(ISNUMBER(F2438),E2438*F2438,"")</f>
        <v>18.211500000000001</v>
      </c>
      <c r="H2438" s="33">
        <f>SUM(G2438:G2438)</f>
        <v>18.211500000000001</v>
      </c>
      <c r="I2438" s="34"/>
      <c r="J2438" s="138">
        <v>0</v>
      </c>
    </row>
    <row r="2439" spans="1:10" ht="15.75" hidden="1" thickBot="1" x14ac:dyDescent="0.3">
      <c r="A2439" s="227"/>
      <c r="B2439" s="224"/>
      <c r="C2439" s="30"/>
      <c r="D2439" s="30"/>
      <c r="E2439" s="31"/>
      <c r="F2439" s="25" t="s">
        <v>521</v>
      </c>
      <c r="G2439" s="28" t="str">
        <f t="shared" si="43"/>
        <v/>
      </c>
      <c r="H2439" s="29"/>
      <c r="I2439" s="25"/>
      <c r="J2439" s="138">
        <v>0</v>
      </c>
    </row>
    <row r="2440" spans="1:10" ht="15.75" hidden="1" thickBot="1" x14ac:dyDescent="0.3">
      <c r="A2440" s="220" t="s">
        <v>740</v>
      </c>
      <c r="B2440" s="222" t="e">
        <f>INDEX(Orçamentária!A:B,MATCH(Composições!A2440,Orçamentária!A:A,0),2)</f>
        <v>#N/A</v>
      </c>
      <c r="C2440" s="35"/>
      <c r="D2440" s="20" t="s">
        <v>1467</v>
      </c>
      <c r="E2440" s="21"/>
      <c r="F2440" s="36" t="s">
        <v>521</v>
      </c>
      <c r="G2440" s="22" t="str">
        <f t="shared" si="43"/>
        <v/>
      </c>
      <c r="H2440" s="23"/>
      <c r="I2440" s="24"/>
      <c r="J2440" s="138">
        <v>0</v>
      </c>
    </row>
    <row r="2441" spans="1:10" ht="15.75" hidden="1" thickBot="1" x14ac:dyDescent="0.3">
      <c r="A2441" s="221"/>
      <c r="B2441" s="223"/>
      <c r="C2441" s="26"/>
      <c r="D2441" s="26"/>
      <c r="E2441" s="27"/>
      <c r="F2441" s="37" t="s">
        <v>521</v>
      </c>
      <c r="G2441" s="28" t="str">
        <f t="shared" si="43"/>
        <v/>
      </c>
      <c r="H2441" s="29"/>
      <c r="I2441" s="25"/>
      <c r="J2441" s="138">
        <v>0</v>
      </c>
    </row>
    <row r="2442" spans="1:10" ht="26.25" hidden="1" thickBot="1" x14ac:dyDescent="0.3">
      <c r="A2442" s="221"/>
      <c r="B2442" s="223"/>
      <c r="C2442" s="30" t="s">
        <v>741</v>
      </c>
      <c r="D2442" s="41" t="s">
        <v>279</v>
      </c>
      <c r="E2442" s="31">
        <v>1</v>
      </c>
      <c r="F2442" s="25">
        <v>31.254999999999995</v>
      </c>
      <c r="G2442" s="28">
        <f t="shared" si="43"/>
        <v>31.254999999999995</v>
      </c>
      <c r="H2442" s="33">
        <f>SUM(G2442:G2442)</f>
        <v>31.254999999999995</v>
      </c>
      <c r="I2442" s="34"/>
      <c r="J2442" s="138">
        <v>0</v>
      </c>
    </row>
    <row r="2443" spans="1:10" ht="15.75" hidden="1" thickBot="1" x14ac:dyDescent="0.3">
      <c r="A2443" s="227"/>
      <c r="B2443" s="224"/>
      <c r="C2443" s="30"/>
      <c r="D2443" s="30"/>
      <c r="E2443" s="31"/>
      <c r="F2443" s="25" t="s">
        <v>521</v>
      </c>
      <c r="G2443" s="28" t="str">
        <f t="shared" si="43"/>
        <v/>
      </c>
      <c r="H2443" s="29"/>
      <c r="I2443" s="25"/>
      <c r="J2443" s="138">
        <v>0</v>
      </c>
    </row>
    <row r="2444" spans="1:10" ht="15.75" hidden="1" thickBot="1" x14ac:dyDescent="0.3">
      <c r="A2444" s="220" t="s">
        <v>1468</v>
      </c>
      <c r="B2444" s="222" t="e">
        <f>INDEX(Orçamentária!A:B,MATCH(Composições!A2444,Orçamentária!A:A,0),2)</f>
        <v>#N/A</v>
      </c>
      <c r="C2444" s="35"/>
      <c r="D2444" s="20" t="s">
        <v>42</v>
      </c>
      <c r="E2444" s="21"/>
      <c r="F2444" s="36" t="s">
        <v>521</v>
      </c>
      <c r="G2444" s="22" t="str">
        <f t="shared" si="43"/>
        <v/>
      </c>
      <c r="H2444" s="23"/>
      <c r="I2444" s="24"/>
      <c r="J2444" s="138">
        <v>0</v>
      </c>
    </row>
    <row r="2445" spans="1:10" ht="15.75" hidden="1" thickBot="1" x14ac:dyDescent="0.3">
      <c r="A2445" s="221"/>
      <c r="B2445" s="223"/>
      <c r="C2445" s="26"/>
      <c r="D2445" s="26"/>
      <c r="E2445" s="27"/>
      <c r="F2445" s="37" t="s">
        <v>521</v>
      </c>
      <c r="G2445" s="28" t="str">
        <f t="shared" si="43"/>
        <v/>
      </c>
      <c r="H2445" s="29"/>
      <c r="I2445" s="25"/>
      <c r="J2445" s="138">
        <v>0</v>
      </c>
    </row>
    <row r="2446" spans="1:10" ht="15.75" hidden="1" thickBot="1" x14ac:dyDescent="0.3">
      <c r="A2446" s="221"/>
      <c r="B2446" s="223"/>
      <c r="C2446" s="30" t="s">
        <v>2259</v>
      </c>
      <c r="D2446" s="41" t="s">
        <v>897</v>
      </c>
      <c r="E2446" s="31">
        <v>1</v>
      </c>
      <c r="F2446" s="25">
        <v>43.462499999999999</v>
      </c>
      <c r="G2446" s="28">
        <f t="shared" si="43"/>
        <v>43.462499999999999</v>
      </c>
      <c r="H2446" s="33">
        <f>SUM(G2446:G2446)</f>
        <v>43.462499999999999</v>
      </c>
      <c r="I2446" s="34"/>
      <c r="J2446" s="138">
        <v>0</v>
      </c>
    </row>
    <row r="2447" spans="1:10" ht="15.75" hidden="1" thickBot="1" x14ac:dyDescent="0.3">
      <c r="A2447" s="227"/>
      <c r="B2447" s="224"/>
      <c r="C2447" s="30"/>
      <c r="D2447" s="30"/>
      <c r="E2447" s="31"/>
      <c r="F2447" s="25" t="s">
        <v>521</v>
      </c>
      <c r="G2447" s="28" t="str">
        <f t="shared" si="43"/>
        <v/>
      </c>
      <c r="H2447" s="29"/>
      <c r="I2447" s="25"/>
      <c r="J2447" s="138">
        <v>0</v>
      </c>
    </row>
    <row r="2448" spans="1:10" ht="15.75" hidden="1" thickBot="1" x14ac:dyDescent="0.3">
      <c r="A2448" s="220" t="s">
        <v>1469</v>
      </c>
      <c r="B2448" s="222" t="e">
        <f>INDEX(Orçamentária!A:B,MATCH(Composições!A2448,Orçamentária!A:A,0),2)</f>
        <v>#N/A</v>
      </c>
      <c r="C2448" s="35"/>
      <c r="D2448" s="20" t="s">
        <v>95</v>
      </c>
      <c r="E2448" s="21"/>
      <c r="F2448" s="36" t="s">
        <v>521</v>
      </c>
      <c r="G2448" s="22" t="str">
        <f t="shared" si="43"/>
        <v/>
      </c>
      <c r="H2448" s="23"/>
      <c r="I2448" s="24"/>
      <c r="J2448" s="138">
        <v>0</v>
      </c>
    </row>
    <row r="2449" spans="1:10" ht="15.75" hidden="1" thickBot="1" x14ac:dyDescent="0.3">
      <c r="A2449" s="221"/>
      <c r="B2449" s="223"/>
      <c r="C2449" s="26"/>
      <c r="D2449" s="26"/>
      <c r="E2449" s="27"/>
      <c r="F2449" s="37" t="s">
        <v>521</v>
      </c>
      <c r="G2449" s="28" t="str">
        <f t="shared" si="43"/>
        <v/>
      </c>
      <c r="H2449" s="29"/>
      <c r="I2449" s="25"/>
      <c r="J2449" s="138">
        <v>0</v>
      </c>
    </row>
    <row r="2450" spans="1:10" ht="26.25" hidden="1" thickBot="1" x14ac:dyDescent="0.3">
      <c r="A2450" s="221"/>
      <c r="B2450" s="223"/>
      <c r="C2450" s="30" t="s">
        <v>1633</v>
      </c>
      <c r="D2450" s="41" t="s">
        <v>95</v>
      </c>
      <c r="E2450" s="31">
        <v>1</v>
      </c>
      <c r="F2450" s="25">
        <v>60.723999999999997</v>
      </c>
      <c r="G2450" s="28">
        <f t="shared" si="43"/>
        <v>60.723999999999997</v>
      </c>
      <c r="H2450" s="33">
        <f>SUM(G2450:G2450)</f>
        <v>60.723999999999997</v>
      </c>
      <c r="I2450" s="34"/>
      <c r="J2450" s="138">
        <v>0</v>
      </c>
    </row>
    <row r="2451" spans="1:10" ht="15.75" hidden="1" thickBot="1" x14ac:dyDescent="0.3">
      <c r="A2451" s="227"/>
      <c r="B2451" s="224"/>
      <c r="C2451" s="30"/>
      <c r="D2451" s="30"/>
      <c r="E2451" s="31"/>
      <c r="F2451" s="25" t="s">
        <v>521</v>
      </c>
      <c r="G2451" s="28" t="str">
        <f t="shared" si="43"/>
        <v/>
      </c>
      <c r="H2451" s="29"/>
      <c r="I2451" s="25"/>
      <c r="J2451" s="138">
        <v>0</v>
      </c>
    </row>
    <row r="2452" spans="1:10" ht="15.75" hidden="1" thickBot="1" x14ac:dyDescent="0.3">
      <c r="A2452" s="220" t="s">
        <v>1470</v>
      </c>
      <c r="B2452" s="222" t="e">
        <f>INDEX(Orçamentária!A:B,MATCH(Composições!A2452,Orçamentária!A:A,0),2)</f>
        <v>#N/A</v>
      </c>
      <c r="C2452" s="35"/>
      <c r="D2452" s="20" t="s">
        <v>95</v>
      </c>
      <c r="E2452" s="21"/>
      <c r="F2452" s="36" t="s">
        <v>521</v>
      </c>
      <c r="G2452" s="22" t="str">
        <f t="shared" si="43"/>
        <v/>
      </c>
      <c r="H2452" s="23"/>
      <c r="I2452" s="24"/>
      <c r="J2452" s="138">
        <v>0</v>
      </c>
    </row>
    <row r="2453" spans="1:10" ht="15.75" hidden="1" thickBot="1" x14ac:dyDescent="0.3">
      <c r="A2453" s="221"/>
      <c r="B2453" s="223"/>
      <c r="C2453" s="26"/>
      <c r="D2453" s="26"/>
      <c r="E2453" s="27"/>
      <c r="F2453" s="37" t="s">
        <v>521</v>
      </c>
      <c r="G2453" s="28" t="str">
        <f t="shared" si="43"/>
        <v/>
      </c>
      <c r="H2453" s="29"/>
      <c r="I2453" s="25"/>
      <c r="J2453" s="138">
        <v>0</v>
      </c>
    </row>
    <row r="2454" spans="1:10" ht="26.25" hidden="1" thickBot="1" x14ac:dyDescent="0.3">
      <c r="A2454" s="221"/>
      <c r="B2454" s="223"/>
      <c r="C2454" s="30" t="s">
        <v>1633</v>
      </c>
      <c r="D2454" s="41" t="s">
        <v>95</v>
      </c>
      <c r="E2454" s="31">
        <v>1</v>
      </c>
      <c r="F2454" s="25">
        <v>60.723999999999997</v>
      </c>
      <c r="G2454" s="28">
        <f t="shared" si="43"/>
        <v>60.723999999999997</v>
      </c>
      <c r="H2454" s="33">
        <f>SUM(G2454:G2454)</f>
        <v>60.723999999999997</v>
      </c>
      <c r="I2454" s="34"/>
      <c r="J2454" s="138">
        <v>0</v>
      </c>
    </row>
    <row r="2455" spans="1:10" ht="15.75" hidden="1" thickBot="1" x14ac:dyDescent="0.3">
      <c r="A2455" s="227"/>
      <c r="B2455" s="224"/>
      <c r="C2455" s="30"/>
      <c r="D2455" s="30"/>
      <c r="E2455" s="31"/>
      <c r="F2455" s="25" t="s">
        <v>521</v>
      </c>
      <c r="G2455" s="28" t="str">
        <f t="shared" si="43"/>
        <v/>
      </c>
      <c r="H2455" s="29"/>
      <c r="I2455" s="25"/>
      <c r="J2455" s="138">
        <v>0</v>
      </c>
    </row>
    <row r="2456" spans="1:10" ht="15.75" hidden="1" thickBot="1" x14ac:dyDescent="0.3">
      <c r="A2456" s="220" t="s">
        <v>1471</v>
      </c>
      <c r="B2456" s="222" t="e">
        <f>INDEX(Orçamentária!A:B,MATCH(Composições!A2456,Orçamentária!A:A,0),2)</f>
        <v>#N/A</v>
      </c>
      <c r="C2456" s="35"/>
      <c r="D2456" s="20" t="s">
        <v>95</v>
      </c>
      <c r="E2456" s="21"/>
      <c r="F2456" s="36" t="s">
        <v>521</v>
      </c>
      <c r="G2456" s="22" t="str">
        <f t="shared" si="43"/>
        <v/>
      </c>
      <c r="H2456" s="23"/>
      <c r="I2456" s="24"/>
      <c r="J2456" s="138">
        <v>0</v>
      </c>
    </row>
    <row r="2457" spans="1:10" ht="15.75" hidden="1" thickBot="1" x14ac:dyDescent="0.3">
      <c r="A2457" s="221"/>
      <c r="B2457" s="223"/>
      <c r="C2457" s="26"/>
      <c r="D2457" s="26"/>
      <c r="E2457" s="27"/>
      <c r="F2457" s="37" t="s">
        <v>521</v>
      </c>
      <c r="G2457" s="28" t="str">
        <f t="shared" si="43"/>
        <v/>
      </c>
      <c r="H2457" s="29"/>
      <c r="I2457" s="25"/>
      <c r="J2457" s="138">
        <v>0</v>
      </c>
    </row>
    <row r="2458" spans="1:10" ht="26.25" hidden="1" thickBot="1" x14ac:dyDescent="0.3">
      <c r="A2458" s="221"/>
      <c r="B2458" s="223"/>
      <c r="C2458" s="30" t="s">
        <v>1633</v>
      </c>
      <c r="D2458" s="41" t="s">
        <v>95</v>
      </c>
      <c r="E2458" s="31">
        <v>1</v>
      </c>
      <c r="F2458" s="25">
        <v>60.723999999999997</v>
      </c>
      <c r="G2458" s="28">
        <f t="shared" si="43"/>
        <v>60.723999999999997</v>
      </c>
      <c r="H2458" s="33">
        <f>SUM(G2458:G2458)</f>
        <v>60.723999999999997</v>
      </c>
      <c r="I2458" s="34"/>
      <c r="J2458" s="138">
        <v>0</v>
      </c>
    </row>
    <row r="2459" spans="1:10" ht="15.75" hidden="1" thickBot="1" x14ac:dyDescent="0.3">
      <c r="A2459" s="227"/>
      <c r="B2459" s="224"/>
      <c r="C2459" s="30"/>
      <c r="D2459" s="30"/>
      <c r="E2459" s="31"/>
      <c r="F2459" s="25" t="s">
        <v>521</v>
      </c>
      <c r="G2459" s="28" t="str">
        <f t="shared" si="43"/>
        <v/>
      </c>
      <c r="H2459" s="29"/>
      <c r="I2459" s="25"/>
      <c r="J2459" s="138">
        <v>0</v>
      </c>
    </row>
    <row r="2460" spans="1:10" ht="15.75" hidden="1" thickBot="1" x14ac:dyDescent="0.3">
      <c r="A2460" s="220" t="s">
        <v>1472</v>
      </c>
      <c r="B2460" s="222" t="e">
        <f>INDEX(Orçamentária!A:B,MATCH(Composições!A2460,Orçamentária!A:A,0),2)</f>
        <v>#N/A</v>
      </c>
      <c r="C2460" s="35"/>
      <c r="D2460" s="20" t="s">
        <v>109</v>
      </c>
      <c r="E2460" s="21"/>
      <c r="F2460" s="36" t="s">
        <v>521</v>
      </c>
      <c r="G2460" s="22" t="str">
        <f t="shared" si="43"/>
        <v/>
      </c>
      <c r="H2460" s="23"/>
      <c r="I2460" s="24"/>
      <c r="J2460" s="138">
        <v>0</v>
      </c>
    </row>
    <row r="2461" spans="1:10" ht="15.75" hidden="1" thickBot="1" x14ac:dyDescent="0.3">
      <c r="A2461" s="221"/>
      <c r="B2461" s="223"/>
      <c r="C2461" s="26"/>
      <c r="D2461" s="26"/>
      <c r="E2461" s="27"/>
      <c r="F2461" s="37" t="s">
        <v>521</v>
      </c>
      <c r="G2461" s="28" t="str">
        <f t="shared" si="43"/>
        <v/>
      </c>
      <c r="H2461" s="29"/>
      <c r="I2461" s="25"/>
      <c r="J2461" s="138">
        <v>0</v>
      </c>
    </row>
    <row r="2462" spans="1:10" ht="26.25" hidden="1" thickBot="1" x14ac:dyDescent="0.3">
      <c r="A2462" s="221"/>
      <c r="B2462" s="223"/>
      <c r="C2462" s="30" t="s">
        <v>1932</v>
      </c>
      <c r="D2462" s="41" t="s">
        <v>93</v>
      </c>
      <c r="E2462" s="31">
        <f>1/(0.025*0.3)</f>
        <v>133.33333333333334</v>
      </c>
      <c r="F2462" s="25">
        <v>13.299999999999999</v>
      </c>
      <c r="G2462" s="28">
        <f t="shared" si="43"/>
        <v>1773.3333333333333</v>
      </c>
      <c r="H2462" s="33">
        <f>SUM(G2462:G2462)</f>
        <v>1773.3333333333333</v>
      </c>
      <c r="I2462" s="34"/>
      <c r="J2462" s="138">
        <v>0</v>
      </c>
    </row>
    <row r="2463" spans="1:10" ht="15.75" hidden="1" thickBot="1" x14ac:dyDescent="0.3">
      <c r="A2463" s="227"/>
      <c r="B2463" s="224"/>
      <c r="C2463" s="30"/>
      <c r="D2463" s="30"/>
      <c r="E2463" s="31"/>
      <c r="F2463" s="25" t="s">
        <v>521</v>
      </c>
      <c r="G2463" s="28" t="str">
        <f t="shared" si="43"/>
        <v/>
      </c>
      <c r="H2463" s="29"/>
      <c r="I2463" s="25"/>
      <c r="J2463" s="138">
        <v>0</v>
      </c>
    </row>
    <row r="2464" spans="1:10" ht="15.75" hidden="1" thickBot="1" x14ac:dyDescent="0.3">
      <c r="A2464" s="220" t="s">
        <v>1473</v>
      </c>
      <c r="B2464" s="222" t="e">
        <f>INDEX(Orçamentária!A:B,MATCH(Composições!A2464,Orçamentária!A:A,0),2)</f>
        <v>#N/A</v>
      </c>
      <c r="C2464" s="35"/>
      <c r="D2464" s="20" t="s">
        <v>93</v>
      </c>
      <c r="E2464" s="21"/>
      <c r="F2464" s="36" t="s">
        <v>521</v>
      </c>
      <c r="G2464" s="22" t="str">
        <f t="shared" si="43"/>
        <v/>
      </c>
      <c r="H2464" s="23"/>
      <c r="I2464" s="24"/>
      <c r="J2464" s="138">
        <v>0</v>
      </c>
    </row>
    <row r="2465" spans="1:10" ht="15.75" hidden="1" thickBot="1" x14ac:dyDescent="0.3">
      <c r="A2465" s="221"/>
      <c r="B2465" s="223"/>
      <c r="C2465" s="26"/>
      <c r="D2465" s="26"/>
      <c r="E2465" s="27"/>
      <c r="F2465" s="37" t="s">
        <v>521</v>
      </c>
      <c r="G2465" s="28" t="str">
        <f t="shared" si="43"/>
        <v/>
      </c>
      <c r="H2465" s="29"/>
      <c r="I2465" s="25"/>
      <c r="J2465" s="138">
        <v>0</v>
      </c>
    </row>
    <row r="2466" spans="1:10" ht="26.25" hidden="1" thickBot="1" x14ac:dyDescent="0.3">
      <c r="A2466" s="221"/>
      <c r="B2466" s="223"/>
      <c r="C2466" s="30" t="s">
        <v>1929</v>
      </c>
      <c r="D2466" s="41" t="s">
        <v>93</v>
      </c>
      <c r="E2466" s="31">
        <v>1</v>
      </c>
      <c r="F2466" s="25">
        <v>4.0659999999999998</v>
      </c>
      <c r="G2466" s="28">
        <f t="shared" si="43"/>
        <v>4.0659999999999998</v>
      </c>
      <c r="H2466" s="33">
        <f>SUM(G2466:G2466)</f>
        <v>4.0659999999999998</v>
      </c>
      <c r="I2466" s="34"/>
      <c r="J2466" s="138">
        <v>0</v>
      </c>
    </row>
    <row r="2467" spans="1:10" ht="15.75" hidden="1" thickBot="1" x14ac:dyDescent="0.3">
      <c r="A2467" s="227"/>
      <c r="B2467" s="224"/>
      <c r="C2467" s="30"/>
      <c r="D2467" s="30"/>
      <c r="E2467" s="31"/>
      <c r="F2467" s="25" t="s">
        <v>521</v>
      </c>
      <c r="G2467" s="28" t="str">
        <f t="shared" si="43"/>
        <v/>
      </c>
      <c r="H2467" s="29"/>
      <c r="I2467" s="25"/>
      <c r="J2467" s="138">
        <v>0</v>
      </c>
    </row>
    <row r="2468" spans="1:10" ht="15.75" hidden="1" thickBot="1" x14ac:dyDescent="0.3">
      <c r="A2468" s="220" t="s">
        <v>1474</v>
      </c>
      <c r="B2468" s="222" t="e">
        <f>INDEX(Orçamentária!A:B,MATCH(Composições!A2468,Orçamentária!A:A,0),2)</f>
        <v>#N/A</v>
      </c>
      <c r="C2468" s="35"/>
      <c r="D2468" s="20" t="s">
        <v>93</v>
      </c>
      <c r="E2468" s="21"/>
      <c r="F2468" s="36" t="s">
        <v>521</v>
      </c>
      <c r="G2468" s="22" t="str">
        <f t="shared" si="43"/>
        <v/>
      </c>
      <c r="H2468" s="23"/>
      <c r="I2468" s="24"/>
      <c r="J2468" s="138">
        <v>0</v>
      </c>
    </row>
    <row r="2469" spans="1:10" ht="15.75" hidden="1" thickBot="1" x14ac:dyDescent="0.3">
      <c r="A2469" s="221"/>
      <c r="B2469" s="223"/>
      <c r="C2469" s="26"/>
      <c r="D2469" s="26"/>
      <c r="E2469" s="27"/>
      <c r="F2469" s="37" t="s">
        <v>521</v>
      </c>
      <c r="G2469" s="28" t="str">
        <f t="shared" si="43"/>
        <v/>
      </c>
      <c r="H2469" s="29"/>
      <c r="I2469" s="25"/>
      <c r="J2469" s="138">
        <v>0</v>
      </c>
    </row>
    <row r="2470" spans="1:10" ht="26.25" hidden="1" thickBot="1" x14ac:dyDescent="0.3">
      <c r="A2470" s="221"/>
      <c r="B2470" s="223"/>
      <c r="C2470" s="30" t="s">
        <v>1921</v>
      </c>
      <c r="D2470" s="41" t="s">
        <v>93</v>
      </c>
      <c r="E2470" s="31">
        <v>1</v>
      </c>
      <c r="F2470" s="25">
        <v>5.6429999999999998</v>
      </c>
      <c r="G2470" s="28">
        <f t="shared" si="43"/>
        <v>5.6429999999999998</v>
      </c>
      <c r="H2470" s="33">
        <f>SUM(G2470:G2470)</f>
        <v>5.6429999999999998</v>
      </c>
      <c r="I2470" s="34"/>
      <c r="J2470" s="138">
        <v>0</v>
      </c>
    </row>
    <row r="2471" spans="1:10" ht="15.75" hidden="1" thickBot="1" x14ac:dyDescent="0.3">
      <c r="A2471" s="227"/>
      <c r="B2471" s="224"/>
      <c r="C2471" s="30"/>
      <c r="D2471" s="30"/>
      <c r="E2471" s="31"/>
      <c r="F2471" s="25" t="s">
        <v>521</v>
      </c>
      <c r="G2471" s="28" t="str">
        <f t="shared" si="43"/>
        <v/>
      </c>
      <c r="H2471" s="29"/>
      <c r="I2471" s="25"/>
      <c r="J2471" s="138">
        <v>0</v>
      </c>
    </row>
    <row r="2472" spans="1:10" ht="15.75" hidden="1" thickBot="1" x14ac:dyDescent="0.3">
      <c r="A2472" s="220" t="s">
        <v>1475</v>
      </c>
      <c r="B2472" s="222" t="e">
        <f>INDEX(Orçamentária!A:B,MATCH(Composições!A2472,Orçamentária!A:A,0),2)</f>
        <v>#N/A</v>
      </c>
      <c r="C2472" s="35"/>
      <c r="D2472" s="20" t="s">
        <v>95</v>
      </c>
      <c r="E2472" s="21"/>
      <c r="F2472" s="36" t="s">
        <v>521</v>
      </c>
      <c r="G2472" s="22" t="str">
        <f t="shared" si="43"/>
        <v/>
      </c>
      <c r="H2472" s="23"/>
      <c r="I2472" s="24"/>
      <c r="J2472" s="138">
        <v>0</v>
      </c>
    </row>
    <row r="2473" spans="1:10" ht="15.75" hidden="1" thickBot="1" x14ac:dyDescent="0.3">
      <c r="A2473" s="221"/>
      <c r="B2473" s="223"/>
      <c r="C2473" s="26"/>
      <c r="D2473" s="26"/>
      <c r="E2473" s="27"/>
      <c r="F2473" s="37" t="s">
        <v>521</v>
      </c>
      <c r="G2473" s="28" t="str">
        <f t="shared" si="43"/>
        <v/>
      </c>
      <c r="H2473" s="29"/>
      <c r="I2473" s="25"/>
      <c r="J2473" s="138">
        <v>0</v>
      </c>
    </row>
    <row r="2474" spans="1:10" ht="15.75" hidden="1" thickBot="1" x14ac:dyDescent="0.3">
      <c r="A2474" s="221"/>
      <c r="B2474" s="223"/>
      <c r="C2474" s="30" t="s">
        <v>1634</v>
      </c>
      <c r="D2474" s="41" t="s">
        <v>95</v>
      </c>
      <c r="E2474" s="31">
        <v>1</v>
      </c>
      <c r="F2474" s="25">
        <v>31.729999999999997</v>
      </c>
      <c r="G2474" s="28">
        <f t="shared" si="43"/>
        <v>31.729999999999997</v>
      </c>
      <c r="H2474" s="33">
        <f>SUM(G2474:G2474)</f>
        <v>31.729999999999997</v>
      </c>
      <c r="I2474" s="34"/>
      <c r="J2474" s="138">
        <v>0</v>
      </c>
    </row>
    <row r="2475" spans="1:10" ht="15.75" hidden="1" thickBot="1" x14ac:dyDescent="0.3">
      <c r="A2475" s="227"/>
      <c r="B2475" s="224"/>
      <c r="C2475" s="30"/>
      <c r="D2475" s="30"/>
      <c r="E2475" s="31"/>
      <c r="F2475" s="25" t="s">
        <v>521</v>
      </c>
      <c r="G2475" s="28" t="str">
        <f t="shared" si="43"/>
        <v/>
      </c>
      <c r="H2475" s="29"/>
      <c r="I2475" s="25"/>
      <c r="J2475" s="138">
        <v>0</v>
      </c>
    </row>
    <row r="2476" spans="1:10" ht="15.75" hidden="1" thickBot="1" x14ac:dyDescent="0.3">
      <c r="A2476" s="220" t="s">
        <v>1476</v>
      </c>
      <c r="B2476" s="222" t="e">
        <f>INDEX(Orçamentária!A:B,MATCH(Composições!A2476,Orçamentária!A:A,0),2)</f>
        <v>#N/A</v>
      </c>
      <c r="C2476" s="35"/>
      <c r="D2476" s="20" t="s">
        <v>95</v>
      </c>
      <c r="E2476" s="21"/>
      <c r="F2476" s="36" t="s">
        <v>521</v>
      </c>
      <c r="G2476" s="22" t="str">
        <f t="shared" si="43"/>
        <v/>
      </c>
      <c r="H2476" s="23"/>
      <c r="I2476" s="24"/>
      <c r="J2476" s="138">
        <v>0</v>
      </c>
    </row>
    <row r="2477" spans="1:10" ht="15.75" hidden="1" thickBot="1" x14ac:dyDescent="0.3">
      <c r="A2477" s="221"/>
      <c r="B2477" s="223"/>
      <c r="C2477" s="26"/>
      <c r="D2477" s="26"/>
      <c r="E2477" s="27"/>
      <c r="F2477" s="37" t="s">
        <v>521</v>
      </c>
      <c r="G2477" s="28" t="str">
        <f t="shared" si="43"/>
        <v/>
      </c>
      <c r="H2477" s="29"/>
      <c r="I2477" s="25"/>
      <c r="J2477" s="138">
        <v>0</v>
      </c>
    </row>
    <row r="2478" spans="1:10" ht="26.25" hidden="1" thickBot="1" x14ac:dyDescent="0.3">
      <c r="A2478" s="221"/>
      <c r="B2478" s="223"/>
      <c r="C2478" s="30" t="s">
        <v>1635</v>
      </c>
      <c r="D2478" s="41" t="s">
        <v>95</v>
      </c>
      <c r="E2478" s="31">
        <v>1</v>
      </c>
      <c r="F2478" s="25">
        <v>49.789499999999997</v>
      </c>
      <c r="G2478" s="28">
        <f t="shared" si="43"/>
        <v>49.789499999999997</v>
      </c>
      <c r="H2478" s="33">
        <f>SUM(G2478:G2478)</f>
        <v>49.789499999999997</v>
      </c>
      <c r="I2478" s="34"/>
      <c r="J2478" s="138">
        <v>0</v>
      </c>
    </row>
    <row r="2479" spans="1:10" ht="15.75" hidden="1" thickBot="1" x14ac:dyDescent="0.3">
      <c r="A2479" s="227"/>
      <c r="B2479" s="224"/>
      <c r="C2479" s="30"/>
      <c r="D2479" s="30"/>
      <c r="E2479" s="31"/>
      <c r="F2479" s="25" t="s">
        <v>521</v>
      </c>
      <c r="G2479" s="28" t="str">
        <f t="shared" si="43"/>
        <v/>
      </c>
      <c r="H2479" s="29"/>
      <c r="I2479" s="25"/>
      <c r="J2479" s="138">
        <v>0</v>
      </c>
    </row>
    <row r="2480" spans="1:10" ht="15.75" hidden="1" thickBot="1" x14ac:dyDescent="0.3">
      <c r="A2480" s="220" t="s">
        <v>1477</v>
      </c>
      <c r="B2480" s="222" t="e">
        <f>INDEX(Orçamentária!A:B,MATCH(Composições!A2480,Orçamentária!A:A,0),2)</f>
        <v>#N/A</v>
      </c>
      <c r="C2480" s="35"/>
      <c r="D2480" s="20" t="s">
        <v>95</v>
      </c>
      <c r="E2480" s="21"/>
      <c r="F2480" s="36" t="s">
        <v>521</v>
      </c>
      <c r="G2480" s="22" t="str">
        <f t="shared" si="43"/>
        <v/>
      </c>
      <c r="H2480" s="23"/>
      <c r="I2480" s="24"/>
      <c r="J2480" s="138">
        <v>0</v>
      </c>
    </row>
    <row r="2481" spans="1:10" ht="15.75" hidden="1" thickBot="1" x14ac:dyDescent="0.3">
      <c r="A2481" s="221"/>
      <c r="B2481" s="223"/>
      <c r="C2481" s="26"/>
      <c r="D2481" s="26"/>
      <c r="E2481" s="27"/>
      <c r="F2481" s="37" t="s">
        <v>521</v>
      </c>
      <c r="G2481" s="28" t="str">
        <f t="shared" si="43"/>
        <v/>
      </c>
      <c r="H2481" s="29"/>
      <c r="I2481" s="25"/>
      <c r="J2481" s="138">
        <v>0</v>
      </c>
    </row>
    <row r="2482" spans="1:10" ht="26.25" hidden="1" thickBot="1" x14ac:dyDescent="0.3">
      <c r="A2482" s="221"/>
      <c r="B2482" s="223"/>
      <c r="C2482" s="30" t="s">
        <v>1636</v>
      </c>
      <c r="D2482" s="41" t="s">
        <v>95</v>
      </c>
      <c r="E2482" s="31">
        <v>1</v>
      </c>
      <c r="F2482" s="25">
        <v>61.807000000000002</v>
      </c>
      <c r="G2482" s="28">
        <f t="shared" si="43"/>
        <v>61.807000000000002</v>
      </c>
      <c r="H2482" s="33">
        <f>SUM(G2482:G2482)</f>
        <v>61.807000000000002</v>
      </c>
      <c r="I2482" s="34"/>
      <c r="J2482" s="138">
        <v>0</v>
      </c>
    </row>
    <row r="2483" spans="1:10" ht="15.75" hidden="1" thickBot="1" x14ac:dyDescent="0.3">
      <c r="A2483" s="227"/>
      <c r="B2483" s="224"/>
      <c r="C2483" s="30"/>
      <c r="D2483" s="30"/>
      <c r="E2483" s="31"/>
      <c r="F2483" s="25" t="s">
        <v>521</v>
      </c>
      <c r="G2483" s="28" t="str">
        <f t="shared" si="43"/>
        <v/>
      </c>
      <c r="H2483" s="29"/>
      <c r="I2483" s="25"/>
      <c r="J2483" s="138">
        <v>0</v>
      </c>
    </row>
    <row r="2484" spans="1:10" ht="15.75" hidden="1" thickBot="1" x14ac:dyDescent="0.3">
      <c r="A2484" s="220" t="s">
        <v>1478</v>
      </c>
      <c r="B2484" s="222" t="e">
        <f>INDEX(Orçamentária!A:B,MATCH(Composições!A2484,Orçamentária!A:A,0),2)</f>
        <v>#N/A</v>
      </c>
      <c r="C2484" s="35"/>
      <c r="D2484" s="20" t="s">
        <v>93</v>
      </c>
      <c r="E2484" s="21"/>
      <c r="F2484" s="36" t="s">
        <v>521</v>
      </c>
      <c r="G2484" s="22" t="str">
        <f t="shared" si="43"/>
        <v/>
      </c>
      <c r="H2484" s="23"/>
      <c r="I2484" s="24"/>
      <c r="J2484" s="138">
        <v>0</v>
      </c>
    </row>
    <row r="2485" spans="1:10" ht="15.75" hidden="1" thickBot="1" x14ac:dyDescent="0.3">
      <c r="A2485" s="221"/>
      <c r="B2485" s="223"/>
      <c r="C2485" s="26"/>
      <c r="D2485" s="26"/>
      <c r="E2485" s="27"/>
      <c r="F2485" s="37" t="s">
        <v>521</v>
      </c>
      <c r="G2485" s="28" t="str">
        <f t="shared" si="43"/>
        <v/>
      </c>
      <c r="H2485" s="29"/>
      <c r="I2485" s="25"/>
      <c r="J2485" s="138">
        <v>0</v>
      </c>
    </row>
    <row r="2486" spans="1:10" ht="26.25" hidden="1" thickBot="1" x14ac:dyDescent="0.3">
      <c r="A2486" s="221"/>
      <c r="B2486" s="223"/>
      <c r="C2486" s="30" t="s">
        <v>130</v>
      </c>
      <c r="D2486" s="41" t="s">
        <v>42</v>
      </c>
      <c r="E2486" s="31">
        <v>1.73</v>
      </c>
      <c r="F2486" s="25">
        <v>13.337999999999999</v>
      </c>
      <c r="G2486" s="28">
        <f t="shared" si="43"/>
        <v>23.074739999999998</v>
      </c>
      <c r="H2486" s="33">
        <f>SUM(G2486:G2486)</f>
        <v>23.074739999999998</v>
      </c>
      <c r="I2486" s="34"/>
      <c r="J2486" s="138">
        <v>0</v>
      </c>
    </row>
    <row r="2487" spans="1:10" ht="15.75" hidden="1" thickBot="1" x14ac:dyDescent="0.3">
      <c r="A2487" s="227"/>
      <c r="B2487" s="224"/>
      <c r="C2487" s="30"/>
      <c r="D2487" s="30"/>
      <c r="E2487" s="31"/>
      <c r="F2487" s="25" t="s">
        <v>521</v>
      </c>
      <c r="G2487" s="28" t="str">
        <f t="shared" si="43"/>
        <v/>
      </c>
      <c r="H2487" s="29"/>
      <c r="I2487" s="25"/>
      <c r="J2487" s="138">
        <v>0</v>
      </c>
    </row>
    <row r="2488" spans="1:10" ht="15.75" hidden="1" thickBot="1" x14ac:dyDescent="0.3">
      <c r="A2488" s="220" t="s">
        <v>1479</v>
      </c>
      <c r="B2488" s="222" t="e">
        <f>INDEX(Orçamentária!A:B,MATCH(Composições!A2488,Orçamentária!A:A,0),2)</f>
        <v>#N/A</v>
      </c>
      <c r="C2488" s="35"/>
      <c r="D2488" s="20" t="s">
        <v>93</v>
      </c>
      <c r="E2488" s="21"/>
      <c r="F2488" s="36" t="s">
        <v>521</v>
      </c>
      <c r="G2488" s="22" t="str">
        <f t="shared" si="43"/>
        <v/>
      </c>
      <c r="H2488" s="23"/>
      <c r="I2488" s="24"/>
      <c r="J2488" s="138">
        <v>0</v>
      </c>
    </row>
    <row r="2489" spans="1:10" ht="15.75" hidden="1" thickBot="1" x14ac:dyDescent="0.3">
      <c r="A2489" s="221"/>
      <c r="B2489" s="223"/>
      <c r="C2489" s="26"/>
      <c r="D2489" s="26"/>
      <c r="E2489" s="27"/>
      <c r="F2489" s="37" t="s">
        <v>521</v>
      </c>
      <c r="G2489" s="28" t="str">
        <f t="shared" si="43"/>
        <v/>
      </c>
      <c r="H2489" s="29"/>
      <c r="I2489" s="25"/>
      <c r="J2489" s="138">
        <v>0</v>
      </c>
    </row>
    <row r="2490" spans="1:10" ht="26.25" hidden="1" thickBot="1" x14ac:dyDescent="0.3">
      <c r="A2490" s="221"/>
      <c r="B2490" s="223"/>
      <c r="C2490" s="30" t="s">
        <v>130</v>
      </c>
      <c r="D2490" s="41" t="s">
        <v>42</v>
      </c>
      <c r="E2490" s="31">
        <v>2.2000000000000002</v>
      </c>
      <c r="F2490" s="25">
        <v>13.337999999999999</v>
      </c>
      <c r="G2490" s="28">
        <f t="shared" si="43"/>
        <v>29.343600000000002</v>
      </c>
      <c r="H2490" s="33">
        <f>SUM(G2490:G2490)</f>
        <v>29.343600000000002</v>
      </c>
      <c r="I2490" s="34"/>
      <c r="J2490" s="138">
        <v>0</v>
      </c>
    </row>
    <row r="2491" spans="1:10" ht="15.75" hidden="1" thickBot="1" x14ac:dyDescent="0.3">
      <c r="A2491" s="227"/>
      <c r="B2491" s="224"/>
      <c r="C2491" s="30"/>
      <c r="D2491" s="30"/>
      <c r="E2491" s="31"/>
      <c r="F2491" s="25" t="s">
        <v>521</v>
      </c>
      <c r="G2491" s="28" t="str">
        <f t="shared" si="43"/>
        <v/>
      </c>
      <c r="H2491" s="29"/>
      <c r="I2491" s="25"/>
      <c r="J2491" s="138">
        <v>0</v>
      </c>
    </row>
    <row r="2492" spans="1:10" ht="15.75" hidden="1" thickBot="1" x14ac:dyDescent="0.3">
      <c r="A2492" s="220" t="s">
        <v>1480</v>
      </c>
      <c r="B2492" s="222" t="e">
        <f>INDEX(Orçamentária!A:B,MATCH(Composições!A2492,Orçamentária!A:A,0),2)</f>
        <v>#N/A</v>
      </c>
      <c r="C2492" s="35"/>
      <c r="D2492" s="20" t="s">
        <v>93</v>
      </c>
      <c r="E2492" s="21"/>
      <c r="F2492" s="36" t="s">
        <v>521</v>
      </c>
      <c r="G2492" s="22" t="str">
        <f t="shared" si="43"/>
        <v/>
      </c>
      <c r="H2492" s="23"/>
      <c r="I2492" s="24"/>
      <c r="J2492" s="138">
        <v>0</v>
      </c>
    </row>
    <row r="2493" spans="1:10" ht="15.75" hidden="1" thickBot="1" x14ac:dyDescent="0.3">
      <c r="A2493" s="221"/>
      <c r="B2493" s="223"/>
      <c r="C2493" s="26"/>
      <c r="D2493" s="26"/>
      <c r="E2493" s="27"/>
      <c r="F2493" s="37" t="s">
        <v>521</v>
      </c>
      <c r="G2493" s="28" t="str">
        <f t="shared" si="43"/>
        <v/>
      </c>
      <c r="H2493" s="29"/>
      <c r="I2493" s="25"/>
      <c r="J2493" s="138">
        <v>0</v>
      </c>
    </row>
    <row r="2494" spans="1:10" ht="26.25" hidden="1" thickBot="1" x14ac:dyDescent="0.3">
      <c r="A2494" s="221"/>
      <c r="B2494" s="223"/>
      <c r="C2494" s="30" t="s">
        <v>130</v>
      </c>
      <c r="D2494" s="41" t="s">
        <v>42</v>
      </c>
      <c r="E2494" s="31">
        <v>2.46</v>
      </c>
      <c r="F2494" s="25">
        <v>13.337999999999999</v>
      </c>
      <c r="G2494" s="28">
        <f t="shared" si="43"/>
        <v>32.811479999999996</v>
      </c>
      <c r="H2494" s="33">
        <f>SUM(G2494:G2494)</f>
        <v>32.811479999999996</v>
      </c>
      <c r="I2494" s="34"/>
      <c r="J2494" s="138">
        <v>0</v>
      </c>
    </row>
    <row r="2495" spans="1:10" ht="15.75" hidden="1" thickBot="1" x14ac:dyDescent="0.3">
      <c r="A2495" s="227"/>
      <c r="B2495" s="224"/>
      <c r="C2495" s="30"/>
      <c r="D2495" s="30"/>
      <c r="E2495" s="31"/>
      <c r="F2495" s="25" t="s">
        <v>521</v>
      </c>
      <c r="G2495" s="28" t="str">
        <f t="shared" si="43"/>
        <v/>
      </c>
      <c r="H2495" s="29"/>
      <c r="I2495" s="25"/>
      <c r="J2495" s="138">
        <v>0</v>
      </c>
    </row>
    <row r="2496" spans="1:10" ht="15.75" hidden="1" thickBot="1" x14ac:dyDescent="0.3">
      <c r="A2496" s="220" t="s">
        <v>1481</v>
      </c>
      <c r="B2496" s="222" t="e">
        <f>INDEX(Orçamentária!A:B,MATCH(Composições!A2496,Orçamentária!A:A,0),2)</f>
        <v>#N/A</v>
      </c>
      <c r="C2496" s="35"/>
      <c r="D2496" s="20" t="s">
        <v>93</v>
      </c>
      <c r="E2496" s="21"/>
      <c r="F2496" s="36" t="s">
        <v>521</v>
      </c>
      <c r="G2496" s="22" t="str">
        <f t="shared" si="43"/>
        <v/>
      </c>
      <c r="H2496" s="23"/>
      <c r="I2496" s="24"/>
      <c r="J2496" s="138">
        <v>0</v>
      </c>
    </row>
    <row r="2497" spans="1:10" ht="15.75" hidden="1" thickBot="1" x14ac:dyDescent="0.3">
      <c r="A2497" s="221"/>
      <c r="B2497" s="223"/>
      <c r="C2497" s="26"/>
      <c r="D2497" s="26"/>
      <c r="E2497" s="27"/>
      <c r="F2497" s="37" t="s">
        <v>521</v>
      </c>
      <c r="G2497" s="28" t="str">
        <f t="shared" si="43"/>
        <v/>
      </c>
      <c r="H2497" s="29"/>
      <c r="I2497" s="25"/>
      <c r="J2497" s="138">
        <v>0</v>
      </c>
    </row>
    <row r="2498" spans="1:10" ht="26.25" hidden="1" thickBot="1" x14ac:dyDescent="0.3">
      <c r="A2498" s="221"/>
      <c r="B2498" s="223"/>
      <c r="C2498" s="30" t="s">
        <v>130</v>
      </c>
      <c r="D2498" s="41" t="s">
        <v>42</v>
      </c>
      <c r="E2498" s="31">
        <v>3.63</v>
      </c>
      <c r="F2498" s="25">
        <v>13.337999999999999</v>
      </c>
      <c r="G2498" s="28">
        <f t="shared" si="43"/>
        <v>48.416939999999997</v>
      </c>
      <c r="H2498" s="33">
        <f>SUM(G2498:G2498)</f>
        <v>48.416939999999997</v>
      </c>
      <c r="I2498" s="34"/>
      <c r="J2498" s="138">
        <v>0</v>
      </c>
    </row>
    <row r="2499" spans="1:10" ht="15.75" hidden="1" thickBot="1" x14ac:dyDescent="0.3">
      <c r="A2499" s="227"/>
      <c r="B2499" s="224"/>
      <c r="C2499" s="30"/>
      <c r="D2499" s="30"/>
      <c r="E2499" s="31"/>
      <c r="F2499" s="25" t="s">
        <v>521</v>
      </c>
      <c r="G2499" s="28" t="str">
        <f t="shared" si="43"/>
        <v/>
      </c>
      <c r="H2499" s="29"/>
      <c r="I2499" s="25"/>
      <c r="J2499" s="138">
        <v>0</v>
      </c>
    </row>
    <row r="2500" spans="1:10" ht="15.75" hidden="1" thickBot="1" x14ac:dyDescent="0.3">
      <c r="A2500" s="220" t="s">
        <v>1482</v>
      </c>
      <c r="B2500" s="222" t="e">
        <f>INDEX(Orçamentária!A:B,MATCH(Composições!A2500,Orçamentária!A:A,0),2)</f>
        <v>#N/A</v>
      </c>
      <c r="C2500" s="35"/>
      <c r="D2500" s="20" t="s">
        <v>93</v>
      </c>
      <c r="E2500" s="21"/>
      <c r="F2500" s="36" t="s">
        <v>521</v>
      </c>
      <c r="G2500" s="22" t="str">
        <f t="shared" si="43"/>
        <v/>
      </c>
      <c r="H2500" s="23"/>
      <c r="I2500" s="24"/>
      <c r="J2500" s="138">
        <v>0</v>
      </c>
    </row>
    <row r="2501" spans="1:10" ht="15.75" hidden="1" thickBot="1" x14ac:dyDescent="0.3">
      <c r="A2501" s="221"/>
      <c r="B2501" s="223"/>
      <c r="C2501" s="26"/>
      <c r="D2501" s="26"/>
      <c r="E2501" s="27"/>
      <c r="F2501" s="37" t="s">
        <v>521</v>
      </c>
      <c r="G2501" s="28" t="str">
        <f t="shared" si="43"/>
        <v/>
      </c>
      <c r="H2501" s="29"/>
      <c r="I2501" s="25"/>
      <c r="J2501" s="138">
        <v>0</v>
      </c>
    </row>
    <row r="2502" spans="1:10" ht="26.25" hidden="1" thickBot="1" x14ac:dyDescent="0.3">
      <c r="A2502" s="221"/>
      <c r="B2502" s="223"/>
      <c r="C2502" s="30" t="s">
        <v>130</v>
      </c>
      <c r="D2502" s="41" t="s">
        <v>42</v>
      </c>
      <c r="E2502" s="31">
        <v>0.71</v>
      </c>
      <c r="F2502" s="25">
        <v>13.337999999999999</v>
      </c>
      <c r="G2502" s="28">
        <f t="shared" ref="G2502:G2565" si="44">IF(ISNUMBER(F2502),E2502*F2502,"")</f>
        <v>9.4699799999999996</v>
      </c>
      <c r="H2502" s="33">
        <f>SUM(G2502:G2502)</f>
        <v>9.4699799999999996</v>
      </c>
      <c r="I2502" s="34"/>
      <c r="J2502" s="138">
        <v>0</v>
      </c>
    </row>
    <row r="2503" spans="1:10" ht="15.75" hidden="1" thickBot="1" x14ac:dyDescent="0.3">
      <c r="A2503" s="227"/>
      <c r="B2503" s="224"/>
      <c r="C2503" s="30"/>
      <c r="D2503" s="30"/>
      <c r="E2503" s="31"/>
      <c r="F2503" s="25" t="s">
        <v>521</v>
      </c>
      <c r="G2503" s="28" t="str">
        <f t="shared" si="44"/>
        <v/>
      </c>
      <c r="H2503" s="29"/>
      <c r="I2503" s="25"/>
      <c r="J2503" s="138">
        <v>0</v>
      </c>
    </row>
    <row r="2504" spans="1:10" ht="15.75" hidden="1" thickBot="1" x14ac:dyDescent="0.3">
      <c r="A2504" s="220" t="s">
        <v>1483</v>
      </c>
      <c r="B2504" s="222" t="e">
        <f>INDEX(Orçamentária!A:B,MATCH(Composições!A2504,Orçamentária!A:A,0),2)</f>
        <v>#N/A</v>
      </c>
      <c r="C2504" s="35"/>
      <c r="D2504" s="20" t="s">
        <v>42</v>
      </c>
      <c r="E2504" s="21"/>
      <c r="F2504" s="36" t="s">
        <v>521</v>
      </c>
      <c r="G2504" s="22" t="str">
        <f t="shared" si="44"/>
        <v/>
      </c>
      <c r="H2504" s="23"/>
      <c r="I2504" s="24"/>
      <c r="J2504" s="138">
        <v>0</v>
      </c>
    </row>
    <row r="2505" spans="1:10" ht="15.75" hidden="1" thickBot="1" x14ac:dyDescent="0.3">
      <c r="A2505" s="221"/>
      <c r="B2505" s="223"/>
      <c r="C2505" s="26"/>
      <c r="D2505" s="26"/>
      <c r="E2505" s="27"/>
      <c r="F2505" s="37" t="s">
        <v>521</v>
      </c>
      <c r="G2505" s="28" t="str">
        <f t="shared" si="44"/>
        <v/>
      </c>
      <c r="H2505" s="29"/>
      <c r="I2505" s="25"/>
      <c r="J2505" s="138">
        <v>0</v>
      </c>
    </row>
    <row r="2506" spans="1:10" ht="26.25" hidden="1" thickBot="1" x14ac:dyDescent="0.3">
      <c r="A2506" s="221"/>
      <c r="B2506" s="223"/>
      <c r="C2506" s="30" t="s">
        <v>1632</v>
      </c>
      <c r="D2506" s="41" t="s">
        <v>42</v>
      </c>
      <c r="E2506" s="31">
        <v>1</v>
      </c>
      <c r="F2506" s="25">
        <v>14.183499999999999</v>
      </c>
      <c r="G2506" s="28">
        <f t="shared" si="44"/>
        <v>14.183499999999999</v>
      </c>
      <c r="H2506" s="33">
        <f>SUM(G2506:G2506)</f>
        <v>14.183499999999999</v>
      </c>
      <c r="I2506" s="34"/>
      <c r="J2506" s="138">
        <v>0</v>
      </c>
    </row>
    <row r="2507" spans="1:10" ht="15.75" hidden="1" thickBot="1" x14ac:dyDescent="0.3">
      <c r="A2507" s="227"/>
      <c r="B2507" s="224"/>
      <c r="C2507" s="30"/>
      <c r="D2507" s="30"/>
      <c r="E2507" s="31"/>
      <c r="F2507" s="25" t="s">
        <v>521</v>
      </c>
      <c r="G2507" s="28" t="str">
        <f t="shared" si="44"/>
        <v/>
      </c>
      <c r="H2507" s="29"/>
      <c r="I2507" s="25"/>
      <c r="J2507" s="138">
        <v>0</v>
      </c>
    </row>
    <row r="2508" spans="1:10" ht="15.75" hidden="1" thickBot="1" x14ac:dyDescent="0.3">
      <c r="A2508" s="220" t="s">
        <v>1484</v>
      </c>
      <c r="B2508" s="222" t="e">
        <f>INDEX(Orçamentária!A:B,MATCH(Composições!A2508,Orçamentária!A:A,0),2)</f>
        <v>#N/A</v>
      </c>
      <c r="C2508" s="35"/>
      <c r="D2508" s="20" t="s">
        <v>93</v>
      </c>
      <c r="E2508" s="21"/>
      <c r="F2508" s="36" t="s">
        <v>521</v>
      </c>
      <c r="G2508" s="22" t="str">
        <f t="shared" si="44"/>
        <v/>
      </c>
      <c r="H2508" s="23"/>
      <c r="I2508" s="24"/>
      <c r="J2508" s="138">
        <v>0</v>
      </c>
    </row>
    <row r="2509" spans="1:10" ht="15.75" hidden="1" thickBot="1" x14ac:dyDescent="0.3">
      <c r="A2509" s="221"/>
      <c r="B2509" s="223"/>
      <c r="C2509" s="26"/>
      <c r="D2509" s="26"/>
      <c r="E2509" s="27"/>
      <c r="F2509" s="37" t="s">
        <v>521</v>
      </c>
      <c r="G2509" s="28" t="str">
        <f t="shared" si="44"/>
        <v/>
      </c>
      <c r="H2509" s="29"/>
      <c r="I2509" s="25"/>
      <c r="J2509" s="138">
        <v>0</v>
      </c>
    </row>
    <row r="2510" spans="1:10" ht="15.75" hidden="1" thickBot="1" x14ac:dyDescent="0.3">
      <c r="A2510" s="221"/>
      <c r="B2510" s="223"/>
      <c r="C2510" s="30" t="s">
        <v>1920</v>
      </c>
      <c r="D2510" s="41" t="s">
        <v>42</v>
      </c>
      <c r="E2510" s="31">
        <v>0.63</v>
      </c>
      <c r="F2510" s="25">
        <v>12.397500000000001</v>
      </c>
      <c r="G2510" s="28">
        <f t="shared" si="44"/>
        <v>7.8104250000000004</v>
      </c>
      <c r="H2510" s="33">
        <f>SUM(G2510:G2510)</f>
        <v>7.8104250000000004</v>
      </c>
      <c r="I2510" s="34"/>
      <c r="J2510" s="138">
        <v>0</v>
      </c>
    </row>
    <row r="2511" spans="1:10" ht="15.75" hidden="1" thickBot="1" x14ac:dyDescent="0.3">
      <c r="A2511" s="227"/>
      <c r="B2511" s="224"/>
      <c r="C2511" s="30"/>
      <c r="D2511" s="30"/>
      <c r="E2511" s="31"/>
      <c r="F2511" s="25" t="s">
        <v>521</v>
      </c>
      <c r="G2511" s="28" t="str">
        <f t="shared" si="44"/>
        <v/>
      </c>
      <c r="H2511" s="29"/>
      <c r="I2511" s="25"/>
      <c r="J2511" s="138">
        <v>0</v>
      </c>
    </row>
    <row r="2512" spans="1:10" ht="15.75" hidden="1" thickBot="1" x14ac:dyDescent="0.3">
      <c r="A2512" s="220" t="s">
        <v>1485</v>
      </c>
      <c r="B2512" s="222" t="e">
        <f>INDEX(Orçamentária!A:B,MATCH(Composições!A2512,Orçamentária!A:A,0),2)</f>
        <v>#N/A</v>
      </c>
      <c r="C2512" s="35"/>
      <c r="D2512" s="20" t="s">
        <v>93</v>
      </c>
      <c r="E2512" s="21"/>
      <c r="F2512" s="36" t="s">
        <v>521</v>
      </c>
      <c r="G2512" s="22" t="str">
        <f t="shared" si="44"/>
        <v/>
      </c>
      <c r="H2512" s="23"/>
      <c r="I2512" s="24"/>
      <c r="J2512" s="138">
        <v>0</v>
      </c>
    </row>
    <row r="2513" spans="1:10" ht="15.75" hidden="1" thickBot="1" x14ac:dyDescent="0.3">
      <c r="A2513" s="221"/>
      <c r="B2513" s="223"/>
      <c r="C2513" s="26"/>
      <c r="D2513" s="26"/>
      <c r="E2513" s="27"/>
      <c r="F2513" s="37" t="s">
        <v>521</v>
      </c>
      <c r="G2513" s="28" t="str">
        <f t="shared" si="44"/>
        <v/>
      </c>
      <c r="H2513" s="29"/>
      <c r="I2513" s="25"/>
      <c r="J2513" s="138">
        <v>0</v>
      </c>
    </row>
    <row r="2514" spans="1:10" ht="15.75" hidden="1" thickBot="1" x14ac:dyDescent="0.3">
      <c r="A2514" s="221"/>
      <c r="B2514" s="223"/>
      <c r="C2514" s="30" t="s">
        <v>1920</v>
      </c>
      <c r="D2514" s="41" t="s">
        <v>42</v>
      </c>
      <c r="E2514" s="31">
        <v>0.95</v>
      </c>
      <c r="F2514" s="25">
        <v>12.397500000000001</v>
      </c>
      <c r="G2514" s="28">
        <f t="shared" si="44"/>
        <v>11.777625</v>
      </c>
      <c r="H2514" s="33">
        <f>SUM(G2514:G2514)</f>
        <v>11.777625</v>
      </c>
      <c r="I2514" s="34"/>
      <c r="J2514" s="138">
        <v>0</v>
      </c>
    </row>
    <row r="2515" spans="1:10" ht="15.75" hidden="1" thickBot="1" x14ac:dyDescent="0.3">
      <c r="A2515" s="227"/>
      <c r="B2515" s="224"/>
      <c r="C2515" s="30"/>
      <c r="D2515" s="30"/>
      <c r="E2515" s="31"/>
      <c r="F2515" s="25" t="s">
        <v>521</v>
      </c>
      <c r="G2515" s="28" t="str">
        <f t="shared" si="44"/>
        <v/>
      </c>
      <c r="H2515" s="29"/>
      <c r="I2515" s="25"/>
      <c r="J2515" s="138">
        <v>0</v>
      </c>
    </row>
    <row r="2516" spans="1:10" ht="15.75" hidden="1" thickBot="1" x14ac:dyDescent="0.3">
      <c r="A2516" s="220" t="s">
        <v>1486</v>
      </c>
      <c r="B2516" s="222" t="e">
        <f>INDEX(Orçamentária!A:B,MATCH(Composições!A2516,Orçamentária!A:A,0),2)</f>
        <v>#N/A</v>
      </c>
      <c r="C2516" s="35"/>
      <c r="D2516" s="20" t="s">
        <v>93</v>
      </c>
      <c r="E2516" s="21"/>
      <c r="F2516" s="36" t="s">
        <v>521</v>
      </c>
      <c r="G2516" s="22" t="str">
        <f t="shared" si="44"/>
        <v/>
      </c>
      <c r="H2516" s="23"/>
      <c r="I2516" s="24"/>
      <c r="J2516" s="138">
        <v>0</v>
      </c>
    </row>
    <row r="2517" spans="1:10" ht="15.75" hidden="1" thickBot="1" x14ac:dyDescent="0.3">
      <c r="A2517" s="221"/>
      <c r="B2517" s="223"/>
      <c r="C2517" s="26"/>
      <c r="D2517" s="26"/>
      <c r="E2517" s="27"/>
      <c r="F2517" s="37" t="s">
        <v>521</v>
      </c>
      <c r="G2517" s="28" t="str">
        <f t="shared" si="44"/>
        <v/>
      </c>
      <c r="H2517" s="29"/>
      <c r="I2517" s="25"/>
      <c r="J2517" s="138">
        <v>0</v>
      </c>
    </row>
    <row r="2518" spans="1:10" ht="15.75" hidden="1" thickBot="1" x14ac:dyDescent="0.3">
      <c r="A2518" s="221"/>
      <c r="B2518" s="223"/>
      <c r="C2518" s="30" t="s">
        <v>1920</v>
      </c>
      <c r="D2518" s="41" t="s">
        <v>42</v>
      </c>
      <c r="E2518" s="31">
        <v>1.1100000000000001</v>
      </c>
      <c r="F2518" s="25">
        <v>12.397500000000001</v>
      </c>
      <c r="G2518" s="28">
        <f t="shared" si="44"/>
        <v>13.761225000000001</v>
      </c>
      <c r="H2518" s="33">
        <f>SUM(G2518:G2518)</f>
        <v>13.761225000000001</v>
      </c>
      <c r="I2518" s="34"/>
      <c r="J2518" s="138">
        <v>0</v>
      </c>
    </row>
    <row r="2519" spans="1:10" ht="15.75" hidden="1" thickBot="1" x14ac:dyDescent="0.3">
      <c r="A2519" s="227"/>
      <c r="B2519" s="224"/>
      <c r="C2519" s="30"/>
      <c r="D2519" s="30"/>
      <c r="E2519" s="31"/>
      <c r="F2519" s="25" t="s">
        <v>521</v>
      </c>
      <c r="G2519" s="28" t="str">
        <f t="shared" si="44"/>
        <v/>
      </c>
      <c r="H2519" s="29"/>
      <c r="I2519" s="25"/>
      <c r="J2519" s="138">
        <v>0</v>
      </c>
    </row>
    <row r="2520" spans="1:10" ht="15.75" hidden="1" thickBot="1" x14ac:dyDescent="0.3">
      <c r="A2520" s="220" t="s">
        <v>1487</v>
      </c>
      <c r="B2520" s="222" t="e">
        <f>INDEX(Orçamentária!A:B,MATCH(Composições!A2520,Orçamentária!A:A,0),2)</f>
        <v>#N/A</v>
      </c>
      <c r="C2520" s="35"/>
      <c r="D2520" s="20" t="s">
        <v>93</v>
      </c>
      <c r="E2520" s="21"/>
      <c r="F2520" s="36" t="s">
        <v>521</v>
      </c>
      <c r="G2520" s="22" t="str">
        <f t="shared" si="44"/>
        <v/>
      </c>
      <c r="H2520" s="23"/>
      <c r="I2520" s="24"/>
      <c r="J2520" s="138">
        <v>0</v>
      </c>
    </row>
    <row r="2521" spans="1:10" ht="15.75" hidden="1" thickBot="1" x14ac:dyDescent="0.3">
      <c r="A2521" s="221"/>
      <c r="B2521" s="223"/>
      <c r="C2521" s="26"/>
      <c r="D2521" s="26"/>
      <c r="E2521" s="27"/>
      <c r="F2521" s="37" t="s">
        <v>521</v>
      </c>
      <c r="G2521" s="28" t="str">
        <f t="shared" si="44"/>
        <v/>
      </c>
      <c r="H2521" s="29"/>
      <c r="I2521" s="25"/>
      <c r="J2521" s="138">
        <v>0</v>
      </c>
    </row>
    <row r="2522" spans="1:10" ht="15.75" hidden="1" thickBot="1" x14ac:dyDescent="0.3">
      <c r="A2522" s="221"/>
      <c r="B2522" s="223"/>
      <c r="C2522" s="30" t="s">
        <v>1920</v>
      </c>
      <c r="D2522" s="41" t="s">
        <v>42</v>
      </c>
      <c r="E2522" s="31">
        <v>0.48</v>
      </c>
      <c r="F2522" s="25">
        <v>12.397500000000001</v>
      </c>
      <c r="G2522" s="28">
        <f t="shared" si="44"/>
        <v>5.9508000000000001</v>
      </c>
      <c r="H2522" s="33">
        <f>SUM(G2522:G2522)</f>
        <v>5.9508000000000001</v>
      </c>
      <c r="I2522" s="34"/>
      <c r="J2522" s="138">
        <v>0</v>
      </c>
    </row>
    <row r="2523" spans="1:10" ht="15.75" hidden="1" thickBot="1" x14ac:dyDescent="0.3">
      <c r="A2523" s="227"/>
      <c r="B2523" s="224"/>
      <c r="C2523" s="30"/>
      <c r="D2523" s="30"/>
      <c r="E2523" s="31"/>
      <c r="F2523" s="25" t="s">
        <v>521</v>
      </c>
      <c r="G2523" s="28" t="str">
        <f t="shared" si="44"/>
        <v/>
      </c>
      <c r="H2523" s="29"/>
      <c r="I2523" s="25"/>
      <c r="J2523" s="138">
        <v>0</v>
      </c>
    </row>
    <row r="2524" spans="1:10" ht="15.75" hidden="1" thickBot="1" x14ac:dyDescent="0.3">
      <c r="A2524" s="220" t="s">
        <v>1488</v>
      </c>
      <c r="B2524" s="222" t="e">
        <f>INDEX(Orçamentária!A:B,MATCH(Composições!A2524,Orçamentária!A:A,0),2)</f>
        <v>#N/A</v>
      </c>
      <c r="C2524" s="35"/>
      <c r="D2524" s="20" t="s">
        <v>93</v>
      </c>
      <c r="E2524" s="21"/>
      <c r="F2524" s="36" t="s">
        <v>521</v>
      </c>
      <c r="G2524" s="22" t="str">
        <f t="shared" si="44"/>
        <v/>
      </c>
      <c r="H2524" s="23"/>
      <c r="I2524" s="24"/>
      <c r="J2524" s="138">
        <v>0</v>
      </c>
    </row>
    <row r="2525" spans="1:10" ht="15.75" hidden="1" thickBot="1" x14ac:dyDescent="0.3">
      <c r="A2525" s="221"/>
      <c r="B2525" s="223"/>
      <c r="C2525" s="26"/>
      <c r="D2525" s="26"/>
      <c r="E2525" s="27"/>
      <c r="F2525" s="37" t="s">
        <v>521</v>
      </c>
      <c r="G2525" s="28" t="str">
        <f t="shared" si="44"/>
        <v/>
      </c>
      <c r="H2525" s="29"/>
      <c r="I2525" s="25"/>
      <c r="J2525" s="138">
        <v>0</v>
      </c>
    </row>
    <row r="2526" spans="1:10" ht="15.75" hidden="1" thickBot="1" x14ac:dyDescent="0.3">
      <c r="A2526" s="221"/>
      <c r="B2526" s="223"/>
      <c r="C2526" s="30" t="s">
        <v>1920</v>
      </c>
      <c r="D2526" s="41" t="s">
        <v>42</v>
      </c>
      <c r="E2526" s="31">
        <v>0.71</v>
      </c>
      <c r="F2526" s="25">
        <v>12.397500000000001</v>
      </c>
      <c r="G2526" s="28">
        <f t="shared" si="44"/>
        <v>8.802225</v>
      </c>
      <c r="H2526" s="33">
        <f>SUM(G2526:G2526)</f>
        <v>8.802225</v>
      </c>
      <c r="I2526" s="34"/>
      <c r="J2526" s="138">
        <v>0</v>
      </c>
    </row>
    <row r="2527" spans="1:10" ht="15.75" hidden="1" thickBot="1" x14ac:dyDescent="0.3">
      <c r="A2527" s="227"/>
      <c r="B2527" s="224"/>
      <c r="C2527" s="30"/>
      <c r="D2527" s="30"/>
      <c r="E2527" s="31"/>
      <c r="F2527" s="25" t="s">
        <v>521</v>
      </c>
      <c r="G2527" s="28" t="str">
        <f t="shared" si="44"/>
        <v/>
      </c>
      <c r="H2527" s="29"/>
      <c r="I2527" s="25"/>
      <c r="J2527" s="138">
        <v>0</v>
      </c>
    </row>
    <row r="2528" spans="1:10" ht="15.75" hidden="1" thickBot="1" x14ac:dyDescent="0.3">
      <c r="A2528" s="220" t="s">
        <v>1489</v>
      </c>
      <c r="B2528" s="222" t="e">
        <f>INDEX(Orçamentária!A:B,MATCH(Composições!A2528,Orçamentária!A:A,0),2)</f>
        <v>#N/A</v>
      </c>
      <c r="C2528" s="35"/>
      <c r="D2528" s="20" t="s">
        <v>93</v>
      </c>
      <c r="E2528" s="21"/>
      <c r="F2528" s="36" t="s">
        <v>521</v>
      </c>
      <c r="G2528" s="22" t="str">
        <f t="shared" si="44"/>
        <v/>
      </c>
      <c r="H2528" s="23"/>
      <c r="I2528" s="24"/>
      <c r="J2528" s="138">
        <v>0</v>
      </c>
    </row>
    <row r="2529" spans="1:10" ht="15.75" hidden="1" thickBot="1" x14ac:dyDescent="0.3">
      <c r="A2529" s="221"/>
      <c r="B2529" s="223"/>
      <c r="C2529" s="26"/>
      <c r="D2529" s="26"/>
      <c r="E2529" s="27"/>
      <c r="F2529" s="37" t="s">
        <v>521</v>
      </c>
      <c r="G2529" s="28" t="str">
        <f t="shared" si="44"/>
        <v/>
      </c>
      <c r="H2529" s="29"/>
      <c r="I2529" s="25"/>
      <c r="J2529" s="138">
        <v>0</v>
      </c>
    </row>
    <row r="2530" spans="1:10" ht="15.75" hidden="1" thickBot="1" x14ac:dyDescent="0.3">
      <c r="A2530" s="221"/>
      <c r="B2530" s="223"/>
      <c r="C2530" s="30" t="s">
        <v>1920</v>
      </c>
      <c r="D2530" s="41" t="s">
        <v>42</v>
      </c>
      <c r="E2530" s="31">
        <v>0.4</v>
      </c>
      <c r="F2530" s="25">
        <v>12.397500000000001</v>
      </c>
      <c r="G2530" s="28">
        <f t="shared" si="44"/>
        <v>4.9590000000000005</v>
      </c>
      <c r="H2530" s="33">
        <f>SUM(G2530:G2530)</f>
        <v>4.9590000000000005</v>
      </c>
      <c r="I2530" s="34"/>
      <c r="J2530" s="138">
        <v>0</v>
      </c>
    </row>
    <row r="2531" spans="1:10" ht="15.75" hidden="1" thickBot="1" x14ac:dyDescent="0.3">
      <c r="A2531" s="227"/>
      <c r="B2531" s="224"/>
      <c r="C2531" s="30"/>
      <c r="D2531" s="30"/>
      <c r="E2531" s="31"/>
      <c r="F2531" s="25" t="s">
        <v>521</v>
      </c>
      <c r="G2531" s="28" t="str">
        <f t="shared" si="44"/>
        <v/>
      </c>
      <c r="H2531" s="29"/>
      <c r="I2531" s="25"/>
      <c r="J2531" s="138">
        <v>0</v>
      </c>
    </row>
    <row r="2532" spans="1:10" ht="15.75" hidden="1" thickBot="1" x14ac:dyDescent="0.3">
      <c r="A2532" s="220" t="s">
        <v>1490</v>
      </c>
      <c r="B2532" s="222" t="e">
        <f>INDEX(Orçamentária!A:B,MATCH(Composições!A2532,Orçamentária!A:A,0),2)</f>
        <v>#N/A</v>
      </c>
      <c r="C2532" s="35"/>
      <c r="D2532" s="20" t="s">
        <v>93</v>
      </c>
      <c r="E2532" s="21"/>
      <c r="F2532" s="36" t="s">
        <v>521</v>
      </c>
      <c r="G2532" s="22" t="str">
        <f t="shared" si="44"/>
        <v/>
      </c>
      <c r="H2532" s="23"/>
      <c r="I2532" s="24"/>
      <c r="J2532" s="138">
        <v>0</v>
      </c>
    </row>
    <row r="2533" spans="1:10" ht="15.75" hidden="1" thickBot="1" x14ac:dyDescent="0.3">
      <c r="A2533" s="221"/>
      <c r="B2533" s="223"/>
      <c r="C2533" s="26"/>
      <c r="D2533" s="26"/>
      <c r="E2533" s="27"/>
      <c r="F2533" s="37" t="s">
        <v>521</v>
      </c>
      <c r="G2533" s="28" t="str">
        <f t="shared" si="44"/>
        <v/>
      </c>
      <c r="H2533" s="29"/>
      <c r="I2533" s="25"/>
      <c r="J2533" s="138">
        <v>0</v>
      </c>
    </row>
    <row r="2534" spans="1:10" ht="15.75" hidden="1" thickBot="1" x14ac:dyDescent="0.3">
      <c r="A2534" s="221"/>
      <c r="B2534" s="223"/>
      <c r="C2534" s="30" t="s">
        <v>1920</v>
      </c>
      <c r="D2534" s="41" t="s">
        <v>42</v>
      </c>
      <c r="E2534" s="31">
        <v>0.79</v>
      </c>
      <c r="F2534" s="25">
        <v>12.397500000000001</v>
      </c>
      <c r="G2534" s="28">
        <f t="shared" si="44"/>
        <v>9.7940250000000013</v>
      </c>
      <c r="H2534" s="33">
        <f>SUM(G2534:G2534)</f>
        <v>9.7940250000000013</v>
      </c>
      <c r="I2534" s="34"/>
      <c r="J2534" s="138">
        <v>0</v>
      </c>
    </row>
    <row r="2535" spans="1:10" ht="15.75" hidden="1" thickBot="1" x14ac:dyDescent="0.3">
      <c r="A2535" s="227"/>
      <c r="B2535" s="224"/>
      <c r="C2535" s="30"/>
      <c r="D2535" s="30"/>
      <c r="E2535" s="31"/>
      <c r="F2535" s="25" t="s">
        <v>521</v>
      </c>
      <c r="G2535" s="28" t="str">
        <f t="shared" si="44"/>
        <v/>
      </c>
      <c r="H2535" s="29"/>
      <c r="I2535" s="25"/>
      <c r="J2535" s="138">
        <v>0</v>
      </c>
    </row>
    <row r="2536" spans="1:10" ht="15.75" hidden="1" thickBot="1" x14ac:dyDescent="0.3">
      <c r="A2536" s="220" t="s">
        <v>1491</v>
      </c>
      <c r="B2536" s="222" t="e">
        <f>INDEX(Orçamentária!A:B,MATCH(Composições!A2536,Orçamentária!A:A,0),2)</f>
        <v>#N/A</v>
      </c>
      <c r="C2536" s="35"/>
      <c r="D2536" s="20" t="s">
        <v>93</v>
      </c>
      <c r="E2536" s="21"/>
      <c r="F2536" s="36" t="s">
        <v>521</v>
      </c>
      <c r="G2536" s="22" t="str">
        <f t="shared" si="44"/>
        <v/>
      </c>
      <c r="H2536" s="23"/>
      <c r="I2536" s="24"/>
      <c r="J2536" s="138">
        <v>0</v>
      </c>
    </row>
    <row r="2537" spans="1:10" ht="15.75" hidden="1" thickBot="1" x14ac:dyDescent="0.3">
      <c r="A2537" s="221"/>
      <c r="B2537" s="223"/>
      <c r="C2537" s="26"/>
      <c r="D2537" s="26"/>
      <c r="E2537" s="27"/>
      <c r="F2537" s="37" t="s">
        <v>521</v>
      </c>
      <c r="G2537" s="28" t="str">
        <f t="shared" si="44"/>
        <v/>
      </c>
      <c r="H2537" s="29"/>
      <c r="I2537" s="25"/>
      <c r="J2537" s="138">
        <v>0</v>
      </c>
    </row>
    <row r="2538" spans="1:10" ht="15.75" hidden="1" thickBot="1" x14ac:dyDescent="0.3">
      <c r="A2538" s="221"/>
      <c r="B2538" s="223"/>
      <c r="C2538" s="30" t="s">
        <v>1920</v>
      </c>
      <c r="D2538" s="41" t="s">
        <v>42</v>
      </c>
      <c r="E2538" s="31">
        <v>0.55000000000000004</v>
      </c>
      <c r="F2538" s="25">
        <v>12.397500000000001</v>
      </c>
      <c r="G2538" s="28">
        <f t="shared" si="44"/>
        <v>6.8186250000000008</v>
      </c>
      <c r="H2538" s="33">
        <f>SUM(G2538:G2538)</f>
        <v>6.8186250000000008</v>
      </c>
      <c r="I2538" s="34"/>
      <c r="J2538" s="138">
        <v>0</v>
      </c>
    </row>
    <row r="2539" spans="1:10" ht="15.75" hidden="1" thickBot="1" x14ac:dyDescent="0.3">
      <c r="A2539" s="227"/>
      <c r="B2539" s="224"/>
      <c r="C2539" s="30"/>
      <c r="D2539" s="30"/>
      <c r="E2539" s="31"/>
      <c r="F2539" s="25" t="s">
        <v>521</v>
      </c>
      <c r="G2539" s="28" t="str">
        <f t="shared" si="44"/>
        <v/>
      </c>
      <c r="H2539" s="29"/>
      <c r="I2539" s="25"/>
      <c r="J2539" s="138">
        <v>0</v>
      </c>
    </row>
    <row r="2540" spans="1:10" ht="15.75" hidden="1" thickBot="1" x14ac:dyDescent="0.3">
      <c r="A2540" s="220" t="s">
        <v>1492</v>
      </c>
      <c r="B2540" s="222" t="e">
        <f>INDEX(Orçamentária!A:B,MATCH(Composições!A2540,Orçamentária!A:A,0),2)</f>
        <v>#N/A</v>
      </c>
      <c r="C2540" s="35"/>
      <c r="D2540" s="20" t="s">
        <v>93</v>
      </c>
      <c r="E2540" s="21"/>
      <c r="F2540" s="36" t="s">
        <v>521</v>
      </c>
      <c r="G2540" s="22" t="str">
        <f t="shared" si="44"/>
        <v/>
      </c>
      <c r="H2540" s="23"/>
      <c r="I2540" s="24"/>
      <c r="J2540" s="138">
        <v>0</v>
      </c>
    </row>
    <row r="2541" spans="1:10" ht="15.75" hidden="1" thickBot="1" x14ac:dyDescent="0.3">
      <c r="A2541" s="221"/>
      <c r="B2541" s="223"/>
      <c r="C2541" s="26"/>
      <c r="D2541" s="26"/>
      <c r="E2541" s="27"/>
      <c r="F2541" s="37" t="s">
        <v>521</v>
      </c>
      <c r="G2541" s="28" t="str">
        <f t="shared" si="44"/>
        <v/>
      </c>
      <c r="H2541" s="29"/>
      <c r="I2541" s="25"/>
      <c r="J2541" s="138">
        <v>0</v>
      </c>
    </row>
    <row r="2542" spans="1:10" ht="15.75" hidden="1" thickBot="1" x14ac:dyDescent="0.3">
      <c r="A2542" s="221"/>
      <c r="B2542" s="223"/>
      <c r="C2542" s="30" t="s">
        <v>1920</v>
      </c>
      <c r="D2542" s="41" t="s">
        <v>42</v>
      </c>
      <c r="E2542" s="31">
        <v>0.83</v>
      </c>
      <c r="F2542" s="25">
        <v>12.397500000000001</v>
      </c>
      <c r="G2542" s="28">
        <f t="shared" si="44"/>
        <v>10.289925</v>
      </c>
      <c r="H2542" s="33">
        <f>SUM(G2542:G2542)</f>
        <v>10.289925</v>
      </c>
      <c r="I2542" s="34"/>
      <c r="J2542" s="138">
        <v>0</v>
      </c>
    </row>
    <row r="2543" spans="1:10" ht="15.75" hidden="1" thickBot="1" x14ac:dyDescent="0.3">
      <c r="A2543" s="227"/>
      <c r="B2543" s="224"/>
      <c r="C2543" s="30"/>
      <c r="D2543" s="30"/>
      <c r="E2543" s="31"/>
      <c r="F2543" s="25" t="s">
        <v>521</v>
      </c>
      <c r="G2543" s="28" t="str">
        <f t="shared" si="44"/>
        <v/>
      </c>
      <c r="H2543" s="29"/>
      <c r="I2543" s="25"/>
      <c r="J2543" s="138">
        <v>0</v>
      </c>
    </row>
    <row r="2544" spans="1:10" ht="15.75" hidden="1" thickBot="1" x14ac:dyDescent="0.3">
      <c r="A2544" s="220" t="s">
        <v>1493</v>
      </c>
      <c r="B2544" s="222" t="e">
        <f>INDEX(Orçamentária!A:B,MATCH(Composições!A2544,Orçamentária!A:A,0),2)</f>
        <v>#N/A</v>
      </c>
      <c r="C2544" s="35"/>
      <c r="D2544" s="20" t="s">
        <v>95</v>
      </c>
      <c r="E2544" s="21"/>
      <c r="F2544" s="36" t="s">
        <v>521</v>
      </c>
      <c r="G2544" s="22" t="str">
        <f t="shared" si="44"/>
        <v/>
      </c>
      <c r="H2544" s="23"/>
      <c r="I2544" s="24"/>
      <c r="J2544" s="138">
        <v>0</v>
      </c>
    </row>
    <row r="2545" spans="1:10" ht="15.75" hidden="1" thickBot="1" x14ac:dyDescent="0.3">
      <c r="A2545" s="221"/>
      <c r="B2545" s="223"/>
      <c r="C2545" s="26"/>
      <c r="D2545" s="26"/>
      <c r="E2545" s="27"/>
      <c r="F2545" s="37" t="s">
        <v>521</v>
      </c>
      <c r="G2545" s="28" t="str">
        <f t="shared" si="44"/>
        <v/>
      </c>
      <c r="H2545" s="29"/>
      <c r="I2545" s="25"/>
      <c r="J2545" s="138">
        <v>0</v>
      </c>
    </row>
    <row r="2546" spans="1:10" ht="15.75" hidden="1" thickBot="1" x14ac:dyDescent="0.3">
      <c r="A2546" s="221"/>
      <c r="B2546" s="223"/>
      <c r="C2546" s="30" t="s">
        <v>1739</v>
      </c>
      <c r="D2546" s="41" t="s">
        <v>95</v>
      </c>
      <c r="E2546" s="31">
        <v>1</v>
      </c>
      <c r="F2546" s="25">
        <v>5.6050000000000004</v>
      </c>
      <c r="G2546" s="28">
        <f t="shared" si="44"/>
        <v>5.6050000000000004</v>
      </c>
      <c r="H2546" s="33">
        <f>SUM(G2546:G2546)</f>
        <v>5.6050000000000004</v>
      </c>
      <c r="I2546" s="34"/>
      <c r="J2546" s="138">
        <v>0</v>
      </c>
    </row>
    <row r="2547" spans="1:10" ht="15.75" hidden="1" thickBot="1" x14ac:dyDescent="0.3">
      <c r="A2547" s="227"/>
      <c r="B2547" s="224"/>
      <c r="C2547" s="30"/>
      <c r="D2547" s="30"/>
      <c r="E2547" s="31"/>
      <c r="F2547" s="25" t="s">
        <v>521</v>
      </c>
      <c r="G2547" s="28" t="str">
        <f t="shared" si="44"/>
        <v/>
      </c>
      <c r="H2547" s="29"/>
      <c r="I2547" s="25"/>
      <c r="J2547" s="138">
        <v>0</v>
      </c>
    </row>
    <row r="2548" spans="1:10" ht="15.75" hidden="1" thickBot="1" x14ac:dyDescent="0.3">
      <c r="A2548" s="220" t="s">
        <v>1494</v>
      </c>
      <c r="B2548" s="222" t="e">
        <f>INDEX(Orçamentária!A:B,MATCH(Composições!A2548,Orçamentária!A:A,0),2)</f>
        <v>#N/A</v>
      </c>
      <c r="C2548" s="35"/>
      <c r="D2548" s="20" t="s">
        <v>42</v>
      </c>
      <c r="E2548" s="21"/>
      <c r="F2548" s="36" t="s">
        <v>521</v>
      </c>
      <c r="G2548" s="22" t="str">
        <f t="shared" si="44"/>
        <v/>
      </c>
      <c r="H2548" s="23"/>
      <c r="I2548" s="24"/>
      <c r="J2548" s="138">
        <v>0</v>
      </c>
    </row>
    <row r="2549" spans="1:10" ht="15.75" hidden="1" thickBot="1" x14ac:dyDescent="0.3">
      <c r="A2549" s="221"/>
      <c r="B2549" s="223"/>
      <c r="C2549" s="26"/>
      <c r="D2549" s="26"/>
      <c r="E2549" s="27"/>
      <c r="F2549" s="37" t="s">
        <v>521</v>
      </c>
      <c r="G2549" s="28" t="str">
        <f t="shared" si="44"/>
        <v/>
      </c>
      <c r="H2549" s="29"/>
      <c r="I2549" s="25"/>
      <c r="J2549" s="138">
        <v>0</v>
      </c>
    </row>
    <row r="2550" spans="1:10" ht="15.75" hidden="1" thickBot="1" x14ac:dyDescent="0.3">
      <c r="A2550" s="221"/>
      <c r="B2550" s="223"/>
      <c r="C2550" s="30" t="s">
        <v>1620</v>
      </c>
      <c r="D2550" s="41" t="s">
        <v>42</v>
      </c>
      <c r="E2550" s="31">
        <v>1</v>
      </c>
      <c r="F2550" s="25">
        <v>29.725499999999997</v>
      </c>
      <c r="G2550" s="28">
        <f t="shared" si="44"/>
        <v>29.725499999999997</v>
      </c>
      <c r="H2550" s="33">
        <f>SUM(G2550:G2550)</f>
        <v>29.725499999999997</v>
      </c>
      <c r="I2550" s="34"/>
      <c r="J2550" s="138">
        <v>0</v>
      </c>
    </row>
    <row r="2551" spans="1:10" ht="15.75" hidden="1" thickBot="1" x14ac:dyDescent="0.3">
      <c r="A2551" s="227"/>
      <c r="B2551" s="224"/>
      <c r="C2551" s="30"/>
      <c r="D2551" s="30"/>
      <c r="E2551" s="31"/>
      <c r="F2551" s="25" t="s">
        <v>521</v>
      </c>
      <c r="G2551" s="28" t="str">
        <f t="shared" si="44"/>
        <v/>
      </c>
      <c r="H2551" s="29"/>
      <c r="I2551" s="25"/>
      <c r="J2551" s="138">
        <v>0</v>
      </c>
    </row>
    <row r="2552" spans="1:10" ht="15.75" hidden="1" thickBot="1" x14ac:dyDescent="0.3">
      <c r="A2552" s="220" t="s">
        <v>1495</v>
      </c>
      <c r="B2552" s="222" t="e">
        <f>INDEX(Orçamentária!A:B,MATCH(Composições!A2552,Orçamentária!A:A,0),2)</f>
        <v>#N/A</v>
      </c>
      <c r="C2552" s="35"/>
      <c r="D2552" s="20" t="s">
        <v>95</v>
      </c>
      <c r="E2552" s="21"/>
      <c r="F2552" s="36" t="s">
        <v>521</v>
      </c>
      <c r="G2552" s="22" t="str">
        <f t="shared" si="44"/>
        <v/>
      </c>
      <c r="H2552" s="23"/>
      <c r="I2552" s="24"/>
      <c r="J2552" s="138">
        <v>0</v>
      </c>
    </row>
    <row r="2553" spans="1:10" ht="15.75" hidden="1" thickBot="1" x14ac:dyDescent="0.3">
      <c r="A2553" s="221"/>
      <c r="B2553" s="223"/>
      <c r="C2553" s="26"/>
      <c r="D2553" s="26"/>
      <c r="E2553" s="27"/>
      <c r="F2553" s="37" t="s">
        <v>521</v>
      </c>
      <c r="G2553" s="28" t="str">
        <f t="shared" si="44"/>
        <v/>
      </c>
      <c r="H2553" s="29"/>
      <c r="I2553" s="25"/>
      <c r="J2553" s="138">
        <v>0</v>
      </c>
    </row>
    <row r="2554" spans="1:10" ht="26.25" hidden="1" thickBot="1" x14ac:dyDescent="0.3">
      <c r="A2554" s="221"/>
      <c r="B2554" s="223"/>
      <c r="C2554" s="30" t="s">
        <v>1738</v>
      </c>
      <c r="D2554" s="41" t="s">
        <v>95</v>
      </c>
      <c r="E2554" s="31">
        <v>1</v>
      </c>
      <c r="F2554" s="25">
        <v>39.862000000000002</v>
      </c>
      <c r="G2554" s="28">
        <f t="shared" si="44"/>
        <v>39.862000000000002</v>
      </c>
      <c r="H2554" s="33">
        <f>SUM(G2554:G2554)</f>
        <v>39.862000000000002</v>
      </c>
      <c r="I2554" s="34"/>
      <c r="J2554" s="138">
        <v>0</v>
      </c>
    </row>
    <row r="2555" spans="1:10" ht="15.75" hidden="1" thickBot="1" x14ac:dyDescent="0.3">
      <c r="A2555" s="227"/>
      <c r="B2555" s="224"/>
      <c r="C2555" s="30"/>
      <c r="D2555" s="30"/>
      <c r="E2555" s="31"/>
      <c r="F2555" s="25" t="s">
        <v>521</v>
      </c>
      <c r="G2555" s="28" t="str">
        <f t="shared" si="44"/>
        <v/>
      </c>
      <c r="H2555" s="29"/>
      <c r="I2555" s="25"/>
      <c r="J2555" s="138">
        <v>0</v>
      </c>
    </row>
    <row r="2556" spans="1:10" ht="15.75" hidden="1" thickBot="1" x14ac:dyDescent="0.3">
      <c r="A2556" s="220" t="s">
        <v>1496</v>
      </c>
      <c r="B2556" s="222" t="e">
        <f>INDEX(Orçamentária!A:B,MATCH(Composições!A2556,Orçamentária!A:A,0),2)</f>
        <v>#N/A</v>
      </c>
      <c r="C2556" s="35"/>
      <c r="D2556" s="20" t="s">
        <v>20</v>
      </c>
      <c r="E2556" s="21"/>
      <c r="F2556" s="36" t="s">
        <v>521</v>
      </c>
      <c r="G2556" s="22" t="str">
        <f t="shared" si="44"/>
        <v/>
      </c>
      <c r="H2556" s="23"/>
      <c r="I2556" s="24"/>
      <c r="J2556" s="138">
        <v>0</v>
      </c>
    </row>
    <row r="2557" spans="1:10" ht="15.75" hidden="1" thickBot="1" x14ac:dyDescent="0.3">
      <c r="A2557" s="221"/>
      <c r="B2557" s="223"/>
      <c r="C2557" s="26"/>
      <c r="D2557" s="26"/>
      <c r="E2557" s="27"/>
      <c r="F2557" s="37" t="s">
        <v>521</v>
      </c>
      <c r="G2557" s="28" t="str">
        <f t="shared" si="44"/>
        <v/>
      </c>
      <c r="H2557" s="29"/>
      <c r="I2557" s="25"/>
      <c r="J2557" s="138">
        <v>0</v>
      </c>
    </row>
    <row r="2558" spans="1:10" ht="15.75" hidden="1" thickBot="1" x14ac:dyDescent="0.3">
      <c r="A2558" s="221"/>
      <c r="B2558" s="223"/>
      <c r="C2558" s="30" t="s">
        <v>1714</v>
      </c>
      <c r="D2558" s="41" t="s">
        <v>42</v>
      </c>
      <c r="E2558" s="31">
        <v>0.4</v>
      </c>
      <c r="F2558" s="25">
        <v>39.909499999999994</v>
      </c>
      <c r="G2558" s="28">
        <f t="shared" si="44"/>
        <v>15.963799999999999</v>
      </c>
      <c r="H2558" s="33">
        <f>SUM(G2558:G2558)</f>
        <v>15.963799999999999</v>
      </c>
      <c r="I2558" s="34"/>
      <c r="J2558" s="138">
        <v>0</v>
      </c>
    </row>
    <row r="2559" spans="1:10" ht="15.75" hidden="1" thickBot="1" x14ac:dyDescent="0.3">
      <c r="A2559" s="227"/>
      <c r="B2559" s="224"/>
      <c r="C2559" s="30"/>
      <c r="D2559" s="30"/>
      <c r="E2559" s="31"/>
      <c r="F2559" s="25" t="s">
        <v>521</v>
      </c>
      <c r="G2559" s="28" t="str">
        <f t="shared" si="44"/>
        <v/>
      </c>
      <c r="H2559" s="29"/>
      <c r="I2559" s="25"/>
      <c r="J2559" s="138">
        <v>0</v>
      </c>
    </row>
    <row r="2560" spans="1:10" ht="15.75" hidden="1" thickBot="1" x14ac:dyDescent="0.3">
      <c r="A2560" s="220" t="s">
        <v>742</v>
      </c>
      <c r="B2560" s="222" t="e">
        <f>INDEX(Orçamentária!A:B,MATCH(Composições!A2560,Orçamentária!A:A,0),2)</f>
        <v>#N/A</v>
      </c>
      <c r="C2560" s="35"/>
      <c r="D2560" s="20" t="s">
        <v>1497</v>
      </c>
      <c r="E2560" s="21"/>
      <c r="F2560" s="36" t="s">
        <v>521</v>
      </c>
      <c r="G2560" s="22" t="str">
        <f t="shared" si="44"/>
        <v/>
      </c>
      <c r="H2560" s="23"/>
      <c r="I2560" s="24"/>
      <c r="J2560" s="138">
        <v>0</v>
      </c>
    </row>
    <row r="2561" spans="1:10" ht="15.75" hidden="1" thickBot="1" x14ac:dyDescent="0.3">
      <c r="A2561" s="221"/>
      <c r="B2561" s="223"/>
      <c r="C2561" s="26"/>
      <c r="D2561" s="26"/>
      <c r="E2561" s="27"/>
      <c r="F2561" s="37" t="s">
        <v>521</v>
      </c>
      <c r="G2561" s="28" t="str">
        <f t="shared" si="44"/>
        <v/>
      </c>
      <c r="H2561" s="29"/>
      <c r="I2561" s="25"/>
      <c r="J2561" s="138">
        <v>0</v>
      </c>
    </row>
    <row r="2562" spans="1:10" ht="15.75" hidden="1" thickBot="1" x14ac:dyDescent="0.3">
      <c r="A2562" s="221"/>
      <c r="B2562" s="223"/>
      <c r="C2562" s="30" t="s">
        <v>743</v>
      </c>
      <c r="D2562" s="41" t="s">
        <v>42</v>
      </c>
      <c r="E2562" s="31">
        <v>40</v>
      </c>
      <c r="F2562" s="25">
        <v>0.54149999999999998</v>
      </c>
      <c r="G2562" s="28">
        <f t="shared" si="44"/>
        <v>21.66</v>
      </c>
      <c r="H2562" s="33">
        <f>SUM(G2562:G2562)</f>
        <v>21.66</v>
      </c>
      <c r="I2562" s="34"/>
      <c r="J2562" s="138">
        <v>0</v>
      </c>
    </row>
    <row r="2563" spans="1:10" ht="15.75" hidden="1" thickBot="1" x14ac:dyDescent="0.3">
      <c r="A2563" s="227"/>
      <c r="B2563" s="224"/>
      <c r="C2563" s="30"/>
      <c r="D2563" s="30"/>
      <c r="E2563" s="31"/>
      <c r="F2563" s="25" t="s">
        <v>521</v>
      </c>
      <c r="G2563" s="28" t="str">
        <f t="shared" si="44"/>
        <v/>
      </c>
      <c r="H2563" s="29"/>
      <c r="I2563" s="25"/>
      <c r="J2563" s="138">
        <v>0</v>
      </c>
    </row>
    <row r="2564" spans="1:10" ht="15.75" hidden="1" thickBot="1" x14ac:dyDescent="0.3">
      <c r="A2564" s="220" t="s">
        <v>744</v>
      </c>
      <c r="B2564" s="222" t="e">
        <f>INDEX(Orçamentária!A:B,MATCH(Composições!A2564,Orçamentária!A:A,0),2)</f>
        <v>#N/A</v>
      </c>
      <c r="C2564" s="35"/>
      <c r="D2564" s="20" t="s">
        <v>1497</v>
      </c>
      <c r="E2564" s="21"/>
      <c r="F2564" s="36" t="s">
        <v>521</v>
      </c>
      <c r="G2564" s="22" t="str">
        <f t="shared" si="44"/>
        <v/>
      </c>
      <c r="H2564" s="23"/>
      <c r="I2564" s="24"/>
      <c r="J2564" s="138">
        <v>0</v>
      </c>
    </row>
    <row r="2565" spans="1:10" ht="15.75" hidden="1" thickBot="1" x14ac:dyDescent="0.3">
      <c r="A2565" s="221"/>
      <c r="B2565" s="223"/>
      <c r="C2565" s="26"/>
      <c r="D2565" s="26"/>
      <c r="E2565" s="27"/>
      <c r="F2565" s="37" t="s">
        <v>521</v>
      </c>
      <c r="G2565" s="28" t="str">
        <f t="shared" si="44"/>
        <v/>
      </c>
      <c r="H2565" s="29"/>
      <c r="I2565" s="25"/>
      <c r="J2565" s="138">
        <v>0</v>
      </c>
    </row>
    <row r="2566" spans="1:10" ht="26.25" hidden="1" thickBot="1" x14ac:dyDescent="0.3">
      <c r="A2566" s="221"/>
      <c r="B2566" s="223"/>
      <c r="C2566" s="30" t="s">
        <v>745</v>
      </c>
      <c r="D2566" s="41" t="s">
        <v>42</v>
      </c>
      <c r="E2566" s="31">
        <v>40</v>
      </c>
      <c r="F2566" s="25">
        <v>0.56999999999999995</v>
      </c>
      <c r="G2566" s="28">
        <f t="shared" ref="G2566:G2629" si="45">IF(ISNUMBER(F2566),E2566*F2566,"")</f>
        <v>22.799999999999997</v>
      </c>
      <c r="H2566" s="33">
        <f>SUM(G2566:G2566)</f>
        <v>22.799999999999997</v>
      </c>
      <c r="I2566" s="34"/>
      <c r="J2566" s="138">
        <v>0</v>
      </c>
    </row>
    <row r="2567" spans="1:10" ht="15.75" hidden="1" thickBot="1" x14ac:dyDescent="0.3">
      <c r="A2567" s="227"/>
      <c r="B2567" s="224"/>
      <c r="C2567" s="30"/>
      <c r="D2567" s="30"/>
      <c r="E2567" s="31"/>
      <c r="F2567" s="25" t="s">
        <v>521</v>
      </c>
      <c r="G2567" s="28" t="str">
        <f t="shared" si="45"/>
        <v/>
      </c>
      <c r="H2567" s="29"/>
      <c r="I2567" s="25"/>
      <c r="J2567" s="138">
        <v>0</v>
      </c>
    </row>
    <row r="2568" spans="1:10" ht="15.75" hidden="1" thickBot="1" x14ac:dyDescent="0.3">
      <c r="A2568" s="220" t="s">
        <v>746</v>
      </c>
      <c r="B2568" s="222" t="e">
        <f>INDEX(Orçamentária!A:B,MATCH(Composições!A2568,Orçamentária!A:A,0),2)</f>
        <v>#N/A</v>
      </c>
      <c r="C2568" s="35"/>
      <c r="D2568" s="20" t="s">
        <v>1498</v>
      </c>
      <c r="E2568" s="21"/>
      <c r="F2568" s="36" t="s">
        <v>521</v>
      </c>
      <c r="G2568" s="22" t="str">
        <f t="shared" si="45"/>
        <v/>
      </c>
      <c r="H2568" s="23"/>
      <c r="I2568" s="24"/>
      <c r="J2568" s="138">
        <v>0</v>
      </c>
    </row>
    <row r="2569" spans="1:10" ht="15.75" hidden="1" thickBot="1" x14ac:dyDescent="0.3">
      <c r="A2569" s="221"/>
      <c r="B2569" s="223"/>
      <c r="C2569" s="26"/>
      <c r="D2569" s="26"/>
      <c r="E2569" s="27"/>
      <c r="F2569" s="37" t="s">
        <v>521</v>
      </c>
      <c r="G2569" s="28" t="str">
        <f t="shared" si="45"/>
        <v/>
      </c>
      <c r="H2569" s="29"/>
      <c r="I2569" s="25"/>
      <c r="J2569" s="138">
        <v>0</v>
      </c>
    </row>
    <row r="2570" spans="1:10" ht="15.75" hidden="1" thickBot="1" x14ac:dyDescent="0.3">
      <c r="A2570" s="221"/>
      <c r="B2570" s="223"/>
      <c r="C2570" s="30" t="s">
        <v>747</v>
      </c>
      <c r="D2570" s="41" t="s">
        <v>42</v>
      </c>
      <c r="E2570" s="31">
        <v>50</v>
      </c>
      <c r="F2570" s="25">
        <v>0.64600000000000002</v>
      </c>
      <c r="G2570" s="28">
        <f t="shared" si="45"/>
        <v>32.300000000000004</v>
      </c>
      <c r="H2570" s="33">
        <f>SUM(G2570:G2570)</f>
        <v>32.300000000000004</v>
      </c>
      <c r="I2570" s="34"/>
      <c r="J2570" s="138">
        <v>0</v>
      </c>
    </row>
    <row r="2571" spans="1:10" ht="15.75" hidden="1" thickBot="1" x14ac:dyDescent="0.3">
      <c r="A2571" s="227"/>
      <c r="B2571" s="224"/>
      <c r="C2571" s="30"/>
      <c r="D2571" s="30"/>
      <c r="E2571" s="31"/>
      <c r="F2571" s="25" t="s">
        <v>521</v>
      </c>
      <c r="G2571" s="28" t="str">
        <f t="shared" si="45"/>
        <v/>
      </c>
      <c r="H2571" s="29"/>
      <c r="I2571" s="25"/>
      <c r="J2571" s="138">
        <v>0</v>
      </c>
    </row>
    <row r="2572" spans="1:10" ht="15.75" hidden="1" thickBot="1" x14ac:dyDescent="0.3">
      <c r="A2572" s="220" t="s">
        <v>748</v>
      </c>
      <c r="B2572" s="222" t="e">
        <f>INDEX(Orçamentária!A:B,MATCH(Composições!A2572,Orçamentária!A:A,0),2)</f>
        <v>#N/A</v>
      </c>
      <c r="C2572" s="35"/>
      <c r="D2572" s="20" t="s">
        <v>1499</v>
      </c>
      <c r="E2572" s="21"/>
      <c r="F2572" s="36" t="s">
        <v>521</v>
      </c>
      <c r="G2572" s="22" t="str">
        <f t="shared" si="45"/>
        <v/>
      </c>
      <c r="H2572" s="23"/>
      <c r="I2572" s="24"/>
      <c r="J2572" s="138">
        <v>0</v>
      </c>
    </row>
    <row r="2573" spans="1:10" ht="15.75" hidden="1" thickBot="1" x14ac:dyDescent="0.3">
      <c r="A2573" s="221"/>
      <c r="B2573" s="223"/>
      <c r="C2573" s="26"/>
      <c r="D2573" s="26"/>
      <c r="E2573" s="27"/>
      <c r="F2573" s="37" t="s">
        <v>521</v>
      </c>
      <c r="G2573" s="28" t="str">
        <f t="shared" si="45"/>
        <v/>
      </c>
      <c r="H2573" s="29"/>
      <c r="I2573" s="25"/>
      <c r="J2573" s="138">
        <v>0</v>
      </c>
    </row>
    <row r="2574" spans="1:10" ht="15.75" hidden="1" thickBot="1" x14ac:dyDescent="0.3">
      <c r="A2574" s="221"/>
      <c r="B2574" s="223"/>
      <c r="C2574" s="30" t="s">
        <v>1831</v>
      </c>
      <c r="D2574" s="41" t="s">
        <v>42</v>
      </c>
      <c r="E2574" s="31">
        <v>20</v>
      </c>
      <c r="F2574" s="25">
        <v>1.6054999999999999</v>
      </c>
      <c r="G2574" s="28">
        <f t="shared" si="45"/>
        <v>32.11</v>
      </c>
      <c r="H2574" s="33">
        <f>SUM(G2574:G2574)</f>
        <v>32.11</v>
      </c>
      <c r="I2574" s="34"/>
      <c r="J2574" s="138">
        <v>0</v>
      </c>
    </row>
    <row r="2575" spans="1:10" ht="15.75" hidden="1" thickBot="1" x14ac:dyDescent="0.3">
      <c r="A2575" s="227"/>
      <c r="B2575" s="224"/>
      <c r="C2575" s="30"/>
      <c r="D2575" s="30"/>
      <c r="E2575" s="31"/>
      <c r="F2575" s="25" t="s">
        <v>521</v>
      </c>
      <c r="G2575" s="28" t="str">
        <f t="shared" si="45"/>
        <v/>
      </c>
      <c r="H2575" s="29"/>
      <c r="I2575" s="25"/>
      <c r="J2575" s="138">
        <v>0</v>
      </c>
    </row>
    <row r="2576" spans="1:10" ht="15.75" hidden="1" thickBot="1" x14ac:dyDescent="0.3">
      <c r="A2576" s="220" t="s">
        <v>749</v>
      </c>
      <c r="B2576" s="222" t="e">
        <f>INDEX(Orçamentária!A:B,MATCH(Composições!A2576,Orçamentária!A:A,0),2)</f>
        <v>#N/A</v>
      </c>
      <c r="C2576" s="35"/>
      <c r="D2576" s="20" t="s">
        <v>1497</v>
      </c>
      <c r="E2576" s="21"/>
      <c r="F2576" s="36" t="s">
        <v>521</v>
      </c>
      <c r="G2576" s="22" t="str">
        <f t="shared" si="45"/>
        <v/>
      </c>
      <c r="H2576" s="23"/>
      <c r="I2576" s="24"/>
      <c r="J2576" s="138">
        <v>0</v>
      </c>
    </row>
    <row r="2577" spans="1:10" ht="15.75" hidden="1" thickBot="1" x14ac:dyDescent="0.3">
      <c r="A2577" s="221"/>
      <c r="B2577" s="223"/>
      <c r="C2577" s="26"/>
      <c r="D2577" s="26"/>
      <c r="E2577" s="27"/>
      <c r="F2577" s="37" t="s">
        <v>521</v>
      </c>
      <c r="G2577" s="28" t="str">
        <f t="shared" si="45"/>
        <v/>
      </c>
      <c r="H2577" s="29"/>
      <c r="I2577" s="25"/>
      <c r="J2577" s="138">
        <v>0</v>
      </c>
    </row>
    <row r="2578" spans="1:10" ht="26.25" hidden="1" thickBot="1" x14ac:dyDescent="0.3">
      <c r="A2578" s="221"/>
      <c r="B2578" s="223"/>
      <c r="C2578" s="30" t="s">
        <v>1922</v>
      </c>
      <c r="D2578" s="41" t="s">
        <v>42</v>
      </c>
      <c r="E2578" s="31">
        <v>40</v>
      </c>
      <c r="F2578" s="25">
        <v>0.68399999999999994</v>
      </c>
      <c r="G2578" s="28">
        <f t="shared" si="45"/>
        <v>27.36</v>
      </c>
      <c r="H2578" s="33">
        <f>SUM(G2578:G2578)</f>
        <v>27.36</v>
      </c>
      <c r="I2578" s="34"/>
      <c r="J2578" s="138">
        <v>0</v>
      </c>
    </row>
    <row r="2579" spans="1:10" ht="15.75" hidden="1" thickBot="1" x14ac:dyDescent="0.3">
      <c r="A2579" s="227"/>
      <c r="B2579" s="224"/>
      <c r="C2579" s="30"/>
      <c r="D2579" s="30"/>
      <c r="E2579" s="31"/>
      <c r="F2579" s="25" t="s">
        <v>521</v>
      </c>
      <c r="G2579" s="28" t="str">
        <f t="shared" si="45"/>
        <v/>
      </c>
      <c r="H2579" s="29"/>
      <c r="I2579" s="25"/>
      <c r="J2579" s="138">
        <v>0</v>
      </c>
    </row>
    <row r="2580" spans="1:10" ht="15.75" hidden="1" thickBot="1" x14ac:dyDescent="0.3">
      <c r="A2580" s="220" t="s">
        <v>750</v>
      </c>
      <c r="B2580" s="222" t="e">
        <f>INDEX(Orçamentária!A:B,MATCH(Composições!A2580,Orçamentária!A:A,0),2)</f>
        <v>#N/A</v>
      </c>
      <c r="C2580" s="35"/>
      <c r="D2580" s="20" t="s">
        <v>109</v>
      </c>
      <c r="E2580" s="21"/>
      <c r="F2580" s="36" t="s">
        <v>521</v>
      </c>
      <c r="G2580" s="22" t="str">
        <f t="shared" si="45"/>
        <v/>
      </c>
      <c r="H2580" s="23"/>
      <c r="I2580" s="24"/>
      <c r="J2580" s="138">
        <v>0</v>
      </c>
    </row>
    <row r="2581" spans="1:10" ht="15.75" hidden="1" thickBot="1" x14ac:dyDescent="0.3">
      <c r="A2581" s="221"/>
      <c r="B2581" s="223"/>
      <c r="C2581" s="26"/>
      <c r="D2581" s="26"/>
      <c r="E2581" s="27"/>
      <c r="F2581" s="37" t="s">
        <v>521</v>
      </c>
      <c r="G2581" s="28" t="str">
        <f t="shared" si="45"/>
        <v/>
      </c>
      <c r="H2581" s="29"/>
      <c r="I2581" s="25"/>
      <c r="J2581" s="138">
        <v>0</v>
      </c>
    </row>
    <row r="2582" spans="1:10" ht="26.25" hidden="1" thickBot="1" x14ac:dyDescent="0.3">
      <c r="A2582" s="221"/>
      <c r="B2582" s="223"/>
      <c r="C2582" s="30" t="s">
        <v>751</v>
      </c>
      <c r="D2582" s="41" t="s">
        <v>109</v>
      </c>
      <c r="E2582" s="31">
        <v>1</v>
      </c>
      <c r="F2582" s="25">
        <v>186.16200000000001</v>
      </c>
      <c r="G2582" s="28">
        <f t="shared" si="45"/>
        <v>186.16200000000001</v>
      </c>
      <c r="H2582" s="33">
        <f>SUM(G2582:G2584)</f>
        <v>229.97823060000002</v>
      </c>
      <c r="I2582" s="34"/>
      <c r="J2582" s="138">
        <v>0</v>
      </c>
    </row>
    <row r="2583" spans="1:10" ht="51.75" hidden="1" thickBot="1" x14ac:dyDescent="0.3">
      <c r="A2583" s="221"/>
      <c r="B2583" s="223"/>
      <c r="C2583" s="30" t="s">
        <v>1826</v>
      </c>
      <c r="D2583" s="30" t="s">
        <v>109</v>
      </c>
      <c r="E2583" s="31">
        <f>E2582</f>
        <v>1</v>
      </c>
      <c r="F2583" s="28">
        <v>7.8564315999999996</v>
      </c>
      <c r="G2583" s="28">
        <f t="shared" si="45"/>
        <v>7.8564315999999996</v>
      </c>
      <c r="H2583" s="29"/>
      <c r="I2583" s="25"/>
      <c r="J2583" s="138">
        <v>0</v>
      </c>
    </row>
    <row r="2584" spans="1:10" ht="39" hidden="1" thickBot="1" x14ac:dyDescent="0.3">
      <c r="A2584" s="221"/>
      <c r="B2584" s="223"/>
      <c r="C2584" s="30" t="s">
        <v>752</v>
      </c>
      <c r="D2584" s="41" t="s">
        <v>753</v>
      </c>
      <c r="E2584" s="31">
        <f>E2582*20</f>
        <v>20</v>
      </c>
      <c r="F2584" s="25">
        <v>1.7979899500000001</v>
      </c>
      <c r="G2584" s="28">
        <f t="shared" si="45"/>
        <v>35.959799000000004</v>
      </c>
      <c r="H2584" s="29"/>
      <c r="I2584" s="25"/>
      <c r="J2584" s="138">
        <v>0</v>
      </c>
    </row>
    <row r="2585" spans="1:10" ht="15.75" hidden="1" thickBot="1" x14ac:dyDescent="0.3">
      <c r="A2585" s="221"/>
      <c r="B2585" s="223"/>
      <c r="C2585" s="30"/>
      <c r="D2585" s="41"/>
      <c r="E2585" s="31"/>
      <c r="F2585" s="25" t="s">
        <v>521</v>
      </c>
      <c r="G2585" s="28" t="str">
        <f t="shared" si="45"/>
        <v/>
      </c>
      <c r="H2585" s="29"/>
      <c r="I2585" s="25"/>
      <c r="J2585" s="138">
        <v>0</v>
      </c>
    </row>
    <row r="2586" spans="1:10" ht="15.75" hidden="1" thickBot="1" x14ac:dyDescent="0.3">
      <c r="A2586" s="221"/>
      <c r="B2586" s="223"/>
      <c r="C2586" s="42" t="s">
        <v>754</v>
      </c>
      <c r="D2586" s="41"/>
      <c r="E2586" s="31"/>
      <c r="F2586" s="25" t="s">
        <v>521</v>
      </c>
      <c r="G2586" s="28" t="str">
        <f t="shared" si="45"/>
        <v/>
      </c>
      <c r="H2586" s="29"/>
      <c r="I2586" s="25"/>
      <c r="J2586" s="138">
        <v>0</v>
      </c>
    </row>
    <row r="2587" spans="1:10" ht="15.75" hidden="1" thickBot="1" x14ac:dyDescent="0.3">
      <c r="A2587" s="227"/>
      <c r="B2587" s="224"/>
      <c r="C2587" s="30"/>
      <c r="D2587" s="30"/>
      <c r="E2587" s="31"/>
      <c r="F2587" s="25" t="s">
        <v>521</v>
      </c>
      <c r="G2587" s="28" t="str">
        <f t="shared" si="45"/>
        <v/>
      </c>
      <c r="H2587" s="29"/>
      <c r="I2587" s="25"/>
      <c r="J2587" s="138">
        <v>0</v>
      </c>
    </row>
    <row r="2588" spans="1:10" ht="15.75" hidden="1" thickBot="1" x14ac:dyDescent="0.3">
      <c r="A2588" s="220" t="s">
        <v>755</v>
      </c>
      <c r="B2588" s="222" t="e">
        <f>INDEX(Orçamentária!A:B,MATCH(Composições!A2588,Orçamentária!A:A,0),2)</f>
        <v>#N/A</v>
      </c>
      <c r="C2588" s="35"/>
      <c r="D2588" s="20" t="s">
        <v>109</v>
      </c>
      <c r="E2588" s="21"/>
      <c r="F2588" s="36" t="s">
        <v>521</v>
      </c>
      <c r="G2588" s="22" t="str">
        <f t="shared" si="45"/>
        <v/>
      </c>
      <c r="H2588" s="23"/>
      <c r="I2588" s="24"/>
      <c r="J2588" s="138">
        <v>0</v>
      </c>
    </row>
    <row r="2589" spans="1:10" ht="15.75" hidden="1" thickBot="1" x14ac:dyDescent="0.3">
      <c r="A2589" s="221"/>
      <c r="B2589" s="223"/>
      <c r="C2589" s="26"/>
      <c r="D2589" s="26"/>
      <c r="E2589" s="27"/>
      <c r="F2589" s="37" t="s">
        <v>521</v>
      </c>
      <c r="G2589" s="28" t="str">
        <f t="shared" si="45"/>
        <v/>
      </c>
      <c r="H2589" s="29"/>
      <c r="I2589" s="25"/>
      <c r="J2589" s="138">
        <v>0</v>
      </c>
    </row>
    <row r="2590" spans="1:10" ht="26.25" hidden="1" thickBot="1" x14ac:dyDescent="0.3">
      <c r="A2590" s="221"/>
      <c r="B2590" s="223"/>
      <c r="C2590" s="30" t="s">
        <v>756</v>
      </c>
      <c r="D2590" s="41" t="s">
        <v>109</v>
      </c>
      <c r="E2590" s="31">
        <v>1</v>
      </c>
      <c r="F2590" s="25">
        <v>174.5625</v>
      </c>
      <c r="G2590" s="28">
        <f t="shared" si="45"/>
        <v>174.5625</v>
      </c>
      <c r="H2590" s="33">
        <f>SUM(G2590:G2592)</f>
        <v>218.37873060000001</v>
      </c>
      <c r="I2590" s="34"/>
      <c r="J2590" s="138">
        <v>0</v>
      </c>
    </row>
    <row r="2591" spans="1:10" ht="51.75" hidden="1" thickBot="1" x14ac:dyDescent="0.3">
      <c r="A2591" s="221"/>
      <c r="B2591" s="223"/>
      <c r="C2591" s="30" t="s">
        <v>1826</v>
      </c>
      <c r="D2591" s="30" t="s">
        <v>109</v>
      </c>
      <c r="E2591" s="31">
        <f>E2590</f>
        <v>1</v>
      </c>
      <c r="F2591" s="28">
        <v>7.8564315999999996</v>
      </c>
      <c r="G2591" s="28">
        <f t="shared" si="45"/>
        <v>7.8564315999999996</v>
      </c>
      <c r="H2591" s="29"/>
      <c r="I2591" s="25"/>
      <c r="J2591" s="138">
        <v>0</v>
      </c>
    </row>
    <row r="2592" spans="1:10" ht="39" hidden="1" thickBot="1" x14ac:dyDescent="0.3">
      <c r="A2592" s="221"/>
      <c r="B2592" s="223"/>
      <c r="C2592" s="30" t="s">
        <v>752</v>
      </c>
      <c r="D2592" s="41" t="s">
        <v>753</v>
      </c>
      <c r="E2592" s="31">
        <f>E2590*20</f>
        <v>20</v>
      </c>
      <c r="F2592" s="25">
        <v>1.7979899500000001</v>
      </c>
      <c r="G2592" s="28">
        <f t="shared" si="45"/>
        <v>35.959799000000004</v>
      </c>
      <c r="H2592" s="29"/>
      <c r="I2592" s="25"/>
      <c r="J2592" s="138">
        <v>0</v>
      </c>
    </row>
    <row r="2593" spans="1:10" ht="15.75" hidden="1" thickBot="1" x14ac:dyDescent="0.3">
      <c r="A2593" s="221"/>
      <c r="B2593" s="223"/>
      <c r="C2593" s="30"/>
      <c r="D2593" s="41"/>
      <c r="E2593" s="31"/>
      <c r="F2593" s="25" t="s">
        <v>521</v>
      </c>
      <c r="G2593" s="28" t="str">
        <f t="shared" si="45"/>
        <v/>
      </c>
      <c r="H2593" s="29"/>
      <c r="I2593" s="25"/>
      <c r="J2593" s="138">
        <v>0</v>
      </c>
    </row>
    <row r="2594" spans="1:10" ht="15.75" hidden="1" thickBot="1" x14ac:dyDescent="0.3">
      <c r="A2594" s="221"/>
      <c r="B2594" s="223"/>
      <c r="C2594" s="42" t="s">
        <v>757</v>
      </c>
      <c r="D2594" s="41"/>
      <c r="E2594" s="31"/>
      <c r="F2594" s="25" t="s">
        <v>521</v>
      </c>
      <c r="G2594" s="28" t="str">
        <f t="shared" si="45"/>
        <v/>
      </c>
      <c r="H2594" s="29"/>
      <c r="I2594" s="25"/>
      <c r="J2594" s="138">
        <v>0</v>
      </c>
    </row>
    <row r="2595" spans="1:10" ht="15.75" hidden="1" thickBot="1" x14ac:dyDescent="0.3">
      <c r="A2595" s="227"/>
      <c r="B2595" s="224"/>
      <c r="C2595" s="30"/>
      <c r="D2595" s="30"/>
      <c r="E2595" s="31"/>
      <c r="F2595" s="25" t="s">
        <v>521</v>
      </c>
      <c r="G2595" s="28" t="str">
        <f t="shared" si="45"/>
        <v/>
      </c>
      <c r="H2595" s="29"/>
      <c r="I2595" s="25"/>
      <c r="J2595" s="138">
        <v>0</v>
      </c>
    </row>
    <row r="2596" spans="1:10" ht="15.75" hidden="1" thickBot="1" x14ac:dyDescent="0.3">
      <c r="A2596" s="220" t="s">
        <v>758</v>
      </c>
      <c r="B2596" s="222" t="e">
        <f>INDEX(Orçamentária!A:B,MATCH(Composições!A2596,Orçamentária!A:A,0),2)</f>
        <v>#N/A</v>
      </c>
      <c r="C2596" s="35"/>
      <c r="D2596" s="20" t="s">
        <v>109</v>
      </c>
      <c r="E2596" s="21"/>
      <c r="F2596" s="36" t="s">
        <v>521</v>
      </c>
      <c r="G2596" s="22" t="str">
        <f t="shared" si="45"/>
        <v/>
      </c>
      <c r="H2596" s="23"/>
      <c r="I2596" s="24"/>
      <c r="J2596" s="138">
        <v>0</v>
      </c>
    </row>
    <row r="2597" spans="1:10" ht="15.75" hidden="1" thickBot="1" x14ac:dyDescent="0.3">
      <c r="A2597" s="221"/>
      <c r="B2597" s="223"/>
      <c r="C2597" s="26"/>
      <c r="D2597" s="26"/>
      <c r="E2597" s="27"/>
      <c r="F2597" s="37" t="s">
        <v>521</v>
      </c>
      <c r="G2597" s="28" t="str">
        <f t="shared" si="45"/>
        <v/>
      </c>
      <c r="H2597" s="29"/>
      <c r="I2597" s="25"/>
      <c r="J2597" s="138">
        <v>0</v>
      </c>
    </row>
    <row r="2598" spans="1:10" ht="26.25" hidden="1" thickBot="1" x14ac:dyDescent="0.3">
      <c r="A2598" s="221"/>
      <c r="B2598" s="223"/>
      <c r="C2598" s="30" t="s">
        <v>759</v>
      </c>
      <c r="D2598" s="41" t="s">
        <v>109</v>
      </c>
      <c r="E2598" s="31">
        <v>1</v>
      </c>
      <c r="F2598" s="25">
        <v>151.202</v>
      </c>
      <c r="G2598" s="28">
        <f t="shared" si="45"/>
        <v>151.202</v>
      </c>
      <c r="H2598" s="33">
        <f>SUM(G2598:G2600)</f>
        <v>195.01823060000001</v>
      </c>
      <c r="I2598" s="34"/>
      <c r="J2598" s="138">
        <v>0</v>
      </c>
    </row>
    <row r="2599" spans="1:10" ht="51.75" hidden="1" thickBot="1" x14ac:dyDescent="0.3">
      <c r="A2599" s="221"/>
      <c r="B2599" s="223"/>
      <c r="C2599" s="30" t="s">
        <v>1826</v>
      </c>
      <c r="D2599" s="30" t="s">
        <v>109</v>
      </c>
      <c r="E2599" s="31">
        <f>E2598</f>
        <v>1</v>
      </c>
      <c r="F2599" s="28">
        <v>7.8564315999999996</v>
      </c>
      <c r="G2599" s="28">
        <f t="shared" si="45"/>
        <v>7.8564315999999996</v>
      </c>
      <c r="H2599" s="29"/>
      <c r="I2599" s="25"/>
      <c r="J2599" s="138">
        <v>0</v>
      </c>
    </row>
    <row r="2600" spans="1:10" ht="39" hidden="1" thickBot="1" x14ac:dyDescent="0.3">
      <c r="A2600" s="221"/>
      <c r="B2600" s="223"/>
      <c r="C2600" s="30" t="s">
        <v>752</v>
      </c>
      <c r="D2600" s="41" t="s">
        <v>753</v>
      </c>
      <c r="E2600" s="31">
        <f>E2598*20</f>
        <v>20</v>
      </c>
      <c r="F2600" s="25">
        <v>1.7979899500000001</v>
      </c>
      <c r="G2600" s="28">
        <f t="shared" si="45"/>
        <v>35.959799000000004</v>
      </c>
      <c r="H2600" s="29"/>
      <c r="I2600" s="25"/>
      <c r="J2600" s="138">
        <v>0</v>
      </c>
    </row>
    <row r="2601" spans="1:10" ht="15.75" hidden="1" thickBot="1" x14ac:dyDescent="0.3">
      <c r="A2601" s="221"/>
      <c r="B2601" s="223"/>
      <c r="C2601" s="30"/>
      <c r="D2601" s="41"/>
      <c r="E2601" s="31"/>
      <c r="F2601" s="25" t="s">
        <v>521</v>
      </c>
      <c r="G2601" s="28" t="str">
        <f t="shared" si="45"/>
        <v/>
      </c>
      <c r="H2601" s="29"/>
      <c r="I2601" s="25"/>
      <c r="J2601" s="138">
        <v>0</v>
      </c>
    </row>
    <row r="2602" spans="1:10" ht="15.75" hidden="1" thickBot="1" x14ac:dyDescent="0.3">
      <c r="A2602" s="221"/>
      <c r="B2602" s="223"/>
      <c r="C2602" s="42" t="s">
        <v>757</v>
      </c>
      <c r="D2602" s="41"/>
      <c r="E2602" s="31"/>
      <c r="F2602" s="25" t="s">
        <v>521</v>
      </c>
      <c r="G2602" s="28" t="str">
        <f t="shared" si="45"/>
        <v/>
      </c>
      <c r="H2602" s="29"/>
      <c r="I2602" s="25"/>
      <c r="J2602" s="138">
        <v>0</v>
      </c>
    </row>
    <row r="2603" spans="1:10" ht="15.75" hidden="1" thickBot="1" x14ac:dyDescent="0.3">
      <c r="A2603" s="227"/>
      <c r="B2603" s="224"/>
      <c r="C2603" s="30"/>
      <c r="D2603" s="30"/>
      <c r="E2603" s="31"/>
      <c r="F2603" s="25" t="s">
        <v>521</v>
      </c>
      <c r="G2603" s="28" t="str">
        <f t="shared" si="45"/>
        <v/>
      </c>
      <c r="H2603" s="29"/>
      <c r="I2603" s="25"/>
      <c r="J2603" s="138">
        <v>0</v>
      </c>
    </row>
    <row r="2604" spans="1:10" ht="15.75" hidden="1" thickBot="1" x14ac:dyDescent="0.3">
      <c r="A2604" s="220" t="s">
        <v>760</v>
      </c>
      <c r="B2604" s="222" t="e">
        <f>INDEX(Orçamentária!A:B,MATCH(Composições!A2604,Orçamentária!A:A,0),2)</f>
        <v>#N/A</v>
      </c>
      <c r="C2604" s="35"/>
      <c r="D2604" s="20" t="s">
        <v>20</v>
      </c>
      <c r="E2604" s="21"/>
      <c r="F2604" s="36" t="s">
        <v>521</v>
      </c>
      <c r="G2604" s="22" t="str">
        <f t="shared" si="45"/>
        <v/>
      </c>
      <c r="H2604" s="23"/>
      <c r="I2604" s="24"/>
      <c r="J2604" s="138">
        <v>0</v>
      </c>
    </row>
    <row r="2605" spans="1:10" ht="15.75" hidden="1" thickBot="1" x14ac:dyDescent="0.3">
      <c r="A2605" s="221"/>
      <c r="B2605" s="223"/>
      <c r="C2605" s="26"/>
      <c r="D2605" s="26"/>
      <c r="E2605" s="27"/>
      <c r="F2605" s="37" t="s">
        <v>521</v>
      </c>
      <c r="G2605" s="28" t="str">
        <f t="shared" si="45"/>
        <v/>
      </c>
      <c r="H2605" s="29"/>
      <c r="I2605" s="25"/>
      <c r="J2605" s="138">
        <v>0</v>
      </c>
    </row>
    <row r="2606" spans="1:10" ht="26.25" hidden="1" thickBot="1" x14ac:dyDescent="0.3">
      <c r="A2606" s="221"/>
      <c r="B2606" s="223"/>
      <c r="C2606" s="30" t="s">
        <v>2358</v>
      </c>
      <c r="D2606" s="30" t="s">
        <v>279</v>
      </c>
      <c r="E2606" s="31">
        <v>1</v>
      </c>
      <c r="F2606" s="25">
        <v>0.79799999999999993</v>
      </c>
      <c r="G2606" s="28">
        <f t="shared" si="45"/>
        <v>0.79799999999999993</v>
      </c>
      <c r="H2606" s="33">
        <f>SUM(G2606:G2606)</f>
        <v>0.79799999999999993</v>
      </c>
      <c r="I2606" s="34"/>
      <c r="J2606" s="138">
        <v>0</v>
      </c>
    </row>
    <row r="2607" spans="1:10" ht="15.75" hidden="1" thickBot="1" x14ac:dyDescent="0.3">
      <c r="A2607" s="227"/>
      <c r="B2607" s="224"/>
      <c r="C2607" s="30"/>
      <c r="D2607" s="30"/>
      <c r="E2607" s="31"/>
      <c r="F2607" s="25" t="s">
        <v>521</v>
      </c>
      <c r="G2607" s="28" t="str">
        <f t="shared" si="45"/>
        <v/>
      </c>
      <c r="H2607" s="29"/>
      <c r="I2607" s="25"/>
      <c r="J2607" s="138">
        <v>0</v>
      </c>
    </row>
    <row r="2608" spans="1:10" ht="15.75" hidden="1" thickBot="1" x14ac:dyDescent="0.3">
      <c r="A2608" s="220" t="s">
        <v>761</v>
      </c>
      <c r="B2608" s="222" t="e">
        <f>INDEX(Orçamentária!A:B,MATCH(Composições!A2608,Orçamentária!A:A,0),2)</f>
        <v>#N/A</v>
      </c>
      <c r="C2608" s="35"/>
      <c r="D2608" s="20" t="s">
        <v>20</v>
      </c>
      <c r="E2608" s="21"/>
      <c r="F2608" s="36" t="s">
        <v>521</v>
      </c>
      <c r="G2608" s="22" t="str">
        <f t="shared" si="45"/>
        <v/>
      </c>
      <c r="H2608" s="23"/>
      <c r="I2608" s="24"/>
      <c r="J2608" s="138">
        <v>0</v>
      </c>
    </row>
    <row r="2609" spans="1:10" ht="15.75" hidden="1" thickBot="1" x14ac:dyDescent="0.3">
      <c r="A2609" s="221"/>
      <c r="B2609" s="223"/>
      <c r="C2609" s="26"/>
      <c r="D2609" s="26"/>
      <c r="E2609" s="27"/>
      <c r="F2609" s="37" t="s">
        <v>521</v>
      </c>
      <c r="G2609" s="28" t="str">
        <f t="shared" si="45"/>
        <v/>
      </c>
      <c r="H2609" s="29"/>
      <c r="I2609" s="25"/>
      <c r="J2609" s="138">
        <v>0</v>
      </c>
    </row>
    <row r="2610" spans="1:10" ht="15.75" hidden="1" thickBot="1" x14ac:dyDescent="0.3">
      <c r="A2610" s="221"/>
      <c r="B2610" s="223"/>
      <c r="C2610" s="30" t="s">
        <v>1817</v>
      </c>
      <c r="D2610" s="30" t="s">
        <v>279</v>
      </c>
      <c r="E2610" s="31">
        <v>1</v>
      </c>
      <c r="F2610" s="25">
        <v>0.68399999999999994</v>
      </c>
      <c r="G2610" s="28">
        <f t="shared" si="45"/>
        <v>0.68399999999999994</v>
      </c>
      <c r="H2610" s="33">
        <f>SUM(G2610:G2610)</f>
        <v>0.68399999999999994</v>
      </c>
      <c r="I2610" s="34"/>
      <c r="J2610" s="138">
        <v>0</v>
      </c>
    </row>
    <row r="2611" spans="1:10" ht="15.75" hidden="1" thickBot="1" x14ac:dyDescent="0.3">
      <c r="A2611" s="227"/>
      <c r="B2611" s="224"/>
      <c r="C2611" s="30"/>
      <c r="D2611" s="30"/>
      <c r="E2611" s="31"/>
      <c r="F2611" s="25" t="s">
        <v>521</v>
      </c>
      <c r="G2611" s="28" t="str">
        <f t="shared" si="45"/>
        <v/>
      </c>
      <c r="H2611" s="29"/>
      <c r="I2611" s="25"/>
      <c r="J2611" s="138">
        <v>0</v>
      </c>
    </row>
    <row r="2612" spans="1:10" ht="15.75" hidden="1" thickBot="1" x14ac:dyDescent="0.3">
      <c r="A2612" s="220" t="s">
        <v>762</v>
      </c>
      <c r="B2612" s="222" t="e">
        <f>INDEX(Orçamentária!A:B,MATCH(Composições!A2612,Orçamentária!A:A,0),2)</f>
        <v>#N/A</v>
      </c>
      <c r="C2612" s="35"/>
      <c r="D2612" s="20" t="s">
        <v>20</v>
      </c>
      <c r="E2612" s="21"/>
      <c r="F2612" s="36" t="s">
        <v>521</v>
      </c>
      <c r="G2612" s="22" t="str">
        <f t="shared" si="45"/>
        <v/>
      </c>
      <c r="H2612" s="23"/>
      <c r="I2612" s="24"/>
      <c r="J2612" s="138">
        <v>0</v>
      </c>
    </row>
    <row r="2613" spans="1:10" ht="15.75" hidden="1" thickBot="1" x14ac:dyDescent="0.3">
      <c r="A2613" s="221"/>
      <c r="B2613" s="223"/>
      <c r="C2613" s="26"/>
      <c r="D2613" s="26"/>
      <c r="E2613" s="27"/>
      <c r="F2613" s="37" t="s">
        <v>521</v>
      </c>
      <c r="G2613" s="28" t="str">
        <f t="shared" si="45"/>
        <v/>
      </c>
      <c r="H2613" s="29"/>
      <c r="I2613" s="25"/>
      <c r="J2613" s="138">
        <v>0</v>
      </c>
    </row>
    <row r="2614" spans="1:10" ht="26.25" hidden="1" thickBot="1" x14ac:dyDescent="0.3">
      <c r="A2614" s="221"/>
      <c r="B2614" s="223"/>
      <c r="C2614" s="30" t="s">
        <v>2562</v>
      </c>
      <c r="D2614" s="30" t="s">
        <v>279</v>
      </c>
      <c r="E2614" s="31">
        <v>1</v>
      </c>
      <c r="F2614" s="25">
        <v>4.1514999999999995</v>
      </c>
      <c r="G2614" s="28">
        <f t="shared" si="45"/>
        <v>4.1514999999999995</v>
      </c>
      <c r="H2614" s="33">
        <f>SUM(G2614:G2614)</f>
        <v>4.1514999999999995</v>
      </c>
      <c r="I2614" s="34"/>
      <c r="J2614" s="138">
        <v>0</v>
      </c>
    </row>
    <row r="2615" spans="1:10" ht="15.75" hidden="1" thickBot="1" x14ac:dyDescent="0.3">
      <c r="A2615" s="227"/>
      <c r="B2615" s="224"/>
      <c r="C2615" s="30"/>
      <c r="D2615" s="30"/>
      <c r="E2615" s="31"/>
      <c r="F2615" s="25" t="s">
        <v>521</v>
      </c>
      <c r="G2615" s="28" t="str">
        <f t="shared" si="45"/>
        <v/>
      </c>
      <c r="H2615" s="29"/>
      <c r="I2615" s="25"/>
      <c r="J2615" s="138">
        <v>0</v>
      </c>
    </row>
    <row r="2616" spans="1:10" ht="15.75" hidden="1" thickBot="1" x14ac:dyDescent="0.3">
      <c r="A2616" s="220" t="s">
        <v>763</v>
      </c>
      <c r="B2616" s="222" t="e">
        <f>INDEX(Orçamentária!A:B,MATCH(Composições!A2616,Orçamentária!A:A,0),2)</f>
        <v>#N/A</v>
      </c>
      <c r="C2616" s="35"/>
      <c r="D2616" s="20" t="s">
        <v>20</v>
      </c>
      <c r="E2616" s="21"/>
      <c r="F2616" s="36" t="s">
        <v>521</v>
      </c>
      <c r="G2616" s="22" t="str">
        <f t="shared" si="45"/>
        <v/>
      </c>
      <c r="H2616" s="23"/>
      <c r="I2616" s="24"/>
      <c r="J2616" s="138">
        <v>0</v>
      </c>
    </row>
    <row r="2617" spans="1:10" ht="15.75" hidden="1" thickBot="1" x14ac:dyDescent="0.3">
      <c r="A2617" s="221"/>
      <c r="B2617" s="223"/>
      <c r="C2617" s="26"/>
      <c r="D2617" s="26"/>
      <c r="E2617" s="27"/>
      <c r="F2617" s="37" t="s">
        <v>521</v>
      </c>
      <c r="G2617" s="28" t="str">
        <f t="shared" si="45"/>
        <v/>
      </c>
      <c r="H2617" s="29"/>
      <c r="I2617" s="25"/>
      <c r="J2617" s="138">
        <v>0</v>
      </c>
    </row>
    <row r="2618" spans="1:10" ht="26.25" hidden="1" thickBot="1" x14ac:dyDescent="0.3">
      <c r="A2618" s="221"/>
      <c r="B2618" s="223"/>
      <c r="C2618" s="30" t="s">
        <v>2757</v>
      </c>
      <c r="D2618" s="30" t="s">
        <v>144</v>
      </c>
      <c r="E2618" s="31">
        <v>1</v>
      </c>
      <c r="F2618" s="25">
        <v>0</v>
      </c>
      <c r="G2618" s="28">
        <f t="shared" si="45"/>
        <v>0</v>
      </c>
      <c r="H2618" s="33">
        <f>SUM(G2618:G2618)</f>
        <v>0</v>
      </c>
      <c r="I2618" s="34"/>
      <c r="J2618" s="138">
        <v>0</v>
      </c>
    </row>
    <row r="2619" spans="1:10" ht="15.75" hidden="1" thickBot="1" x14ac:dyDescent="0.3">
      <c r="A2619" s="227"/>
      <c r="B2619" s="224"/>
      <c r="C2619" s="30"/>
      <c r="D2619" s="30"/>
      <c r="E2619" s="31"/>
      <c r="F2619" s="25" t="s">
        <v>521</v>
      </c>
      <c r="G2619" s="28" t="str">
        <f t="shared" si="45"/>
        <v/>
      </c>
      <c r="H2619" s="29"/>
      <c r="I2619" s="25"/>
      <c r="J2619" s="138">
        <v>0</v>
      </c>
    </row>
    <row r="2620" spans="1:10" ht="15.75" hidden="1" thickBot="1" x14ac:dyDescent="0.3">
      <c r="A2620" s="220" t="s">
        <v>764</v>
      </c>
      <c r="B2620" s="222" t="e">
        <f>INDEX(Orçamentária!A:B,MATCH(Composições!A2620,Orçamentária!A:A,0),2)</f>
        <v>#N/A</v>
      </c>
      <c r="C2620" s="35"/>
      <c r="D2620" s="20" t="s">
        <v>93</v>
      </c>
      <c r="E2620" s="21"/>
      <c r="F2620" s="36" t="s">
        <v>521</v>
      </c>
      <c r="G2620" s="22" t="str">
        <f t="shared" si="45"/>
        <v/>
      </c>
      <c r="H2620" s="23"/>
      <c r="I2620" s="24"/>
      <c r="J2620" s="138">
        <v>0</v>
      </c>
    </row>
    <row r="2621" spans="1:10" ht="15.75" hidden="1" thickBot="1" x14ac:dyDescent="0.3">
      <c r="A2621" s="221"/>
      <c r="B2621" s="223"/>
      <c r="C2621" s="26"/>
      <c r="D2621" s="26"/>
      <c r="E2621" s="27"/>
      <c r="F2621" s="37" t="s">
        <v>521</v>
      </c>
      <c r="G2621" s="28" t="str">
        <f t="shared" si="45"/>
        <v/>
      </c>
      <c r="H2621" s="29"/>
      <c r="I2621" s="25"/>
      <c r="J2621" s="138">
        <v>0</v>
      </c>
    </row>
    <row r="2622" spans="1:10" ht="15.75" hidden="1" thickBot="1" x14ac:dyDescent="0.3">
      <c r="A2622" s="221"/>
      <c r="B2622" s="223"/>
      <c r="C2622" s="30" t="s">
        <v>1442</v>
      </c>
      <c r="D2622" s="30" t="s">
        <v>42</v>
      </c>
      <c r="E2622" s="31">
        <v>0.154</v>
      </c>
      <c r="F2622" s="25">
        <v>9.5</v>
      </c>
      <c r="G2622" s="28">
        <f t="shared" si="45"/>
        <v>1.4630000000000001</v>
      </c>
      <c r="H2622" s="33">
        <f>SUM(G2622:G2622)</f>
        <v>1.4630000000000001</v>
      </c>
      <c r="I2622" s="34"/>
      <c r="J2622" s="138">
        <v>0</v>
      </c>
    </row>
    <row r="2623" spans="1:10" ht="15.75" hidden="1" thickBot="1" x14ac:dyDescent="0.3">
      <c r="A2623" s="227"/>
      <c r="B2623" s="224"/>
      <c r="C2623" s="30"/>
      <c r="D2623" s="30"/>
      <c r="E2623" s="31"/>
      <c r="F2623" s="25" t="s">
        <v>521</v>
      </c>
      <c r="G2623" s="28" t="str">
        <f t="shared" si="45"/>
        <v/>
      </c>
      <c r="H2623" s="29"/>
      <c r="I2623" s="25"/>
      <c r="J2623" s="138">
        <v>0</v>
      </c>
    </row>
    <row r="2624" spans="1:10" ht="15.75" hidden="1" thickBot="1" x14ac:dyDescent="0.3">
      <c r="A2624" s="220" t="s">
        <v>765</v>
      </c>
      <c r="B2624" s="222" t="e">
        <f>INDEX(Orçamentária!A:B,MATCH(Composições!A2624,Orçamentária!A:A,0),2)</f>
        <v>#N/A</v>
      </c>
      <c r="C2624" s="35"/>
      <c r="D2624" s="20" t="s">
        <v>93</v>
      </c>
      <c r="E2624" s="21"/>
      <c r="F2624" s="36" t="s">
        <v>521</v>
      </c>
      <c r="G2624" s="22" t="str">
        <f t="shared" si="45"/>
        <v/>
      </c>
      <c r="H2624" s="23"/>
      <c r="I2624" s="24"/>
      <c r="J2624" s="138">
        <v>0</v>
      </c>
    </row>
    <row r="2625" spans="1:10" ht="15.75" hidden="1" thickBot="1" x14ac:dyDescent="0.3">
      <c r="A2625" s="221"/>
      <c r="B2625" s="223"/>
      <c r="C2625" s="26"/>
      <c r="D2625" s="26"/>
      <c r="E2625" s="27"/>
      <c r="F2625" s="37" t="s">
        <v>521</v>
      </c>
      <c r="G2625" s="28" t="str">
        <f t="shared" si="45"/>
        <v/>
      </c>
      <c r="H2625" s="29"/>
      <c r="I2625" s="25"/>
      <c r="J2625" s="138">
        <v>0</v>
      </c>
    </row>
    <row r="2626" spans="1:10" ht="15.75" hidden="1" thickBot="1" x14ac:dyDescent="0.3">
      <c r="A2626" s="221"/>
      <c r="B2626" s="223"/>
      <c r="C2626" s="30" t="s">
        <v>766</v>
      </c>
      <c r="D2626" s="30" t="s">
        <v>42</v>
      </c>
      <c r="E2626" s="31">
        <v>0.245</v>
      </c>
      <c r="F2626" s="25">
        <v>10.583</v>
      </c>
      <c r="G2626" s="28">
        <f t="shared" si="45"/>
        <v>2.592835</v>
      </c>
      <c r="H2626" s="33">
        <f>SUM(G2626:G2626)</f>
        <v>2.592835</v>
      </c>
      <c r="I2626" s="34"/>
      <c r="J2626" s="138">
        <v>0</v>
      </c>
    </row>
    <row r="2627" spans="1:10" ht="15.75" hidden="1" thickBot="1" x14ac:dyDescent="0.3">
      <c r="A2627" s="227"/>
      <c r="B2627" s="224"/>
      <c r="C2627" s="30"/>
      <c r="D2627" s="30"/>
      <c r="E2627" s="31"/>
      <c r="F2627" s="25" t="s">
        <v>521</v>
      </c>
      <c r="G2627" s="28" t="str">
        <f t="shared" si="45"/>
        <v/>
      </c>
      <c r="H2627" s="29"/>
      <c r="I2627" s="25"/>
      <c r="J2627" s="138">
        <v>0</v>
      </c>
    </row>
    <row r="2628" spans="1:10" ht="15.75" hidden="1" thickBot="1" x14ac:dyDescent="0.3">
      <c r="A2628" s="220" t="s">
        <v>767</v>
      </c>
      <c r="B2628" s="222" t="e">
        <f>INDEX(Orçamentária!A:B,MATCH(Composições!A2628,Orçamentária!A:A,0),2)</f>
        <v>#N/A</v>
      </c>
      <c r="C2628" s="35"/>
      <c r="D2628" s="20" t="s">
        <v>93</v>
      </c>
      <c r="E2628" s="21"/>
      <c r="F2628" s="36" t="s">
        <v>521</v>
      </c>
      <c r="G2628" s="22" t="str">
        <f t="shared" si="45"/>
        <v/>
      </c>
      <c r="H2628" s="23"/>
      <c r="I2628" s="24"/>
      <c r="J2628" s="138">
        <v>0</v>
      </c>
    </row>
    <row r="2629" spans="1:10" ht="15.75" hidden="1" thickBot="1" x14ac:dyDescent="0.3">
      <c r="A2629" s="221"/>
      <c r="B2629" s="223"/>
      <c r="C2629" s="26"/>
      <c r="D2629" s="26"/>
      <c r="E2629" s="27"/>
      <c r="F2629" s="37" t="s">
        <v>521</v>
      </c>
      <c r="G2629" s="28" t="str">
        <f t="shared" si="45"/>
        <v/>
      </c>
      <c r="H2629" s="29"/>
      <c r="I2629" s="25"/>
      <c r="J2629" s="138">
        <v>0</v>
      </c>
    </row>
    <row r="2630" spans="1:10" ht="15.75" hidden="1" thickBot="1" x14ac:dyDescent="0.3">
      <c r="A2630" s="221"/>
      <c r="B2630" s="223"/>
      <c r="C2630" s="30" t="s">
        <v>768</v>
      </c>
      <c r="D2630" s="30" t="s">
        <v>42</v>
      </c>
      <c r="E2630" s="31">
        <v>0.39500000000000002</v>
      </c>
      <c r="F2630" s="25">
        <v>10.6495</v>
      </c>
      <c r="G2630" s="28">
        <f t="shared" ref="G2630:G2693" si="46">IF(ISNUMBER(F2630),E2630*F2630,"")</f>
        <v>4.2065524999999999</v>
      </c>
      <c r="H2630" s="33">
        <f>SUM(G2630:G2630)</f>
        <v>4.2065524999999999</v>
      </c>
      <c r="I2630" s="34"/>
      <c r="J2630" s="138">
        <v>0</v>
      </c>
    </row>
    <row r="2631" spans="1:10" ht="15.75" hidden="1" thickBot="1" x14ac:dyDescent="0.3">
      <c r="A2631" s="227"/>
      <c r="B2631" s="224"/>
      <c r="C2631" s="30"/>
      <c r="D2631" s="30"/>
      <c r="E2631" s="31"/>
      <c r="F2631" s="25" t="s">
        <v>521</v>
      </c>
      <c r="G2631" s="28" t="str">
        <f t="shared" si="46"/>
        <v/>
      </c>
      <c r="H2631" s="29"/>
      <c r="I2631" s="25"/>
      <c r="J2631" s="138">
        <v>0</v>
      </c>
    </row>
    <row r="2632" spans="1:10" ht="15.75" hidden="1" thickBot="1" x14ac:dyDescent="0.3">
      <c r="A2632" s="220" t="s">
        <v>769</v>
      </c>
      <c r="B2632" s="222" t="e">
        <f>INDEX(Orçamentária!A:B,MATCH(Composições!A2632,Orçamentária!A:A,0),2)</f>
        <v>#N/A</v>
      </c>
      <c r="C2632" s="35"/>
      <c r="D2632" s="20" t="s">
        <v>93</v>
      </c>
      <c r="E2632" s="21"/>
      <c r="F2632" s="36" t="s">
        <v>521</v>
      </c>
      <c r="G2632" s="22" t="str">
        <f t="shared" si="46"/>
        <v/>
      </c>
      <c r="H2632" s="23"/>
      <c r="I2632" s="24"/>
      <c r="J2632" s="138">
        <v>0</v>
      </c>
    </row>
    <row r="2633" spans="1:10" ht="15.75" hidden="1" thickBot="1" x14ac:dyDescent="0.3">
      <c r="A2633" s="221"/>
      <c r="B2633" s="223"/>
      <c r="C2633" s="26"/>
      <c r="D2633" s="26"/>
      <c r="E2633" s="27"/>
      <c r="F2633" s="37" t="s">
        <v>521</v>
      </c>
      <c r="G2633" s="28" t="str">
        <f t="shared" si="46"/>
        <v/>
      </c>
      <c r="H2633" s="29"/>
      <c r="I2633" s="25"/>
      <c r="J2633" s="138">
        <v>0</v>
      </c>
    </row>
    <row r="2634" spans="1:10" ht="15.75" hidden="1" thickBot="1" x14ac:dyDescent="0.3">
      <c r="A2634" s="221"/>
      <c r="B2634" s="223"/>
      <c r="C2634" s="30" t="s">
        <v>770</v>
      </c>
      <c r="D2634" s="30" t="s">
        <v>42</v>
      </c>
      <c r="E2634" s="31">
        <v>0.61699999999999999</v>
      </c>
      <c r="F2634" s="25">
        <v>10.032</v>
      </c>
      <c r="G2634" s="28">
        <f t="shared" si="46"/>
        <v>6.1897440000000001</v>
      </c>
      <c r="H2634" s="33">
        <f>SUM(G2634:G2634)</f>
        <v>6.1897440000000001</v>
      </c>
      <c r="I2634" s="34"/>
      <c r="J2634" s="138">
        <v>0</v>
      </c>
    </row>
    <row r="2635" spans="1:10" ht="15.75" hidden="1" thickBot="1" x14ac:dyDescent="0.3">
      <c r="A2635" s="227"/>
      <c r="B2635" s="224"/>
      <c r="C2635" s="30"/>
      <c r="D2635" s="30"/>
      <c r="E2635" s="31"/>
      <c r="F2635" s="25" t="s">
        <v>521</v>
      </c>
      <c r="G2635" s="28" t="str">
        <f t="shared" si="46"/>
        <v/>
      </c>
      <c r="H2635" s="29"/>
      <c r="I2635" s="25"/>
      <c r="J2635" s="138">
        <v>0</v>
      </c>
    </row>
    <row r="2636" spans="1:10" ht="15.75" hidden="1" thickBot="1" x14ac:dyDescent="0.3">
      <c r="A2636" s="220" t="s">
        <v>771</v>
      </c>
      <c r="B2636" s="222" t="e">
        <f>INDEX(Orçamentária!A:B,MATCH(Composições!A2636,Orçamentária!A:A,0),2)</f>
        <v>#N/A</v>
      </c>
      <c r="C2636" s="35"/>
      <c r="D2636" s="20" t="s">
        <v>93</v>
      </c>
      <c r="E2636" s="21"/>
      <c r="F2636" s="36" t="s">
        <v>521</v>
      </c>
      <c r="G2636" s="22" t="str">
        <f t="shared" si="46"/>
        <v/>
      </c>
      <c r="H2636" s="23"/>
      <c r="I2636" s="24"/>
      <c r="J2636" s="138">
        <v>0</v>
      </c>
    </row>
    <row r="2637" spans="1:10" ht="15.75" hidden="1" thickBot="1" x14ac:dyDescent="0.3">
      <c r="A2637" s="221"/>
      <c r="B2637" s="223"/>
      <c r="C2637" s="26"/>
      <c r="D2637" s="26"/>
      <c r="E2637" s="27"/>
      <c r="F2637" s="37" t="s">
        <v>521</v>
      </c>
      <c r="G2637" s="28" t="str">
        <f t="shared" si="46"/>
        <v/>
      </c>
      <c r="H2637" s="29"/>
      <c r="I2637" s="25"/>
      <c r="J2637" s="138">
        <v>0</v>
      </c>
    </row>
    <row r="2638" spans="1:10" ht="15.75" hidden="1" thickBot="1" x14ac:dyDescent="0.3">
      <c r="A2638" s="221"/>
      <c r="B2638" s="223"/>
      <c r="C2638" s="30" t="s">
        <v>772</v>
      </c>
      <c r="D2638" s="30" t="s">
        <v>42</v>
      </c>
      <c r="E2638" s="31">
        <v>0.96299999999999997</v>
      </c>
      <c r="F2638" s="25">
        <v>8.6925000000000008</v>
      </c>
      <c r="G2638" s="28">
        <f t="shared" si="46"/>
        <v>8.3708775000000006</v>
      </c>
      <c r="H2638" s="33">
        <f>SUM(G2638:G2638)</f>
        <v>8.3708775000000006</v>
      </c>
      <c r="I2638" s="34"/>
      <c r="J2638" s="138">
        <v>0</v>
      </c>
    </row>
    <row r="2639" spans="1:10" ht="15.75" hidden="1" thickBot="1" x14ac:dyDescent="0.3">
      <c r="A2639" s="227"/>
      <c r="B2639" s="224"/>
      <c r="C2639" s="30"/>
      <c r="D2639" s="30"/>
      <c r="E2639" s="31"/>
      <c r="F2639" s="25" t="s">
        <v>521</v>
      </c>
      <c r="G2639" s="28" t="str">
        <f t="shared" si="46"/>
        <v/>
      </c>
      <c r="H2639" s="29"/>
      <c r="I2639" s="25"/>
      <c r="J2639" s="138">
        <v>0</v>
      </c>
    </row>
    <row r="2640" spans="1:10" ht="15.75" hidden="1" thickBot="1" x14ac:dyDescent="0.3">
      <c r="A2640" s="220" t="s">
        <v>773</v>
      </c>
      <c r="B2640" s="222" t="e">
        <f>INDEX(Orçamentária!A:B,MATCH(Composições!A2640,Orçamentária!A:A,0),2)</f>
        <v>#N/A</v>
      </c>
      <c r="C2640" s="35"/>
      <c r="D2640" s="20" t="s">
        <v>42</v>
      </c>
      <c r="E2640" s="21"/>
      <c r="F2640" s="36" t="s">
        <v>521</v>
      </c>
      <c r="G2640" s="22" t="str">
        <f t="shared" si="46"/>
        <v/>
      </c>
      <c r="H2640" s="23"/>
      <c r="I2640" s="24"/>
      <c r="J2640" s="138">
        <v>0</v>
      </c>
    </row>
    <row r="2641" spans="1:10" ht="15.75" hidden="1" thickBot="1" x14ac:dyDescent="0.3">
      <c r="A2641" s="221"/>
      <c r="B2641" s="223"/>
      <c r="C2641" s="26"/>
      <c r="D2641" s="26"/>
      <c r="E2641" s="27"/>
      <c r="F2641" s="37" t="s">
        <v>521</v>
      </c>
      <c r="G2641" s="28" t="str">
        <f t="shared" si="46"/>
        <v/>
      </c>
      <c r="H2641" s="29"/>
      <c r="I2641" s="25"/>
      <c r="J2641" s="138">
        <v>0</v>
      </c>
    </row>
    <row r="2642" spans="1:10" ht="26.25" hidden="1" thickBot="1" x14ac:dyDescent="0.3">
      <c r="A2642" s="221"/>
      <c r="B2642" s="223"/>
      <c r="C2642" s="30" t="s">
        <v>1808</v>
      </c>
      <c r="D2642" s="30" t="s">
        <v>42</v>
      </c>
      <c r="E2642" s="31">
        <v>1</v>
      </c>
      <c r="F2642" s="25">
        <v>22.61</v>
      </c>
      <c r="G2642" s="28">
        <f t="shared" si="46"/>
        <v>22.61</v>
      </c>
      <c r="H2642" s="33">
        <f>SUM(G2642:G2642)</f>
        <v>22.61</v>
      </c>
      <c r="I2642" s="34"/>
      <c r="J2642" s="138">
        <v>0</v>
      </c>
    </row>
    <row r="2643" spans="1:10" ht="15.75" hidden="1" thickBot="1" x14ac:dyDescent="0.3">
      <c r="A2643" s="227"/>
      <c r="B2643" s="224"/>
      <c r="C2643" s="30"/>
      <c r="D2643" s="30"/>
      <c r="E2643" s="31"/>
      <c r="F2643" s="25" t="s">
        <v>521</v>
      </c>
      <c r="G2643" s="28" t="str">
        <f t="shared" si="46"/>
        <v/>
      </c>
      <c r="H2643" s="29"/>
      <c r="I2643" s="25"/>
      <c r="J2643" s="138">
        <v>0</v>
      </c>
    </row>
    <row r="2644" spans="1:10" ht="15.75" hidden="1" thickBot="1" x14ac:dyDescent="0.3">
      <c r="A2644" s="220" t="s">
        <v>774</v>
      </c>
      <c r="B2644" s="222" t="e">
        <f>INDEX(Orçamentária!A:B,MATCH(Composições!A2644,Orçamentária!A:A,0),2)</f>
        <v>#N/A</v>
      </c>
      <c r="C2644" s="35"/>
      <c r="D2644" s="20" t="s">
        <v>42</v>
      </c>
      <c r="E2644" s="21"/>
      <c r="F2644" s="36" t="s">
        <v>521</v>
      </c>
      <c r="G2644" s="22" t="str">
        <f t="shared" si="46"/>
        <v/>
      </c>
      <c r="H2644" s="23"/>
      <c r="I2644" s="24"/>
      <c r="J2644" s="138">
        <v>0</v>
      </c>
    </row>
    <row r="2645" spans="1:10" ht="15.75" hidden="1" thickBot="1" x14ac:dyDescent="0.3">
      <c r="A2645" s="221"/>
      <c r="B2645" s="223"/>
      <c r="C2645" s="26"/>
      <c r="D2645" s="26"/>
      <c r="E2645" s="27"/>
      <c r="F2645" s="37" t="s">
        <v>521</v>
      </c>
      <c r="G2645" s="28" t="str">
        <f t="shared" si="46"/>
        <v/>
      </c>
      <c r="H2645" s="29"/>
      <c r="I2645" s="25"/>
      <c r="J2645" s="138">
        <v>0</v>
      </c>
    </row>
    <row r="2646" spans="1:10" ht="26.25" hidden="1" thickBot="1" x14ac:dyDescent="0.3">
      <c r="A2646" s="221"/>
      <c r="B2646" s="223"/>
      <c r="C2646" s="30" t="s">
        <v>1617</v>
      </c>
      <c r="D2646" s="30" t="s">
        <v>42</v>
      </c>
      <c r="E2646" s="31">
        <v>1</v>
      </c>
      <c r="F2646" s="25">
        <v>54.776999999999994</v>
      </c>
      <c r="G2646" s="28">
        <f t="shared" si="46"/>
        <v>54.776999999999994</v>
      </c>
      <c r="H2646" s="33">
        <f>SUM(G2646:G2646)</f>
        <v>54.776999999999994</v>
      </c>
      <c r="I2646" s="34"/>
      <c r="J2646" s="138">
        <v>0</v>
      </c>
    </row>
    <row r="2647" spans="1:10" ht="15.75" hidden="1" thickBot="1" x14ac:dyDescent="0.3">
      <c r="A2647" s="227"/>
      <c r="B2647" s="224"/>
      <c r="C2647" s="30"/>
      <c r="D2647" s="30"/>
      <c r="E2647" s="31"/>
      <c r="F2647" s="25" t="s">
        <v>521</v>
      </c>
      <c r="G2647" s="28" t="str">
        <f t="shared" si="46"/>
        <v/>
      </c>
      <c r="H2647" s="29"/>
      <c r="I2647" s="25"/>
      <c r="J2647" s="138">
        <v>0</v>
      </c>
    </row>
    <row r="2648" spans="1:10" ht="15.75" hidden="1" thickBot="1" x14ac:dyDescent="0.3">
      <c r="A2648" s="220" t="s">
        <v>1500</v>
      </c>
      <c r="B2648" s="222" t="e">
        <f>INDEX(Orçamentária!A:B,MATCH(Composições!A2648,Orçamentária!A:A,0),2)</f>
        <v>#N/A</v>
      </c>
      <c r="C2648" s="35"/>
      <c r="D2648" s="20" t="s">
        <v>20</v>
      </c>
      <c r="E2648" s="21"/>
      <c r="F2648" s="36" t="s">
        <v>521</v>
      </c>
      <c r="G2648" s="22" t="str">
        <f t="shared" si="46"/>
        <v/>
      </c>
      <c r="H2648" s="23"/>
      <c r="I2648" s="24"/>
      <c r="J2648" s="138">
        <v>0</v>
      </c>
    </row>
    <row r="2649" spans="1:10" ht="15.75" hidden="1" thickBot="1" x14ac:dyDescent="0.3">
      <c r="A2649" s="221"/>
      <c r="B2649" s="223"/>
      <c r="C2649" s="26"/>
      <c r="D2649" s="26"/>
      <c r="E2649" s="27"/>
      <c r="F2649" s="37" t="s">
        <v>521</v>
      </c>
      <c r="G2649" s="28" t="str">
        <f t="shared" si="46"/>
        <v/>
      </c>
      <c r="H2649" s="29"/>
      <c r="I2649" s="25"/>
      <c r="J2649" s="138">
        <v>0</v>
      </c>
    </row>
    <row r="2650" spans="1:10" ht="26.25" hidden="1" thickBot="1" x14ac:dyDescent="0.3">
      <c r="A2650" s="221"/>
      <c r="B2650" s="223"/>
      <c r="C2650" s="30" t="s">
        <v>1059</v>
      </c>
      <c r="D2650" s="41" t="s">
        <v>1060</v>
      </c>
      <c r="E2650" s="31">
        <v>1</v>
      </c>
      <c r="F2650" s="25">
        <v>35.444499999999998</v>
      </c>
      <c r="G2650" s="28">
        <f t="shared" si="46"/>
        <v>35.444499999999998</v>
      </c>
      <c r="H2650" s="33">
        <f>SUM(G2650:G2650)</f>
        <v>35.444499999999998</v>
      </c>
      <c r="I2650" s="34"/>
      <c r="J2650" s="138">
        <v>0</v>
      </c>
    </row>
    <row r="2651" spans="1:10" ht="15.75" hidden="1" thickBot="1" x14ac:dyDescent="0.3">
      <c r="A2651" s="227"/>
      <c r="B2651" s="224"/>
      <c r="C2651" s="30"/>
      <c r="D2651" s="30"/>
      <c r="E2651" s="31"/>
      <c r="F2651" s="25" t="s">
        <v>521</v>
      </c>
      <c r="G2651" s="28" t="str">
        <f t="shared" si="46"/>
        <v/>
      </c>
      <c r="H2651" s="29"/>
      <c r="I2651" s="25"/>
      <c r="J2651" s="138">
        <v>0</v>
      </c>
    </row>
    <row r="2652" spans="1:10" ht="15.75" hidden="1" thickBot="1" x14ac:dyDescent="0.3">
      <c r="A2652" s="220" t="s">
        <v>1501</v>
      </c>
      <c r="B2652" s="222" t="e">
        <f>INDEX(Orçamentária!A:B,MATCH(Composições!A2652,Orçamentária!A:A,0),2)</f>
        <v>#N/A</v>
      </c>
      <c r="C2652" s="35"/>
      <c r="D2652" s="20" t="s">
        <v>20</v>
      </c>
      <c r="E2652" s="21"/>
      <c r="F2652" s="36" t="s">
        <v>521</v>
      </c>
      <c r="G2652" s="22" t="str">
        <f t="shared" si="46"/>
        <v/>
      </c>
      <c r="H2652" s="23"/>
      <c r="I2652" s="24"/>
      <c r="J2652" s="138">
        <v>0</v>
      </c>
    </row>
    <row r="2653" spans="1:10" ht="15.75" hidden="1" thickBot="1" x14ac:dyDescent="0.3">
      <c r="A2653" s="221"/>
      <c r="B2653" s="223"/>
      <c r="C2653" s="26"/>
      <c r="D2653" s="26"/>
      <c r="E2653" s="27"/>
      <c r="F2653" s="37" t="s">
        <v>521</v>
      </c>
      <c r="G2653" s="28" t="str">
        <f t="shared" si="46"/>
        <v/>
      </c>
      <c r="H2653" s="29"/>
      <c r="I2653" s="25"/>
      <c r="J2653" s="138">
        <v>0</v>
      </c>
    </row>
    <row r="2654" spans="1:10" ht="15.75" hidden="1" thickBot="1" x14ac:dyDescent="0.3">
      <c r="A2654" s="221"/>
      <c r="B2654" s="223"/>
      <c r="C2654" s="30" t="s">
        <v>1123</v>
      </c>
      <c r="D2654" s="41" t="s">
        <v>20</v>
      </c>
      <c r="E2654" s="31">
        <v>1</v>
      </c>
      <c r="F2654" s="25">
        <v>23.417499999999997</v>
      </c>
      <c r="G2654" s="28">
        <f t="shared" si="46"/>
        <v>23.417499999999997</v>
      </c>
      <c r="H2654" s="33">
        <f>SUM(G2654:G2654)</f>
        <v>23.417499999999997</v>
      </c>
      <c r="I2654" s="34"/>
      <c r="J2654" s="138">
        <v>0</v>
      </c>
    </row>
    <row r="2655" spans="1:10" ht="15.75" hidden="1" thickBot="1" x14ac:dyDescent="0.3">
      <c r="A2655" s="227"/>
      <c r="B2655" s="224"/>
      <c r="C2655" s="30"/>
      <c r="D2655" s="30"/>
      <c r="E2655" s="31"/>
      <c r="F2655" s="25" t="s">
        <v>521</v>
      </c>
      <c r="G2655" s="28" t="str">
        <f t="shared" si="46"/>
        <v/>
      </c>
      <c r="H2655" s="29"/>
      <c r="I2655" s="25"/>
      <c r="J2655" s="138">
        <v>0</v>
      </c>
    </row>
    <row r="2656" spans="1:10" ht="15.75" hidden="1" thickBot="1" x14ac:dyDescent="0.3">
      <c r="A2656" s="220" t="s">
        <v>776</v>
      </c>
      <c r="B2656" s="222" t="e">
        <f>INDEX(Orçamentária!A:B,MATCH(Composições!A2656,Orçamentária!A:A,0),2)</f>
        <v>#N/A</v>
      </c>
      <c r="C2656" s="35"/>
      <c r="D2656" s="20" t="s">
        <v>102</v>
      </c>
      <c r="E2656" s="21"/>
      <c r="F2656" s="36" t="s">
        <v>521</v>
      </c>
      <c r="G2656" s="22" t="str">
        <f t="shared" si="46"/>
        <v/>
      </c>
      <c r="H2656" s="23"/>
      <c r="I2656" s="24"/>
      <c r="J2656" s="138">
        <v>0</v>
      </c>
    </row>
    <row r="2657" spans="1:10" ht="15.75" hidden="1" thickBot="1" x14ac:dyDescent="0.3">
      <c r="A2657" s="221"/>
      <c r="B2657" s="223"/>
      <c r="C2657" s="26"/>
      <c r="D2657" s="26"/>
      <c r="E2657" s="27"/>
      <c r="F2657" s="37" t="s">
        <v>521</v>
      </c>
      <c r="G2657" s="28" t="str">
        <f t="shared" si="46"/>
        <v/>
      </c>
      <c r="H2657" s="29"/>
      <c r="I2657" s="25"/>
      <c r="J2657" s="138">
        <v>0</v>
      </c>
    </row>
    <row r="2658" spans="1:10" ht="39" hidden="1" thickBot="1" x14ac:dyDescent="0.3">
      <c r="A2658" s="221"/>
      <c r="B2658" s="223"/>
      <c r="C2658" s="30" t="s">
        <v>777</v>
      </c>
      <c r="D2658" s="41" t="s">
        <v>102</v>
      </c>
      <c r="E2658" s="31">
        <v>1</v>
      </c>
      <c r="F2658" s="25">
        <v>7.391</v>
      </c>
      <c r="G2658" s="28">
        <f t="shared" si="46"/>
        <v>7.391</v>
      </c>
      <c r="H2658" s="33">
        <f>SUM(G2658:G2658)</f>
        <v>7.391</v>
      </c>
      <c r="I2658" s="34"/>
      <c r="J2658" s="138">
        <v>0</v>
      </c>
    </row>
    <row r="2659" spans="1:10" ht="15.75" hidden="1" thickBot="1" x14ac:dyDescent="0.3">
      <c r="A2659" s="227"/>
      <c r="B2659" s="224"/>
      <c r="C2659" s="30"/>
      <c r="D2659" s="30"/>
      <c r="E2659" s="31"/>
      <c r="F2659" s="25" t="s">
        <v>521</v>
      </c>
      <c r="G2659" s="28" t="str">
        <f t="shared" si="46"/>
        <v/>
      </c>
      <c r="H2659" s="29"/>
      <c r="I2659" s="25"/>
      <c r="J2659" s="138">
        <v>0</v>
      </c>
    </row>
    <row r="2660" spans="1:10" ht="15.75" hidden="1" thickBot="1" x14ac:dyDescent="0.3">
      <c r="A2660" s="220" t="s">
        <v>1502</v>
      </c>
      <c r="B2660" s="222" t="e">
        <f>INDEX(Orçamentária!A:B,MATCH(Composições!A2660,Orçamentária!A:A,0),2)</f>
        <v>#N/A</v>
      </c>
      <c r="C2660" s="35"/>
      <c r="D2660" s="20" t="s">
        <v>95</v>
      </c>
      <c r="E2660" s="21"/>
      <c r="F2660" s="36" t="s">
        <v>521</v>
      </c>
      <c r="G2660" s="22" t="str">
        <f t="shared" si="46"/>
        <v/>
      </c>
      <c r="H2660" s="23"/>
      <c r="I2660" s="24"/>
      <c r="J2660" s="138">
        <v>0</v>
      </c>
    </row>
    <row r="2661" spans="1:10" ht="15.75" hidden="1" thickBot="1" x14ac:dyDescent="0.3">
      <c r="A2661" s="221"/>
      <c r="B2661" s="223"/>
      <c r="C2661" s="26"/>
      <c r="D2661" s="26"/>
      <c r="E2661" s="27"/>
      <c r="F2661" s="37" t="s">
        <v>521</v>
      </c>
      <c r="G2661" s="28" t="str">
        <f t="shared" si="46"/>
        <v/>
      </c>
      <c r="H2661" s="29"/>
      <c r="I2661" s="25"/>
      <c r="J2661" s="138">
        <v>0</v>
      </c>
    </row>
    <row r="2662" spans="1:10" ht="15.75" hidden="1" thickBot="1" x14ac:dyDescent="0.3">
      <c r="A2662" s="221"/>
      <c r="B2662" s="223"/>
      <c r="C2662" s="30" t="s">
        <v>1923</v>
      </c>
      <c r="D2662" s="41" t="s">
        <v>95</v>
      </c>
      <c r="E2662" s="31">
        <v>1</v>
      </c>
      <c r="F2662" s="25">
        <v>2.1849999999999996</v>
      </c>
      <c r="G2662" s="28">
        <f t="shared" si="46"/>
        <v>2.1849999999999996</v>
      </c>
      <c r="H2662" s="33">
        <f>SUM(G2662:G2662)</f>
        <v>2.1849999999999996</v>
      </c>
      <c r="I2662" s="34"/>
      <c r="J2662" s="138">
        <v>0</v>
      </c>
    </row>
    <row r="2663" spans="1:10" ht="15.75" hidden="1" thickBot="1" x14ac:dyDescent="0.3">
      <c r="A2663" s="227"/>
      <c r="B2663" s="224"/>
      <c r="C2663" s="30"/>
      <c r="D2663" s="30"/>
      <c r="E2663" s="31"/>
      <c r="F2663" s="25" t="s">
        <v>521</v>
      </c>
      <c r="G2663" s="28" t="str">
        <f t="shared" si="46"/>
        <v/>
      </c>
      <c r="H2663" s="29"/>
      <c r="I2663" s="25"/>
      <c r="J2663" s="138">
        <v>0</v>
      </c>
    </row>
    <row r="2664" spans="1:10" ht="15.75" hidden="1" thickBot="1" x14ac:dyDescent="0.3">
      <c r="A2664" s="220" t="s">
        <v>778</v>
      </c>
      <c r="B2664" s="222" t="e">
        <f>INDEX(Orçamentária!A:B,MATCH(Composições!A2664,Orçamentária!A:A,0),2)</f>
        <v>#N/A</v>
      </c>
      <c r="C2664" s="35"/>
      <c r="D2664" s="20" t="s">
        <v>1503</v>
      </c>
      <c r="E2664" s="21"/>
      <c r="F2664" s="36" t="s">
        <v>521</v>
      </c>
      <c r="G2664" s="22" t="str">
        <f t="shared" si="46"/>
        <v/>
      </c>
      <c r="H2664" s="23"/>
      <c r="I2664" s="24"/>
      <c r="J2664" s="138">
        <v>0</v>
      </c>
    </row>
    <row r="2665" spans="1:10" ht="15.75" hidden="1" thickBot="1" x14ac:dyDescent="0.3">
      <c r="A2665" s="221"/>
      <c r="B2665" s="223"/>
      <c r="C2665" s="26"/>
      <c r="D2665" s="26"/>
      <c r="E2665" s="27"/>
      <c r="F2665" s="37" t="s">
        <v>521</v>
      </c>
      <c r="G2665" s="28" t="str">
        <f t="shared" si="46"/>
        <v/>
      </c>
      <c r="H2665" s="29"/>
      <c r="I2665" s="25"/>
      <c r="J2665" s="138">
        <v>0</v>
      </c>
    </row>
    <row r="2666" spans="1:10" ht="26.25" hidden="1" thickBot="1" x14ac:dyDescent="0.3">
      <c r="A2666" s="221"/>
      <c r="B2666" s="223"/>
      <c r="C2666" s="30" t="s">
        <v>779</v>
      </c>
      <c r="D2666" s="41" t="s">
        <v>12</v>
      </c>
      <c r="E2666" s="146">
        <f>ROUND(220/(1+110.14%),4)</f>
        <v>104.6921</v>
      </c>
      <c r="F2666" s="25">
        <v>99.17049999999999</v>
      </c>
      <c r="G2666" s="28">
        <f t="shared" si="46"/>
        <v>10382.367903049999</v>
      </c>
      <c r="H2666" s="33">
        <f>SUM(G2666:G2666)</f>
        <v>10382.367903049999</v>
      </c>
      <c r="I2666" s="34"/>
      <c r="J2666" s="138">
        <v>0</v>
      </c>
    </row>
    <row r="2667" spans="1:10" ht="15.75" hidden="1" thickBot="1" x14ac:dyDescent="0.3">
      <c r="A2667" s="221"/>
      <c r="B2667" s="223"/>
      <c r="C2667" s="30"/>
      <c r="D2667" s="41"/>
      <c r="E2667" s="31"/>
      <c r="F2667" s="25" t="s">
        <v>521</v>
      </c>
      <c r="G2667" s="28" t="str">
        <f t="shared" si="46"/>
        <v/>
      </c>
      <c r="H2667" s="29"/>
      <c r="I2667" s="34"/>
      <c r="J2667" s="138">
        <v>0</v>
      </c>
    </row>
    <row r="2668" spans="1:10" ht="26.25" hidden="1" thickBot="1" x14ac:dyDescent="0.3">
      <c r="A2668" s="221"/>
      <c r="B2668" s="223"/>
      <c r="C2668" s="42" t="s">
        <v>780</v>
      </c>
      <c r="D2668" s="41"/>
      <c r="E2668" s="31"/>
      <c r="F2668" s="25" t="s">
        <v>521</v>
      </c>
      <c r="G2668" s="28" t="str">
        <f t="shared" si="46"/>
        <v/>
      </c>
      <c r="H2668" s="29"/>
      <c r="I2668" s="34"/>
      <c r="J2668" s="138">
        <v>0</v>
      </c>
    </row>
    <row r="2669" spans="1:10" ht="15.75" hidden="1" thickBot="1" x14ac:dyDescent="0.3">
      <c r="A2669" s="227"/>
      <c r="B2669" s="224"/>
      <c r="C2669" s="30"/>
      <c r="D2669" s="30"/>
      <c r="E2669" s="31"/>
      <c r="F2669" s="25" t="s">
        <v>521</v>
      </c>
      <c r="G2669" s="28" t="str">
        <f t="shared" si="46"/>
        <v/>
      </c>
      <c r="H2669" s="29"/>
      <c r="I2669" s="25"/>
      <c r="J2669" s="138">
        <v>0</v>
      </c>
    </row>
    <row r="2670" spans="1:10" ht="15.75" hidden="1" thickBot="1" x14ac:dyDescent="0.3">
      <c r="A2670" s="220" t="s">
        <v>781</v>
      </c>
      <c r="B2670" s="222" t="e">
        <f>INDEX(Orçamentária!A:B,MATCH(Composições!A2670,Orçamentária!A:A,0),2)</f>
        <v>#N/A</v>
      </c>
      <c r="C2670" s="35"/>
      <c r="D2670" s="20" t="s">
        <v>1503</v>
      </c>
      <c r="E2670" s="21"/>
      <c r="F2670" s="36" t="s">
        <v>521</v>
      </c>
      <c r="G2670" s="22" t="str">
        <f t="shared" si="46"/>
        <v/>
      </c>
      <c r="H2670" s="23"/>
      <c r="I2670" s="24"/>
      <c r="J2670" s="138">
        <v>0</v>
      </c>
    </row>
    <row r="2671" spans="1:10" ht="15.75" hidden="1" thickBot="1" x14ac:dyDescent="0.3">
      <c r="A2671" s="225"/>
      <c r="B2671" s="223"/>
      <c r="C2671" s="26"/>
      <c r="D2671" s="26"/>
      <c r="E2671" s="27"/>
      <c r="F2671" s="37" t="s">
        <v>521</v>
      </c>
      <c r="G2671" s="28" t="str">
        <f t="shared" si="46"/>
        <v/>
      </c>
      <c r="H2671" s="29"/>
      <c r="I2671" s="25"/>
      <c r="J2671" s="138">
        <v>0</v>
      </c>
    </row>
    <row r="2672" spans="1:10" ht="15.75" hidden="1" thickBot="1" x14ac:dyDescent="0.3">
      <c r="A2672" s="225"/>
      <c r="B2672" s="223"/>
      <c r="C2672" s="30" t="s">
        <v>782</v>
      </c>
      <c r="D2672" s="41" t="s">
        <v>12</v>
      </c>
      <c r="E2672" s="146">
        <f>ROUND(220/(1+110.14%),4)</f>
        <v>104.6921</v>
      </c>
      <c r="F2672" s="25">
        <v>26.932500000000001</v>
      </c>
      <c r="G2672" s="28">
        <f t="shared" si="46"/>
        <v>2819.6199832500001</v>
      </c>
      <c r="H2672" s="33">
        <f>SUM(G2672:G2672)</f>
        <v>2819.6199832500001</v>
      </c>
      <c r="I2672" s="34"/>
      <c r="J2672" s="138">
        <v>0</v>
      </c>
    </row>
    <row r="2673" spans="1:10" ht="15.75" hidden="1" thickBot="1" x14ac:dyDescent="0.3">
      <c r="A2673" s="225"/>
      <c r="B2673" s="223"/>
      <c r="C2673" s="30"/>
      <c r="D2673" s="41"/>
      <c r="E2673" s="31"/>
      <c r="F2673" s="25" t="s">
        <v>521</v>
      </c>
      <c r="G2673" s="28" t="str">
        <f t="shared" si="46"/>
        <v/>
      </c>
      <c r="H2673" s="33"/>
      <c r="I2673" s="34"/>
      <c r="J2673" s="138">
        <v>0</v>
      </c>
    </row>
    <row r="2674" spans="1:10" ht="26.25" hidden="1" thickBot="1" x14ac:dyDescent="0.3">
      <c r="A2674" s="225"/>
      <c r="B2674" s="223"/>
      <c r="C2674" s="42" t="s">
        <v>780</v>
      </c>
      <c r="D2674" s="41"/>
      <c r="E2674" s="31"/>
      <c r="F2674" s="25" t="s">
        <v>521</v>
      </c>
      <c r="G2674" s="28" t="str">
        <f t="shared" si="46"/>
        <v/>
      </c>
      <c r="H2674" s="33"/>
      <c r="I2674" s="34"/>
      <c r="J2674" s="138">
        <v>0</v>
      </c>
    </row>
    <row r="2675" spans="1:10" ht="15.75" hidden="1" thickBot="1" x14ac:dyDescent="0.3">
      <c r="A2675" s="226"/>
      <c r="B2675" s="224"/>
      <c r="C2675" s="30"/>
      <c r="D2675" s="30"/>
      <c r="E2675" s="31"/>
      <c r="F2675" s="25" t="s">
        <v>521</v>
      </c>
      <c r="G2675" s="28" t="str">
        <f t="shared" si="46"/>
        <v/>
      </c>
      <c r="H2675" s="29"/>
      <c r="I2675" s="25"/>
      <c r="J2675" s="138">
        <v>0</v>
      </c>
    </row>
    <row r="2676" spans="1:10" ht="15.75" hidden="1" thickBot="1" x14ac:dyDescent="0.3">
      <c r="A2676" s="220" t="s">
        <v>783</v>
      </c>
      <c r="B2676" s="222" t="e">
        <f>INDEX(Orçamentária!A:B,MATCH(Composições!A2676,Orçamentária!A:A,0),2)</f>
        <v>#N/A</v>
      </c>
      <c r="C2676" s="35"/>
      <c r="D2676" s="20" t="s">
        <v>1503</v>
      </c>
      <c r="E2676" s="21"/>
      <c r="F2676" s="36" t="s">
        <v>521</v>
      </c>
      <c r="G2676" s="22" t="str">
        <f t="shared" si="46"/>
        <v/>
      </c>
      <c r="H2676" s="23"/>
      <c r="I2676" s="24"/>
      <c r="J2676" s="138">
        <v>0</v>
      </c>
    </row>
    <row r="2677" spans="1:10" ht="15.75" hidden="1" thickBot="1" x14ac:dyDescent="0.3">
      <c r="A2677" s="221"/>
      <c r="B2677" s="223"/>
      <c r="C2677" s="26"/>
      <c r="D2677" s="26"/>
      <c r="E2677" s="27"/>
      <c r="F2677" s="37" t="s">
        <v>521</v>
      </c>
      <c r="G2677" s="28" t="str">
        <f t="shared" si="46"/>
        <v/>
      </c>
      <c r="H2677" s="29"/>
      <c r="I2677" s="25"/>
      <c r="J2677" s="138">
        <v>0</v>
      </c>
    </row>
    <row r="2678" spans="1:10" ht="15.75" hidden="1" thickBot="1" x14ac:dyDescent="0.3">
      <c r="A2678" s="221"/>
      <c r="B2678" s="223"/>
      <c r="C2678" s="30" t="s">
        <v>703</v>
      </c>
      <c r="D2678" s="41" t="s">
        <v>12</v>
      </c>
      <c r="E2678" s="146">
        <f>ROUND(220/(1+110.14%),4)</f>
        <v>104.6921</v>
      </c>
      <c r="F2678" s="25">
        <v>18.420500000000001</v>
      </c>
      <c r="G2678" s="28">
        <f t="shared" si="46"/>
        <v>1928.4808280499999</v>
      </c>
      <c r="H2678" s="33">
        <f>SUM(G2678:G2678)</f>
        <v>1928.4808280499999</v>
      </c>
      <c r="I2678" s="34"/>
      <c r="J2678" s="138">
        <v>0</v>
      </c>
    </row>
    <row r="2679" spans="1:10" ht="15.75" hidden="1" thickBot="1" x14ac:dyDescent="0.3">
      <c r="A2679" s="221"/>
      <c r="B2679" s="223"/>
      <c r="C2679" s="30"/>
      <c r="D2679" s="41"/>
      <c r="E2679" s="31"/>
      <c r="F2679" s="25" t="s">
        <v>521</v>
      </c>
      <c r="G2679" s="28" t="str">
        <f t="shared" si="46"/>
        <v/>
      </c>
      <c r="H2679" s="33"/>
      <c r="I2679" s="34"/>
      <c r="J2679" s="138">
        <v>0</v>
      </c>
    </row>
    <row r="2680" spans="1:10" ht="26.25" hidden="1" thickBot="1" x14ac:dyDescent="0.3">
      <c r="A2680" s="221"/>
      <c r="B2680" s="223"/>
      <c r="C2680" s="42" t="s">
        <v>780</v>
      </c>
      <c r="D2680" s="41"/>
      <c r="E2680" s="31"/>
      <c r="F2680" s="25" t="s">
        <v>521</v>
      </c>
      <c r="G2680" s="28" t="str">
        <f t="shared" si="46"/>
        <v/>
      </c>
      <c r="H2680" s="33"/>
      <c r="I2680" s="34"/>
      <c r="J2680" s="138">
        <v>0</v>
      </c>
    </row>
    <row r="2681" spans="1:10" ht="15.75" hidden="1" thickBot="1" x14ac:dyDescent="0.3">
      <c r="A2681" s="227"/>
      <c r="B2681" s="224"/>
      <c r="C2681" s="30"/>
      <c r="D2681" s="30"/>
      <c r="E2681" s="31"/>
      <c r="F2681" s="25" t="s">
        <v>521</v>
      </c>
      <c r="G2681" s="28" t="str">
        <f t="shared" si="46"/>
        <v/>
      </c>
      <c r="H2681" s="29"/>
      <c r="I2681" s="25"/>
      <c r="J2681" s="138">
        <v>0</v>
      </c>
    </row>
    <row r="2682" spans="1:10" ht="15.75" hidden="1" thickBot="1" x14ac:dyDescent="0.3">
      <c r="A2682" s="220" t="s">
        <v>784</v>
      </c>
      <c r="B2682" s="222" t="e">
        <f>INDEX(Orçamentária!A:B,MATCH(Composições!A2682,Orçamentária!A:A,0),2)</f>
        <v>#N/A</v>
      </c>
      <c r="C2682" s="35"/>
      <c r="D2682" s="20" t="s">
        <v>1503</v>
      </c>
      <c r="E2682" s="21"/>
      <c r="F2682" s="36" t="s">
        <v>521</v>
      </c>
      <c r="G2682" s="22" t="str">
        <f t="shared" si="46"/>
        <v/>
      </c>
      <c r="H2682" s="23"/>
      <c r="I2682" s="24"/>
      <c r="J2682" s="138">
        <v>0</v>
      </c>
    </row>
    <row r="2683" spans="1:10" ht="15.75" hidden="1" thickBot="1" x14ac:dyDescent="0.3">
      <c r="A2683" s="221"/>
      <c r="B2683" s="223"/>
      <c r="C2683" s="26"/>
      <c r="D2683" s="26"/>
      <c r="E2683" s="27"/>
      <c r="F2683" s="37" t="s">
        <v>521</v>
      </c>
      <c r="G2683" s="28" t="str">
        <f t="shared" si="46"/>
        <v/>
      </c>
      <c r="H2683" s="29"/>
      <c r="I2683" s="25"/>
      <c r="J2683" s="138">
        <v>0</v>
      </c>
    </row>
    <row r="2684" spans="1:10" ht="15.75" hidden="1" thickBot="1" x14ac:dyDescent="0.3">
      <c r="A2684" s="221"/>
      <c r="B2684" s="223"/>
      <c r="C2684" s="30" t="s">
        <v>785</v>
      </c>
      <c r="D2684" s="41" t="s">
        <v>12</v>
      </c>
      <c r="E2684" s="146">
        <f>ROUND(220/(1+110.14%),4)</f>
        <v>104.6921</v>
      </c>
      <c r="F2684" s="25">
        <v>19.494</v>
      </c>
      <c r="G2684" s="28">
        <f t="shared" si="46"/>
        <v>2040.8677974</v>
      </c>
      <c r="H2684" s="33">
        <f>SUM(G2684:G2684)</f>
        <v>2040.8677974</v>
      </c>
      <c r="I2684" s="34"/>
      <c r="J2684" s="138">
        <v>0</v>
      </c>
    </row>
    <row r="2685" spans="1:10" ht="15.75" hidden="1" thickBot="1" x14ac:dyDescent="0.3">
      <c r="A2685" s="221"/>
      <c r="B2685" s="223"/>
      <c r="C2685" s="30"/>
      <c r="D2685" s="41"/>
      <c r="E2685" s="31"/>
      <c r="F2685" s="25" t="s">
        <v>521</v>
      </c>
      <c r="G2685" s="28" t="str">
        <f t="shared" si="46"/>
        <v/>
      </c>
      <c r="H2685" s="33"/>
      <c r="I2685" s="34"/>
      <c r="J2685" s="138">
        <v>0</v>
      </c>
    </row>
    <row r="2686" spans="1:10" ht="26.25" hidden="1" thickBot="1" x14ac:dyDescent="0.3">
      <c r="A2686" s="221"/>
      <c r="B2686" s="223"/>
      <c r="C2686" s="42" t="s">
        <v>780</v>
      </c>
      <c r="D2686" s="41"/>
      <c r="E2686" s="31"/>
      <c r="F2686" s="25" t="s">
        <v>521</v>
      </c>
      <c r="G2686" s="28" t="str">
        <f t="shared" si="46"/>
        <v/>
      </c>
      <c r="H2686" s="33"/>
      <c r="I2686" s="34"/>
      <c r="J2686" s="138">
        <v>0</v>
      </c>
    </row>
    <row r="2687" spans="1:10" ht="15.75" hidden="1" thickBot="1" x14ac:dyDescent="0.3">
      <c r="A2687" s="227"/>
      <c r="B2687" s="224"/>
      <c r="C2687" s="30"/>
      <c r="D2687" s="30"/>
      <c r="E2687" s="31"/>
      <c r="F2687" s="25" t="s">
        <v>521</v>
      </c>
      <c r="G2687" s="28" t="str">
        <f t="shared" si="46"/>
        <v/>
      </c>
      <c r="H2687" s="29"/>
      <c r="I2687" s="25"/>
      <c r="J2687" s="138">
        <v>0</v>
      </c>
    </row>
    <row r="2688" spans="1:10" ht="15.75" hidden="1" thickBot="1" x14ac:dyDescent="0.3">
      <c r="A2688" s="220" t="s">
        <v>786</v>
      </c>
      <c r="B2688" s="222" t="e">
        <f>INDEX(Orçamentária!A:B,MATCH(Composições!A2688,Orçamentária!A:A,0),2)</f>
        <v>#N/A</v>
      </c>
      <c r="C2688" s="35"/>
      <c r="D2688" s="20" t="s">
        <v>1503</v>
      </c>
      <c r="E2688" s="21"/>
      <c r="F2688" s="36" t="s">
        <v>521</v>
      </c>
      <c r="G2688" s="22" t="str">
        <f t="shared" si="46"/>
        <v/>
      </c>
      <c r="H2688" s="23"/>
      <c r="I2688" s="24"/>
      <c r="J2688" s="138">
        <v>0</v>
      </c>
    </row>
    <row r="2689" spans="1:10" ht="15.75" hidden="1" thickBot="1" x14ac:dyDescent="0.3">
      <c r="A2689" s="221"/>
      <c r="B2689" s="223"/>
      <c r="C2689" s="26"/>
      <c r="D2689" s="26"/>
      <c r="E2689" s="27"/>
      <c r="F2689" s="37" t="s">
        <v>521</v>
      </c>
      <c r="G2689" s="28" t="str">
        <f t="shared" si="46"/>
        <v/>
      </c>
      <c r="H2689" s="29"/>
      <c r="I2689" s="25"/>
      <c r="J2689" s="138">
        <v>0</v>
      </c>
    </row>
    <row r="2690" spans="1:10" ht="15.75" hidden="1" thickBot="1" x14ac:dyDescent="0.3">
      <c r="A2690" s="221"/>
      <c r="B2690" s="223"/>
      <c r="C2690" s="30" t="s">
        <v>787</v>
      </c>
      <c r="D2690" s="41" t="s">
        <v>12</v>
      </c>
      <c r="E2690" s="146">
        <f>ROUND(220/(1+110.14%),4)</f>
        <v>104.6921</v>
      </c>
      <c r="F2690" s="25">
        <v>19.588999999999999</v>
      </c>
      <c r="G2690" s="28">
        <f t="shared" si="46"/>
        <v>2050.8135468999999</v>
      </c>
      <c r="H2690" s="33">
        <f>SUM(G2690:G2690)</f>
        <v>2050.8135468999999</v>
      </c>
      <c r="I2690" s="34"/>
      <c r="J2690" s="138">
        <v>0</v>
      </c>
    </row>
    <row r="2691" spans="1:10" ht="15.75" hidden="1" thickBot="1" x14ac:dyDescent="0.3">
      <c r="A2691" s="221"/>
      <c r="B2691" s="223"/>
      <c r="C2691" s="30"/>
      <c r="D2691" s="41"/>
      <c r="E2691" s="31"/>
      <c r="F2691" s="25" t="s">
        <v>521</v>
      </c>
      <c r="G2691" s="28" t="str">
        <f t="shared" si="46"/>
        <v/>
      </c>
      <c r="H2691" s="33"/>
      <c r="I2691" s="34"/>
      <c r="J2691" s="138">
        <v>0</v>
      </c>
    </row>
    <row r="2692" spans="1:10" ht="26.25" hidden="1" thickBot="1" x14ac:dyDescent="0.3">
      <c r="A2692" s="221"/>
      <c r="B2692" s="223"/>
      <c r="C2692" s="42" t="s">
        <v>780</v>
      </c>
      <c r="D2692" s="41"/>
      <c r="E2692" s="31"/>
      <c r="F2692" s="25" t="s">
        <v>521</v>
      </c>
      <c r="G2692" s="28" t="str">
        <f t="shared" si="46"/>
        <v/>
      </c>
      <c r="H2692" s="33"/>
      <c r="I2692" s="34"/>
      <c r="J2692" s="138">
        <v>0</v>
      </c>
    </row>
    <row r="2693" spans="1:10" ht="15.75" hidden="1" thickBot="1" x14ac:dyDescent="0.3">
      <c r="A2693" s="227"/>
      <c r="B2693" s="224"/>
      <c r="C2693" s="30"/>
      <c r="D2693" s="30"/>
      <c r="E2693" s="31"/>
      <c r="F2693" s="25" t="s">
        <v>521</v>
      </c>
      <c r="G2693" s="28" t="str">
        <f t="shared" si="46"/>
        <v/>
      </c>
      <c r="H2693" s="29"/>
      <c r="I2693" s="25"/>
      <c r="J2693" s="138">
        <v>0</v>
      </c>
    </row>
    <row r="2694" spans="1:10" ht="15.75" hidden="1" thickBot="1" x14ac:dyDescent="0.3">
      <c r="A2694" s="220" t="s">
        <v>788</v>
      </c>
      <c r="B2694" s="222" t="e">
        <f>INDEX(Orçamentária!A:B,MATCH(Composições!A2694,Orçamentária!A:A,0),2)</f>
        <v>#N/A</v>
      </c>
      <c r="C2694" s="35"/>
      <c r="D2694" s="20" t="s">
        <v>1503</v>
      </c>
      <c r="E2694" s="21"/>
      <c r="F2694" s="36" t="s">
        <v>521</v>
      </c>
      <c r="G2694" s="22" t="str">
        <f t="shared" ref="G2694:G2757" si="47">IF(ISNUMBER(F2694),E2694*F2694,"")</f>
        <v/>
      </c>
      <c r="H2694" s="23"/>
      <c r="I2694" s="24"/>
      <c r="J2694" s="138">
        <v>0</v>
      </c>
    </row>
    <row r="2695" spans="1:10" ht="15.75" hidden="1" thickBot="1" x14ac:dyDescent="0.3">
      <c r="A2695" s="221"/>
      <c r="B2695" s="223"/>
      <c r="C2695" s="26"/>
      <c r="D2695" s="26"/>
      <c r="E2695" s="27"/>
      <c r="F2695" s="37" t="s">
        <v>521</v>
      </c>
      <c r="G2695" s="28" t="str">
        <f t="shared" si="47"/>
        <v/>
      </c>
      <c r="H2695" s="29"/>
      <c r="I2695" s="25"/>
      <c r="J2695" s="138">
        <v>0</v>
      </c>
    </row>
    <row r="2696" spans="1:10" ht="15.75" hidden="1" thickBot="1" x14ac:dyDescent="0.3">
      <c r="A2696" s="221"/>
      <c r="B2696" s="223"/>
      <c r="C2696" s="30" t="s">
        <v>605</v>
      </c>
      <c r="D2696" s="41" t="s">
        <v>12</v>
      </c>
      <c r="E2696" s="146">
        <f>ROUND(220/(1+110.14%),4)</f>
        <v>104.6921</v>
      </c>
      <c r="F2696" s="25">
        <v>23.331999999999997</v>
      </c>
      <c r="G2696" s="28">
        <f t="shared" si="47"/>
        <v>2442.6760771999998</v>
      </c>
      <c r="H2696" s="33">
        <f>SUM(G2696:G2696)</f>
        <v>2442.6760771999998</v>
      </c>
      <c r="I2696" s="34"/>
      <c r="J2696" s="138">
        <v>0</v>
      </c>
    </row>
    <row r="2697" spans="1:10" ht="15.75" hidden="1" thickBot="1" x14ac:dyDescent="0.3">
      <c r="A2697" s="221"/>
      <c r="B2697" s="223"/>
      <c r="C2697" s="30"/>
      <c r="D2697" s="41"/>
      <c r="E2697" s="31"/>
      <c r="F2697" s="25" t="s">
        <v>521</v>
      </c>
      <c r="G2697" s="28" t="str">
        <f t="shared" si="47"/>
        <v/>
      </c>
      <c r="H2697" s="33"/>
      <c r="I2697" s="34"/>
      <c r="J2697" s="138">
        <v>0</v>
      </c>
    </row>
    <row r="2698" spans="1:10" ht="26.25" hidden="1" thickBot="1" x14ac:dyDescent="0.3">
      <c r="A2698" s="221"/>
      <c r="B2698" s="223"/>
      <c r="C2698" s="42" t="s">
        <v>780</v>
      </c>
      <c r="D2698" s="41"/>
      <c r="E2698" s="31"/>
      <c r="F2698" s="25" t="s">
        <v>521</v>
      </c>
      <c r="G2698" s="28" t="str">
        <f t="shared" si="47"/>
        <v/>
      </c>
      <c r="H2698" s="33"/>
      <c r="I2698" s="34"/>
      <c r="J2698" s="138">
        <v>0</v>
      </c>
    </row>
    <row r="2699" spans="1:10" ht="15.75" hidden="1" thickBot="1" x14ac:dyDescent="0.3">
      <c r="A2699" s="227"/>
      <c r="B2699" s="224"/>
      <c r="C2699" s="30"/>
      <c r="D2699" s="30"/>
      <c r="E2699" s="31"/>
      <c r="F2699" s="25" t="s">
        <v>521</v>
      </c>
      <c r="G2699" s="28" t="str">
        <f t="shared" si="47"/>
        <v/>
      </c>
      <c r="H2699" s="29"/>
      <c r="I2699" s="25"/>
      <c r="J2699" s="138">
        <v>0</v>
      </c>
    </row>
    <row r="2700" spans="1:10" ht="15.75" hidden="1" thickBot="1" x14ac:dyDescent="0.3">
      <c r="A2700" s="220" t="s">
        <v>789</v>
      </c>
      <c r="B2700" s="222" t="e">
        <f>INDEX(Orçamentária!A:B,MATCH(Composições!A2700,Orçamentária!A:A,0),2)</f>
        <v>#N/A</v>
      </c>
      <c r="C2700" s="35"/>
      <c r="D2700" s="20" t="s">
        <v>1503</v>
      </c>
      <c r="E2700" s="21"/>
      <c r="F2700" s="36" t="s">
        <v>521</v>
      </c>
      <c r="G2700" s="22" t="str">
        <f t="shared" si="47"/>
        <v/>
      </c>
      <c r="H2700" s="23"/>
      <c r="I2700" s="24"/>
      <c r="J2700" s="138">
        <v>0</v>
      </c>
    </row>
    <row r="2701" spans="1:10" ht="15.75" hidden="1" thickBot="1" x14ac:dyDescent="0.3">
      <c r="A2701" s="221"/>
      <c r="B2701" s="223"/>
      <c r="C2701" s="26"/>
      <c r="D2701" s="26"/>
      <c r="E2701" s="27"/>
      <c r="F2701" s="37" t="s">
        <v>521</v>
      </c>
      <c r="G2701" s="28" t="str">
        <f t="shared" si="47"/>
        <v/>
      </c>
      <c r="H2701" s="29"/>
      <c r="I2701" s="25"/>
      <c r="J2701" s="138">
        <v>0</v>
      </c>
    </row>
    <row r="2702" spans="1:10" ht="15.75" hidden="1" thickBot="1" x14ac:dyDescent="0.3">
      <c r="A2702" s="221"/>
      <c r="B2702" s="223"/>
      <c r="C2702" s="30" t="s">
        <v>605</v>
      </c>
      <c r="D2702" s="41" t="s">
        <v>12</v>
      </c>
      <c r="E2702" s="146">
        <f>ROUND(220/(1+110.14%),4)</f>
        <v>104.6921</v>
      </c>
      <c r="F2702" s="25">
        <v>23.331999999999997</v>
      </c>
      <c r="G2702" s="28">
        <f t="shared" si="47"/>
        <v>2442.6760771999998</v>
      </c>
      <c r="H2702" s="33">
        <f>SUM(G2702:G2702)</f>
        <v>2442.6760771999998</v>
      </c>
      <c r="I2702" s="34"/>
      <c r="J2702" s="138">
        <v>0</v>
      </c>
    </row>
    <row r="2703" spans="1:10" ht="15.75" hidden="1" thickBot="1" x14ac:dyDescent="0.3">
      <c r="A2703" s="221"/>
      <c r="B2703" s="223"/>
      <c r="C2703" s="30"/>
      <c r="D2703" s="41"/>
      <c r="E2703" s="31"/>
      <c r="F2703" s="25" t="s">
        <v>521</v>
      </c>
      <c r="G2703" s="28" t="str">
        <f t="shared" si="47"/>
        <v/>
      </c>
      <c r="H2703" s="33"/>
      <c r="I2703" s="34"/>
      <c r="J2703" s="138">
        <v>0</v>
      </c>
    </row>
    <row r="2704" spans="1:10" ht="26.25" hidden="1" thickBot="1" x14ac:dyDescent="0.3">
      <c r="A2704" s="221"/>
      <c r="B2704" s="223"/>
      <c r="C2704" s="42" t="s">
        <v>780</v>
      </c>
      <c r="D2704" s="41"/>
      <c r="E2704" s="31"/>
      <c r="F2704" s="25" t="s">
        <v>521</v>
      </c>
      <c r="G2704" s="28" t="str">
        <f t="shared" si="47"/>
        <v/>
      </c>
      <c r="H2704" s="33"/>
      <c r="I2704" s="34"/>
      <c r="J2704" s="138">
        <v>0</v>
      </c>
    </row>
    <row r="2705" spans="1:10" ht="15.75" hidden="1" thickBot="1" x14ac:dyDescent="0.3">
      <c r="A2705" s="227"/>
      <c r="B2705" s="224"/>
      <c r="C2705" s="30"/>
      <c r="D2705" s="30"/>
      <c r="E2705" s="31"/>
      <c r="F2705" s="25" t="s">
        <v>521</v>
      </c>
      <c r="G2705" s="28" t="str">
        <f t="shared" si="47"/>
        <v/>
      </c>
      <c r="H2705" s="29"/>
      <c r="I2705" s="25"/>
      <c r="J2705" s="138">
        <v>0</v>
      </c>
    </row>
    <row r="2706" spans="1:10" ht="15.75" hidden="1" thickBot="1" x14ac:dyDescent="0.3">
      <c r="A2706" s="220" t="s">
        <v>790</v>
      </c>
      <c r="B2706" s="222" t="e">
        <f>INDEX(Orçamentária!A:B,MATCH(Composições!A2706,Orçamentária!A:A,0),2)</f>
        <v>#N/A</v>
      </c>
      <c r="C2706" s="35"/>
      <c r="D2706" s="20" t="s">
        <v>1503</v>
      </c>
      <c r="E2706" s="21"/>
      <c r="F2706" s="36" t="s">
        <v>521</v>
      </c>
      <c r="G2706" s="22" t="str">
        <f t="shared" si="47"/>
        <v/>
      </c>
      <c r="H2706" s="23"/>
      <c r="I2706" s="24"/>
      <c r="J2706" s="138">
        <v>0</v>
      </c>
    </row>
    <row r="2707" spans="1:10" ht="15.75" hidden="1" thickBot="1" x14ac:dyDescent="0.3">
      <c r="A2707" s="221"/>
      <c r="B2707" s="223"/>
      <c r="C2707" s="26"/>
      <c r="D2707" s="26"/>
      <c r="E2707" s="27"/>
      <c r="F2707" s="37" t="s">
        <v>521</v>
      </c>
      <c r="G2707" s="28" t="str">
        <f t="shared" si="47"/>
        <v/>
      </c>
      <c r="H2707" s="29"/>
      <c r="I2707" s="25"/>
      <c r="J2707" s="138">
        <v>0</v>
      </c>
    </row>
    <row r="2708" spans="1:10" ht="15.75" hidden="1" thickBot="1" x14ac:dyDescent="0.3">
      <c r="A2708" s="221"/>
      <c r="B2708" s="223"/>
      <c r="C2708" s="30" t="s">
        <v>615</v>
      </c>
      <c r="D2708" s="41" t="s">
        <v>12</v>
      </c>
      <c r="E2708" s="146">
        <f>ROUND(220/(1+110.14%),4)</f>
        <v>104.6921</v>
      </c>
      <c r="F2708" s="25">
        <v>24.747499999999999</v>
      </c>
      <c r="G2708" s="28">
        <f t="shared" si="47"/>
        <v>2590.8677447499999</v>
      </c>
      <c r="H2708" s="33">
        <f>SUM(G2708:G2708)</f>
        <v>2590.8677447499999</v>
      </c>
      <c r="I2708" s="34"/>
      <c r="J2708" s="138">
        <v>0</v>
      </c>
    </row>
    <row r="2709" spans="1:10" ht="15.75" hidden="1" thickBot="1" x14ac:dyDescent="0.3">
      <c r="A2709" s="221"/>
      <c r="B2709" s="223"/>
      <c r="C2709" s="30"/>
      <c r="D2709" s="41"/>
      <c r="E2709" s="31"/>
      <c r="F2709" s="25" t="s">
        <v>521</v>
      </c>
      <c r="G2709" s="28" t="str">
        <f t="shared" si="47"/>
        <v/>
      </c>
      <c r="H2709" s="33"/>
      <c r="I2709" s="34"/>
      <c r="J2709" s="138">
        <v>0</v>
      </c>
    </row>
    <row r="2710" spans="1:10" ht="26.25" hidden="1" thickBot="1" x14ac:dyDescent="0.3">
      <c r="A2710" s="221"/>
      <c r="B2710" s="223"/>
      <c r="C2710" s="42" t="s">
        <v>780</v>
      </c>
      <c r="D2710" s="41"/>
      <c r="E2710" s="31"/>
      <c r="F2710" s="25" t="s">
        <v>521</v>
      </c>
      <c r="G2710" s="28" t="str">
        <f t="shared" si="47"/>
        <v/>
      </c>
      <c r="H2710" s="33"/>
      <c r="I2710" s="34"/>
      <c r="J2710" s="138">
        <v>0</v>
      </c>
    </row>
    <row r="2711" spans="1:10" ht="15.75" hidden="1" thickBot="1" x14ac:dyDescent="0.3">
      <c r="A2711" s="227"/>
      <c r="B2711" s="224"/>
      <c r="C2711" s="30"/>
      <c r="D2711" s="30"/>
      <c r="E2711" s="31"/>
      <c r="F2711" s="25" t="s">
        <v>521</v>
      </c>
      <c r="G2711" s="28" t="str">
        <f t="shared" si="47"/>
        <v/>
      </c>
      <c r="H2711" s="29"/>
      <c r="I2711" s="25"/>
      <c r="J2711" s="138">
        <v>0</v>
      </c>
    </row>
    <row r="2712" spans="1:10" ht="15.75" hidden="1" thickBot="1" x14ac:dyDescent="0.3">
      <c r="A2712" s="220" t="s">
        <v>791</v>
      </c>
      <c r="B2712" s="222" t="e">
        <f>INDEX(Orçamentária!A:B,MATCH(Composições!A2712,Orçamentária!A:A,0),2)</f>
        <v>#N/A</v>
      </c>
      <c r="C2712" s="35"/>
      <c r="D2712" s="20" t="s">
        <v>1503</v>
      </c>
      <c r="E2712" s="21"/>
      <c r="F2712" s="36" t="s">
        <v>521</v>
      </c>
      <c r="G2712" s="22" t="str">
        <f t="shared" si="47"/>
        <v/>
      </c>
      <c r="H2712" s="23"/>
      <c r="I2712" s="24"/>
      <c r="J2712" s="138">
        <v>0</v>
      </c>
    </row>
    <row r="2713" spans="1:10" ht="15.75" hidden="1" thickBot="1" x14ac:dyDescent="0.3">
      <c r="A2713" s="221"/>
      <c r="B2713" s="223"/>
      <c r="C2713" s="26"/>
      <c r="D2713" s="26"/>
      <c r="E2713" s="27"/>
      <c r="F2713" s="37" t="s">
        <v>521</v>
      </c>
      <c r="G2713" s="28" t="str">
        <f t="shared" si="47"/>
        <v/>
      </c>
      <c r="H2713" s="29"/>
      <c r="I2713" s="25"/>
      <c r="J2713" s="138">
        <v>0</v>
      </c>
    </row>
    <row r="2714" spans="1:10" ht="15.75" hidden="1" thickBot="1" x14ac:dyDescent="0.3">
      <c r="A2714" s="221"/>
      <c r="B2714" s="223"/>
      <c r="C2714" s="30" t="s">
        <v>14</v>
      </c>
      <c r="D2714" s="41" t="s">
        <v>12</v>
      </c>
      <c r="E2714" s="146">
        <f>ROUND(220/(1+110.14%),4)</f>
        <v>104.6921</v>
      </c>
      <c r="F2714" s="25">
        <v>41.495999999999995</v>
      </c>
      <c r="G2714" s="28">
        <f t="shared" si="47"/>
        <v>4344.3033815999997</v>
      </c>
      <c r="H2714" s="33">
        <f>SUM(G2714:G2714)</f>
        <v>4344.3033815999997</v>
      </c>
      <c r="I2714" s="34"/>
      <c r="J2714" s="138">
        <v>0</v>
      </c>
    </row>
    <row r="2715" spans="1:10" ht="15.75" hidden="1" thickBot="1" x14ac:dyDescent="0.3">
      <c r="A2715" s="221"/>
      <c r="B2715" s="223"/>
      <c r="C2715" s="30"/>
      <c r="D2715" s="41"/>
      <c r="E2715" s="31"/>
      <c r="F2715" s="25" t="s">
        <v>521</v>
      </c>
      <c r="G2715" s="28" t="str">
        <f t="shared" si="47"/>
        <v/>
      </c>
      <c r="H2715" s="33"/>
      <c r="I2715" s="34"/>
      <c r="J2715" s="138">
        <v>0</v>
      </c>
    </row>
    <row r="2716" spans="1:10" ht="26.25" hidden="1" thickBot="1" x14ac:dyDescent="0.3">
      <c r="A2716" s="221"/>
      <c r="B2716" s="223"/>
      <c r="C2716" s="42" t="s">
        <v>780</v>
      </c>
      <c r="D2716" s="41"/>
      <c r="E2716" s="31"/>
      <c r="F2716" s="25" t="s">
        <v>521</v>
      </c>
      <c r="G2716" s="28" t="str">
        <f t="shared" si="47"/>
        <v/>
      </c>
      <c r="H2716" s="33"/>
      <c r="I2716" s="34"/>
      <c r="J2716" s="138">
        <v>0</v>
      </c>
    </row>
    <row r="2717" spans="1:10" ht="15.75" hidden="1" thickBot="1" x14ac:dyDescent="0.3">
      <c r="A2717" s="227"/>
      <c r="B2717" s="224"/>
      <c r="C2717" s="30"/>
      <c r="D2717" s="30"/>
      <c r="E2717" s="31"/>
      <c r="F2717" s="25" t="s">
        <v>521</v>
      </c>
      <c r="G2717" s="28" t="str">
        <f t="shared" si="47"/>
        <v/>
      </c>
      <c r="H2717" s="29"/>
      <c r="I2717" s="25"/>
      <c r="J2717" s="138">
        <v>0</v>
      </c>
    </row>
    <row r="2718" spans="1:10" ht="15.75" hidden="1" thickBot="1" x14ac:dyDescent="0.3">
      <c r="A2718" s="220" t="s">
        <v>792</v>
      </c>
      <c r="B2718" s="222" t="e">
        <f>INDEX(Orçamentária!A:B,MATCH(Composições!A2718,Orçamentária!A:A,0),2)</f>
        <v>#N/A</v>
      </c>
      <c r="C2718" s="35"/>
      <c r="D2718" s="20" t="s">
        <v>1503</v>
      </c>
      <c r="E2718" s="21"/>
      <c r="F2718" s="36" t="s">
        <v>521</v>
      </c>
      <c r="G2718" s="22" t="str">
        <f t="shared" si="47"/>
        <v/>
      </c>
      <c r="H2718" s="23"/>
      <c r="I2718" s="24"/>
      <c r="J2718" s="138">
        <v>0</v>
      </c>
    </row>
    <row r="2719" spans="1:10" ht="15.75" hidden="1" thickBot="1" x14ac:dyDescent="0.3">
      <c r="A2719" s="221"/>
      <c r="B2719" s="223"/>
      <c r="C2719" s="26"/>
      <c r="D2719" s="26"/>
      <c r="E2719" s="27"/>
      <c r="F2719" s="37" t="s">
        <v>521</v>
      </c>
      <c r="G2719" s="28" t="str">
        <f t="shared" si="47"/>
        <v/>
      </c>
      <c r="H2719" s="29"/>
      <c r="I2719" s="25"/>
      <c r="J2719" s="138">
        <v>0</v>
      </c>
    </row>
    <row r="2720" spans="1:10" ht="15.75" hidden="1" thickBot="1" x14ac:dyDescent="0.3">
      <c r="A2720" s="221"/>
      <c r="B2720" s="223"/>
      <c r="C2720" s="30" t="s">
        <v>710</v>
      </c>
      <c r="D2720" s="41" t="s">
        <v>12</v>
      </c>
      <c r="E2720" s="146">
        <f>ROUND(220/(1+110.14%),4)</f>
        <v>104.6921</v>
      </c>
      <c r="F2720" s="25">
        <v>24.889999999999997</v>
      </c>
      <c r="G2720" s="28">
        <f t="shared" si="47"/>
        <v>2605.7863689999995</v>
      </c>
      <c r="H2720" s="33">
        <f>SUM(G2720:G2720)</f>
        <v>2605.7863689999995</v>
      </c>
      <c r="I2720" s="34"/>
      <c r="J2720" s="138">
        <v>0</v>
      </c>
    </row>
    <row r="2721" spans="1:10" ht="15.75" hidden="1" thickBot="1" x14ac:dyDescent="0.3">
      <c r="A2721" s="221"/>
      <c r="B2721" s="223"/>
      <c r="C2721" s="30"/>
      <c r="D2721" s="41"/>
      <c r="E2721" s="31"/>
      <c r="F2721" s="25" t="s">
        <v>521</v>
      </c>
      <c r="G2721" s="28" t="str">
        <f t="shared" si="47"/>
        <v/>
      </c>
      <c r="H2721" s="33"/>
      <c r="I2721" s="34"/>
      <c r="J2721" s="138">
        <v>0</v>
      </c>
    </row>
    <row r="2722" spans="1:10" ht="26.25" hidden="1" thickBot="1" x14ac:dyDescent="0.3">
      <c r="A2722" s="221"/>
      <c r="B2722" s="223"/>
      <c r="C2722" s="42" t="s">
        <v>780</v>
      </c>
      <c r="D2722" s="41"/>
      <c r="E2722" s="31"/>
      <c r="F2722" s="25" t="s">
        <v>521</v>
      </c>
      <c r="G2722" s="28" t="str">
        <f t="shared" si="47"/>
        <v/>
      </c>
      <c r="H2722" s="33"/>
      <c r="I2722" s="34"/>
      <c r="J2722" s="138">
        <v>0</v>
      </c>
    </row>
    <row r="2723" spans="1:10" ht="15.75" hidden="1" thickBot="1" x14ac:dyDescent="0.3">
      <c r="A2723" s="227"/>
      <c r="B2723" s="224"/>
      <c r="C2723" s="30"/>
      <c r="D2723" s="30"/>
      <c r="E2723" s="31"/>
      <c r="F2723" s="25" t="s">
        <v>521</v>
      </c>
      <c r="G2723" s="28" t="str">
        <f t="shared" si="47"/>
        <v/>
      </c>
      <c r="H2723" s="29"/>
      <c r="I2723" s="25"/>
      <c r="J2723" s="138">
        <v>0</v>
      </c>
    </row>
    <row r="2724" spans="1:10" ht="15.75" hidden="1" thickBot="1" x14ac:dyDescent="0.3">
      <c r="A2724" s="228" t="s">
        <v>1504</v>
      </c>
      <c r="B2724" s="222" t="e">
        <f>INDEX(Orçamentária!A:B,MATCH(Composições!A2724,Orçamentária!A:A,0),2)</f>
        <v>#N/A</v>
      </c>
      <c r="C2724" s="35"/>
      <c r="D2724" s="20" t="s">
        <v>20</v>
      </c>
      <c r="E2724" s="21"/>
      <c r="F2724" s="43" t="s">
        <v>521</v>
      </c>
      <c r="G2724" s="22" t="str">
        <f t="shared" si="47"/>
        <v/>
      </c>
      <c r="H2724" s="23"/>
      <c r="I2724" s="24"/>
      <c r="J2724" s="138">
        <v>0</v>
      </c>
    </row>
    <row r="2725" spans="1:10" ht="15.75" hidden="1" thickBot="1" x14ac:dyDescent="0.3">
      <c r="A2725" s="234"/>
      <c r="B2725" s="223"/>
      <c r="C2725" s="152"/>
      <c r="D2725" s="26"/>
      <c r="E2725" s="153"/>
      <c r="F2725" s="48" t="s">
        <v>521</v>
      </c>
      <c r="G2725" s="48" t="str">
        <f t="shared" si="47"/>
        <v/>
      </c>
      <c r="H2725" s="67"/>
      <c r="I2725" s="68"/>
      <c r="J2725" s="138">
        <v>0</v>
      </c>
    </row>
    <row r="2726" spans="1:10" ht="15.75" hidden="1" thickBot="1" x14ac:dyDescent="0.3">
      <c r="A2726" s="234"/>
      <c r="B2726" s="223"/>
      <c r="C2726" s="30" t="s">
        <v>2554</v>
      </c>
      <c r="D2726" s="30" t="s">
        <v>20</v>
      </c>
      <c r="E2726" s="146">
        <v>1</v>
      </c>
      <c r="F2726" s="25">
        <v>47.823</v>
      </c>
      <c r="G2726" s="48">
        <f t="shared" si="47"/>
        <v>47.823</v>
      </c>
      <c r="H2726" s="33">
        <f>SUM(G2726:G2726)</f>
        <v>47.823</v>
      </c>
      <c r="I2726" s="34"/>
      <c r="J2726" s="138">
        <v>0</v>
      </c>
    </row>
    <row r="2727" spans="1:10" ht="15.75" hidden="1" thickBot="1" x14ac:dyDescent="0.3">
      <c r="A2727" s="235"/>
      <c r="B2727" s="224"/>
      <c r="C2727" s="49"/>
      <c r="D2727" s="148"/>
      <c r="E2727" s="60"/>
      <c r="F2727" s="70" t="s">
        <v>521</v>
      </c>
      <c r="G2727" s="70" t="str">
        <f t="shared" si="47"/>
        <v/>
      </c>
      <c r="H2727" s="71"/>
      <c r="I2727" s="68"/>
      <c r="J2727" s="138">
        <v>0</v>
      </c>
    </row>
    <row r="2728" spans="1:10" ht="15.75" hidden="1" thickBot="1" x14ac:dyDescent="0.3">
      <c r="A2728" s="228" t="s">
        <v>1505</v>
      </c>
      <c r="B2728" s="222" t="e">
        <f>INDEX(Orçamentária!A:B,MATCH(Composições!A2728,Orçamentária!A:A,0),2)</f>
        <v>#N/A</v>
      </c>
      <c r="C2728" s="35"/>
      <c r="D2728" s="20" t="s">
        <v>20</v>
      </c>
      <c r="E2728" s="21"/>
      <c r="F2728" s="43" t="s">
        <v>521</v>
      </c>
      <c r="G2728" s="22" t="str">
        <f t="shared" si="47"/>
        <v/>
      </c>
      <c r="H2728" s="23"/>
      <c r="I2728" s="24"/>
      <c r="J2728" s="138">
        <v>0</v>
      </c>
    </row>
    <row r="2729" spans="1:10" ht="15.75" hidden="1" thickBot="1" x14ac:dyDescent="0.3">
      <c r="A2729" s="234"/>
      <c r="B2729" s="223"/>
      <c r="C2729" s="152"/>
      <c r="D2729" s="26"/>
      <c r="E2729" s="153"/>
      <c r="F2729" s="48" t="s">
        <v>521</v>
      </c>
      <c r="G2729" s="48" t="str">
        <f t="shared" si="47"/>
        <v/>
      </c>
      <c r="H2729" s="67"/>
      <c r="I2729" s="68"/>
      <c r="J2729" s="138">
        <v>0</v>
      </c>
    </row>
    <row r="2730" spans="1:10" ht="26.25" hidden="1" thickBot="1" x14ac:dyDescent="0.3">
      <c r="A2730" s="234"/>
      <c r="B2730" s="223"/>
      <c r="C2730" s="30" t="s">
        <v>2575</v>
      </c>
      <c r="D2730" s="30" t="s">
        <v>20</v>
      </c>
      <c r="E2730" s="146">
        <v>1</v>
      </c>
      <c r="F2730" s="25">
        <v>249.85</v>
      </c>
      <c r="G2730" s="48">
        <f t="shared" si="47"/>
        <v>249.85</v>
      </c>
      <c r="H2730" s="33">
        <f>SUM(G2730:G2730)</f>
        <v>249.85</v>
      </c>
      <c r="I2730" s="34"/>
      <c r="J2730" s="138">
        <v>0</v>
      </c>
    </row>
    <row r="2731" spans="1:10" ht="15.75" hidden="1" thickBot="1" x14ac:dyDescent="0.3">
      <c r="A2731" s="235"/>
      <c r="B2731" s="224"/>
      <c r="C2731" s="49"/>
      <c r="D2731" s="148"/>
      <c r="E2731" s="60"/>
      <c r="F2731" s="70" t="s">
        <v>521</v>
      </c>
      <c r="G2731" s="70" t="str">
        <f t="shared" si="47"/>
        <v/>
      </c>
      <c r="H2731" s="71"/>
      <c r="I2731" s="68"/>
      <c r="J2731" s="138">
        <v>0</v>
      </c>
    </row>
    <row r="2732" spans="1:10" ht="15.75" hidden="1" thickBot="1" x14ac:dyDescent="0.3">
      <c r="A2732" s="228" t="s">
        <v>1506</v>
      </c>
      <c r="B2732" s="222" t="e">
        <f>INDEX(Orçamentária!A:B,MATCH(Composições!A2732,Orçamentária!A:A,0),2)</f>
        <v>#N/A</v>
      </c>
      <c r="C2732" s="35"/>
      <c r="D2732" s="20" t="s">
        <v>20</v>
      </c>
      <c r="E2732" s="21"/>
      <c r="F2732" s="43" t="s">
        <v>521</v>
      </c>
      <c r="G2732" s="22" t="str">
        <f t="shared" si="47"/>
        <v/>
      </c>
      <c r="H2732" s="23"/>
      <c r="I2732" s="24"/>
      <c r="J2732" s="138">
        <v>0</v>
      </c>
    </row>
    <row r="2733" spans="1:10" ht="15.75" hidden="1" thickBot="1" x14ac:dyDescent="0.3">
      <c r="A2733" s="234"/>
      <c r="B2733" s="223"/>
      <c r="C2733" s="152"/>
      <c r="D2733" s="26"/>
      <c r="E2733" s="153"/>
      <c r="F2733" s="48" t="s">
        <v>521</v>
      </c>
      <c r="G2733" s="48" t="str">
        <f t="shared" si="47"/>
        <v/>
      </c>
      <c r="H2733" s="67"/>
      <c r="I2733" s="68"/>
      <c r="J2733" s="138">
        <v>0</v>
      </c>
    </row>
    <row r="2734" spans="1:10" ht="15.75" hidden="1" thickBot="1" x14ac:dyDescent="0.3">
      <c r="A2734" s="234"/>
      <c r="B2734" s="223"/>
      <c r="C2734" s="30" t="s">
        <v>2588</v>
      </c>
      <c r="D2734" s="30" t="s">
        <v>20</v>
      </c>
      <c r="E2734" s="146">
        <v>1</v>
      </c>
      <c r="F2734" s="25">
        <v>61.892500000000005</v>
      </c>
      <c r="G2734" s="48">
        <f t="shared" si="47"/>
        <v>61.892500000000005</v>
      </c>
      <c r="H2734" s="33">
        <f>SUM(G2734:G2734)</f>
        <v>61.892500000000005</v>
      </c>
      <c r="I2734" s="34"/>
      <c r="J2734" s="138">
        <v>0</v>
      </c>
    </row>
    <row r="2735" spans="1:10" ht="15.75" hidden="1" thickBot="1" x14ac:dyDescent="0.3">
      <c r="A2735" s="235"/>
      <c r="B2735" s="224"/>
      <c r="C2735" s="49"/>
      <c r="D2735" s="148"/>
      <c r="E2735" s="60"/>
      <c r="F2735" s="70" t="s">
        <v>521</v>
      </c>
      <c r="G2735" s="70" t="str">
        <f t="shared" si="47"/>
        <v/>
      </c>
      <c r="H2735" s="71"/>
      <c r="I2735" s="68"/>
      <c r="J2735" s="138">
        <v>0</v>
      </c>
    </row>
    <row r="2736" spans="1:10" ht="15.75" hidden="1" thickBot="1" x14ac:dyDescent="0.3">
      <c r="A2736" s="228" t="s">
        <v>1507</v>
      </c>
      <c r="B2736" s="222" t="e">
        <f>INDEX(Orçamentária!A:B,MATCH(Composições!A2736,Orçamentária!A:A,0),2)</f>
        <v>#N/A</v>
      </c>
      <c r="C2736" s="35"/>
      <c r="D2736" s="20" t="s">
        <v>20</v>
      </c>
      <c r="E2736" s="21"/>
      <c r="F2736" s="43" t="s">
        <v>521</v>
      </c>
      <c r="G2736" s="22" t="str">
        <f t="shared" si="47"/>
        <v/>
      </c>
      <c r="H2736" s="23"/>
      <c r="I2736" s="24"/>
      <c r="J2736" s="138">
        <v>0</v>
      </c>
    </row>
    <row r="2737" spans="1:10" ht="15.75" hidden="1" thickBot="1" x14ac:dyDescent="0.3">
      <c r="A2737" s="234"/>
      <c r="B2737" s="223"/>
      <c r="C2737" s="152"/>
      <c r="D2737" s="26"/>
      <c r="E2737" s="153"/>
      <c r="F2737" s="48" t="s">
        <v>521</v>
      </c>
      <c r="G2737" s="48" t="str">
        <f t="shared" si="47"/>
        <v/>
      </c>
      <c r="H2737" s="67"/>
      <c r="I2737" s="68"/>
      <c r="J2737" s="138">
        <v>0</v>
      </c>
    </row>
    <row r="2738" spans="1:10" ht="15.75" hidden="1" thickBot="1" x14ac:dyDescent="0.3">
      <c r="A2738" s="234"/>
      <c r="B2738" s="223"/>
      <c r="C2738" s="30" t="s">
        <v>2590</v>
      </c>
      <c r="D2738" s="30" t="s">
        <v>20</v>
      </c>
      <c r="E2738" s="146">
        <v>1</v>
      </c>
      <c r="F2738" s="25">
        <v>24.994499999999999</v>
      </c>
      <c r="G2738" s="48">
        <f t="shared" si="47"/>
        <v>24.994499999999999</v>
      </c>
      <c r="H2738" s="33">
        <f>SUM(G2738:G2738)</f>
        <v>24.994499999999999</v>
      </c>
      <c r="I2738" s="34"/>
      <c r="J2738" s="138">
        <v>0</v>
      </c>
    </row>
    <row r="2739" spans="1:10" ht="15.75" hidden="1" thickBot="1" x14ac:dyDescent="0.3">
      <c r="A2739" s="235"/>
      <c r="B2739" s="224"/>
      <c r="C2739" s="49"/>
      <c r="D2739" s="148"/>
      <c r="E2739" s="60"/>
      <c r="F2739" s="70" t="s">
        <v>521</v>
      </c>
      <c r="G2739" s="70" t="str">
        <f t="shared" si="47"/>
        <v/>
      </c>
      <c r="H2739" s="71"/>
      <c r="I2739" s="68"/>
      <c r="J2739" s="138">
        <v>0</v>
      </c>
    </row>
    <row r="2740" spans="1:10" ht="15.75" hidden="1" thickBot="1" x14ac:dyDescent="0.3">
      <c r="A2740" s="220" t="s">
        <v>1508</v>
      </c>
      <c r="B2740" s="222" t="e">
        <f>INDEX(Orçamentária!A:B,MATCH(Composições!A2740,Orçamentária!A:A,0),2)</f>
        <v>#N/A</v>
      </c>
      <c r="C2740" s="35"/>
      <c r="D2740" s="20" t="s">
        <v>20</v>
      </c>
      <c r="E2740" s="21"/>
      <c r="F2740" s="43" t="s">
        <v>521</v>
      </c>
      <c r="G2740" s="22" t="str">
        <f t="shared" si="47"/>
        <v/>
      </c>
      <c r="H2740" s="23"/>
      <c r="I2740" s="24"/>
      <c r="J2740" s="138">
        <v>0</v>
      </c>
    </row>
    <row r="2741" spans="1:10" ht="15.75" hidden="1" thickBot="1" x14ac:dyDescent="0.3">
      <c r="A2741" s="221"/>
      <c r="B2741" s="223"/>
      <c r="C2741" s="152"/>
      <c r="D2741" s="26"/>
      <c r="E2741" s="153"/>
      <c r="F2741" s="48" t="s">
        <v>521</v>
      </c>
      <c r="G2741" s="48" t="str">
        <f t="shared" si="47"/>
        <v/>
      </c>
      <c r="H2741" s="67"/>
      <c r="I2741" s="25"/>
      <c r="J2741" s="138">
        <v>0</v>
      </c>
    </row>
    <row r="2742" spans="1:10" ht="15.75" hidden="1" thickBot="1" x14ac:dyDescent="0.3">
      <c r="A2742" s="221"/>
      <c r="B2742" s="223"/>
      <c r="C2742" s="30" t="s">
        <v>2591</v>
      </c>
      <c r="D2742" s="30" t="s">
        <v>20</v>
      </c>
      <c r="E2742" s="146">
        <v>1</v>
      </c>
      <c r="F2742" s="25">
        <v>39.709999999999994</v>
      </c>
      <c r="G2742" s="48">
        <f t="shared" si="47"/>
        <v>39.709999999999994</v>
      </c>
      <c r="H2742" s="33">
        <f>SUM(G2742:G2742)</f>
        <v>39.709999999999994</v>
      </c>
      <c r="I2742" s="34"/>
      <c r="J2742" s="138">
        <v>0</v>
      </c>
    </row>
    <row r="2743" spans="1:10" ht="15.75" hidden="1" thickBot="1" x14ac:dyDescent="0.3">
      <c r="A2743" s="227"/>
      <c r="B2743" s="224"/>
      <c r="C2743" s="30"/>
      <c r="D2743" s="30"/>
      <c r="E2743" s="31"/>
      <c r="F2743" s="25" t="s">
        <v>521</v>
      </c>
      <c r="G2743" s="28" t="str">
        <f t="shared" si="47"/>
        <v/>
      </c>
      <c r="H2743" s="29"/>
      <c r="I2743" s="25"/>
      <c r="J2743" s="138">
        <v>0</v>
      </c>
    </row>
    <row r="2744" spans="1:10" ht="15.75" hidden="1" thickBot="1" x14ac:dyDescent="0.3">
      <c r="A2744" s="228" t="s">
        <v>1509</v>
      </c>
      <c r="B2744" s="222" t="e">
        <f>INDEX(Orçamentária!A:B,MATCH(Composições!A2744,Orçamentária!A:A,0),2)</f>
        <v>#N/A</v>
      </c>
      <c r="C2744" s="35"/>
      <c r="D2744" s="20" t="s">
        <v>20</v>
      </c>
      <c r="E2744" s="21"/>
      <c r="F2744" s="43" t="s">
        <v>521</v>
      </c>
      <c r="G2744" s="22" t="str">
        <f t="shared" si="47"/>
        <v/>
      </c>
      <c r="H2744" s="23"/>
      <c r="I2744" s="24"/>
      <c r="J2744" s="138">
        <v>0</v>
      </c>
    </row>
    <row r="2745" spans="1:10" ht="15.75" hidden="1" thickBot="1" x14ac:dyDescent="0.3">
      <c r="A2745" s="234"/>
      <c r="B2745" s="223"/>
      <c r="C2745" s="152"/>
      <c r="D2745" s="26"/>
      <c r="E2745" s="153"/>
      <c r="F2745" s="48" t="s">
        <v>521</v>
      </c>
      <c r="G2745" s="48" t="str">
        <f t="shared" si="47"/>
        <v/>
      </c>
      <c r="H2745" s="67"/>
      <c r="I2745" s="68"/>
      <c r="J2745" s="138">
        <v>0</v>
      </c>
    </row>
    <row r="2746" spans="1:10" ht="15.75" hidden="1" thickBot="1" x14ac:dyDescent="0.3">
      <c r="A2746" s="234"/>
      <c r="B2746" s="223"/>
      <c r="C2746" s="30" t="s">
        <v>2620</v>
      </c>
      <c r="D2746" s="30" t="s">
        <v>20</v>
      </c>
      <c r="E2746" s="146">
        <v>1</v>
      </c>
      <c r="F2746" s="25">
        <v>50.226499999999994</v>
      </c>
      <c r="G2746" s="48">
        <f t="shared" si="47"/>
        <v>50.226499999999994</v>
      </c>
      <c r="H2746" s="33">
        <f>SUM(G2746:G2746)</f>
        <v>50.226499999999994</v>
      </c>
      <c r="I2746" s="34"/>
      <c r="J2746" s="138">
        <v>0</v>
      </c>
    </row>
    <row r="2747" spans="1:10" ht="15.75" hidden="1" thickBot="1" x14ac:dyDescent="0.3">
      <c r="A2747" s="235"/>
      <c r="B2747" s="224"/>
      <c r="C2747" s="49"/>
      <c r="D2747" s="148"/>
      <c r="E2747" s="60"/>
      <c r="F2747" s="70" t="s">
        <v>521</v>
      </c>
      <c r="G2747" s="70" t="str">
        <f t="shared" si="47"/>
        <v/>
      </c>
      <c r="H2747" s="71"/>
      <c r="I2747" s="68"/>
      <c r="J2747" s="138">
        <v>0</v>
      </c>
    </row>
    <row r="2748" spans="1:10" ht="15.75" hidden="1" thickBot="1" x14ac:dyDescent="0.3">
      <c r="A2748" s="220" t="s">
        <v>1510</v>
      </c>
      <c r="B2748" s="222" t="e">
        <f>INDEX(Orçamentária!A:B,MATCH(Composições!A2748,Orçamentária!A:A,0),2)</f>
        <v>#N/A</v>
      </c>
      <c r="C2748" s="35"/>
      <c r="D2748" s="20" t="s">
        <v>20</v>
      </c>
      <c r="E2748" s="21"/>
      <c r="F2748" s="43" t="s">
        <v>521</v>
      </c>
      <c r="G2748" s="22" t="str">
        <f t="shared" si="47"/>
        <v/>
      </c>
      <c r="H2748" s="23"/>
      <c r="I2748" s="24"/>
      <c r="J2748" s="138">
        <v>0</v>
      </c>
    </row>
    <row r="2749" spans="1:10" ht="15.75" hidden="1" thickBot="1" x14ac:dyDescent="0.3">
      <c r="A2749" s="221"/>
      <c r="B2749" s="223"/>
      <c r="C2749" s="152"/>
      <c r="D2749" s="26"/>
      <c r="E2749" s="153"/>
      <c r="F2749" s="48" t="s">
        <v>521</v>
      </c>
      <c r="G2749" s="48" t="str">
        <f t="shared" si="47"/>
        <v/>
      </c>
      <c r="H2749" s="67"/>
      <c r="I2749" s="25"/>
      <c r="J2749" s="138">
        <v>0</v>
      </c>
    </row>
    <row r="2750" spans="1:10" ht="15.75" hidden="1" thickBot="1" x14ac:dyDescent="0.3">
      <c r="A2750" s="221"/>
      <c r="B2750" s="223"/>
      <c r="C2750" s="30" t="s">
        <v>2621</v>
      </c>
      <c r="D2750" s="30" t="s">
        <v>20</v>
      </c>
      <c r="E2750" s="146">
        <v>1</v>
      </c>
      <c r="F2750" s="25">
        <v>57.265999999999998</v>
      </c>
      <c r="G2750" s="48">
        <f t="shared" si="47"/>
        <v>57.265999999999998</v>
      </c>
      <c r="H2750" s="33">
        <f>SUM(G2750:G2750)</f>
        <v>57.265999999999998</v>
      </c>
      <c r="I2750" s="34"/>
      <c r="J2750" s="138">
        <v>0</v>
      </c>
    </row>
    <row r="2751" spans="1:10" ht="15.75" hidden="1" thickBot="1" x14ac:dyDescent="0.3">
      <c r="A2751" s="227"/>
      <c r="B2751" s="224"/>
      <c r="C2751" s="30"/>
      <c r="D2751" s="30"/>
      <c r="E2751" s="31"/>
      <c r="F2751" s="25" t="s">
        <v>521</v>
      </c>
      <c r="G2751" s="28" t="str">
        <f t="shared" si="47"/>
        <v/>
      </c>
      <c r="H2751" s="29"/>
      <c r="I2751" s="25"/>
      <c r="J2751" s="138">
        <v>0</v>
      </c>
    </row>
    <row r="2752" spans="1:10" ht="15.75" hidden="1" thickBot="1" x14ac:dyDescent="0.3">
      <c r="A2752" s="220" t="s">
        <v>1511</v>
      </c>
      <c r="B2752" s="222" t="e">
        <f>INDEX(Orçamentária!A:B,MATCH(Composições!A2752,Orçamentária!A:A,0),2)</f>
        <v>#N/A</v>
      </c>
      <c r="C2752" s="35"/>
      <c r="D2752" s="20" t="s">
        <v>20</v>
      </c>
      <c r="E2752" s="21"/>
      <c r="F2752" s="43" t="s">
        <v>521</v>
      </c>
      <c r="G2752" s="22" t="str">
        <f t="shared" si="47"/>
        <v/>
      </c>
      <c r="H2752" s="23"/>
      <c r="I2752" s="24"/>
      <c r="J2752" s="138">
        <v>0</v>
      </c>
    </row>
    <row r="2753" spans="1:10" ht="15.75" hidden="1" thickBot="1" x14ac:dyDescent="0.3">
      <c r="A2753" s="221"/>
      <c r="B2753" s="223"/>
      <c r="C2753" s="152"/>
      <c r="D2753" s="26"/>
      <c r="E2753" s="153"/>
      <c r="F2753" s="48" t="s">
        <v>521</v>
      </c>
      <c r="G2753" s="48" t="str">
        <f t="shared" si="47"/>
        <v/>
      </c>
      <c r="H2753" s="67"/>
      <c r="I2753" s="25"/>
      <c r="J2753" s="138">
        <v>0</v>
      </c>
    </row>
    <row r="2754" spans="1:10" ht="15.75" hidden="1" thickBot="1" x14ac:dyDescent="0.3">
      <c r="A2754" s="221"/>
      <c r="B2754" s="223"/>
      <c r="C2754" s="30" t="s">
        <v>2638</v>
      </c>
      <c r="D2754" s="30" t="s">
        <v>93</v>
      </c>
      <c r="E2754" s="146">
        <v>2</v>
      </c>
      <c r="F2754" s="25">
        <v>67.1935</v>
      </c>
      <c r="G2754" s="48">
        <f t="shared" si="47"/>
        <v>134.387</v>
      </c>
      <c r="H2754" s="33">
        <f>SUM(G2754:G2754)</f>
        <v>134.387</v>
      </c>
      <c r="I2754" s="34"/>
      <c r="J2754" s="138">
        <v>0</v>
      </c>
    </row>
    <row r="2755" spans="1:10" ht="15.75" hidden="1" thickBot="1" x14ac:dyDescent="0.3">
      <c r="A2755" s="227"/>
      <c r="B2755" s="224"/>
      <c r="C2755" s="30"/>
      <c r="D2755" s="30"/>
      <c r="E2755" s="31"/>
      <c r="F2755" s="25" t="s">
        <v>521</v>
      </c>
      <c r="G2755" s="28" t="str">
        <f t="shared" si="47"/>
        <v/>
      </c>
      <c r="H2755" s="29"/>
      <c r="I2755" s="25"/>
      <c r="J2755" s="138">
        <v>0</v>
      </c>
    </row>
    <row r="2756" spans="1:10" ht="15.75" hidden="1" thickBot="1" x14ac:dyDescent="0.3">
      <c r="A2756" s="228" t="s">
        <v>1512</v>
      </c>
      <c r="B2756" s="222" t="e">
        <f>INDEX(Orçamentária!A:B,MATCH(Composições!A2756,Orçamentária!A:A,0),2)</f>
        <v>#N/A</v>
      </c>
      <c r="C2756" s="35"/>
      <c r="D2756" s="20" t="s">
        <v>20</v>
      </c>
      <c r="E2756" s="21"/>
      <c r="F2756" s="43" t="s">
        <v>521</v>
      </c>
      <c r="G2756" s="22" t="str">
        <f t="shared" si="47"/>
        <v/>
      </c>
      <c r="H2756" s="23"/>
      <c r="I2756" s="24"/>
      <c r="J2756" s="138">
        <v>0</v>
      </c>
    </row>
    <row r="2757" spans="1:10" ht="15.75" hidden="1" thickBot="1" x14ac:dyDescent="0.3">
      <c r="A2757" s="234"/>
      <c r="B2757" s="223"/>
      <c r="C2757" s="152"/>
      <c r="D2757" s="26"/>
      <c r="E2757" s="153"/>
      <c r="F2757" s="48" t="s">
        <v>521</v>
      </c>
      <c r="G2757" s="48" t="str">
        <f t="shared" si="47"/>
        <v/>
      </c>
      <c r="H2757" s="67"/>
      <c r="I2757" s="68"/>
      <c r="J2757" s="138">
        <v>0</v>
      </c>
    </row>
    <row r="2758" spans="1:10" ht="26.25" hidden="1" thickBot="1" x14ac:dyDescent="0.3">
      <c r="A2758" s="234"/>
      <c r="B2758" s="223"/>
      <c r="C2758" s="30" t="s">
        <v>2586</v>
      </c>
      <c r="D2758" s="30" t="s">
        <v>20</v>
      </c>
      <c r="E2758" s="146">
        <v>1</v>
      </c>
      <c r="F2758" s="25">
        <v>25.003999999999998</v>
      </c>
      <c r="G2758" s="48">
        <f t="shared" ref="G2758:G2821" si="48">IF(ISNUMBER(F2758),E2758*F2758,"")</f>
        <v>25.003999999999998</v>
      </c>
      <c r="H2758" s="33">
        <f>SUM(G2758:G2758)</f>
        <v>25.003999999999998</v>
      </c>
      <c r="I2758" s="34"/>
      <c r="J2758" s="138">
        <v>0</v>
      </c>
    </row>
    <row r="2759" spans="1:10" ht="15.75" hidden="1" thickBot="1" x14ac:dyDescent="0.3">
      <c r="A2759" s="235"/>
      <c r="B2759" s="224"/>
      <c r="C2759" s="49"/>
      <c r="D2759" s="148"/>
      <c r="E2759" s="60"/>
      <c r="F2759" s="70" t="s">
        <v>521</v>
      </c>
      <c r="G2759" s="70" t="str">
        <f t="shared" si="48"/>
        <v/>
      </c>
      <c r="H2759" s="71"/>
      <c r="I2759" s="68"/>
      <c r="J2759" s="138">
        <v>0</v>
      </c>
    </row>
    <row r="2760" spans="1:10" ht="15.75" hidden="1" thickBot="1" x14ac:dyDescent="0.3">
      <c r="A2760" s="220" t="s">
        <v>1513</v>
      </c>
      <c r="B2760" s="222" t="e">
        <f>INDEX(Orçamentária!A:B,MATCH(Composições!A2760,Orçamentária!A:A,0),2)</f>
        <v>#N/A</v>
      </c>
      <c r="C2760" s="35"/>
      <c r="D2760" s="20" t="s">
        <v>20</v>
      </c>
      <c r="E2760" s="21"/>
      <c r="F2760" s="43" t="s">
        <v>521</v>
      </c>
      <c r="G2760" s="22" t="str">
        <f t="shared" si="48"/>
        <v/>
      </c>
      <c r="H2760" s="23"/>
      <c r="I2760" s="24"/>
      <c r="J2760" s="138">
        <v>0</v>
      </c>
    </row>
    <row r="2761" spans="1:10" ht="15.75" hidden="1" thickBot="1" x14ac:dyDescent="0.3">
      <c r="A2761" s="221"/>
      <c r="B2761" s="223"/>
      <c r="C2761" s="152"/>
      <c r="D2761" s="26"/>
      <c r="E2761" s="153"/>
      <c r="F2761" s="48" t="s">
        <v>521</v>
      </c>
      <c r="G2761" s="48" t="str">
        <f t="shared" si="48"/>
        <v/>
      </c>
      <c r="H2761" s="67"/>
      <c r="I2761" s="25"/>
      <c r="J2761" s="138">
        <v>0</v>
      </c>
    </row>
    <row r="2762" spans="1:10" ht="15.75" hidden="1" thickBot="1" x14ac:dyDescent="0.3">
      <c r="A2762" s="221"/>
      <c r="B2762" s="223"/>
      <c r="C2762" s="30" t="s">
        <v>2587</v>
      </c>
      <c r="D2762" s="30" t="s">
        <v>20</v>
      </c>
      <c r="E2762" s="146">
        <v>1</v>
      </c>
      <c r="F2762" s="25">
        <v>18.6295</v>
      </c>
      <c r="G2762" s="48">
        <f t="shared" si="48"/>
        <v>18.6295</v>
      </c>
      <c r="H2762" s="33">
        <f>SUM(G2762:G2762)</f>
        <v>18.6295</v>
      </c>
      <c r="I2762" s="34"/>
      <c r="J2762" s="138">
        <v>0</v>
      </c>
    </row>
    <row r="2763" spans="1:10" ht="15.75" hidden="1" thickBot="1" x14ac:dyDescent="0.3">
      <c r="A2763" s="227"/>
      <c r="B2763" s="224"/>
      <c r="C2763" s="30"/>
      <c r="D2763" s="30"/>
      <c r="E2763" s="31"/>
      <c r="F2763" s="25" t="s">
        <v>521</v>
      </c>
      <c r="G2763" s="28" t="str">
        <f t="shared" si="48"/>
        <v/>
      </c>
      <c r="H2763" s="29"/>
      <c r="I2763" s="25"/>
      <c r="J2763" s="138">
        <v>0</v>
      </c>
    </row>
    <row r="2764" spans="1:10" ht="15.75" hidden="1" thickBot="1" x14ac:dyDescent="0.3">
      <c r="A2764" s="228" t="s">
        <v>1514</v>
      </c>
      <c r="B2764" s="222" t="e">
        <f>INDEX(Orçamentária!A:B,MATCH(Composições!A2764,Orçamentária!A:A,0),2)</f>
        <v>#N/A</v>
      </c>
      <c r="C2764" s="35"/>
      <c r="D2764" s="20" t="s">
        <v>1465</v>
      </c>
      <c r="E2764" s="21"/>
      <c r="F2764" s="43" t="s">
        <v>521</v>
      </c>
      <c r="G2764" s="22" t="str">
        <f t="shared" si="48"/>
        <v/>
      </c>
      <c r="H2764" s="23"/>
      <c r="I2764" s="24"/>
      <c r="J2764" s="138">
        <v>0</v>
      </c>
    </row>
    <row r="2765" spans="1:10" ht="15.75" hidden="1" thickBot="1" x14ac:dyDescent="0.3">
      <c r="A2765" s="234"/>
      <c r="B2765" s="223"/>
      <c r="C2765" s="152"/>
      <c r="D2765" s="26"/>
      <c r="E2765" s="153"/>
      <c r="F2765" s="48" t="s">
        <v>521</v>
      </c>
      <c r="G2765" s="48" t="str">
        <f t="shared" si="48"/>
        <v/>
      </c>
      <c r="H2765" s="67"/>
      <c r="I2765" s="68"/>
      <c r="J2765" s="138">
        <v>0</v>
      </c>
    </row>
    <row r="2766" spans="1:10" ht="15.75" hidden="1" thickBot="1" x14ac:dyDescent="0.3">
      <c r="A2766" s="234"/>
      <c r="B2766" s="223"/>
      <c r="C2766" s="30" t="s">
        <v>2564</v>
      </c>
      <c r="D2766" s="30" t="s">
        <v>1465</v>
      </c>
      <c r="E2766" s="146">
        <v>1</v>
      </c>
      <c r="F2766" s="25">
        <v>40.925999999999995</v>
      </c>
      <c r="G2766" s="48">
        <f t="shared" si="48"/>
        <v>40.925999999999995</v>
      </c>
      <c r="H2766" s="33">
        <f>SUM(G2766:G2766)</f>
        <v>40.925999999999995</v>
      </c>
      <c r="I2766" s="34"/>
      <c r="J2766" s="138">
        <v>0</v>
      </c>
    </row>
    <row r="2767" spans="1:10" ht="15.75" hidden="1" thickBot="1" x14ac:dyDescent="0.3">
      <c r="A2767" s="235"/>
      <c r="B2767" s="224"/>
      <c r="C2767" s="49"/>
      <c r="D2767" s="148"/>
      <c r="E2767" s="60"/>
      <c r="F2767" s="70" t="s">
        <v>521</v>
      </c>
      <c r="G2767" s="70" t="str">
        <f t="shared" si="48"/>
        <v/>
      </c>
      <c r="H2767" s="71"/>
      <c r="I2767" s="68"/>
      <c r="J2767" s="138">
        <v>0</v>
      </c>
    </row>
    <row r="2768" spans="1:10" ht="15.75" hidden="1" thickBot="1" x14ac:dyDescent="0.3">
      <c r="A2768" s="228" t="s">
        <v>1515</v>
      </c>
      <c r="B2768" s="222" t="e">
        <f>INDEX(Orçamentária!A:B,MATCH(Composições!A2768,Orçamentária!A:A,0),2)</f>
        <v>#N/A</v>
      </c>
      <c r="C2768" s="35"/>
      <c r="D2768" s="20" t="s">
        <v>20</v>
      </c>
      <c r="E2768" s="21"/>
      <c r="F2768" s="43" t="s">
        <v>521</v>
      </c>
      <c r="G2768" s="22" t="str">
        <f t="shared" si="48"/>
        <v/>
      </c>
      <c r="H2768" s="23"/>
      <c r="I2768" s="24"/>
      <c r="J2768" s="138">
        <v>0</v>
      </c>
    </row>
    <row r="2769" spans="1:10" ht="15.75" hidden="1" thickBot="1" x14ac:dyDescent="0.3">
      <c r="A2769" s="234"/>
      <c r="B2769" s="223"/>
      <c r="C2769" s="152"/>
      <c r="D2769" s="26"/>
      <c r="E2769" s="153"/>
      <c r="F2769" s="48" t="s">
        <v>521</v>
      </c>
      <c r="G2769" s="48" t="str">
        <f t="shared" si="48"/>
        <v/>
      </c>
      <c r="H2769" s="67"/>
      <c r="I2769" s="68"/>
      <c r="J2769" s="138">
        <v>0</v>
      </c>
    </row>
    <row r="2770" spans="1:10" ht="26.25" hidden="1" thickBot="1" x14ac:dyDescent="0.3">
      <c r="A2770" s="234"/>
      <c r="B2770" s="223"/>
      <c r="C2770" s="30" t="s">
        <v>1631</v>
      </c>
      <c r="D2770" s="30" t="s">
        <v>20</v>
      </c>
      <c r="E2770" s="146">
        <v>1</v>
      </c>
      <c r="F2770" s="25">
        <v>18.468</v>
      </c>
      <c r="G2770" s="48">
        <f t="shared" si="48"/>
        <v>18.468</v>
      </c>
      <c r="H2770" s="33">
        <f>SUM(G2770:G2770)</f>
        <v>18.468</v>
      </c>
      <c r="I2770" s="34"/>
      <c r="J2770" s="138">
        <v>0</v>
      </c>
    </row>
    <row r="2771" spans="1:10" ht="15.75" hidden="1" thickBot="1" x14ac:dyDescent="0.3">
      <c r="A2771" s="235"/>
      <c r="B2771" s="224"/>
      <c r="C2771" s="49"/>
      <c r="D2771" s="148"/>
      <c r="E2771" s="60"/>
      <c r="F2771" s="70" t="s">
        <v>521</v>
      </c>
      <c r="G2771" s="70" t="str">
        <f t="shared" si="48"/>
        <v/>
      </c>
      <c r="H2771" s="71"/>
      <c r="I2771" s="68"/>
      <c r="J2771" s="138">
        <v>0</v>
      </c>
    </row>
    <row r="2772" spans="1:10" ht="15.75" hidden="1" thickBot="1" x14ac:dyDescent="0.3">
      <c r="A2772" s="220" t="s">
        <v>1516</v>
      </c>
      <c r="B2772" s="222" t="e">
        <f>INDEX(Orçamentária!A:B,MATCH(Composições!A2772,Orçamentária!A:A,0),2)</f>
        <v>#N/A</v>
      </c>
      <c r="C2772" s="35"/>
      <c r="D2772" s="20" t="s">
        <v>20</v>
      </c>
      <c r="E2772" s="21"/>
      <c r="F2772" s="43" t="s">
        <v>521</v>
      </c>
      <c r="G2772" s="22" t="str">
        <f t="shared" si="48"/>
        <v/>
      </c>
      <c r="H2772" s="23"/>
      <c r="I2772" s="24"/>
      <c r="J2772" s="138">
        <v>0</v>
      </c>
    </row>
    <row r="2773" spans="1:10" ht="15.75" hidden="1" thickBot="1" x14ac:dyDescent="0.3">
      <c r="A2773" s="221"/>
      <c r="B2773" s="223"/>
      <c r="C2773" s="152"/>
      <c r="D2773" s="26"/>
      <c r="E2773" s="153"/>
      <c r="F2773" s="48" t="s">
        <v>521</v>
      </c>
      <c r="G2773" s="48" t="str">
        <f t="shared" si="48"/>
        <v/>
      </c>
      <c r="H2773" s="67"/>
      <c r="I2773" s="25"/>
      <c r="J2773" s="138">
        <v>0</v>
      </c>
    </row>
    <row r="2774" spans="1:10" ht="26.25" hidden="1" thickBot="1" x14ac:dyDescent="0.3">
      <c r="A2774" s="221"/>
      <c r="B2774" s="223"/>
      <c r="C2774" s="30" t="s">
        <v>1731</v>
      </c>
      <c r="D2774" s="30" t="s">
        <v>20</v>
      </c>
      <c r="E2774" s="146">
        <v>1</v>
      </c>
      <c r="F2774" s="25">
        <v>190.0855</v>
      </c>
      <c r="G2774" s="48">
        <f t="shared" si="48"/>
        <v>190.0855</v>
      </c>
      <c r="H2774" s="33">
        <f>SUM(G2774:G2774)</f>
        <v>190.0855</v>
      </c>
      <c r="I2774" s="34"/>
      <c r="J2774" s="138">
        <v>0</v>
      </c>
    </row>
    <row r="2775" spans="1:10" ht="15.75" hidden="1" thickBot="1" x14ac:dyDescent="0.3">
      <c r="A2775" s="227"/>
      <c r="B2775" s="224"/>
      <c r="C2775" s="30"/>
      <c r="D2775" s="30"/>
      <c r="E2775" s="31"/>
      <c r="F2775" s="25" t="s">
        <v>521</v>
      </c>
      <c r="G2775" s="28" t="str">
        <f t="shared" si="48"/>
        <v/>
      </c>
      <c r="H2775" s="29"/>
      <c r="I2775" s="25"/>
      <c r="J2775" s="138">
        <v>0</v>
      </c>
    </row>
    <row r="2776" spans="1:10" ht="15.75" hidden="1" thickBot="1" x14ac:dyDescent="0.3">
      <c r="A2776" s="228" t="s">
        <v>1517</v>
      </c>
      <c r="B2776" s="222" t="e">
        <f>INDEX(Orçamentária!A:B,MATCH(Composições!A2772,Orçamentária!A:A,0),2)</f>
        <v>#N/A</v>
      </c>
      <c r="C2776" s="35"/>
      <c r="D2776" s="20" t="s">
        <v>20</v>
      </c>
      <c r="E2776" s="21"/>
      <c r="F2776" s="43" t="s">
        <v>521</v>
      </c>
      <c r="G2776" s="22" t="str">
        <f t="shared" si="48"/>
        <v/>
      </c>
      <c r="H2776" s="23"/>
      <c r="I2776" s="24"/>
      <c r="J2776" s="138">
        <v>0</v>
      </c>
    </row>
    <row r="2777" spans="1:10" ht="15.75" hidden="1" thickBot="1" x14ac:dyDescent="0.3">
      <c r="A2777" s="234"/>
      <c r="B2777" s="223"/>
      <c r="C2777" s="152"/>
      <c r="D2777" s="26"/>
      <c r="E2777" s="153"/>
      <c r="F2777" s="48" t="s">
        <v>521</v>
      </c>
      <c r="G2777" s="48" t="str">
        <f t="shared" si="48"/>
        <v/>
      </c>
      <c r="H2777" s="67"/>
      <c r="I2777" s="68"/>
      <c r="J2777" s="138">
        <v>0</v>
      </c>
    </row>
    <row r="2778" spans="1:10" ht="26.25" hidden="1" thickBot="1" x14ac:dyDescent="0.3">
      <c r="A2778" s="234"/>
      <c r="B2778" s="223"/>
      <c r="C2778" s="30" t="s">
        <v>1752</v>
      </c>
      <c r="D2778" s="30" t="s">
        <v>20</v>
      </c>
      <c r="E2778" s="146">
        <v>1</v>
      </c>
      <c r="F2778" s="25">
        <v>166.99099999999999</v>
      </c>
      <c r="G2778" s="48">
        <f t="shared" si="48"/>
        <v>166.99099999999999</v>
      </c>
      <c r="H2778" s="33">
        <f>SUM(G2778:G2778)</f>
        <v>166.99099999999999</v>
      </c>
      <c r="I2778" s="34"/>
      <c r="J2778" s="138">
        <v>0</v>
      </c>
    </row>
    <row r="2779" spans="1:10" ht="15.75" hidden="1" thickBot="1" x14ac:dyDescent="0.3">
      <c r="A2779" s="235"/>
      <c r="B2779" s="224"/>
      <c r="C2779" s="49"/>
      <c r="D2779" s="148"/>
      <c r="E2779" s="60"/>
      <c r="F2779" s="70" t="s">
        <v>521</v>
      </c>
      <c r="G2779" s="70" t="str">
        <f t="shared" si="48"/>
        <v/>
      </c>
      <c r="H2779" s="71"/>
      <c r="I2779" s="68"/>
      <c r="J2779" s="138">
        <v>0</v>
      </c>
    </row>
    <row r="2780" spans="1:10" ht="15.75" hidden="1" thickBot="1" x14ac:dyDescent="0.3">
      <c r="A2780" s="220" t="s">
        <v>793</v>
      </c>
      <c r="B2780" s="222" t="e">
        <f>INDEX(Orçamentária!A:B,MATCH(Composições!A2780,Orçamentária!A:A,0),2)</f>
        <v>#N/A</v>
      </c>
      <c r="C2780" s="35"/>
      <c r="D2780" s="20" t="s">
        <v>95</v>
      </c>
      <c r="E2780" s="21"/>
      <c r="F2780" s="36" t="s">
        <v>521</v>
      </c>
      <c r="G2780" s="22" t="str">
        <f t="shared" si="48"/>
        <v/>
      </c>
      <c r="H2780" s="23"/>
      <c r="I2780" s="24"/>
      <c r="J2780" s="138">
        <v>0</v>
      </c>
    </row>
    <row r="2781" spans="1:10" ht="15.75" hidden="1" thickBot="1" x14ac:dyDescent="0.3">
      <c r="A2781" s="221"/>
      <c r="B2781" s="223"/>
      <c r="C2781" s="26"/>
      <c r="D2781" s="26"/>
      <c r="E2781" s="27"/>
      <c r="F2781" s="37" t="s">
        <v>521</v>
      </c>
      <c r="G2781" s="28" t="str">
        <f t="shared" si="48"/>
        <v/>
      </c>
      <c r="H2781" s="29"/>
      <c r="I2781" s="25"/>
      <c r="J2781" s="138">
        <v>0</v>
      </c>
    </row>
    <row r="2782" spans="1:10" ht="15.75" hidden="1" thickBot="1" x14ac:dyDescent="0.3">
      <c r="A2782" s="221"/>
      <c r="B2782" s="223"/>
      <c r="C2782" s="30" t="s">
        <v>68</v>
      </c>
      <c r="D2782" s="41" t="s">
        <v>12</v>
      </c>
      <c r="E2782" s="31">
        <v>1</v>
      </c>
      <c r="F2782" s="25">
        <v>22.961500000000001</v>
      </c>
      <c r="G2782" s="28">
        <f t="shared" si="48"/>
        <v>22.961500000000001</v>
      </c>
      <c r="H2782" s="33">
        <f>SUM(G2782:G2783)</f>
        <v>33.772500000000001</v>
      </c>
      <c r="I2782" s="34"/>
      <c r="J2782" s="138">
        <v>0</v>
      </c>
    </row>
    <row r="2783" spans="1:10" ht="15.75" hidden="1" thickBot="1" x14ac:dyDescent="0.3">
      <c r="A2783" s="221"/>
      <c r="B2783" s="223"/>
      <c r="C2783" s="30" t="s">
        <v>288</v>
      </c>
      <c r="D2783" s="30" t="s">
        <v>794</v>
      </c>
      <c r="E2783" s="31">
        <v>2</v>
      </c>
      <c r="F2783" s="28">
        <v>5.4055</v>
      </c>
      <c r="G2783" s="28">
        <f t="shared" si="48"/>
        <v>10.811</v>
      </c>
      <c r="H2783" s="29"/>
      <c r="I2783" s="25"/>
      <c r="J2783" s="138">
        <v>0</v>
      </c>
    </row>
    <row r="2784" spans="1:10" ht="15.75" hidden="1" thickBot="1" x14ac:dyDescent="0.3">
      <c r="A2784" s="227"/>
      <c r="B2784" s="224"/>
      <c r="C2784" s="30"/>
      <c r="D2784" s="30"/>
      <c r="E2784" s="31"/>
      <c r="F2784" s="25" t="s">
        <v>521</v>
      </c>
      <c r="G2784" s="28" t="str">
        <f t="shared" si="48"/>
        <v/>
      </c>
      <c r="H2784" s="29"/>
      <c r="I2784" s="25"/>
      <c r="J2784" s="138">
        <v>0</v>
      </c>
    </row>
    <row r="2785" spans="1:10" ht="15.75" hidden="1" thickBot="1" x14ac:dyDescent="0.3">
      <c r="A2785" s="220" t="s">
        <v>795</v>
      </c>
      <c r="B2785" s="222" t="e">
        <f>INDEX(Orçamentária!A:B,MATCH(Composições!A2785,Orçamentária!A:A,0),2)</f>
        <v>#N/A</v>
      </c>
      <c r="C2785" s="35"/>
      <c r="D2785" s="20" t="s">
        <v>95</v>
      </c>
      <c r="E2785" s="21"/>
      <c r="F2785" s="36" t="s">
        <v>521</v>
      </c>
      <c r="G2785" s="22" t="str">
        <f t="shared" si="48"/>
        <v/>
      </c>
      <c r="H2785" s="23"/>
      <c r="I2785" s="24"/>
      <c r="J2785" s="138">
        <v>0</v>
      </c>
    </row>
    <row r="2786" spans="1:10" ht="15.75" hidden="1" thickBot="1" x14ac:dyDescent="0.3">
      <c r="A2786" s="221"/>
      <c r="B2786" s="223"/>
      <c r="C2786" s="26"/>
      <c r="D2786" s="26"/>
      <c r="E2786" s="27"/>
      <c r="F2786" s="37" t="s">
        <v>521</v>
      </c>
      <c r="G2786" s="28" t="str">
        <f t="shared" si="48"/>
        <v/>
      </c>
      <c r="H2786" s="29"/>
      <c r="I2786" s="25"/>
      <c r="J2786" s="138">
        <v>0</v>
      </c>
    </row>
    <row r="2787" spans="1:10" ht="15.75" hidden="1" thickBot="1" x14ac:dyDescent="0.3">
      <c r="A2787" s="221"/>
      <c r="B2787" s="223"/>
      <c r="C2787" s="30" t="s">
        <v>798</v>
      </c>
      <c r="D2787" s="30" t="s">
        <v>988</v>
      </c>
      <c r="E2787" s="31">
        <v>1</v>
      </c>
      <c r="F2787" s="28">
        <v>156.28449999999998</v>
      </c>
      <c r="G2787" s="28">
        <f t="shared" si="48"/>
        <v>156.28449999999998</v>
      </c>
      <c r="H2787" s="33">
        <f>SUM(G2787:G2793)</f>
        <v>265.95079950000002</v>
      </c>
      <c r="I2787" s="34"/>
      <c r="J2787" s="138">
        <v>0</v>
      </c>
    </row>
    <row r="2788" spans="1:10" ht="39" hidden="1" thickBot="1" x14ac:dyDescent="0.3">
      <c r="A2788" s="221"/>
      <c r="B2788" s="223"/>
      <c r="C2788" s="30" t="s">
        <v>1622</v>
      </c>
      <c r="D2788" s="30" t="s">
        <v>279</v>
      </c>
      <c r="E2788" s="31">
        <v>1.913</v>
      </c>
      <c r="F2788" s="28">
        <v>0.40849999999999997</v>
      </c>
      <c r="G2788" s="28">
        <f t="shared" si="48"/>
        <v>0.7814605</v>
      </c>
      <c r="H2788" s="29"/>
      <c r="I2788" s="25"/>
      <c r="J2788" s="138">
        <v>0</v>
      </c>
    </row>
    <row r="2789" spans="1:10" ht="15.75" hidden="1" thickBot="1" x14ac:dyDescent="0.3">
      <c r="A2789" s="221"/>
      <c r="B2789" s="223"/>
      <c r="C2789" s="30" t="s">
        <v>834</v>
      </c>
      <c r="D2789" s="30" t="s">
        <v>897</v>
      </c>
      <c r="E2789" s="31">
        <v>0.83899999999999997</v>
      </c>
      <c r="F2789" s="28">
        <v>39.054499999999997</v>
      </c>
      <c r="G2789" s="28">
        <f t="shared" si="48"/>
        <v>32.7667255</v>
      </c>
      <c r="H2789" s="29"/>
      <c r="I2789" s="25"/>
      <c r="J2789" s="138">
        <v>0</v>
      </c>
    </row>
    <row r="2790" spans="1:10" ht="26.25" hidden="1" thickBot="1" x14ac:dyDescent="0.3">
      <c r="A2790" s="221"/>
      <c r="B2790" s="223"/>
      <c r="C2790" s="30" t="s">
        <v>1691</v>
      </c>
      <c r="D2790" s="30" t="s">
        <v>479</v>
      </c>
      <c r="E2790" s="31">
        <v>2.605</v>
      </c>
      <c r="F2790" s="28">
        <v>2.4034999999999997</v>
      </c>
      <c r="G2790" s="28">
        <f t="shared" si="48"/>
        <v>6.2611174999999992</v>
      </c>
      <c r="H2790" s="29"/>
      <c r="I2790" s="25"/>
      <c r="J2790" s="138">
        <v>0</v>
      </c>
    </row>
    <row r="2791" spans="1:10" ht="15.75" hidden="1" thickBot="1" x14ac:dyDescent="0.3">
      <c r="A2791" s="221"/>
      <c r="B2791" s="223"/>
      <c r="C2791" s="30" t="s">
        <v>1123</v>
      </c>
      <c r="D2791" s="30" t="s">
        <v>279</v>
      </c>
      <c r="E2791" s="31">
        <v>0.34599999999999997</v>
      </c>
      <c r="F2791" s="28">
        <v>23.417499999999997</v>
      </c>
      <c r="G2791" s="28">
        <f t="shared" si="48"/>
        <v>8.1024549999999991</v>
      </c>
      <c r="H2791" s="29"/>
      <c r="I2791" s="25"/>
      <c r="J2791" s="138">
        <v>0</v>
      </c>
    </row>
    <row r="2792" spans="1:10" ht="15.75" hidden="1" thickBot="1" x14ac:dyDescent="0.3">
      <c r="A2792" s="221"/>
      <c r="B2792" s="223"/>
      <c r="C2792" s="30" t="s">
        <v>703</v>
      </c>
      <c r="D2792" s="30" t="s">
        <v>702</v>
      </c>
      <c r="E2792" s="31">
        <v>1.4690000000000001</v>
      </c>
      <c r="F2792" s="28">
        <v>18.420500000000001</v>
      </c>
      <c r="G2792" s="28">
        <f t="shared" si="48"/>
        <v>27.059714500000002</v>
      </c>
      <c r="H2792" s="29"/>
      <c r="I2792" s="25"/>
      <c r="J2792" s="138">
        <v>0</v>
      </c>
    </row>
    <row r="2793" spans="1:10" ht="15.75" hidden="1" thickBot="1" x14ac:dyDescent="0.3">
      <c r="A2793" s="221"/>
      <c r="B2793" s="223"/>
      <c r="C2793" s="30" t="s">
        <v>1609</v>
      </c>
      <c r="D2793" s="30" t="s">
        <v>702</v>
      </c>
      <c r="E2793" s="31">
        <v>1.5109999999999999</v>
      </c>
      <c r="F2793" s="28">
        <v>22.961500000000001</v>
      </c>
      <c r="G2793" s="28">
        <f t="shared" si="48"/>
        <v>34.694826499999998</v>
      </c>
      <c r="H2793" s="29"/>
      <c r="I2793" s="25"/>
      <c r="J2793" s="138">
        <v>0</v>
      </c>
    </row>
    <row r="2794" spans="1:10" ht="15.75" hidden="1" thickBot="1" x14ac:dyDescent="0.3">
      <c r="A2794" s="227"/>
      <c r="B2794" s="224"/>
      <c r="C2794" s="30"/>
      <c r="D2794" s="30"/>
      <c r="E2794" s="31"/>
      <c r="F2794" s="25" t="s">
        <v>521</v>
      </c>
      <c r="G2794" s="28" t="str">
        <f t="shared" si="48"/>
        <v/>
      </c>
      <c r="H2794" s="29"/>
      <c r="I2794" s="25"/>
      <c r="J2794" s="138">
        <v>0</v>
      </c>
    </row>
    <row r="2795" spans="1:10" ht="15.75" hidden="1" thickBot="1" x14ac:dyDescent="0.3">
      <c r="A2795" s="220" t="s">
        <v>797</v>
      </c>
      <c r="B2795" s="222" t="e">
        <f>INDEX(Orçamentária!A:B,MATCH(Composições!A2795,Orçamentária!A:A,0),2)</f>
        <v>#N/A</v>
      </c>
      <c r="C2795" s="35"/>
      <c r="D2795" s="20" t="s">
        <v>95</v>
      </c>
      <c r="E2795" s="21"/>
      <c r="F2795" s="36" t="s">
        <v>521</v>
      </c>
      <c r="G2795" s="22" t="str">
        <f t="shared" si="48"/>
        <v/>
      </c>
      <c r="H2795" s="23"/>
      <c r="I2795" s="24"/>
      <c r="J2795" s="138">
        <v>0</v>
      </c>
    </row>
    <row r="2796" spans="1:10" ht="15.75" hidden="1" thickBot="1" x14ac:dyDescent="0.3">
      <c r="A2796" s="221"/>
      <c r="B2796" s="223"/>
      <c r="C2796" s="26"/>
      <c r="D2796" s="26"/>
      <c r="E2796" s="27"/>
      <c r="F2796" s="37" t="s">
        <v>521</v>
      </c>
      <c r="G2796" s="28" t="str">
        <f t="shared" si="48"/>
        <v/>
      </c>
      <c r="H2796" s="29"/>
      <c r="I2796" s="25"/>
      <c r="J2796" s="138">
        <v>0</v>
      </c>
    </row>
    <row r="2797" spans="1:10" ht="15.75" hidden="1" thickBot="1" x14ac:dyDescent="0.3">
      <c r="A2797" s="221"/>
      <c r="B2797" s="223"/>
      <c r="C2797" s="30" t="s">
        <v>68</v>
      </c>
      <c r="D2797" s="41" t="s">
        <v>12</v>
      </c>
      <c r="E2797" s="31">
        <v>1</v>
      </c>
      <c r="F2797" s="28">
        <v>22.961500000000001</v>
      </c>
      <c r="G2797" s="28">
        <f t="shared" si="48"/>
        <v>22.961500000000001</v>
      </c>
      <c r="H2797" s="33">
        <f>SUM(G2797:G2799)</f>
        <v>133.07599999999999</v>
      </c>
      <c r="I2797" s="34"/>
      <c r="J2797" s="138">
        <v>0</v>
      </c>
    </row>
    <row r="2798" spans="1:10" ht="15.75" hidden="1" thickBot="1" x14ac:dyDescent="0.3">
      <c r="A2798" s="221"/>
      <c r="B2798" s="223"/>
      <c r="C2798" s="30" t="s">
        <v>288</v>
      </c>
      <c r="D2798" s="41" t="s">
        <v>794</v>
      </c>
      <c r="E2798" s="31">
        <v>2</v>
      </c>
      <c r="F2798" s="25">
        <v>5.4055</v>
      </c>
      <c r="G2798" s="28">
        <f t="shared" si="48"/>
        <v>10.811</v>
      </c>
      <c r="H2798" s="29"/>
      <c r="I2798" s="25"/>
      <c r="J2798" s="138">
        <v>0</v>
      </c>
    </row>
    <row r="2799" spans="1:10" ht="15.75" hidden="1" thickBot="1" x14ac:dyDescent="0.3">
      <c r="A2799" s="221"/>
      <c r="B2799" s="223"/>
      <c r="C2799" s="30" t="s">
        <v>796</v>
      </c>
      <c r="D2799" s="30" t="s">
        <v>95</v>
      </c>
      <c r="E2799" s="31">
        <v>1</v>
      </c>
      <c r="F2799" s="25">
        <v>99.3035</v>
      </c>
      <c r="G2799" s="28">
        <f t="shared" si="48"/>
        <v>99.3035</v>
      </c>
      <c r="H2799" s="29"/>
      <c r="I2799" s="25"/>
      <c r="J2799" s="138">
        <v>0</v>
      </c>
    </row>
    <row r="2800" spans="1:10" ht="15.75" hidden="1" thickBot="1" x14ac:dyDescent="0.3">
      <c r="A2800" s="227"/>
      <c r="B2800" s="224"/>
      <c r="C2800" s="30"/>
      <c r="D2800" s="30"/>
      <c r="E2800" s="31"/>
      <c r="F2800" s="25" t="s">
        <v>521</v>
      </c>
      <c r="G2800" s="28" t="str">
        <f t="shared" si="48"/>
        <v/>
      </c>
      <c r="H2800" s="29"/>
      <c r="I2800" s="25"/>
      <c r="J2800" s="138">
        <v>0</v>
      </c>
    </row>
    <row r="2801" spans="1:10" ht="15.75" hidden="1" thickBot="1" x14ac:dyDescent="0.3">
      <c r="A2801" s="220" t="s">
        <v>1518</v>
      </c>
      <c r="B2801" s="222" t="e">
        <f>INDEX(Orçamentária!A:B,MATCH(Composições!A2801,Orçamentária!A:A,0),2)</f>
        <v>#N/A</v>
      </c>
      <c r="C2801" s="35"/>
      <c r="D2801" s="20" t="s">
        <v>93</v>
      </c>
      <c r="E2801" s="21"/>
      <c r="F2801" s="36" t="s">
        <v>521</v>
      </c>
      <c r="G2801" s="22" t="str">
        <f t="shared" si="48"/>
        <v/>
      </c>
      <c r="H2801" s="23"/>
      <c r="I2801" s="24"/>
      <c r="J2801" s="138">
        <v>0</v>
      </c>
    </row>
    <row r="2802" spans="1:10" ht="15.75" hidden="1" thickBot="1" x14ac:dyDescent="0.3">
      <c r="A2802" s="221"/>
      <c r="B2802" s="223"/>
      <c r="C2802" s="26"/>
      <c r="D2802" s="26"/>
      <c r="E2802" s="27"/>
      <c r="F2802" s="37" t="s">
        <v>521</v>
      </c>
      <c r="G2802" s="28" t="str">
        <f t="shared" si="48"/>
        <v/>
      </c>
      <c r="H2802" s="29"/>
      <c r="I2802" s="25"/>
      <c r="J2802" s="138">
        <v>0</v>
      </c>
    </row>
    <row r="2803" spans="1:10" ht="15.75" hidden="1" thickBot="1" x14ac:dyDescent="0.3">
      <c r="A2803" s="221"/>
      <c r="B2803" s="223"/>
      <c r="C2803" s="30" t="s">
        <v>68</v>
      </c>
      <c r="D2803" s="41" t="s">
        <v>12</v>
      </c>
      <c r="E2803" s="31">
        <v>0.5</v>
      </c>
      <c r="F2803" s="25">
        <v>22.961500000000001</v>
      </c>
      <c r="G2803" s="28">
        <f t="shared" si="48"/>
        <v>11.48075</v>
      </c>
      <c r="H2803" s="33">
        <f>SUM(G2803:G2804)</f>
        <v>20.691000000000003</v>
      </c>
      <c r="I2803" s="34"/>
      <c r="J2803" s="138">
        <v>0</v>
      </c>
    </row>
    <row r="2804" spans="1:10" ht="15.75" hidden="1" thickBot="1" x14ac:dyDescent="0.3">
      <c r="A2804" s="221"/>
      <c r="B2804" s="223"/>
      <c r="C2804" s="30" t="s">
        <v>23</v>
      </c>
      <c r="D2804" s="41" t="s">
        <v>12</v>
      </c>
      <c r="E2804" s="31">
        <v>0.5</v>
      </c>
      <c r="F2804" s="25">
        <v>18.420500000000001</v>
      </c>
      <c r="G2804" s="28">
        <f t="shared" si="48"/>
        <v>9.2102500000000003</v>
      </c>
      <c r="H2804" s="29"/>
      <c r="I2804" s="25"/>
      <c r="J2804" s="138">
        <v>0</v>
      </c>
    </row>
    <row r="2805" spans="1:10" ht="15.75" hidden="1" thickBot="1" x14ac:dyDescent="0.3">
      <c r="A2805" s="227"/>
      <c r="B2805" s="224"/>
      <c r="C2805" s="30"/>
      <c r="D2805" s="30"/>
      <c r="E2805" s="31"/>
      <c r="F2805" s="25" t="s">
        <v>521</v>
      </c>
      <c r="G2805" s="28" t="str">
        <f t="shared" si="48"/>
        <v/>
      </c>
      <c r="H2805" s="29"/>
      <c r="I2805" s="25"/>
      <c r="J2805" s="138">
        <v>0</v>
      </c>
    </row>
    <row r="2806" spans="1:10" ht="15.75" hidden="1" thickBot="1" x14ac:dyDescent="0.3">
      <c r="A2806" s="220" t="s">
        <v>1519</v>
      </c>
      <c r="B2806" s="222" t="e">
        <f>INDEX(Orçamentária!A:B,MATCH(Composições!A2806,Orçamentária!A:A,0),2)</f>
        <v>#N/A</v>
      </c>
      <c r="C2806" s="35"/>
      <c r="D2806" s="20" t="s">
        <v>93</v>
      </c>
      <c r="E2806" s="21"/>
      <c r="F2806" s="36" t="s">
        <v>521</v>
      </c>
      <c r="G2806" s="22" t="str">
        <f t="shared" si="48"/>
        <v/>
      </c>
      <c r="H2806" s="23"/>
      <c r="I2806" s="24"/>
      <c r="J2806" s="138">
        <v>0</v>
      </c>
    </row>
    <row r="2807" spans="1:10" ht="15.75" hidden="1" thickBot="1" x14ac:dyDescent="0.3">
      <c r="A2807" s="221"/>
      <c r="B2807" s="223"/>
      <c r="C2807" s="26"/>
      <c r="D2807" s="26"/>
      <c r="E2807" s="27"/>
      <c r="F2807" s="37" t="s">
        <v>521</v>
      </c>
      <c r="G2807" s="28" t="str">
        <f t="shared" si="48"/>
        <v/>
      </c>
      <c r="H2807" s="29"/>
      <c r="I2807" s="25"/>
      <c r="J2807" s="138">
        <v>0</v>
      </c>
    </row>
    <row r="2808" spans="1:10" ht="15.75" hidden="1" thickBot="1" x14ac:dyDescent="0.3">
      <c r="A2808" s="221"/>
      <c r="B2808" s="223"/>
      <c r="C2808" s="30" t="s">
        <v>68</v>
      </c>
      <c r="D2808" s="41" t="s">
        <v>12</v>
      </c>
      <c r="E2808" s="31">
        <v>0.75</v>
      </c>
      <c r="F2808" s="25">
        <v>22.961500000000001</v>
      </c>
      <c r="G2808" s="28">
        <f t="shared" si="48"/>
        <v>17.221125000000001</v>
      </c>
      <c r="H2808" s="33">
        <f>SUM(G2808:G2809)</f>
        <v>31.0365</v>
      </c>
      <c r="I2808" s="34"/>
      <c r="J2808" s="138">
        <v>0</v>
      </c>
    </row>
    <row r="2809" spans="1:10" ht="15.75" hidden="1" thickBot="1" x14ac:dyDescent="0.3">
      <c r="A2809" s="221"/>
      <c r="B2809" s="223"/>
      <c r="C2809" s="30" t="s">
        <v>23</v>
      </c>
      <c r="D2809" s="41" t="s">
        <v>12</v>
      </c>
      <c r="E2809" s="31">
        <v>0.75</v>
      </c>
      <c r="F2809" s="25">
        <v>18.420500000000001</v>
      </c>
      <c r="G2809" s="28">
        <f t="shared" si="48"/>
        <v>13.815375</v>
      </c>
      <c r="H2809" s="29"/>
      <c r="I2809" s="25"/>
      <c r="J2809" s="138">
        <v>0</v>
      </c>
    </row>
    <row r="2810" spans="1:10" ht="15.75" hidden="1" thickBot="1" x14ac:dyDescent="0.3">
      <c r="A2810" s="227"/>
      <c r="B2810" s="224"/>
      <c r="C2810" s="30"/>
      <c r="D2810" s="30"/>
      <c r="E2810" s="31"/>
      <c r="F2810" s="25" t="s">
        <v>521</v>
      </c>
      <c r="G2810" s="28" t="str">
        <f t="shared" si="48"/>
        <v/>
      </c>
      <c r="H2810" s="29"/>
      <c r="I2810" s="25"/>
      <c r="J2810" s="138">
        <v>0</v>
      </c>
    </row>
    <row r="2811" spans="1:10" ht="15.75" hidden="1" thickBot="1" x14ac:dyDescent="0.3">
      <c r="A2811" s="220" t="s">
        <v>799</v>
      </c>
      <c r="B2811" s="222" t="e">
        <f>INDEX(Orçamentária!A:B,MATCH(Composições!A2811,Orçamentária!A:A,0),2)</f>
        <v>#N/A</v>
      </c>
      <c r="C2811" s="35"/>
      <c r="D2811" s="20" t="s">
        <v>95</v>
      </c>
      <c r="E2811" s="21"/>
      <c r="F2811" s="36" t="s">
        <v>521</v>
      </c>
      <c r="G2811" s="22" t="str">
        <f t="shared" si="48"/>
        <v/>
      </c>
      <c r="H2811" s="23"/>
      <c r="I2811" s="24"/>
      <c r="J2811" s="138">
        <v>0</v>
      </c>
    </row>
    <row r="2812" spans="1:10" ht="15.75" hidden="1" thickBot="1" x14ac:dyDescent="0.3">
      <c r="A2812" s="221"/>
      <c r="B2812" s="223"/>
      <c r="C2812" s="26"/>
      <c r="D2812" s="26"/>
      <c r="E2812" s="27"/>
      <c r="F2812" s="37" t="s">
        <v>521</v>
      </c>
      <c r="G2812" s="28" t="str">
        <f t="shared" si="48"/>
        <v/>
      </c>
      <c r="H2812" s="29"/>
      <c r="I2812" s="25"/>
      <c r="J2812" s="138">
        <v>0</v>
      </c>
    </row>
    <row r="2813" spans="1:10" ht="15.75" hidden="1" thickBot="1" x14ac:dyDescent="0.3">
      <c r="A2813" s="221"/>
      <c r="B2813" s="223"/>
      <c r="C2813" s="30" t="s">
        <v>800</v>
      </c>
      <c r="D2813" s="30" t="s">
        <v>988</v>
      </c>
      <c r="E2813" s="31">
        <v>1</v>
      </c>
      <c r="F2813" s="28">
        <v>202.89149999999998</v>
      </c>
      <c r="G2813" s="28">
        <f t="shared" si="48"/>
        <v>202.89149999999998</v>
      </c>
      <c r="H2813" s="33">
        <f>SUM(G2813:G2819)</f>
        <v>303.56054899999998</v>
      </c>
      <c r="I2813" s="34"/>
      <c r="J2813" s="138">
        <v>0</v>
      </c>
    </row>
    <row r="2814" spans="1:10" ht="39" hidden="1" thickBot="1" x14ac:dyDescent="0.3">
      <c r="A2814" s="221"/>
      <c r="B2814" s="223"/>
      <c r="C2814" s="30" t="s">
        <v>1622</v>
      </c>
      <c r="D2814" s="30" t="s">
        <v>279</v>
      </c>
      <c r="E2814" s="31">
        <v>1.7050000000000001</v>
      </c>
      <c r="F2814" s="28">
        <v>0.40849999999999997</v>
      </c>
      <c r="G2814" s="28">
        <f t="shared" si="48"/>
        <v>0.69649249999999996</v>
      </c>
      <c r="H2814" s="29"/>
      <c r="I2814" s="25"/>
      <c r="J2814" s="138">
        <v>0</v>
      </c>
    </row>
    <row r="2815" spans="1:10" ht="15.75" hidden="1" thickBot="1" x14ac:dyDescent="0.3">
      <c r="A2815" s="221"/>
      <c r="B2815" s="223"/>
      <c r="C2815" s="30" t="s">
        <v>834</v>
      </c>
      <c r="D2815" s="30" t="s">
        <v>897</v>
      </c>
      <c r="E2815" s="31">
        <v>0.748</v>
      </c>
      <c r="F2815" s="28">
        <v>39.054499999999997</v>
      </c>
      <c r="G2815" s="28">
        <f t="shared" si="48"/>
        <v>29.212765999999998</v>
      </c>
      <c r="H2815" s="29"/>
      <c r="I2815" s="25"/>
      <c r="J2815" s="138">
        <v>0</v>
      </c>
    </row>
    <row r="2816" spans="1:10" ht="26.25" hidden="1" thickBot="1" x14ac:dyDescent="0.3">
      <c r="A2816" s="221"/>
      <c r="B2816" s="223"/>
      <c r="C2816" s="30" t="s">
        <v>1691</v>
      </c>
      <c r="D2816" s="30" t="s">
        <v>479</v>
      </c>
      <c r="E2816" s="31">
        <v>2.3220000000000001</v>
      </c>
      <c r="F2816" s="28">
        <v>2.4034999999999997</v>
      </c>
      <c r="G2816" s="28">
        <f t="shared" si="48"/>
        <v>5.580927</v>
      </c>
      <c r="H2816" s="29"/>
      <c r="I2816" s="25"/>
      <c r="J2816" s="138">
        <v>0</v>
      </c>
    </row>
    <row r="2817" spans="1:10" ht="15.75" hidden="1" thickBot="1" x14ac:dyDescent="0.3">
      <c r="A2817" s="221"/>
      <c r="B2817" s="223"/>
      <c r="C2817" s="30" t="s">
        <v>1123</v>
      </c>
      <c r="D2817" s="30" t="s">
        <v>279</v>
      </c>
      <c r="E2817" s="31">
        <v>0.309</v>
      </c>
      <c r="F2817" s="28">
        <v>23.417499999999997</v>
      </c>
      <c r="G2817" s="28">
        <f t="shared" si="48"/>
        <v>7.2360074999999986</v>
      </c>
      <c r="H2817" s="29"/>
      <c r="I2817" s="25"/>
      <c r="J2817" s="138">
        <v>0</v>
      </c>
    </row>
    <row r="2818" spans="1:10" ht="15.75" hidden="1" thickBot="1" x14ac:dyDescent="0.3">
      <c r="A2818" s="221"/>
      <c r="B2818" s="223"/>
      <c r="C2818" s="30" t="s">
        <v>703</v>
      </c>
      <c r="D2818" s="30" t="s">
        <v>702</v>
      </c>
      <c r="E2818" s="31">
        <v>1.3779999999999999</v>
      </c>
      <c r="F2818" s="25">
        <v>18.420500000000001</v>
      </c>
      <c r="G2818" s="28">
        <f t="shared" si="48"/>
        <v>25.383448999999999</v>
      </c>
      <c r="H2818" s="29"/>
      <c r="I2818" s="25"/>
      <c r="J2818" s="138">
        <v>0</v>
      </c>
    </row>
    <row r="2819" spans="1:10" ht="15.75" hidden="1" thickBot="1" x14ac:dyDescent="0.3">
      <c r="A2819" s="221"/>
      <c r="B2819" s="223"/>
      <c r="C2819" s="30" t="s">
        <v>1609</v>
      </c>
      <c r="D2819" s="30" t="s">
        <v>702</v>
      </c>
      <c r="E2819" s="31">
        <v>1.4179999999999999</v>
      </c>
      <c r="F2819" s="25">
        <v>22.961500000000001</v>
      </c>
      <c r="G2819" s="28">
        <f t="shared" si="48"/>
        <v>32.559407</v>
      </c>
      <c r="H2819" s="29"/>
      <c r="I2819" s="25"/>
      <c r="J2819" s="138">
        <v>0</v>
      </c>
    </row>
    <row r="2820" spans="1:10" ht="15.75" hidden="1" thickBot="1" x14ac:dyDescent="0.3">
      <c r="A2820" s="227"/>
      <c r="B2820" s="224"/>
      <c r="C2820" s="30"/>
      <c r="D2820" s="30"/>
      <c r="E2820" s="31"/>
      <c r="F2820" s="25" t="s">
        <v>521</v>
      </c>
      <c r="G2820" s="28" t="str">
        <f t="shared" si="48"/>
        <v/>
      </c>
      <c r="H2820" s="29"/>
      <c r="I2820" s="25"/>
      <c r="J2820" s="138">
        <v>0</v>
      </c>
    </row>
    <row r="2821" spans="1:10" ht="15.75" hidden="1" thickBot="1" x14ac:dyDescent="0.3">
      <c r="A2821" s="220" t="s">
        <v>801</v>
      </c>
      <c r="B2821" s="222" t="e">
        <f>INDEX(Orçamentária!A:B,MATCH(Composições!A2821,Orçamentária!A:A,0),2)</f>
        <v>#N/A</v>
      </c>
      <c r="C2821" s="35"/>
      <c r="D2821" s="20" t="s">
        <v>20</v>
      </c>
      <c r="E2821" s="21"/>
      <c r="F2821" s="36" t="s">
        <v>521</v>
      </c>
      <c r="G2821" s="22" t="str">
        <f t="shared" si="48"/>
        <v/>
      </c>
      <c r="H2821" s="23"/>
      <c r="I2821" s="24"/>
      <c r="J2821" s="138">
        <v>0</v>
      </c>
    </row>
    <row r="2822" spans="1:10" ht="15.75" hidden="1" thickBot="1" x14ac:dyDescent="0.3">
      <c r="A2822" s="221"/>
      <c r="B2822" s="223"/>
      <c r="C2822" s="26"/>
      <c r="D2822" s="26"/>
      <c r="E2822" s="27"/>
      <c r="F2822" s="37" t="s">
        <v>521</v>
      </c>
      <c r="G2822" s="28" t="str">
        <f t="shared" ref="G2822:G2885" si="49">IF(ISNUMBER(F2822),E2822*F2822,"")</f>
        <v/>
      </c>
      <c r="H2822" s="29"/>
      <c r="I2822" s="25"/>
      <c r="J2822" s="138">
        <v>0</v>
      </c>
    </row>
    <row r="2823" spans="1:10" ht="15.75" hidden="1" thickBot="1" x14ac:dyDescent="0.3">
      <c r="A2823" s="221"/>
      <c r="B2823" s="223"/>
      <c r="C2823" s="30" t="s">
        <v>68</v>
      </c>
      <c r="D2823" s="30" t="s">
        <v>12</v>
      </c>
      <c r="E2823" s="31">
        <v>0.15</v>
      </c>
      <c r="F2823" s="28">
        <v>22.961500000000001</v>
      </c>
      <c r="G2823" s="28">
        <f t="shared" si="49"/>
        <v>3.4442249999999999</v>
      </c>
      <c r="H2823" s="33">
        <f>SUM(G2823:G2824)</f>
        <v>3.4442249999999999</v>
      </c>
      <c r="I2823" s="34"/>
      <c r="J2823" s="138">
        <v>0</v>
      </c>
    </row>
    <row r="2824" spans="1:10" ht="26.25" hidden="1" thickBot="1" x14ac:dyDescent="0.3">
      <c r="A2824" s="221"/>
      <c r="B2824" s="223"/>
      <c r="C2824" s="30" t="s">
        <v>802</v>
      </c>
      <c r="D2824" s="30" t="s">
        <v>20</v>
      </c>
      <c r="E2824" s="31">
        <v>1</v>
      </c>
      <c r="F2824" s="25">
        <v>0</v>
      </c>
      <c r="G2824" s="28">
        <f t="shared" si="49"/>
        <v>0</v>
      </c>
      <c r="H2824" s="29"/>
      <c r="I2824" s="25"/>
      <c r="J2824" s="138">
        <v>0</v>
      </c>
    </row>
    <row r="2825" spans="1:10" ht="15.75" hidden="1" thickBot="1" x14ac:dyDescent="0.3">
      <c r="A2825" s="227"/>
      <c r="B2825" s="224"/>
      <c r="C2825" s="30"/>
      <c r="D2825" s="30"/>
      <c r="E2825" s="31"/>
      <c r="F2825" s="25" t="s">
        <v>521</v>
      </c>
      <c r="G2825" s="28" t="str">
        <f t="shared" si="49"/>
        <v/>
      </c>
      <c r="H2825" s="29"/>
      <c r="I2825" s="25"/>
      <c r="J2825" s="138">
        <v>0</v>
      </c>
    </row>
    <row r="2826" spans="1:10" ht="15.75" hidden="1" thickBot="1" x14ac:dyDescent="0.3">
      <c r="A2826" s="220" t="s">
        <v>803</v>
      </c>
      <c r="B2826" s="222" t="e">
        <f>INDEX(Orçamentária!A:B,MATCH(Composições!A2826,Orçamentária!A:A,0),2)</f>
        <v>#N/A</v>
      </c>
      <c r="C2826" s="35"/>
      <c r="D2826" s="20" t="s">
        <v>20</v>
      </c>
      <c r="E2826" s="21"/>
      <c r="F2826" s="36" t="s">
        <v>521</v>
      </c>
      <c r="G2826" s="22" t="str">
        <f t="shared" si="49"/>
        <v/>
      </c>
      <c r="H2826" s="23"/>
      <c r="I2826" s="24"/>
      <c r="J2826" s="138">
        <v>0</v>
      </c>
    </row>
    <row r="2827" spans="1:10" ht="15.75" hidden="1" thickBot="1" x14ac:dyDescent="0.3">
      <c r="A2827" s="221"/>
      <c r="B2827" s="223"/>
      <c r="C2827" s="26"/>
      <c r="D2827" s="26"/>
      <c r="E2827" s="27"/>
      <c r="F2827" s="37" t="s">
        <v>521</v>
      </c>
      <c r="G2827" s="28" t="str">
        <f t="shared" si="49"/>
        <v/>
      </c>
      <c r="H2827" s="29"/>
      <c r="I2827" s="25"/>
      <c r="J2827" s="138">
        <v>0</v>
      </c>
    </row>
    <row r="2828" spans="1:10" ht="15.75" hidden="1" thickBot="1" x14ac:dyDescent="0.3">
      <c r="A2828" s="221"/>
      <c r="B2828" s="223"/>
      <c r="C2828" s="30" t="s">
        <v>68</v>
      </c>
      <c r="D2828" s="41" t="s">
        <v>12</v>
      </c>
      <c r="E2828" s="31">
        <v>0.3</v>
      </c>
      <c r="F2828" s="28">
        <v>22.961500000000001</v>
      </c>
      <c r="G2828" s="28">
        <f t="shared" si="49"/>
        <v>6.8884499999999997</v>
      </c>
      <c r="H2828" s="33">
        <f>SUM(G2828:G2829)</f>
        <v>6.8884499999999997</v>
      </c>
      <c r="I2828" s="34"/>
      <c r="J2828" s="138">
        <v>0</v>
      </c>
    </row>
    <row r="2829" spans="1:10" ht="26.25" hidden="1" thickBot="1" x14ac:dyDescent="0.3">
      <c r="A2829" s="221"/>
      <c r="B2829" s="223"/>
      <c r="C2829" s="30" t="s">
        <v>804</v>
      </c>
      <c r="D2829" s="41" t="s">
        <v>20</v>
      </c>
      <c r="E2829" s="31">
        <v>1</v>
      </c>
      <c r="F2829" s="25">
        <v>0</v>
      </c>
      <c r="G2829" s="28">
        <f t="shared" si="49"/>
        <v>0</v>
      </c>
      <c r="H2829" s="29"/>
      <c r="I2829" s="25"/>
      <c r="J2829" s="138">
        <v>0</v>
      </c>
    </row>
    <row r="2830" spans="1:10" ht="15.75" hidden="1" thickBot="1" x14ac:dyDescent="0.3">
      <c r="A2830" s="227"/>
      <c r="B2830" s="224"/>
      <c r="C2830" s="30"/>
      <c r="D2830" s="30"/>
      <c r="E2830" s="31"/>
      <c r="F2830" s="25" t="s">
        <v>521</v>
      </c>
      <c r="G2830" s="28" t="str">
        <f t="shared" si="49"/>
        <v/>
      </c>
      <c r="H2830" s="29"/>
      <c r="I2830" s="25"/>
      <c r="J2830" s="138">
        <v>0</v>
      </c>
    </row>
    <row r="2831" spans="1:10" ht="15.75" hidden="1" thickBot="1" x14ac:dyDescent="0.3">
      <c r="A2831" s="220" t="s">
        <v>805</v>
      </c>
      <c r="B2831" s="222" t="e">
        <f>INDEX(Orçamentária!A:B,MATCH(Composições!A2831,Orçamentária!A:A,0),2)</f>
        <v>#N/A</v>
      </c>
      <c r="C2831" s="35"/>
      <c r="D2831" s="20" t="s">
        <v>20</v>
      </c>
      <c r="E2831" s="21"/>
      <c r="F2831" s="36" t="s">
        <v>521</v>
      </c>
      <c r="G2831" s="22" t="str">
        <f t="shared" si="49"/>
        <v/>
      </c>
      <c r="H2831" s="23"/>
      <c r="I2831" s="24"/>
      <c r="J2831" s="138">
        <v>0</v>
      </c>
    </row>
    <row r="2832" spans="1:10" ht="15.75" hidden="1" thickBot="1" x14ac:dyDescent="0.3">
      <c r="A2832" s="221"/>
      <c r="B2832" s="223"/>
      <c r="C2832" s="26"/>
      <c r="D2832" s="26"/>
      <c r="E2832" s="27"/>
      <c r="F2832" s="37" t="s">
        <v>521</v>
      </c>
      <c r="G2832" s="28" t="str">
        <f t="shared" si="49"/>
        <v/>
      </c>
      <c r="H2832" s="29"/>
      <c r="I2832" s="25"/>
      <c r="J2832" s="138">
        <v>0</v>
      </c>
    </row>
    <row r="2833" spans="1:10" ht="15.75" hidden="1" thickBot="1" x14ac:dyDescent="0.3">
      <c r="A2833" s="221"/>
      <c r="B2833" s="223"/>
      <c r="C2833" s="30" t="s">
        <v>68</v>
      </c>
      <c r="D2833" s="30" t="s">
        <v>12</v>
      </c>
      <c r="E2833" s="31">
        <v>0.15</v>
      </c>
      <c r="F2833" s="28">
        <v>22.961500000000001</v>
      </c>
      <c r="G2833" s="28">
        <f t="shared" si="49"/>
        <v>3.4442249999999999</v>
      </c>
      <c r="H2833" s="33">
        <f>SUM(G2833:G2834)</f>
        <v>3.4442249999999999</v>
      </c>
      <c r="I2833" s="34"/>
      <c r="J2833" s="138">
        <v>0</v>
      </c>
    </row>
    <row r="2834" spans="1:10" ht="26.25" hidden="1" thickBot="1" x14ac:dyDescent="0.3">
      <c r="A2834" s="221"/>
      <c r="B2834" s="223"/>
      <c r="C2834" s="30" t="s">
        <v>806</v>
      </c>
      <c r="D2834" s="30" t="s">
        <v>20</v>
      </c>
      <c r="E2834" s="31">
        <v>1</v>
      </c>
      <c r="F2834" s="25">
        <v>0</v>
      </c>
      <c r="G2834" s="28">
        <f t="shared" si="49"/>
        <v>0</v>
      </c>
      <c r="H2834" s="29"/>
      <c r="I2834" s="25"/>
      <c r="J2834" s="138">
        <v>0</v>
      </c>
    </row>
    <row r="2835" spans="1:10" ht="15.75" hidden="1" thickBot="1" x14ac:dyDescent="0.3">
      <c r="A2835" s="227"/>
      <c r="B2835" s="224"/>
      <c r="C2835" s="30"/>
      <c r="D2835" s="30"/>
      <c r="E2835" s="31"/>
      <c r="F2835" s="25" t="s">
        <v>521</v>
      </c>
      <c r="G2835" s="28" t="str">
        <f t="shared" si="49"/>
        <v/>
      </c>
      <c r="H2835" s="29"/>
      <c r="I2835" s="25"/>
      <c r="J2835" s="138">
        <v>0</v>
      </c>
    </row>
    <row r="2836" spans="1:10" ht="15.75" hidden="1" thickBot="1" x14ac:dyDescent="0.3">
      <c r="A2836" s="220" t="s">
        <v>807</v>
      </c>
      <c r="B2836" s="222" t="e">
        <f>INDEX(Orçamentária!A:B,MATCH(Composições!A2836,Orçamentária!A:A,0),2)</f>
        <v>#N/A</v>
      </c>
      <c r="C2836" s="35"/>
      <c r="D2836" s="20" t="s">
        <v>20</v>
      </c>
      <c r="E2836" s="21"/>
      <c r="F2836" s="36" t="s">
        <v>521</v>
      </c>
      <c r="G2836" s="22" t="str">
        <f t="shared" si="49"/>
        <v/>
      </c>
      <c r="H2836" s="23"/>
      <c r="I2836" s="24"/>
      <c r="J2836" s="138">
        <v>0</v>
      </c>
    </row>
    <row r="2837" spans="1:10" ht="15.75" hidden="1" thickBot="1" x14ac:dyDescent="0.3">
      <c r="A2837" s="221"/>
      <c r="B2837" s="223"/>
      <c r="C2837" s="26"/>
      <c r="D2837" s="26"/>
      <c r="E2837" s="27"/>
      <c r="F2837" s="37" t="s">
        <v>521</v>
      </c>
      <c r="G2837" s="28" t="str">
        <f t="shared" si="49"/>
        <v/>
      </c>
      <c r="H2837" s="29"/>
      <c r="I2837" s="25"/>
      <c r="J2837" s="138">
        <v>0</v>
      </c>
    </row>
    <row r="2838" spans="1:10" ht="15.75" hidden="1" thickBot="1" x14ac:dyDescent="0.3">
      <c r="A2838" s="221"/>
      <c r="B2838" s="223"/>
      <c r="C2838" s="30" t="s">
        <v>68</v>
      </c>
      <c r="D2838" s="30" t="s">
        <v>12</v>
      </c>
      <c r="E2838" s="31">
        <v>0.3</v>
      </c>
      <c r="F2838" s="28">
        <v>22.961500000000001</v>
      </c>
      <c r="G2838" s="28">
        <f t="shared" si="49"/>
        <v>6.8884499999999997</v>
      </c>
      <c r="H2838" s="33">
        <f>SUM(G2838:G2839)</f>
        <v>6.8884499999999997</v>
      </c>
      <c r="I2838" s="34"/>
      <c r="J2838" s="138">
        <v>0</v>
      </c>
    </row>
    <row r="2839" spans="1:10" ht="26.25" hidden="1" thickBot="1" x14ac:dyDescent="0.3">
      <c r="A2839" s="221"/>
      <c r="B2839" s="223"/>
      <c r="C2839" s="30" t="s">
        <v>808</v>
      </c>
      <c r="D2839" s="30" t="s">
        <v>20</v>
      </c>
      <c r="E2839" s="31">
        <v>1</v>
      </c>
      <c r="F2839" s="25">
        <v>0</v>
      </c>
      <c r="G2839" s="28">
        <f t="shared" si="49"/>
        <v>0</v>
      </c>
      <c r="H2839" s="29"/>
      <c r="I2839" s="25"/>
      <c r="J2839" s="138">
        <v>0</v>
      </c>
    </row>
    <row r="2840" spans="1:10" ht="15.75" hidden="1" thickBot="1" x14ac:dyDescent="0.3">
      <c r="A2840" s="221"/>
      <c r="B2840" s="223"/>
      <c r="C2840" s="30"/>
      <c r="D2840" s="30"/>
      <c r="E2840" s="31"/>
      <c r="F2840" s="25" t="s">
        <v>521</v>
      </c>
      <c r="G2840" s="28" t="str">
        <f t="shared" si="49"/>
        <v/>
      </c>
      <c r="H2840" s="29"/>
      <c r="I2840" s="25"/>
      <c r="J2840" s="138">
        <v>0</v>
      </c>
    </row>
    <row r="2841" spans="1:10" ht="39.75" hidden="1" thickBot="1" x14ac:dyDescent="0.3">
      <c r="A2841" s="221"/>
      <c r="B2841" s="223"/>
      <c r="C2841" s="132" t="s">
        <v>809</v>
      </c>
      <c r="D2841" s="30"/>
      <c r="E2841" s="31"/>
      <c r="F2841" s="25" t="s">
        <v>521</v>
      </c>
      <c r="G2841" s="28" t="str">
        <f t="shared" si="49"/>
        <v/>
      </c>
      <c r="H2841" s="29"/>
      <c r="I2841" s="25"/>
      <c r="J2841" s="138">
        <v>0</v>
      </c>
    </row>
    <row r="2842" spans="1:10" ht="15.75" hidden="1" thickBot="1" x14ac:dyDescent="0.3">
      <c r="A2842" s="227"/>
      <c r="B2842" s="224"/>
      <c r="C2842" s="30"/>
      <c r="D2842" s="30"/>
      <c r="E2842" s="31"/>
      <c r="F2842" s="25" t="s">
        <v>521</v>
      </c>
      <c r="G2842" s="28" t="str">
        <f t="shared" si="49"/>
        <v/>
      </c>
      <c r="H2842" s="29"/>
      <c r="I2842" s="25"/>
      <c r="J2842" s="138">
        <v>0</v>
      </c>
    </row>
    <row r="2843" spans="1:10" ht="15.75" hidden="1" thickBot="1" x14ac:dyDescent="0.3">
      <c r="A2843" s="220" t="s">
        <v>810</v>
      </c>
      <c r="B2843" s="222" t="e">
        <f>INDEX(Orçamentária!A:B,MATCH(Composições!A2843,Orçamentária!A:A,0),2)</f>
        <v>#N/A</v>
      </c>
      <c r="C2843" s="35"/>
      <c r="D2843" s="20" t="s">
        <v>20</v>
      </c>
      <c r="E2843" s="21"/>
      <c r="F2843" s="36" t="s">
        <v>521</v>
      </c>
      <c r="G2843" s="22" t="str">
        <f t="shared" si="49"/>
        <v/>
      </c>
      <c r="H2843" s="23"/>
      <c r="I2843" s="24"/>
      <c r="J2843" s="138">
        <v>0</v>
      </c>
    </row>
    <row r="2844" spans="1:10" ht="15.75" hidden="1" thickBot="1" x14ac:dyDescent="0.3">
      <c r="A2844" s="221"/>
      <c r="B2844" s="223"/>
      <c r="C2844" s="26"/>
      <c r="D2844" s="26"/>
      <c r="E2844" s="27"/>
      <c r="F2844" s="37" t="s">
        <v>521</v>
      </c>
      <c r="G2844" s="28" t="str">
        <f t="shared" si="49"/>
        <v/>
      </c>
      <c r="H2844" s="29"/>
      <c r="I2844" s="25"/>
      <c r="J2844" s="138">
        <v>0</v>
      </c>
    </row>
    <row r="2845" spans="1:10" ht="15.75" hidden="1" thickBot="1" x14ac:dyDescent="0.3">
      <c r="A2845" s="221"/>
      <c r="B2845" s="223"/>
      <c r="C2845" s="30" t="s">
        <v>68</v>
      </c>
      <c r="D2845" s="30" t="s">
        <v>12</v>
      </c>
      <c r="E2845" s="31">
        <v>0.15</v>
      </c>
      <c r="F2845" s="28">
        <v>22.961500000000001</v>
      </c>
      <c r="G2845" s="28">
        <f t="shared" si="49"/>
        <v>3.4442249999999999</v>
      </c>
      <c r="H2845" s="33">
        <f>SUM(G2845:G2846)</f>
        <v>3.4442249999999999</v>
      </c>
      <c r="I2845" s="34"/>
      <c r="J2845" s="138">
        <v>0</v>
      </c>
    </row>
    <row r="2846" spans="1:10" ht="15.75" hidden="1" thickBot="1" x14ac:dyDescent="0.3">
      <c r="A2846" s="221"/>
      <c r="B2846" s="223"/>
      <c r="C2846" s="30" t="s">
        <v>811</v>
      </c>
      <c r="D2846" s="30" t="s">
        <v>20</v>
      </c>
      <c r="E2846" s="31">
        <v>1</v>
      </c>
      <c r="F2846" s="25">
        <v>0</v>
      </c>
      <c r="G2846" s="28">
        <f t="shared" si="49"/>
        <v>0</v>
      </c>
      <c r="H2846" s="29"/>
      <c r="I2846" s="25"/>
      <c r="J2846" s="138">
        <v>0</v>
      </c>
    </row>
    <row r="2847" spans="1:10" ht="15.75" hidden="1" thickBot="1" x14ac:dyDescent="0.3">
      <c r="A2847" s="227"/>
      <c r="B2847" s="224"/>
      <c r="C2847" s="30"/>
      <c r="D2847" s="30"/>
      <c r="E2847" s="31"/>
      <c r="F2847" s="25" t="s">
        <v>521</v>
      </c>
      <c r="G2847" s="28" t="str">
        <f t="shared" si="49"/>
        <v/>
      </c>
      <c r="H2847" s="29"/>
      <c r="I2847" s="25"/>
      <c r="J2847" s="138">
        <v>0</v>
      </c>
    </row>
    <row r="2848" spans="1:10" ht="15.75" hidden="1" thickBot="1" x14ac:dyDescent="0.3">
      <c r="A2848" s="220" t="s">
        <v>812</v>
      </c>
      <c r="B2848" s="222" t="e">
        <f>INDEX(Orçamentária!A:B,MATCH(Composições!A2848,Orçamentária!A:A,0),2)</f>
        <v>#N/A</v>
      </c>
      <c r="C2848" s="35"/>
      <c r="D2848" s="20" t="s">
        <v>20</v>
      </c>
      <c r="E2848" s="21"/>
      <c r="F2848" s="36" t="s">
        <v>521</v>
      </c>
      <c r="G2848" s="22" t="str">
        <f t="shared" si="49"/>
        <v/>
      </c>
      <c r="H2848" s="23"/>
      <c r="I2848" s="24"/>
      <c r="J2848" s="138">
        <v>0</v>
      </c>
    </row>
    <row r="2849" spans="1:10" ht="15.75" hidden="1" thickBot="1" x14ac:dyDescent="0.3">
      <c r="A2849" s="221"/>
      <c r="B2849" s="223"/>
      <c r="C2849" s="26"/>
      <c r="D2849" s="26"/>
      <c r="E2849" s="27"/>
      <c r="F2849" s="37" t="s">
        <v>521</v>
      </c>
      <c r="G2849" s="28" t="str">
        <f t="shared" si="49"/>
        <v/>
      </c>
      <c r="H2849" s="29"/>
      <c r="I2849" s="25"/>
      <c r="J2849" s="138">
        <v>0</v>
      </c>
    </row>
    <row r="2850" spans="1:10" ht="15.75" hidden="1" thickBot="1" x14ac:dyDescent="0.3">
      <c r="A2850" s="221"/>
      <c r="B2850" s="223"/>
      <c r="C2850" s="30" t="s">
        <v>68</v>
      </c>
      <c r="D2850" s="30" t="s">
        <v>12</v>
      </c>
      <c r="E2850" s="31">
        <v>0.4</v>
      </c>
      <c r="F2850" s="28">
        <v>22.961500000000001</v>
      </c>
      <c r="G2850" s="28">
        <f t="shared" si="49"/>
        <v>9.1846000000000014</v>
      </c>
      <c r="H2850" s="33">
        <f>SUM(G2850:G2851)</f>
        <v>9.1846000000000014</v>
      </c>
      <c r="I2850" s="34"/>
      <c r="J2850" s="138">
        <v>0</v>
      </c>
    </row>
    <row r="2851" spans="1:10" ht="26.25" hidden="1" thickBot="1" x14ac:dyDescent="0.3">
      <c r="A2851" s="221"/>
      <c r="B2851" s="223"/>
      <c r="C2851" s="30" t="s">
        <v>813</v>
      </c>
      <c r="D2851" s="30" t="s">
        <v>20</v>
      </c>
      <c r="E2851" s="31">
        <v>1</v>
      </c>
      <c r="F2851" s="25" t="s">
        <v>521</v>
      </c>
      <c r="G2851" s="28" t="str">
        <f t="shared" si="49"/>
        <v/>
      </c>
      <c r="H2851" s="29"/>
      <c r="I2851" s="25"/>
      <c r="J2851" s="138">
        <v>0</v>
      </c>
    </row>
    <row r="2852" spans="1:10" ht="15.75" hidden="1" thickBot="1" x14ac:dyDescent="0.3">
      <c r="A2852" s="227"/>
      <c r="B2852" s="224"/>
      <c r="C2852" s="30"/>
      <c r="D2852" s="30"/>
      <c r="E2852" s="31"/>
      <c r="F2852" s="25" t="s">
        <v>521</v>
      </c>
      <c r="G2852" s="28" t="str">
        <f t="shared" si="49"/>
        <v/>
      </c>
      <c r="H2852" s="29"/>
      <c r="I2852" s="25"/>
      <c r="J2852" s="138">
        <v>0</v>
      </c>
    </row>
    <row r="2853" spans="1:10" ht="15.75" hidden="1" thickBot="1" x14ac:dyDescent="0.3">
      <c r="A2853" s="220" t="s">
        <v>814</v>
      </c>
      <c r="B2853" s="222" t="e">
        <f>INDEX(Orçamentária!A:B,MATCH(Composições!A2853,Orçamentária!A:A,0),2)</f>
        <v>#N/A</v>
      </c>
      <c r="C2853" s="35"/>
      <c r="D2853" s="20" t="s">
        <v>20</v>
      </c>
      <c r="E2853" s="21"/>
      <c r="F2853" s="36" t="s">
        <v>521</v>
      </c>
      <c r="G2853" s="22" t="str">
        <f t="shared" si="49"/>
        <v/>
      </c>
      <c r="H2853" s="23"/>
      <c r="I2853" s="24"/>
      <c r="J2853" s="138">
        <v>0</v>
      </c>
    </row>
    <row r="2854" spans="1:10" ht="15.75" hidden="1" thickBot="1" x14ac:dyDescent="0.3">
      <c r="A2854" s="221"/>
      <c r="B2854" s="223"/>
      <c r="C2854" s="26"/>
      <c r="D2854" s="26"/>
      <c r="E2854" s="27"/>
      <c r="F2854" s="37" t="s">
        <v>521</v>
      </c>
      <c r="G2854" s="28" t="str">
        <f t="shared" si="49"/>
        <v/>
      </c>
      <c r="H2854" s="29"/>
      <c r="I2854" s="25"/>
      <c r="J2854" s="138">
        <v>0</v>
      </c>
    </row>
    <row r="2855" spans="1:10" ht="15.75" hidden="1" thickBot="1" x14ac:dyDescent="0.3">
      <c r="A2855" s="221"/>
      <c r="B2855" s="223"/>
      <c r="C2855" s="30" t="s">
        <v>68</v>
      </c>
      <c r="D2855" s="30" t="s">
        <v>12</v>
      </c>
      <c r="E2855" s="31">
        <v>0.4</v>
      </c>
      <c r="F2855" s="28">
        <v>22.961500000000001</v>
      </c>
      <c r="G2855" s="28">
        <f t="shared" si="49"/>
        <v>9.1846000000000014</v>
      </c>
      <c r="H2855" s="33">
        <f>SUM(G2855:G2856)</f>
        <v>9.1846000000000014</v>
      </c>
      <c r="I2855" s="34"/>
      <c r="J2855" s="138">
        <v>0</v>
      </c>
    </row>
    <row r="2856" spans="1:10" ht="26.25" hidden="1" thickBot="1" x14ac:dyDescent="0.3">
      <c r="A2856" s="221"/>
      <c r="B2856" s="223"/>
      <c r="C2856" s="30" t="s">
        <v>815</v>
      </c>
      <c r="D2856" s="30" t="s">
        <v>20</v>
      </c>
      <c r="E2856" s="31">
        <v>1</v>
      </c>
      <c r="F2856" s="25" t="s">
        <v>521</v>
      </c>
      <c r="G2856" s="28" t="str">
        <f t="shared" si="49"/>
        <v/>
      </c>
      <c r="H2856" s="29"/>
      <c r="I2856" s="25"/>
      <c r="J2856" s="138">
        <v>0</v>
      </c>
    </row>
    <row r="2857" spans="1:10" ht="15.75" hidden="1" thickBot="1" x14ac:dyDescent="0.3">
      <c r="A2857" s="227"/>
      <c r="B2857" s="224"/>
      <c r="C2857" s="30"/>
      <c r="D2857" s="30"/>
      <c r="E2857" s="31"/>
      <c r="F2857" s="25" t="s">
        <v>521</v>
      </c>
      <c r="G2857" s="28" t="str">
        <f t="shared" si="49"/>
        <v/>
      </c>
      <c r="H2857" s="29"/>
      <c r="I2857" s="25"/>
      <c r="J2857" s="138">
        <v>0</v>
      </c>
    </row>
    <row r="2858" spans="1:10" ht="15.75" hidden="1" thickBot="1" x14ac:dyDescent="0.3">
      <c r="A2858" s="220" t="s">
        <v>816</v>
      </c>
      <c r="B2858" s="222" t="e">
        <f>INDEX(Orçamentária!A:B,MATCH(Composições!A2858,Orçamentária!A:A,0),2)</f>
        <v>#N/A</v>
      </c>
      <c r="C2858" s="35"/>
      <c r="D2858" s="20" t="s">
        <v>20</v>
      </c>
      <c r="E2858" s="21"/>
      <c r="F2858" s="36" t="s">
        <v>521</v>
      </c>
      <c r="G2858" s="22" t="str">
        <f t="shared" si="49"/>
        <v/>
      </c>
      <c r="H2858" s="23"/>
      <c r="I2858" s="24"/>
      <c r="J2858" s="138">
        <v>0</v>
      </c>
    </row>
    <row r="2859" spans="1:10" ht="15.75" hidden="1" thickBot="1" x14ac:dyDescent="0.3">
      <c r="A2859" s="221"/>
      <c r="B2859" s="223"/>
      <c r="C2859" s="26"/>
      <c r="D2859" s="26"/>
      <c r="E2859" s="27"/>
      <c r="F2859" s="37" t="s">
        <v>521</v>
      </c>
      <c r="G2859" s="28" t="str">
        <f t="shared" si="49"/>
        <v/>
      </c>
      <c r="H2859" s="29"/>
      <c r="I2859" s="25"/>
      <c r="J2859" s="138">
        <v>0</v>
      </c>
    </row>
    <row r="2860" spans="1:10" ht="15.75" hidden="1" thickBot="1" x14ac:dyDescent="0.3">
      <c r="A2860" s="221"/>
      <c r="B2860" s="223"/>
      <c r="C2860" s="30" t="s">
        <v>68</v>
      </c>
      <c r="D2860" s="30" t="s">
        <v>12</v>
      </c>
      <c r="E2860" s="31">
        <v>0.4</v>
      </c>
      <c r="F2860" s="28">
        <v>22.961500000000001</v>
      </c>
      <c r="G2860" s="28">
        <f t="shared" si="49"/>
        <v>9.1846000000000014</v>
      </c>
      <c r="H2860" s="33">
        <f>SUM(G2860:G2861)</f>
        <v>9.1846000000000014</v>
      </c>
      <c r="I2860" s="34"/>
      <c r="J2860" s="138">
        <v>0</v>
      </c>
    </row>
    <row r="2861" spans="1:10" ht="26.25" hidden="1" thickBot="1" x14ac:dyDescent="0.3">
      <c r="A2861" s="221"/>
      <c r="B2861" s="223"/>
      <c r="C2861" s="30" t="s">
        <v>817</v>
      </c>
      <c r="D2861" s="30" t="s">
        <v>20</v>
      </c>
      <c r="E2861" s="31">
        <v>1</v>
      </c>
      <c r="F2861" s="25" t="s">
        <v>521</v>
      </c>
      <c r="G2861" s="28" t="str">
        <f t="shared" si="49"/>
        <v/>
      </c>
      <c r="H2861" s="29"/>
      <c r="I2861" s="25"/>
      <c r="J2861" s="138">
        <v>0</v>
      </c>
    </row>
    <row r="2862" spans="1:10" ht="15.75" hidden="1" thickBot="1" x14ac:dyDescent="0.3">
      <c r="A2862" s="227"/>
      <c r="B2862" s="224"/>
      <c r="C2862" s="30"/>
      <c r="D2862" s="30"/>
      <c r="E2862" s="31"/>
      <c r="F2862" s="25" t="s">
        <v>521</v>
      </c>
      <c r="G2862" s="28" t="str">
        <f t="shared" si="49"/>
        <v/>
      </c>
      <c r="H2862" s="29"/>
      <c r="I2862" s="25"/>
      <c r="J2862" s="138">
        <v>0</v>
      </c>
    </row>
    <row r="2863" spans="1:10" ht="15.75" hidden="1" thickBot="1" x14ac:dyDescent="0.3">
      <c r="A2863" s="220" t="s">
        <v>818</v>
      </c>
      <c r="B2863" s="222" t="e">
        <f>INDEX(Orçamentária!A:B,MATCH(Composições!A2863,Orçamentária!A:A,0),2)</f>
        <v>#N/A</v>
      </c>
      <c r="C2863" s="35"/>
      <c r="D2863" s="20" t="s">
        <v>20</v>
      </c>
      <c r="E2863" s="21"/>
      <c r="F2863" s="36" t="s">
        <v>521</v>
      </c>
      <c r="G2863" s="22" t="str">
        <f t="shared" si="49"/>
        <v/>
      </c>
      <c r="H2863" s="23"/>
      <c r="I2863" s="24"/>
      <c r="J2863" s="138">
        <v>0</v>
      </c>
    </row>
    <row r="2864" spans="1:10" ht="15.75" hidden="1" thickBot="1" x14ac:dyDescent="0.3">
      <c r="A2864" s="221"/>
      <c r="B2864" s="223"/>
      <c r="C2864" s="26"/>
      <c r="D2864" s="26"/>
      <c r="E2864" s="27"/>
      <c r="F2864" s="37" t="s">
        <v>521</v>
      </c>
      <c r="G2864" s="28" t="str">
        <f t="shared" si="49"/>
        <v/>
      </c>
      <c r="H2864" s="29"/>
      <c r="I2864" s="25"/>
      <c r="J2864" s="138">
        <v>0</v>
      </c>
    </row>
    <row r="2865" spans="1:10" ht="15.75" hidden="1" thickBot="1" x14ac:dyDescent="0.3">
      <c r="A2865" s="221"/>
      <c r="B2865" s="223"/>
      <c r="C2865" s="30" t="s">
        <v>68</v>
      </c>
      <c r="D2865" s="30" t="s">
        <v>12</v>
      </c>
      <c r="E2865" s="31">
        <v>0.25</v>
      </c>
      <c r="F2865" s="28">
        <v>22.961500000000001</v>
      </c>
      <c r="G2865" s="28">
        <f t="shared" si="49"/>
        <v>5.7403750000000002</v>
      </c>
      <c r="H2865" s="33">
        <f>SUM(G2865:G2866)</f>
        <v>5.7403750000000002</v>
      </c>
      <c r="I2865" s="34"/>
      <c r="J2865" s="138">
        <v>0</v>
      </c>
    </row>
    <row r="2866" spans="1:10" ht="39" hidden="1" thickBot="1" x14ac:dyDescent="0.3">
      <c r="A2866" s="221"/>
      <c r="B2866" s="223"/>
      <c r="C2866" s="30" t="s">
        <v>819</v>
      </c>
      <c r="D2866" s="30" t="s">
        <v>20</v>
      </c>
      <c r="E2866" s="31">
        <v>1</v>
      </c>
      <c r="F2866" s="25" t="s">
        <v>521</v>
      </c>
      <c r="G2866" s="28" t="str">
        <f t="shared" si="49"/>
        <v/>
      </c>
      <c r="H2866" s="29"/>
      <c r="I2866" s="25"/>
      <c r="J2866" s="138">
        <v>0</v>
      </c>
    </row>
    <row r="2867" spans="1:10" ht="15.75" hidden="1" thickBot="1" x14ac:dyDescent="0.3">
      <c r="A2867" s="227"/>
      <c r="B2867" s="224"/>
      <c r="C2867" s="30"/>
      <c r="D2867" s="30"/>
      <c r="E2867" s="31"/>
      <c r="F2867" s="25" t="s">
        <v>521</v>
      </c>
      <c r="G2867" s="28" t="str">
        <f t="shared" si="49"/>
        <v/>
      </c>
      <c r="H2867" s="29"/>
      <c r="I2867" s="25"/>
      <c r="J2867" s="138">
        <v>0</v>
      </c>
    </row>
    <row r="2868" spans="1:10" ht="15.75" hidden="1" thickBot="1" x14ac:dyDescent="0.3">
      <c r="A2868" s="220" t="s">
        <v>820</v>
      </c>
      <c r="B2868" s="222" t="e">
        <f>INDEX(Orçamentária!A:B,MATCH(Composições!A2868,Orçamentária!A:A,0),2)</f>
        <v>#N/A</v>
      </c>
      <c r="C2868" s="35"/>
      <c r="D2868" s="20" t="s">
        <v>20</v>
      </c>
      <c r="E2868" s="21"/>
      <c r="F2868" s="36" t="s">
        <v>521</v>
      </c>
      <c r="G2868" s="22" t="str">
        <f t="shared" si="49"/>
        <v/>
      </c>
      <c r="H2868" s="23"/>
      <c r="I2868" s="24"/>
      <c r="J2868" s="138">
        <v>0</v>
      </c>
    </row>
    <row r="2869" spans="1:10" ht="15.75" hidden="1" thickBot="1" x14ac:dyDescent="0.3">
      <c r="A2869" s="221"/>
      <c r="B2869" s="223"/>
      <c r="C2869" s="26"/>
      <c r="D2869" s="26"/>
      <c r="E2869" s="27"/>
      <c r="F2869" s="37" t="s">
        <v>521</v>
      </c>
      <c r="G2869" s="28" t="str">
        <f t="shared" si="49"/>
        <v/>
      </c>
      <c r="H2869" s="29"/>
      <c r="I2869" s="25"/>
      <c r="J2869" s="138">
        <v>0</v>
      </c>
    </row>
    <row r="2870" spans="1:10" ht="15.75" hidden="1" thickBot="1" x14ac:dyDescent="0.3">
      <c r="A2870" s="221"/>
      <c r="B2870" s="223"/>
      <c r="C2870" s="30" t="s">
        <v>68</v>
      </c>
      <c r="D2870" s="30" t="s">
        <v>12</v>
      </c>
      <c r="E2870" s="31">
        <v>0.25</v>
      </c>
      <c r="F2870" s="28">
        <v>22.961500000000001</v>
      </c>
      <c r="G2870" s="28">
        <f t="shared" si="49"/>
        <v>5.7403750000000002</v>
      </c>
      <c r="H2870" s="33">
        <f>SUM(G2870:G2871)</f>
        <v>5.7403750000000002</v>
      </c>
      <c r="I2870" s="34"/>
      <c r="J2870" s="138">
        <v>0</v>
      </c>
    </row>
    <row r="2871" spans="1:10" ht="39" hidden="1" thickBot="1" x14ac:dyDescent="0.3">
      <c r="A2871" s="221"/>
      <c r="B2871" s="223"/>
      <c r="C2871" s="30" t="s">
        <v>821</v>
      </c>
      <c r="D2871" s="30" t="s">
        <v>20</v>
      </c>
      <c r="E2871" s="31">
        <v>1</v>
      </c>
      <c r="F2871" s="25" t="s">
        <v>521</v>
      </c>
      <c r="G2871" s="28" t="str">
        <f t="shared" si="49"/>
        <v/>
      </c>
      <c r="H2871" s="29"/>
      <c r="I2871" s="25"/>
      <c r="J2871" s="138">
        <v>0</v>
      </c>
    </row>
    <row r="2872" spans="1:10" ht="15.75" hidden="1" thickBot="1" x14ac:dyDescent="0.3">
      <c r="A2872" s="227"/>
      <c r="B2872" s="224"/>
      <c r="C2872" s="30"/>
      <c r="D2872" s="30"/>
      <c r="E2872" s="31"/>
      <c r="F2872" s="25" t="s">
        <v>521</v>
      </c>
      <c r="G2872" s="28" t="str">
        <f t="shared" si="49"/>
        <v/>
      </c>
      <c r="H2872" s="29"/>
      <c r="I2872" s="25"/>
      <c r="J2872" s="138">
        <v>0</v>
      </c>
    </row>
    <row r="2873" spans="1:10" ht="15.75" hidden="1" thickBot="1" x14ac:dyDescent="0.3">
      <c r="A2873" s="220" t="s">
        <v>822</v>
      </c>
      <c r="B2873" s="222" t="e">
        <f>INDEX(Orçamentária!A:B,MATCH(Composições!A2873,Orçamentária!A:A,0),2)</f>
        <v>#N/A</v>
      </c>
      <c r="C2873" s="35"/>
      <c r="D2873" s="20" t="s">
        <v>20</v>
      </c>
      <c r="E2873" s="21"/>
      <c r="F2873" s="36" t="s">
        <v>521</v>
      </c>
      <c r="G2873" s="22" t="str">
        <f t="shared" si="49"/>
        <v/>
      </c>
      <c r="H2873" s="23"/>
      <c r="I2873" s="24"/>
      <c r="J2873" s="138">
        <v>0</v>
      </c>
    </row>
    <row r="2874" spans="1:10" ht="15.75" hidden="1" thickBot="1" x14ac:dyDescent="0.3">
      <c r="A2874" s="221"/>
      <c r="B2874" s="223"/>
      <c r="C2874" s="26"/>
      <c r="D2874" s="26"/>
      <c r="E2874" s="27"/>
      <c r="F2874" s="37" t="s">
        <v>521</v>
      </c>
      <c r="G2874" s="28" t="str">
        <f t="shared" si="49"/>
        <v/>
      </c>
      <c r="H2874" s="29"/>
      <c r="I2874" s="25"/>
      <c r="J2874" s="138">
        <v>0</v>
      </c>
    </row>
    <row r="2875" spans="1:10" ht="15.75" hidden="1" thickBot="1" x14ac:dyDescent="0.3">
      <c r="A2875" s="221"/>
      <c r="B2875" s="223"/>
      <c r="C2875" s="30" t="s">
        <v>68</v>
      </c>
      <c r="D2875" s="30" t="s">
        <v>12</v>
      </c>
      <c r="E2875" s="31">
        <v>0.25</v>
      </c>
      <c r="F2875" s="28">
        <v>22.961500000000001</v>
      </c>
      <c r="G2875" s="28">
        <f t="shared" si="49"/>
        <v>5.7403750000000002</v>
      </c>
      <c r="H2875" s="33">
        <f>SUM(G2875:G2876)</f>
        <v>5.7403750000000002</v>
      </c>
      <c r="I2875" s="34"/>
      <c r="J2875" s="138">
        <v>0</v>
      </c>
    </row>
    <row r="2876" spans="1:10" ht="39" hidden="1" thickBot="1" x14ac:dyDescent="0.3">
      <c r="A2876" s="221"/>
      <c r="B2876" s="223"/>
      <c r="C2876" s="30" t="s">
        <v>823</v>
      </c>
      <c r="D2876" s="30" t="s">
        <v>20</v>
      </c>
      <c r="E2876" s="31">
        <v>1</v>
      </c>
      <c r="F2876" s="25" t="s">
        <v>521</v>
      </c>
      <c r="G2876" s="28" t="str">
        <f t="shared" si="49"/>
        <v/>
      </c>
      <c r="H2876" s="29"/>
      <c r="I2876" s="25"/>
      <c r="J2876" s="138">
        <v>0</v>
      </c>
    </row>
    <row r="2877" spans="1:10" ht="15.75" hidden="1" thickBot="1" x14ac:dyDescent="0.3">
      <c r="A2877" s="227"/>
      <c r="B2877" s="224"/>
      <c r="C2877" s="30"/>
      <c r="D2877" s="30"/>
      <c r="E2877" s="31"/>
      <c r="F2877" s="25" t="s">
        <v>521</v>
      </c>
      <c r="G2877" s="28" t="str">
        <f t="shared" si="49"/>
        <v/>
      </c>
      <c r="H2877" s="29"/>
      <c r="I2877" s="25"/>
      <c r="J2877" s="138">
        <v>0</v>
      </c>
    </row>
    <row r="2878" spans="1:10" ht="15.75" hidden="1" thickBot="1" x14ac:dyDescent="0.3">
      <c r="A2878" s="220" t="s">
        <v>824</v>
      </c>
      <c r="B2878" s="222" t="e">
        <f>INDEX(Orçamentária!A:B,MATCH(Composições!A2878,Orçamentária!A:A,0),2)</f>
        <v>#N/A</v>
      </c>
      <c r="C2878" s="35"/>
      <c r="D2878" s="20" t="s">
        <v>20</v>
      </c>
      <c r="E2878" s="21"/>
      <c r="F2878" s="36" t="s">
        <v>521</v>
      </c>
      <c r="G2878" s="22" t="str">
        <f t="shared" si="49"/>
        <v/>
      </c>
      <c r="H2878" s="23"/>
      <c r="I2878" s="24"/>
      <c r="J2878" s="138">
        <v>0</v>
      </c>
    </row>
    <row r="2879" spans="1:10" ht="15.75" hidden="1" thickBot="1" x14ac:dyDescent="0.3">
      <c r="A2879" s="221"/>
      <c r="B2879" s="223"/>
      <c r="C2879" s="26"/>
      <c r="D2879" s="26"/>
      <c r="E2879" s="27"/>
      <c r="F2879" s="37" t="s">
        <v>521</v>
      </c>
      <c r="G2879" s="28" t="str">
        <f t="shared" si="49"/>
        <v/>
      </c>
      <c r="H2879" s="29"/>
      <c r="I2879" s="25"/>
      <c r="J2879" s="138">
        <v>0</v>
      </c>
    </row>
    <row r="2880" spans="1:10" ht="15.75" hidden="1" thickBot="1" x14ac:dyDescent="0.3">
      <c r="A2880" s="221"/>
      <c r="B2880" s="223"/>
      <c r="C2880" s="30" t="s">
        <v>68</v>
      </c>
      <c r="D2880" s="30" t="s">
        <v>12</v>
      </c>
      <c r="E2880" s="31">
        <v>0.25</v>
      </c>
      <c r="F2880" s="28">
        <v>22.961500000000001</v>
      </c>
      <c r="G2880" s="28">
        <f t="shared" si="49"/>
        <v>5.7403750000000002</v>
      </c>
      <c r="H2880" s="33">
        <f>SUM(G2880:G2881)</f>
        <v>5.7403750000000002</v>
      </c>
      <c r="I2880" s="34"/>
      <c r="J2880" s="138">
        <v>0</v>
      </c>
    </row>
    <row r="2881" spans="1:10" ht="26.25" hidden="1" thickBot="1" x14ac:dyDescent="0.3">
      <c r="A2881" s="221"/>
      <c r="B2881" s="223"/>
      <c r="C2881" s="30" t="s">
        <v>825</v>
      </c>
      <c r="D2881" s="30" t="s">
        <v>20</v>
      </c>
      <c r="E2881" s="31">
        <v>1</v>
      </c>
      <c r="F2881" s="25">
        <v>0</v>
      </c>
      <c r="G2881" s="28">
        <f t="shared" si="49"/>
        <v>0</v>
      </c>
      <c r="H2881" s="29"/>
      <c r="I2881" s="25"/>
      <c r="J2881" s="138">
        <v>0</v>
      </c>
    </row>
    <row r="2882" spans="1:10" ht="15.75" hidden="1" thickBot="1" x14ac:dyDescent="0.3">
      <c r="A2882" s="227"/>
      <c r="B2882" s="224"/>
      <c r="C2882" s="30"/>
      <c r="D2882" s="30"/>
      <c r="E2882" s="31"/>
      <c r="F2882" s="25" t="s">
        <v>521</v>
      </c>
      <c r="G2882" s="28" t="str">
        <f t="shared" si="49"/>
        <v/>
      </c>
      <c r="H2882" s="29"/>
      <c r="I2882" s="25"/>
      <c r="J2882" s="138">
        <v>0</v>
      </c>
    </row>
    <row r="2883" spans="1:10" ht="15.75" hidden="1" thickBot="1" x14ac:dyDescent="0.3">
      <c r="A2883" s="220" t="s">
        <v>826</v>
      </c>
      <c r="B2883" s="222" t="e">
        <f>INDEX(Orçamentária!A:B,MATCH(Composições!A2883,Orçamentária!A:A,0),2)</f>
        <v>#N/A</v>
      </c>
      <c r="C2883" s="35"/>
      <c r="D2883" s="20" t="s">
        <v>20</v>
      </c>
      <c r="E2883" s="21"/>
      <c r="F2883" s="36" t="s">
        <v>521</v>
      </c>
      <c r="G2883" s="22" t="str">
        <f t="shared" si="49"/>
        <v/>
      </c>
      <c r="H2883" s="23"/>
      <c r="I2883" s="24"/>
      <c r="J2883" s="138">
        <v>0</v>
      </c>
    </row>
    <row r="2884" spans="1:10" ht="15.75" hidden="1" thickBot="1" x14ac:dyDescent="0.3">
      <c r="A2884" s="221"/>
      <c r="B2884" s="223"/>
      <c r="C2884" s="26"/>
      <c r="D2884" s="26"/>
      <c r="E2884" s="27"/>
      <c r="F2884" s="37" t="s">
        <v>521</v>
      </c>
      <c r="G2884" s="28" t="str">
        <f t="shared" si="49"/>
        <v/>
      </c>
      <c r="H2884" s="29"/>
      <c r="I2884" s="25"/>
      <c r="J2884" s="138">
        <v>0</v>
      </c>
    </row>
    <row r="2885" spans="1:10" ht="15.75" hidden="1" thickBot="1" x14ac:dyDescent="0.3">
      <c r="A2885" s="221"/>
      <c r="B2885" s="223"/>
      <c r="C2885" s="30" t="s">
        <v>68</v>
      </c>
      <c r="D2885" s="30" t="s">
        <v>12</v>
      </c>
      <c r="E2885" s="31">
        <v>1.8180000000000001</v>
      </c>
      <c r="F2885" s="28">
        <v>22.961500000000001</v>
      </c>
      <c r="G2885" s="28">
        <f t="shared" si="49"/>
        <v>41.744007000000003</v>
      </c>
      <c r="H2885" s="33">
        <f>SUM(G2885:G2888)</f>
        <v>74.2930305</v>
      </c>
      <c r="I2885" s="34"/>
      <c r="J2885" s="138">
        <v>0</v>
      </c>
    </row>
    <row r="2886" spans="1:10" ht="15.75" hidden="1" thickBot="1" x14ac:dyDescent="0.3">
      <c r="A2886" s="221"/>
      <c r="B2886" s="223"/>
      <c r="C2886" s="30" t="s">
        <v>23</v>
      </c>
      <c r="D2886" s="30" t="s">
        <v>12</v>
      </c>
      <c r="E2886" s="31">
        <v>1.7669999999999999</v>
      </c>
      <c r="F2886" s="25">
        <v>18.420500000000001</v>
      </c>
      <c r="G2886" s="28">
        <f t="shared" ref="G2886:G2949" si="50">IF(ISNUMBER(F2886),E2886*F2886,"")</f>
        <v>32.549023499999997</v>
      </c>
      <c r="H2886" s="29"/>
      <c r="I2886" s="25"/>
      <c r="J2886" s="138">
        <v>0</v>
      </c>
    </row>
    <row r="2887" spans="1:10" ht="15.75" hidden="1" thickBot="1" x14ac:dyDescent="0.3">
      <c r="A2887" s="221"/>
      <c r="B2887" s="223"/>
      <c r="C2887" s="30" t="s">
        <v>2212</v>
      </c>
      <c r="D2887" s="30" t="s">
        <v>20</v>
      </c>
      <c r="E2887" s="31">
        <v>1</v>
      </c>
      <c r="F2887" s="25" t="s">
        <v>521</v>
      </c>
      <c r="G2887" s="25" t="str">
        <f t="shared" si="50"/>
        <v/>
      </c>
      <c r="H2887" s="29"/>
      <c r="I2887" s="25"/>
      <c r="J2887" s="138">
        <v>0</v>
      </c>
    </row>
    <row r="2888" spans="1:10" ht="39" hidden="1" thickBot="1" x14ac:dyDescent="0.3">
      <c r="A2888" s="221"/>
      <c r="B2888" s="223"/>
      <c r="C2888" s="30" t="s">
        <v>2211</v>
      </c>
      <c r="D2888" s="30" t="s">
        <v>20</v>
      </c>
      <c r="E2888" s="31">
        <v>1</v>
      </c>
      <c r="F2888" s="25" t="s">
        <v>521</v>
      </c>
      <c r="G2888" s="28" t="str">
        <f t="shared" si="50"/>
        <v/>
      </c>
      <c r="H2888" s="29"/>
      <c r="I2888" s="25"/>
      <c r="J2888" s="138">
        <v>0</v>
      </c>
    </row>
    <row r="2889" spans="1:10" ht="15.75" hidden="1" thickBot="1" x14ac:dyDescent="0.3">
      <c r="A2889" s="227"/>
      <c r="B2889" s="224"/>
      <c r="C2889" s="30"/>
      <c r="D2889" s="30"/>
      <c r="E2889" s="31"/>
      <c r="F2889" s="25" t="s">
        <v>521</v>
      </c>
      <c r="G2889" s="28" t="str">
        <f t="shared" si="50"/>
        <v/>
      </c>
      <c r="H2889" s="29"/>
      <c r="I2889" s="25"/>
      <c r="J2889" s="138">
        <v>0</v>
      </c>
    </row>
    <row r="2890" spans="1:10" ht="15.75" hidden="1" thickBot="1" x14ac:dyDescent="0.3">
      <c r="A2890" s="220" t="s">
        <v>827</v>
      </c>
      <c r="B2890" s="222" t="e">
        <f>INDEX(Orçamentária!A:B,MATCH(Composições!A2890,Orçamentária!A:A,0),2)</f>
        <v>#N/A</v>
      </c>
      <c r="C2890" s="35"/>
      <c r="D2890" s="20" t="s">
        <v>20</v>
      </c>
      <c r="E2890" s="21"/>
      <c r="F2890" s="36" t="s">
        <v>521</v>
      </c>
      <c r="G2890" s="22" t="str">
        <f t="shared" si="50"/>
        <v/>
      </c>
      <c r="H2890" s="23"/>
      <c r="I2890" s="24"/>
      <c r="J2890" s="138">
        <v>0</v>
      </c>
    </row>
    <row r="2891" spans="1:10" ht="15.75" hidden="1" thickBot="1" x14ac:dyDescent="0.3">
      <c r="A2891" s="221"/>
      <c r="B2891" s="223"/>
      <c r="C2891" s="26"/>
      <c r="D2891" s="26"/>
      <c r="E2891" s="27"/>
      <c r="F2891" s="37" t="s">
        <v>521</v>
      </c>
      <c r="G2891" s="28" t="str">
        <f t="shared" si="50"/>
        <v/>
      </c>
      <c r="H2891" s="29"/>
      <c r="I2891" s="25"/>
      <c r="J2891" s="138">
        <v>0</v>
      </c>
    </row>
    <row r="2892" spans="1:10" ht="15.75" hidden="1" thickBot="1" x14ac:dyDescent="0.3">
      <c r="A2892" s="221"/>
      <c r="B2892" s="223"/>
      <c r="C2892" s="30" t="s">
        <v>68</v>
      </c>
      <c r="D2892" s="30" t="s">
        <v>12</v>
      </c>
      <c r="E2892" s="31">
        <v>0.2</v>
      </c>
      <c r="F2892" s="28">
        <v>22.961500000000001</v>
      </c>
      <c r="G2892" s="28">
        <f t="shared" si="50"/>
        <v>4.5923000000000007</v>
      </c>
      <c r="H2892" s="33">
        <f>SUM(G2892:G2893)</f>
        <v>4.5923000000000007</v>
      </c>
      <c r="I2892" s="34"/>
      <c r="J2892" s="138">
        <v>0</v>
      </c>
    </row>
    <row r="2893" spans="1:10" ht="39" hidden="1" thickBot="1" x14ac:dyDescent="0.3">
      <c r="A2893" s="221"/>
      <c r="B2893" s="223"/>
      <c r="C2893" s="30" t="s">
        <v>828</v>
      </c>
      <c r="D2893" s="30" t="s">
        <v>20</v>
      </c>
      <c r="E2893" s="31">
        <v>1</v>
      </c>
      <c r="F2893" s="25" t="s">
        <v>521</v>
      </c>
      <c r="G2893" s="28" t="str">
        <f t="shared" si="50"/>
        <v/>
      </c>
      <c r="H2893" s="29"/>
      <c r="I2893" s="25"/>
      <c r="J2893" s="138">
        <v>0</v>
      </c>
    </row>
    <row r="2894" spans="1:10" ht="15.75" hidden="1" thickBot="1" x14ac:dyDescent="0.3">
      <c r="A2894" s="227"/>
      <c r="B2894" s="224"/>
      <c r="C2894" s="30"/>
      <c r="D2894" s="30"/>
      <c r="E2894" s="31"/>
      <c r="F2894" s="25" t="s">
        <v>521</v>
      </c>
      <c r="G2894" s="28" t="str">
        <f t="shared" si="50"/>
        <v/>
      </c>
      <c r="H2894" s="29"/>
      <c r="I2894" s="25"/>
      <c r="J2894" s="138">
        <v>0</v>
      </c>
    </row>
    <row r="2895" spans="1:10" ht="15.75" hidden="1" thickBot="1" x14ac:dyDescent="0.3">
      <c r="A2895" s="220" t="s">
        <v>829</v>
      </c>
      <c r="B2895" s="222" t="e">
        <f>INDEX(Orçamentária!A:B,MATCH(Composições!A2895,Orçamentária!A:A,0),2)</f>
        <v>#N/A</v>
      </c>
      <c r="C2895" s="35"/>
      <c r="D2895" s="20" t="s">
        <v>20</v>
      </c>
      <c r="E2895" s="21"/>
      <c r="F2895" s="36" t="s">
        <v>521</v>
      </c>
      <c r="G2895" s="22" t="str">
        <f t="shared" si="50"/>
        <v/>
      </c>
      <c r="H2895" s="23"/>
      <c r="I2895" s="24"/>
      <c r="J2895" s="138">
        <v>0</v>
      </c>
    </row>
    <row r="2896" spans="1:10" ht="15.75" hidden="1" thickBot="1" x14ac:dyDescent="0.3">
      <c r="A2896" s="221"/>
      <c r="B2896" s="223"/>
      <c r="C2896" s="26"/>
      <c r="D2896" s="26"/>
      <c r="E2896" s="27"/>
      <c r="F2896" s="37" t="s">
        <v>521</v>
      </c>
      <c r="G2896" s="28" t="str">
        <f t="shared" si="50"/>
        <v/>
      </c>
      <c r="H2896" s="29"/>
      <c r="I2896" s="25"/>
      <c r="J2896" s="138">
        <v>0</v>
      </c>
    </row>
    <row r="2897" spans="1:10" ht="15.75" hidden="1" thickBot="1" x14ac:dyDescent="0.3">
      <c r="A2897" s="221"/>
      <c r="B2897" s="223"/>
      <c r="C2897" s="30" t="s">
        <v>68</v>
      </c>
      <c r="D2897" s="41" t="s">
        <v>12</v>
      </c>
      <c r="E2897" s="31">
        <v>0.4</v>
      </c>
      <c r="F2897" s="28">
        <v>22.961500000000001</v>
      </c>
      <c r="G2897" s="28">
        <f t="shared" si="50"/>
        <v>9.1846000000000014</v>
      </c>
      <c r="H2897" s="33">
        <f>SUM(G2897:G2898)</f>
        <v>9.1846000000000014</v>
      </c>
      <c r="I2897" s="34"/>
      <c r="J2897" s="138">
        <v>0</v>
      </c>
    </row>
    <row r="2898" spans="1:10" ht="15.75" hidden="1" thickBot="1" x14ac:dyDescent="0.3">
      <c r="A2898" s="221"/>
      <c r="B2898" s="223"/>
      <c r="C2898" s="30" t="s">
        <v>830</v>
      </c>
      <c r="D2898" s="41" t="s">
        <v>20</v>
      </c>
      <c r="E2898" s="31">
        <v>1</v>
      </c>
      <c r="F2898" s="25" t="s">
        <v>521</v>
      </c>
      <c r="G2898" s="28" t="str">
        <f t="shared" si="50"/>
        <v/>
      </c>
      <c r="H2898" s="29"/>
      <c r="I2898" s="25"/>
      <c r="J2898" s="138">
        <v>0</v>
      </c>
    </row>
    <row r="2899" spans="1:10" ht="15.75" hidden="1" thickBot="1" x14ac:dyDescent="0.3">
      <c r="A2899" s="227"/>
      <c r="B2899" s="224"/>
      <c r="C2899" s="30"/>
      <c r="D2899" s="30"/>
      <c r="E2899" s="31"/>
      <c r="F2899" s="25" t="s">
        <v>521</v>
      </c>
      <c r="G2899" s="28" t="str">
        <f t="shared" si="50"/>
        <v/>
      </c>
      <c r="H2899" s="29"/>
      <c r="I2899" s="25"/>
      <c r="J2899" s="138">
        <v>0</v>
      </c>
    </row>
    <row r="2900" spans="1:10" ht="15.75" hidden="1" thickBot="1" x14ac:dyDescent="0.3">
      <c r="A2900" s="220" t="s">
        <v>831</v>
      </c>
      <c r="B2900" s="222" t="e">
        <f>INDEX(Orçamentária!A:B,MATCH(Composições!A2900,Orçamentária!A:A,0),2)</f>
        <v>#N/A</v>
      </c>
      <c r="C2900" s="35"/>
      <c r="D2900" s="20" t="s">
        <v>20</v>
      </c>
      <c r="E2900" s="21"/>
      <c r="F2900" s="36" t="s">
        <v>521</v>
      </c>
      <c r="G2900" s="22" t="str">
        <f t="shared" si="50"/>
        <v/>
      </c>
      <c r="H2900" s="23"/>
      <c r="I2900" s="24"/>
      <c r="J2900" s="138">
        <v>0</v>
      </c>
    </row>
    <row r="2901" spans="1:10" ht="15.75" hidden="1" thickBot="1" x14ac:dyDescent="0.3">
      <c r="A2901" s="221"/>
      <c r="B2901" s="223"/>
      <c r="C2901" s="26"/>
      <c r="D2901" s="26"/>
      <c r="E2901" s="27"/>
      <c r="F2901" s="37" t="s">
        <v>521</v>
      </c>
      <c r="G2901" s="28" t="str">
        <f t="shared" si="50"/>
        <v/>
      </c>
      <c r="H2901" s="29"/>
      <c r="I2901" s="25"/>
      <c r="J2901" s="138">
        <v>0</v>
      </c>
    </row>
    <row r="2902" spans="1:10" ht="15.75" hidden="1" thickBot="1" x14ac:dyDescent="0.3">
      <c r="A2902" s="221"/>
      <c r="B2902" s="223"/>
      <c r="C2902" s="30" t="s">
        <v>68</v>
      </c>
      <c r="D2902" s="30" t="s">
        <v>12</v>
      </c>
      <c r="E2902" s="31">
        <v>0.3</v>
      </c>
      <c r="F2902" s="28">
        <v>22.961500000000001</v>
      </c>
      <c r="G2902" s="28">
        <f t="shared" si="50"/>
        <v>6.8884499999999997</v>
      </c>
      <c r="H2902" s="33">
        <f>SUM(G2902:G2903)</f>
        <v>6.8884499999999997</v>
      </c>
      <c r="I2902" s="34"/>
      <c r="J2902" s="138">
        <v>0</v>
      </c>
    </row>
    <row r="2903" spans="1:10" ht="26.25" hidden="1" thickBot="1" x14ac:dyDescent="0.3">
      <c r="A2903" s="221"/>
      <c r="B2903" s="223"/>
      <c r="C2903" s="30" t="s">
        <v>832</v>
      </c>
      <c r="D2903" s="41" t="s">
        <v>20</v>
      </c>
      <c r="E2903" s="31">
        <v>1</v>
      </c>
      <c r="F2903" s="25">
        <v>0</v>
      </c>
      <c r="G2903" s="28">
        <f t="shared" si="50"/>
        <v>0</v>
      </c>
      <c r="H2903" s="29"/>
      <c r="I2903" s="25"/>
      <c r="J2903" s="138">
        <v>0</v>
      </c>
    </row>
    <row r="2904" spans="1:10" ht="15.75" hidden="1" thickBot="1" x14ac:dyDescent="0.3">
      <c r="A2904" s="227"/>
      <c r="B2904" s="224"/>
      <c r="C2904" s="30"/>
      <c r="D2904" s="30"/>
      <c r="E2904" s="31"/>
      <c r="F2904" s="25" t="s">
        <v>521</v>
      </c>
      <c r="G2904" s="28" t="str">
        <f t="shared" si="50"/>
        <v/>
      </c>
      <c r="H2904" s="29"/>
      <c r="I2904" s="25"/>
      <c r="J2904" s="138">
        <v>0</v>
      </c>
    </row>
    <row r="2905" spans="1:10" ht="15.75" hidden="1" thickBot="1" x14ac:dyDescent="0.3">
      <c r="A2905" s="220" t="s">
        <v>833</v>
      </c>
      <c r="B2905" s="222" t="e">
        <f>INDEX(Orçamentária!A:B,MATCH(Composições!A2905,Orçamentária!A:A,0),2)</f>
        <v>#N/A</v>
      </c>
      <c r="C2905" s="35"/>
      <c r="D2905" s="20" t="s">
        <v>93</v>
      </c>
      <c r="E2905" s="21"/>
      <c r="F2905" s="36" t="s">
        <v>521</v>
      </c>
      <c r="G2905" s="22" t="str">
        <f t="shared" si="50"/>
        <v/>
      </c>
      <c r="H2905" s="23"/>
      <c r="I2905" s="24"/>
      <c r="J2905" s="138">
        <v>0</v>
      </c>
    </row>
    <row r="2906" spans="1:10" ht="15.75" hidden="1" thickBot="1" x14ac:dyDescent="0.3">
      <c r="A2906" s="221"/>
      <c r="B2906" s="223"/>
      <c r="C2906" s="26"/>
      <c r="D2906" s="26"/>
      <c r="E2906" s="27"/>
      <c r="F2906" s="37" t="s">
        <v>521</v>
      </c>
      <c r="G2906" s="28" t="str">
        <f t="shared" si="50"/>
        <v/>
      </c>
      <c r="H2906" s="29"/>
      <c r="I2906" s="25"/>
      <c r="J2906" s="138">
        <v>0</v>
      </c>
    </row>
    <row r="2907" spans="1:10" ht="15.75" hidden="1" thickBot="1" x14ac:dyDescent="0.3">
      <c r="A2907" s="221"/>
      <c r="B2907" s="223"/>
      <c r="C2907" s="30" t="s">
        <v>68</v>
      </c>
      <c r="D2907" s="30" t="s">
        <v>12</v>
      </c>
      <c r="E2907" s="31">
        <v>0.2</v>
      </c>
      <c r="F2907" s="28">
        <v>22.961500000000001</v>
      </c>
      <c r="G2907" s="28">
        <f t="shared" si="50"/>
        <v>4.5923000000000007</v>
      </c>
      <c r="H2907" s="33">
        <f>SUM(G2907:G2908)</f>
        <v>12.012655000000001</v>
      </c>
      <c r="I2907" s="34"/>
      <c r="J2907" s="138">
        <v>0</v>
      </c>
    </row>
    <row r="2908" spans="1:10" ht="15.75" hidden="1" thickBot="1" x14ac:dyDescent="0.3">
      <c r="A2908" s="221"/>
      <c r="B2908" s="223"/>
      <c r="C2908" s="30" t="s">
        <v>834</v>
      </c>
      <c r="D2908" s="30" t="s">
        <v>42</v>
      </c>
      <c r="E2908" s="31">
        <v>0.19</v>
      </c>
      <c r="F2908" s="25">
        <v>39.054499999999997</v>
      </c>
      <c r="G2908" s="28">
        <f t="shared" si="50"/>
        <v>7.4203549999999998</v>
      </c>
      <c r="H2908" s="29"/>
      <c r="I2908" s="25"/>
      <c r="J2908" s="138">
        <v>0</v>
      </c>
    </row>
    <row r="2909" spans="1:10" ht="15.75" hidden="1" thickBot="1" x14ac:dyDescent="0.3">
      <c r="A2909" s="221"/>
      <c r="B2909" s="223"/>
      <c r="C2909" s="30"/>
      <c r="D2909" s="30"/>
      <c r="E2909" s="31"/>
      <c r="F2909" s="25" t="s">
        <v>521</v>
      </c>
      <c r="G2909" s="28" t="str">
        <f t="shared" si="50"/>
        <v/>
      </c>
      <c r="H2909" s="29"/>
      <c r="I2909" s="25"/>
      <c r="J2909" s="138">
        <v>0</v>
      </c>
    </row>
    <row r="2910" spans="1:10" ht="26.25" hidden="1" thickBot="1" x14ac:dyDescent="0.3">
      <c r="A2910" s="221"/>
      <c r="B2910" s="223"/>
      <c r="C2910" s="42" t="s">
        <v>835</v>
      </c>
      <c r="D2910" s="30"/>
      <c r="E2910" s="31"/>
      <c r="F2910" s="25" t="s">
        <v>521</v>
      </c>
      <c r="G2910" s="28" t="str">
        <f t="shared" si="50"/>
        <v/>
      </c>
      <c r="H2910" s="29"/>
      <c r="I2910" s="25"/>
      <c r="J2910" s="138">
        <v>0</v>
      </c>
    </row>
    <row r="2911" spans="1:10" ht="39" hidden="1" thickBot="1" x14ac:dyDescent="0.3">
      <c r="A2911" s="221"/>
      <c r="B2911" s="223"/>
      <c r="C2911" s="46" t="s">
        <v>836</v>
      </c>
      <c r="D2911" s="59"/>
      <c r="E2911" s="31"/>
      <c r="F2911" s="25" t="s">
        <v>521</v>
      </c>
      <c r="G2911" s="28" t="str">
        <f t="shared" si="50"/>
        <v/>
      </c>
      <c r="H2911" s="29"/>
      <c r="I2911" s="25"/>
      <c r="J2911" s="138">
        <v>0</v>
      </c>
    </row>
    <row r="2912" spans="1:10" ht="15.75" hidden="1" thickBot="1" x14ac:dyDescent="0.3">
      <c r="A2912" s="227"/>
      <c r="B2912" s="224"/>
      <c r="C2912" s="30"/>
      <c r="D2912" s="30"/>
      <c r="E2912" s="31"/>
      <c r="F2912" s="25" t="s">
        <v>521</v>
      </c>
      <c r="G2912" s="28" t="str">
        <f t="shared" si="50"/>
        <v/>
      </c>
      <c r="H2912" s="29"/>
      <c r="I2912" s="25"/>
      <c r="J2912" s="138">
        <v>0</v>
      </c>
    </row>
    <row r="2913" spans="1:10" ht="15.75" hidden="1" thickBot="1" x14ac:dyDescent="0.3">
      <c r="A2913" s="220" t="s">
        <v>837</v>
      </c>
      <c r="B2913" s="222" t="e">
        <f>INDEX(Orçamentária!A:B,MATCH(Composições!A2913,Orçamentária!A:A,0),2)</f>
        <v>#N/A</v>
      </c>
      <c r="C2913" s="35"/>
      <c r="D2913" s="20" t="s">
        <v>93</v>
      </c>
      <c r="E2913" s="21"/>
      <c r="F2913" s="36" t="s">
        <v>521</v>
      </c>
      <c r="G2913" s="22" t="str">
        <f t="shared" si="50"/>
        <v/>
      </c>
      <c r="H2913" s="23"/>
      <c r="I2913" s="24"/>
      <c r="J2913" s="138">
        <v>0</v>
      </c>
    </row>
    <row r="2914" spans="1:10" ht="15.75" hidden="1" thickBot="1" x14ac:dyDescent="0.3">
      <c r="A2914" s="225"/>
      <c r="B2914" s="223"/>
      <c r="C2914" s="26"/>
      <c r="D2914" s="26"/>
      <c r="E2914" s="27"/>
      <c r="F2914" s="37" t="s">
        <v>521</v>
      </c>
      <c r="G2914" s="28" t="str">
        <f t="shared" si="50"/>
        <v/>
      </c>
      <c r="H2914" s="29"/>
      <c r="I2914" s="25"/>
      <c r="J2914" s="138">
        <v>0</v>
      </c>
    </row>
    <row r="2915" spans="1:10" ht="15.75" hidden="1" thickBot="1" x14ac:dyDescent="0.3">
      <c r="A2915" s="225"/>
      <c r="B2915" s="223"/>
      <c r="C2915" s="30" t="s">
        <v>68</v>
      </c>
      <c r="D2915" s="30" t="s">
        <v>12</v>
      </c>
      <c r="E2915" s="31">
        <v>0.3</v>
      </c>
      <c r="F2915" s="28">
        <v>22.961500000000001</v>
      </c>
      <c r="G2915" s="28">
        <f t="shared" si="50"/>
        <v>6.8884499999999997</v>
      </c>
      <c r="H2915" s="33">
        <f>SUM(G2915:G2916)</f>
        <v>37.077578500000001</v>
      </c>
      <c r="I2915" s="34"/>
      <c r="J2915" s="138">
        <v>0</v>
      </c>
    </row>
    <row r="2916" spans="1:10" ht="15.75" hidden="1" thickBot="1" x14ac:dyDescent="0.3">
      <c r="A2916" s="225"/>
      <c r="B2916" s="223"/>
      <c r="C2916" s="30" t="s">
        <v>834</v>
      </c>
      <c r="D2916" s="41" t="s">
        <v>42</v>
      </c>
      <c r="E2916" s="31">
        <v>0.77300000000000002</v>
      </c>
      <c r="F2916" s="25">
        <v>39.054499999999997</v>
      </c>
      <c r="G2916" s="28">
        <f t="shared" si="50"/>
        <v>30.189128499999999</v>
      </c>
      <c r="H2916" s="29"/>
      <c r="I2916" s="25"/>
      <c r="J2916" s="138">
        <v>0</v>
      </c>
    </row>
    <row r="2917" spans="1:10" ht="15.75" hidden="1" thickBot="1" x14ac:dyDescent="0.3">
      <c r="A2917" s="225"/>
      <c r="B2917" s="223"/>
      <c r="C2917" s="30"/>
      <c r="D2917" s="41"/>
      <c r="E2917" s="31"/>
      <c r="F2917" s="25" t="s">
        <v>521</v>
      </c>
      <c r="G2917" s="28" t="str">
        <f t="shared" si="50"/>
        <v/>
      </c>
      <c r="H2917" s="29"/>
      <c r="I2917" s="25"/>
      <c r="J2917" s="138">
        <v>0</v>
      </c>
    </row>
    <row r="2918" spans="1:10" ht="26.25" hidden="1" thickBot="1" x14ac:dyDescent="0.3">
      <c r="A2918" s="225"/>
      <c r="B2918" s="223"/>
      <c r="C2918" s="42" t="s">
        <v>838</v>
      </c>
      <c r="D2918" s="41"/>
      <c r="E2918" s="31"/>
      <c r="F2918" s="25" t="s">
        <v>521</v>
      </c>
      <c r="G2918" s="28" t="str">
        <f t="shared" si="50"/>
        <v/>
      </c>
      <c r="H2918" s="29"/>
      <c r="I2918" s="25"/>
      <c r="J2918" s="138">
        <v>0</v>
      </c>
    </row>
    <row r="2919" spans="1:10" ht="26.25" hidden="1" thickBot="1" x14ac:dyDescent="0.3">
      <c r="A2919" s="225"/>
      <c r="B2919" s="223"/>
      <c r="C2919" s="46" t="s">
        <v>839</v>
      </c>
      <c r="D2919" s="41"/>
      <c r="E2919" s="31"/>
      <c r="F2919" s="25" t="s">
        <v>521</v>
      </c>
      <c r="G2919" s="28" t="str">
        <f t="shared" si="50"/>
        <v/>
      </c>
      <c r="H2919" s="29"/>
      <c r="I2919" s="25"/>
      <c r="J2919" s="138">
        <v>0</v>
      </c>
    </row>
    <row r="2920" spans="1:10" ht="15.75" hidden="1" thickBot="1" x14ac:dyDescent="0.3">
      <c r="A2920" s="226"/>
      <c r="B2920" s="224"/>
      <c r="C2920" s="30"/>
      <c r="D2920" s="30"/>
      <c r="E2920" s="31"/>
      <c r="F2920" s="25" t="s">
        <v>521</v>
      </c>
      <c r="G2920" s="28" t="str">
        <f t="shared" si="50"/>
        <v/>
      </c>
      <c r="H2920" s="29"/>
      <c r="I2920" s="25"/>
      <c r="J2920" s="138">
        <v>0</v>
      </c>
    </row>
    <row r="2921" spans="1:10" ht="15.75" hidden="1" thickBot="1" x14ac:dyDescent="0.3">
      <c r="A2921" s="220" t="s">
        <v>840</v>
      </c>
      <c r="B2921" s="222" t="e">
        <f>INDEX(Orçamentária!A:B,MATCH(Composições!A2921,Orçamentária!A:A,0),2)</f>
        <v>#N/A</v>
      </c>
      <c r="C2921" s="35"/>
      <c r="D2921" s="20" t="s">
        <v>93</v>
      </c>
      <c r="E2921" s="21"/>
      <c r="F2921" s="36" t="s">
        <v>521</v>
      </c>
      <c r="G2921" s="22" t="str">
        <f t="shared" si="50"/>
        <v/>
      </c>
      <c r="H2921" s="23"/>
      <c r="I2921" s="24"/>
      <c r="J2921" s="138">
        <v>0</v>
      </c>
    </row>
    <row r="2922" spans="1:10" ht="15.75" hidden="1" thickBot="1" x14ac:dyDescent="0.3">
      <c r="A2922" s="225"/>
      <c r="B2922" s="223"/>
      <c r="C2922" s="26"/>
      <c r="D2922" s="26"/>
      <c r="E2922" s="27"/>
      <c r="F2922" s="37" t="s">
        <v>521</v>
      </c>
      <c r="G2922" s="28" t="str">
        <f t="shared" si="50"/>
        <v/>
      </c>
      <c r="H2922" s="29"/>
      <c r="I2922" s="25"/>
      <c r="J2922" s="138">
        <v>0</v>
      </c>
    </row>
    <row r="2923" spans="1:10" ht="15.75" hidden="1" thickBot="1" x14ac:dyDescent="0.3">
      <c r="A2923" s="225"/>
      <c r="B2923" s="223"/>
      <c r="C2923" s="30" t="s">
        <v>68</v>
      </c>
      <c r="D2923" s="30" t="s">
        <v>12</v>
      </c>
      <c r="E2923" s="31">
        <v>0.2</v>
      </c>
      <c r="F2923" s="28">
        <v>22.961500000000001</v>
      </c>
      <c r="G2923" s="28">
        <f t="shared" si="50"/>
        <v>4.5923000000000007</v>
      </c>
      <c r="H2923" s="33">
        <f>SUM(G2923:G2924)</f>
        <v>15.5666145</v>
      </c>
      <c r="I2923" s="34"/>
      <c r="J2923" s="138">
        <v>0</v>
      </c>
    </row>
    <row r="2924" spans="1:10" ht="15.75" hidden="1" thickBot="1" x14ac:dyDescent="0.3">
      <c r="A2924" s="225"/>
      <c r="B2924" s="223"/>
      <c r="C2924" s="30" t="s">
        <v>834</v>
      </c>
      <c r="D2924" s="30" t="s">
        <v>42</v>
      </c>
      <c r="E2924" s="31">
        <v>0.28100000000000003</v>
      </c>
      <c r="F2924" s="25">
        <v>39.054499999999997</v>
      </c>
      <c r="G2924" s="28">
        <f t="shared" si="50"/>
        <v>10.9743145</v>
      </c>
      <c r="H2924" s="29"/>
      <c r="I2924" s="25"/>
      <c r="J2924" s="138">
        <v>0</v>
      </c>
    </row>
    <row r="2925" spans="1:10" ht="15.75" hidden="1" thickBot="1" x14ac:dyDescent="0.3">
      <c r="A2925" s="225"/>
      <c r="B2925" s="223"/>
      <c r="C2925" s="30"/>
      <c r="D2925" s="41"/>
      <c r="E2925" s="31"/>
      <c r="F2925" s="25" t="s">
        <v>521</v>
      </c>
      <c r="G2925" s="28" t="str">
        <f t="shared" si="50"/>
        <v/>
      </c>
      <c r="H2925" s="29"/>
      <c r="I2925" s="25"/>
      <c r="J2925" s="138">
        <v>0</v>
      </c>
    </row>
    <row r="2926" spans="1:10" ht="26.25" hidden="1" thickBot="1" x14ac:dyDescent="0.3">
      <c r="A2926" s="225"/>
      <c r="B2926" s="223"/>
      <c r="C2926" s="42" t="s">
        <v>841</v>
      </c>
      <c r="D2926" s="41"/>
      <c r="E2926" s="31"/>
      <c r="F2926" s="25" t="s">
        <v>521</v>
      </c>
      <c r="G2926" s="28" t="str">
        <f t="shared" si="50"/>
        <v/>
      </c>
      <c r="H2926" s="29"/>
      <c r="I2926" s="25"/>
      <c r="J2926" s="138">
        <v>0</v>
      </c>
    </row>
    <row r="2927" spans="1:10" ht="26.25" hidden="1" thickBot="1" x14ac:dyDescent="0.3">
      <c r="A2927" s="225"/>
      <c r="B2927" s="223"/>
      <c r="C2927" s="46" t="s">
        <v>839</v>
      </c>
      <c r="D2927" s="41"/>
      <c r="E2927" s="31"/>
      <c r="F2927" s="25" t="s">
        <v>521</v>
      </c>
      <c r="G2927" s="28" t="str">
        <f t="shared" si="50"/>
        <v/>
      </c>
      <c r="H2927" s="29"/>
      <c r="I2927" s="25"/>
      <c r="J2927" s="138">
        <v>0</v>
      </c>
    </row>
    <row r="2928" spans="1:10" ht="15.75" hidden="1" thickBot="1" x14ac:dyDescent="0.3">
      <c r="A2928" s="226"/>
      <c r="B2928" s="224"/>
      <c r="C2928" s="30"/>
      <c r="D2928" s="30"/>
      <c r="E2928" s="31"/>
      <c r="F2928" s="25" t="s">
        <v>521</v>
      </c>
      <c r="G2928" s="28" t="str">
        <f t="shared" si="50"/>
        <v/>
      </c>
      <c r="H2928" s="29"/>
      <c r="I2928" s="25"/>
      <c r="J2928" s="138">
        <v>0</v>
      </c>
    </row>
    <row r="2929" spans="1:10" ht="15.75" hidden="1" thickBot="1" x14ac:dyDescent="0.3">
      <c r="A2929" s="220" t="s">
        <v>842</v>
      </c>
      <c r="B2929" s="222" t="e">
        <f>INDEX(Orçamentária!A:B,MATCH(Composições!A2929,Orçamentária!A:A,0),2)</f>
        <v>#N/A</v>
      </c>
      <c r="C2929" s="35"/>
      <c r="D2929" s="20" t="s">
        <v>93</v>
      </c>
      <c r="E2929" s="21"/>
      <c r="F2929" s="36" t="s">
        <v>521</v>
      </c>
      <c r="G2929" s="22" t="str">
        <f t="shared" si="50"/>
        <v/>
      </c>
      <c r="H2929" s="23"/>
      <c r="I2929" s="24"/>
      <c r="J2929" s="138">
        <v>0</v>
      </c>
    </row>
    <row r="2930" spans="1:10" ht="15.75" hidden="1" thickBot="1" x14ac:dyDescent="0.3">
      <c r="A2930" s="225"/>
      <c r="B2930" s="223"/>
      <c r="C2930" s="26"/>
      <c r="D2930" s="26"/>
      <c r="E2930" s="27"/>
      <c r="F2930" s="37" t="s">
        <v>521</v>
      </c>
      <c r="G2930" s="28" t="str">
        <f t="shared" si="50"/>
        <v/>
      </c>
      <c r="H2930" s="29"/>
      <c r="I2930" s="25"/>
      <c r="J2930" s="138">
        <v>0</v>
      </c>
    </row>
    <row r="2931" spans="1:10" ht="15.75" hidden="1" thickBot="1" x14ac:dyDescent="0.3">
      <c r="A2931" s="225"/>
      <c r="B2931" s="223"/>
      <c r="C2931" s="30" t="s">
        <v>68</v>
      </c>
      <c r="D2931" s="41" t="s">
        <v>12</v>
      </c>
      <c r="E2931" s="31">
        <v>0.3</v>
      </c>
      <c r="F2931" s="28">
        <v>22.961500000000001</v>
      </c>
      <c r="G2931" s="28">
        <f t="shared" si="50"/>
        <v>6.8884499999999997</v>
      </c>
      <c r="H2931" s="33">
        <f>SUM(G2931:G2932)</f>
        <v>24.502029499999999</v>
      </c>
      <c r="I2931" s="34"/>
      <c r="J2931" s="138">
        <v>0</v>
      </c>
    </row>
    <row r="2932" spans="1:10" ht="15.75" hidden="1" thickBot="1" x14ac:dyDescent="0.3">
      <c r="A2932" s="225"/>
      <c r="B2932" s="223"/>
      <c r="C2932" s="30" t="s">
        <v>834</v>
      </c>
      <c r="D2932" s="30" t="s">
        <v>42</v>
      </c>
      <c r="E2932" s="31">
        <v>0.45100000000000001</v>
      </c>
      <c r="F2932" s="25">
        <v>39.054499999999997</v>
      </c>
      <c r="G2932" s="28">
        <f t="shared" si="50"/>
        <v>17.6135795</v>
      </c>
      <c r="H2932" s="29"/>
      <c r="I2932" s="25"/>
      <c r="J2932" s="138">
        <v>0</v>
      </c>
    </row>
    <row r="2933" spans="1:10" ht="15.75" hidden="1" thickBot="1" x14ac:dyDescent="0.3">
      <c r="A2933" s="225"/>
      <c r="B2933" s="223"/>
      <c r="C2933" s="30"/>
      <c r="D2933" s="41"/>
      <c r="E2933" s="31"/>
      <c r="F2933" s="25" t="s">
        <v>521</v>
      </c>
      <c r="G2933" s="28" t="str">
        <f t="shared" si="50"/>
        <v/>
      </c>
      <c r="H2933" s="29"/>
      <c r="I2933" s="25"/>
      <c r="J2933" s="138">
        <v>0</v>
      </c>
    </row>
    <row r="2934" spans="1:10" ht="26.25" hidden="1" thickBot="1" x14ac:dyDescent="0.3">
      <c r="A2934" s="225"/>
      <c r="B2934" s="223"/>
      <c r="C2934" s="42" t="s">
        <v>841</v>
      </c>
      <c r="D2934" s="41"/>
      <c r="E2934" s="31"/>
      <c r="F2934" s="25" t="s">
        <v>521</v>
      </c>
      <c r="G2934" s="28" t="str">
        <f t="shared" si="50"/>
        <v/>
      </c>
      <c r="H2934" s="29"/>
      <c r="I2934" s="25"/>
      <c r="J2934" s="138">
        <v>0</v>
      </c>
    </row>
    <row r="2935" spans="1:10" ht="26.25" hidden="1" thickBot="1" x14ac:dyDescent="0.3">
      <c r="A2935" s="225"/>
      <c r="B2935" s="223"/>
      <c r="C2935" s="46" t="s">
        <v>839</v>
      </c>
      <c r="D2935" s="41"/>
      <c r="E2935" s="31"/>
      <c r="F2935" s="25" t="s">
        <v>521</v>
      </c>
      <c r="G2935" s="28" t="str">
        <f t="shared" si="50"/>
        <v/>
      </c>
      <c r="H2935" s="29"/>
      <c r="I2935" s="25"/>
      <c r="J2935" s="138">
        <v>0</v>
      </c>
    </row>
    <row r="2936" spans="1:10" ht="15.75" hidden="1" thickBot="1" x14ac:dyDescent="0.3">
      <c r="A2936" s="226"/>
      <c r="B2936" s="224"/>
      <c r="C2936" s="30"/>
      <c r="D2936" s="30"/>
      <c r="E2936" s="31"/>
      <c r="F2936" s="25" t="s">
        <v>521</v>
      </c>
      <c r="G2936" s="28" t="str">
        <f t="shared" si="50"/>
        <v/>
      </c>
      <c r="H2936" s="29"/>
      <c r="I2936" s="25"/>
      <c r="J2936" s="138">
        <v>0</v>
      </c>
    </row>
    <row r="2937" spans="1:10" ht="15.75" hidden="1" thickBot="1" x14ac:dyDescent="0.3">
      <c r="A2937" s="220" t="s">
        <v>843</v>
      </c>
      <c r="B2937" s="222" t="e">
        <f>INDEX(Orçamentária!A:B,MATCH(Composições!A2937,Orçamentária!A:A,0),2)</f>
        <v>#N/A</v>
      </c>
      <c r="C2937" s="35"/>
      <c r="D2937" s="20" t="s">
        <v>93</v>
      </c>
      <c r="E2937" s="21"/>
      <c r="F2937" s="36" t="s">
        <v>521</v>
      </c>
      <c r="G2937" s="22" t="str">
        <f t="shared" si="50"/>
        <v/>
      </c>
      <c r="H2937" s="23"/>
      <c r="I2937" s="24"/>
      <c r="J2937" s="138">
        <v>0</v>
      </c>
    </row>
    <row r="2938" spans="1:10" ht="15.75" hidden="1" thickBot="1" x14ac:dyDescent="0.3">
      <c r="A2938" s="225"/>
      <c r="B2938" s="223"/>
      <c r="C2938" s="26"/>
      <c r="D2938" s="26"/>
      <c r="E2938" s="27"/>
      <c r="F2938" s="37" t="s">
        <v>521</v>
      </c>
      <c r="G2938" s="28" t="str">
        <f t="shared" si="50"/>
        <v/>
      </c>
      <c r="H2938" s="29"/>
      <c r="I2938" s="25"/>
      <c r="J2938" s="138">
        <v>0</v>
      </c>
    </row>
    <row r="2939" spans="1:10" ht="15.75" hidden="1" thickBot="1" x14ac:dyDescent="0.3">
      <c r="A2939" s="225"/>
      <c r="B2939" s="223"/>
      <c r="C2939" s="30" t="s">
        <v>68</v>
      </c>
      <c r="D2939" s="41" t="s">
        <v>12</v>
      </c>
      <c r="E2939" s="31">
        <v>0.15</v>
      </c>
      <c r="F2939" s="28">
        <v>22.961500000000001</v>
      </c>
      <c r="G2939" s="28">
        <f t="shared" si="50"/>
        <v>3.4442249999999999</v>
      </c>
      <c r="H2939" s="33">
        <f>SUM(G2939:G2940)</f>
        <v>7.740219999999999</v>
      </c>
      <c r="I2939" s="34"/>
      <c r="J2939" s="138">
        <v>0</v>
      </c>
    </row>
    <row r="2940" spans="1:10" ht="15.75" hidden="1" thickBot="1" x14ac:dyDescent="0.3">
      <c r="A2940" s="225"/>
      <c r="B2940" s="223"/>
      <c r="C2940" s="30" t="s">
        <v>834</v>
      </c>
      <c r="D2940" s="41" t="s">
        <v>42</v>
      </c>
      <c r="E2940" s="31">
        <v>0.11</v>
      </c>
      <c r="F2940" s="25">
        <v>39.054499999999997</v>
      </c>
      <c r="G2940" s="28">
        <f t="shared" si="50"/>
        <v>4.2959949999999996</v>
      </c>
      <c r="H2940" s="29"/>
      <c r="I2940" s="25"/>
      <c r="J2940" s="138">
        <v>0</v>
      </c>
    </row>
    <row r="2941" spans="1:10" ht="15.75" hidden="1" thickBot="1" x14ac:dyDescent="0.3">
      <c r="A2941" s="225"/>
      <c r="B2941" s="223"/>
      <c r="C2941" s="30"/>
      <c r="D2941" s="41"/>
      <c r="E2941" s="31"/>
      <c r="F2941" s="25" t="s">
        <v>521</v>
      </c>
      <c r="G2941" s="28" t="str">
        <f t="shared" si="50"/>
        <v/>
      </c>
      <c r="H2941" s="29"/>
      <c r="I2941" s="25"/>
      <c r="J2941" s="138">
        <v>0</v>
      </c>
    </row>
    <row r="2942" spans="1:10" ht="26.25" hidden="1" thickBot="1" x14ac:dyDescent="0.3">
      <c r="A2942" s="225"/>
      <c r="B2942" s="223"/>
      <c r="C2942" s="42" t="s">
        <v>844</v>
      </c>
      <c r="D2942" s="41"/>
      <c r="E2942" s="31"/>
      <c r="F2942" s="25" t="s">
        <v>521</v>
      </c>
      <c r="G2942" s="28" t="str">
        <f t="shared" si="50"/>
        <v/>
      </c>
      <c r="H2942" s="29"/>
      <c r="I2942" s="25"/>
      <c r="J2942" s="138">
        <v>0</v>
      </c>
    </row>
    <row r="2943" spans="1:10" ht="26.25" hidden="1" thickBot="1" x14ac:dyDescent="0.3">
      <c r="A2943" s="225"/>
      <c r="B2943" s="223"/>
      <c r="C2943" s="46" t="s">
        <v>839</v>
      </c>
      <c r="D2943" s="41"/>
      <c r="E2943" s="31"/>
      <c r="F2943" s="25" t="s">
        <v>521</v>
      </c>
      <c r="G2943" s="28" t="str">
        <f t="shared" si="50"/>
        <v/>
      </c>
      <c r="H2943" s="29"/>
      <c r="I2943" s="25"/>
      <c r="J2943" s="138">
        <v>0</v>
      </c>
    </row>
    <row r="2944" spans="1:10" ht="15.75" hidden="1" thickBot="1" x14ac:dyDescent="0.3">
      <c r="A2944" s="226"/>
      <c r="B2944" s="224"/>
      <c r="C2944" s="30"/>
      <c r="D2944" s="30"/>
      <c r="E2944" s="31"/>
      <c r="F2944" s="25" t="s">
        <v>521</v>
      </c>
      <c r="G2944" s="28" t="str">
        <f t="shared" si="50"/>
        <v/>
      </c>
      <c r="H2944" s="29"/>
      <c r="I2944" s="25"/>
      <c r="J2944" s="138">
        <v>0</v>
      </c>
    </row>
    <row r="2945" spans="1:10" ht="15.75" hidden="1" thickBot="1" x14ac:dyDescent="0.3">
      <c r="A2945" s="220" t="s">
        <v>845</v>
      </c>
      <c r="B2945" s="222" t="e">
        <f>INDEX(Orçamentária!A:B,MATCH(Composições!A2945,Orçamentária!A:A,0),2)</f>
        <v>#N/A</v>
      </c>
      <c r="C2945" s="35"/>
      <c r="D2945" s="20" t="s">
        <v>20</v>
      </c>
      <c r="E2945" s="21"/>
      <c r="F2945" s="36" t="s">
        <v>521</v>
      </c>
      <c r="G2945" s="22" t="str">
        <f t="shared" si="50"/>
        <v/>
      </c>
      <c r="H2945" s="23"/>
      <c r="I2945" s="24"/>
      <c r="J2945" s="138">
        <v>0</v>
      </c>
    </row>
    <row r="2946" spans="1:10" ht="15.75" hidden="1" thickBot="1" x14ac:dyDescent="0.3">
      <c r="A2946" s="221"/>
      <c r="B2946" s="223"/>
      <c r="C2946" s="26"/>
      <c r="D2946" s="26"/>
      <c r="E2946" s="27"/>
      <c r="F2946" s="37" t="s">
        <v>521</v>
      </c>
      <c r="G2946" s="28" t="str">
        <f t="shared" si="50"/>
        <v/>
      </c>
      <c r="H2946" s="29"/>
      <c r="I2946" s="25"/>
      <c r="J2946" s="138">
        <v>0</v>
      </c>
    </row>
    <row r="2947" spans="1:10" ht="15.75" hidden="1" thickBot="1" x14ac:dyDescent="0.3">
      <c r="A2947" s="221"/>
      <c r="B2947" s="223"/>
      <c r="C2947" s="30" t="s">
        <v>68</v>
      </c>
      <c r="D2947" s="41" t="s">
        <v>12</v>
      </c>
      <c r="E2947" s="31">
        <v>0.3</v>
      </c>
      <c r="F2947" s="28">
        <v>22.961500000000001</v>
      </c>
      <c r="G2947" s="28">
        <f t="shared" si="50"/>
        <v>6.8884499999999997</v>
      </c>
      <c r="H2947" s="33">
        <f>SUM(G2947:G2948)</f>
        <v>6.8884499999999997</v>
      </c>
      <c r="I2947" s="34"/>
      <c r="J2947" s="138">
        <v>0</v>
      </c>
    </row>
    <row r="2948" spans="1:10" ht="26.25" hidden="1" thickBot="1" x14ac:dyDescent="0.3">
      <c r="A2948" s="221"/>
      <c r="B2948" s="223"/>
      <c r="C2948" s="30" t="s">
        <v>846</v>
      </c>
      <c r="D2948" s="30" t="s">
        <v>20</v>
      </c>
      <c r="E2948" s="31">
        <v>1</v>
      </c>
      <c r="F2948" s="25">
        <v>0</v>
      </c>
      <c r="G2948" s="28">
        <f t="shared" si="50"/>
        <v>0</v>
      </c>
      <c r="H2948" s="29"/>
      <c r="I2948" s="25"/>
      <c r="J2948" s="138">
        <v>0</v>
      </c>
    </row>
    <row r="2949" spans="1:10" ht="15.75" hidden="1" thickBot="1" x14ac:dyDescent="0.3">
      <c r="A2949" s="227"/>
      <c r="B2949" s="224"/>
      <c r="C2949" s="30"/>
      <c r="D2949" s="30"/>
      <c r="E2949" s="31"/>
      <c r="F2949" s="25" t="s">
        <v>521</v>
      </c>
      <c r="G2949" s="28" t="str">
        <f t="shared" si="50"/>
        <v/>
      </c>
      <c r="H2949" s="29"/>
      <c r="I2949" s="25"/>
      <c r="J2949" s="138">
        <v>0</v>
      </c>
    </row>
    <row r="2950" spans="1:10" ht="15.75" hidden="1" thickBot="1" x14ac:dyDescent="0.3">
      <c r="A2950" s="220" t="s">
        <v>847</v>
      </c>
      <c r="B2950" s="222" t="e">
        <f>INDEX(Orçamentária!A:B,MATCH(Composições!A2950,Orçamentária!A:A,0),2)</f>
        <v>#N/A</v>
      </c>
      <c r="C2950" s="35"/>
      <c r="D2950" s="20" t="s">
        <v>93</v>
      </c>
      <c r="E2950" s="21"/>
      <c r="F2950" s="36" t="s">
        <v>521</v>
      </c>
      <c r="G2950" s="22" t="str">
        <f t="shared" ref="G2950:G3013" si="51">IF(ISNUMBER(F2950),E2950*F2950,"")</f>
        <v/>
      </c>
      <c r="H2950" s="23"/>
      <c r="I2950" s="24"/>
      <c r="J2950" s="138">
        <v>0</v>
      </c>
    </row>
    <row r="2951" spans="1:10" ht="15.75" hidden="1" thickBot="1" x14ac:dyDescent="0.3">
      <c r="A2951" s="221"/>
      <c r="B2951" s="223"/>
      <c r="C2951" s="26"/>
      <c r="D2951" s="26"/>
      <c r="E2951" s="27"/>
      <c r="F2951" s="37" t="s">
        <v>521</v>
      </c>
      <c r="G2951" s="28" t="str">
        <f t="shared" si="51"/>
        <v/>
      </c>
      <c r="H2951" s="29"/>
      <c r="I2951" s="25"/>
      <c r="J2951" s="138">
        <v>0</v>
      </c>
    </row>
    <row r="2952" spans="1:10" ht="15.75" hidden="1" thickBot="1" x14ac:dyDescent="0.3">
      <c r="A2952" s="221"/>
      <c r="B2952" s="223"/>
      <c r="C2952" s="30" t="s">
        <v>68</v>
      </c>
      <c r="D2952" s="41" t="s">
        <v>12</v>
      </c>
      <c r="E2952" s="31">
        <v>0.3</v>
      </c>
      <c r="F2952" s="28">
        <v>22.961500000000001</v>
      </c>
      <c r="G2952" s="28">
        <f t="shared" si="51"/>
        <v>6.8884499999999997</v>
      </c>
      <c r="H2952" s="33">
        <f>SUM(G2952:G2953)</f>
        <v>6.8884499999999997</v>
      </c>
      <c r="I2952" s="34"/>
      <c r="J2952" s="138">
        <v>0</v>
      </c>
    </row>
    <row r="2953" spans="1:10" ht="51.75" hidden="1" thickBot="1" x14ac:dyDescent="0.3">
      <c r="A2953" s="221"/>
      <c r="B2953" s="223"/>
      <c r="C2953" s="30" t="s">
        <v>848</v>
      </c>
      <c r="D2953" s="30" t="s">
        <v>20</v>
      </c>
      <c r="E2953" s="31">
        <v>1</v>
      </c>
      <c r="F2953" s="25" t="s">
        <v>521</v>
      </c>
      <c r="G2953" s="28" t="str">
        <f t="shared" si="51"/>
        <v/>
      </c>
      <c r="H2953" s="29"/>
      <c r="I2953" s="25"/>
      <c r="J2953" s="138">
        <v>0</v>
      </c>
    </row>
    <row r="2954" spans="1:10" ht="15.75" hidden="1" thickBot="1" x14ac:dyDescent="0.3">
      <c r="A2954" s="227"/>
      <c r="B2954" s="224"/>
      <c r="C2954" s="30"/>
      <c r="D2954" s="30"/>
      <c r="E2954" s="31"/>
      <c r="F2954" s="25" t="s">
        <v>521</v>
      </c>
      <c r="G2954" s="28" t="str">
        <f t="shared" si="51"/>
        <v/>
      </c>
      <c r="H2954" s="29"/>
      <c r="I2954" s="25"/>
      <c r="J2954" s="138">
        <v>0</v>
      </c>
    </row>
    <row r="2955" spans="1:10" ht="15.75" hidden="1" thickBot="1" x14ac:dyDescent="0.3">
      <c r="A2955" s="220" t="s">
        <v>849</v>
      </c>
      <c r="B2955" s="222" t="e">
        <f>INDEX(Orçamentária!A:B,MATCH(Composições!A2955,Orçamentária!A:A,0),2)</f>
        <v>#N/A</v>
      </c>
      <c r="C2955" s="35"/>
      <c r="D2955" s="20" t="s">
        <v>20</v>
      </c>
      <c r="E2955" s="21"/>
      <c r="F2955" s="36" t="s">
        <v>521</v>
      </c>
      <c r="G2955" s="22" t="str">
        <f t="shared" si="51"/>
        <v/>
      </c>
      <c r="H2955" s="23"/>
      <c r="I2955" s="24"/>
      <c r="J2955" s="138">
        <v>0</v>
      </c>
    </row>
    <row r="2956" spans="1:10" ht="15.75" hidden="1" thickBot="1" x14ac:dyDescent="0.3">
      <c r="A2956" s="221"/>
      <c r="B2956" s="223"/>
      <c r="C2956" s="26"/>
      <c r="D2956" s="26"/>
      <c r="E2956" s="27"/>
      <c r="F2956" s="37" t="s">
        <v>521</v>
      </c>
      <c r="G2956" s="28" t="str">
        <f t="shared" si="51"/>
        <v/>
      </c>
      <c r="H2956" s="29"/>
      <c r="I2956" s="25"/>
      <c r="J2956" s="138">
        <v>0</v>
      </c>
    </row>
    <row r="2957" spans="1:10" ht="15.75" hidden="1" thickBot="1" x14ac:dyDescent="0.3">
      <c r="A2957" s="221"/>
      <c r="B2957" s="223"/>
      <c r="C2957" s="30" t="s">
        <v>68</v>
      </c>
      <c r="D2957" s="30" t="s">
        <v>12</v>
      </c>
      <c r="E2957" s="31">
        <v>0.15</v>
      </c>
      <c r="F2957" s="28">
        <v>22.961500000000001</v>
      </c>
      <c r="G2957" s="28">
        <f t="shared" si="51"/>
        <v>3.4442249999999999</v>
      </c>
      <c r="H2957" s="33">
        <f>SUM(G2957:G2958)</f>
        <v>3.4442249999999999</v>
      </c>
      <c r="I2957" s="34"/>
      <c r="J2957" s="138">
        <v>0</v>
      </c>
    </row>
    <row r="2958" spans="1:10" ht="26.25" hidden="1" thickBot="1" x14ac:dyDescent="0.3">
      <c r="A2958" s="221"/>
      <c r="B2958" s="223"/>
      <c r="C2958" s="30" t="s">
        <v>850</v>
      </c>
      <c r="D2958" s="30" t="s">
        <v>20</v>
      </c>
      <c r="E2958" s="31">
        <v>1</v>
      </c>
      <c r="F2958" s="25" t="s">
        <v>521</v>
      </c>
      <c r="G2958" s="28" t="str">
        <f t="shared" si="51"/>
        <v/>
      </c>
      <c r="H2958" s="29"/>
      <c r="I2958" s="25"/>
      <c r="J2958" s="138">
        <v>0</v>
      </c>
    </row>
    <row r="2959" spans="1:10" ht="15.75" hidden="1" thickBot="1" x14ac:dyDescent="0.3">
      <c r="A2959" s="227"/>
      <c r="B2959" s="224"/>
      <c r="C2959" s="30"/>
      <c r="D2959" s="30"/>
      <c r="E2959" s="31"/>
      <c r="F2959" s="25" t="s">
        <v>521</v>
      </c>
      <c r="G2959" s="28" t="str">
        <f t="shared" si="51"/>
        <v/>
      </c>
      <c r="H2959" s="29"/>
      <c r="I2959" s="25"/>
      <c r="J2959" s="138">
        <v>0</v>
      </c>
    </row>
    <row r="2960" spans="1:10" ht="15.75" hidden="1" thickBot="1" x14ac:dyDescent="0.3">
      <c r="A2960" s="220" t="s">
        <v>851</v>
      </c>
      <c r="B2960" s="222" t="e">
        <f>INDEX(Orçamentária!A:B,MATCH(Composições!A2960,Orçamentária!A:A,0),2)</f>
        <v>#N/A</v>
      </c>
      <c r="C2960" s="35"/>
      <c r="D2960" s="20" t="s">
        <v>20</v>
      </c>
      <c r="E2960" s="21"/>
      <c r="F2960" s="36" t="s">
        <v>521</v>
      </c>
      <c r="G2960" s="22" t="str">
        <f t="shared" si="51"/>
        <v/>
      </c>
      <c r="H2960" s="23"/>
      <c r="I2960" s="24"/>
      <c r="J2960" s="138">
        <v>0</v>
      </c>
    </row>
    <row r="2961" spans="1:10" ht="15.75" hidden="1" thickBot="1" x14ac:dyDescent="0.3">
      <c r="A2961" s="221"/>
      <c r="B2961" s="223"/>
      <c r="C2961" s="26"/>
      <c r="D2961" s="26"/>
      <c r="E2961" s="27"/>
      <c r="F2961" s="37" t="s">
        <v>521</v>
      </c>
      <c r="G2961" s="28" t="str">
        <f t="shared" si="51"/>
        <v/>
      </c>
      <c r="H2961" s="29"/>
      <c r="I2961" s="25"/>
      <c r="J2961" s="138">
        <v>0</v>
      </c>
    </row>
    <row r="2962" spans="1:10" ht="15.75" hidden="1" thickBot="1" x14ac:dyDescent="0.3">
      <c r="A2962" s="221"/>
      <c r="B2962" s="223"/>
      <c r="C2962" s="30" t="s">
        <v>68</v>
      </c>
      <c r="D2962" s="30" t="s">
        <v>12</v>
      </c>
      <c r="E2962" s="31">
        <v>0.15</v>
      </c>
      <c r="F2962" s="28">
        <v>22.961500000000001</v>
      </c>
      <c r="G2962" s="28">
        <f t="shared" si="51"/>
        <v>3.4442249999999999</v>
      </c>
      <c r="H2962" s="33">
        <f>SUM(G2962:G2963)</f>
        <v>3.4442249999999999</v>
      </c>
      <c r="I2962" s="34"/>
      <c r="J2962" s="138">
        <v>0</v>
      </c>
    </row>
    <row r="2963" spans="1:10" ht="26.25" hidden="1" thickBot="1" x14ac:dyDescent="0.3">
      <c r="A2963" s="221"/>
      <c r="B2963" s="223"/>
      <c r="C2963" s="30" t="s">
        <v>852</v>
      </c>
      <c r="D2963" s="30" t="s">
        <v>20</v>
      </c>
      <c r="E2963" s="31">
        <v>1</v>
      </c>
      <c r="F2963" s="25" t="s">
        <v>521</v>
      </c>
      <c r="G2963" s="28" t="str">
        <f t="shared" si="51"/>
        <v/>
      </c>
      <c r="H2963" s="29"/>
      <c r="I2963" s="25"/>
      <c r="J2963" s="138">
        <v>0</v>
      </c>
    </row>
    <row r="2964" spans="1:10" ht="15.75" hidden="1" thickBot="1" x14ac:dyDescent="0.3">
      <c r="A2964" s="227"/>
      <c r="B2964" s="224"/>
      <c r="C2964" s="30"/>
      <c r="D2964" s="30"/>
      <c r="E2964" s="31"/>
      <c r="F2964" s="25" t="s">
        <v>521</v>
      </c>
      <c r="G2964" s="28" t="str">
        <f t="shared" si="51"/>
        <v/>
      </c>
      <c r="H2964" s="29"/>
      <c r="I2964" s="25"/>
      <c r="J2964" s="138">
        <v>0</v>
      </c>
    </row>
    <row r="2965" spans="1:10" ht="15.75" hidden="1" thickBot="1" x14ac:dyDescent="0.3">
      <c r="A2965" s="220" t="s">
        <v>853</v>
      </c>
      <c r="B2965" s="222" t="e">
        <f>INDEX(Orçamentária!A:B,MATCH(Composições!A2965,Orçamentária!A:A,0),2)</f>
        <v>#N/A</v>
      </c>
      <c r="C2965" s="35"/>
      <c r="D2965" s="20" t="s">
        <v>20</v>
      </c>
      <c r="E2965" s="21"/>
      <c r="F2965" s="36" t="s">
        <v>521</v>
      </c>
      <c r="G2965" s="22" t="str">
        <f t="shared" si="51"/>
        <v/>
      </c>
      <c r="H2965" s="23"/>
      <c r="I2965" s="24"/>
      <c r="J2965" s="138">
        <v>0</v>
      </c>
    </row>
    <row r="2966" spans="1:10" ht="15.75" hidden="1" thickBot="1" x14ac:dyDescent="0.3">
      <c r="A2966" s="221"/>
      <c r="B2966" s="223"/>
      <c r="C2966" s="26"/>
      <c r="D2966" s="26"/>
      <c r="E2966" s="27"/>
      <c r="F2966" s="37" t="s">
        <v>521</v>
      </c>
      <c r="G2966" s="28" t="str">
        <f t="shared" si="51"/>
        <v/>
      </c>
      <c r="H2966" s="29"/>
      <c r="I2966" s="25"/>
      <c r="J2966" s="138">
        <v>0</v>
      </c>
    </row>
    <row r="2967" spans="1:10" ht="15.75" hidden="1" thickBot="1" x14ac:dyDescent="0.3">
      <c r="A2967" s="221"/>
      <c r="B2967" s="223"/>
      <c r="C2967" s="30" t="s">
        <v>68</v>
      </c>
      <c r="D2967" s="30" t="s">
        <v>12</v>
      </c>
      <c r="E2967" s="31">
        <v>0.1</v>
      </c>
      <c r="F2967" s="28">
        <v>22.961500000000001</v>
      </c>
      <c r="G2967" s="28">
        <f t="shared" si="51"/>
        <v>2.2961500000000004</v>
      </c>
      <c r="H2967" s="33">
        <f>SUM(G2967:G2968)</f>
        <v>2.2961500000000004</v>
      </c>
      <c r="I2967" s="34"/>
      <c r="J2967" s="138">
        <v>0</v>
      </c>
    </row>
    <row r="2968" spans="1:10" ht="39" hidden="1" thickBot="1" x14ac:dyDescent="0.3">
      <c r="A2968" s="221"/>
      <c r="B2968" s="223"/>
      <c r="C2968" s="30" t="s">
        <v>854</v>
      </c>
      <c r="D2968" s="30" t="s">
        <v>20</v>
      </c>
      <c r="E2968" s="31">
        <v>1</v>
      </c>
      <c r="F2968" s="25">
        <v>0</v>
      </c>
      <c r="G2968" s="28">
        <f t="shared" si="51"/>
        <v>0</v>
      </c>
      <c r="H2968" s="29"/>
      <c r="I2968" s="25"/>
      <c r="J2968" s="138">
        <v>0</v>
      </c>
    </row>
    <row r="2969" spans="1:10" ht="15.75" hidden="1" thickBot="1" x14ac:dyDescent="0.3">
      <c r="A2969" s="227"/>
      <c r="B2969" s="224"/>
      <c r="C2969" s="30"/>
      <c r="D2969" s="30"/>
      <c r="E2969" s="31"/>
      <c r="F2969" s="25" t="s">
        <v>521</v>
      </c>
      <c r="G2969" s="28" t="str">
        <f t="shared" si="51"/>
        <v/>
      </c>
      <c r="H2969" s="29"/>
      <c r="I2969" s="25"/>
      <c r="J2969" s="138">
        <v>0</v>
      </c>
    </row>
    <row r="2970" spans="1:10" ht="15.75" hidden="1" thickBot="1" x14ac:dyDescent="0.3">
      <c r="A2970" s="220" t="s">
        <v>855</v>
      </c>
      <c r="B2970" s="222" t="e">
        <f>INDEX(Orçamentária!A:B,MATCH(Composições!A2970,Orçamentária!A:A,0),2)</f>
        <v>#N/A</v>
      </c>
      <c r="C2970" s="35"/>
      <c r="D2970" s="20" t="s">
        <v>20</v>
      </c>
      <c r="E2970" s="21"/>
      <c r="F2970" s="36" t="s">
        <v>521</v>
      </c>
      <c r="G2970" s="22" t="str">
        <f t="shared" si="51"/>
        <v/>
      </c>
      <c r="H2970" s="23"/>
      <c r="I2970" s="24"/>
      <c r="J2970" s="138">
        <v>0</v>
      </c>
    </row>
    <row r="2971" spans="1:10" ht="15.75" hidden="1" thickBot="1" x14ac:dyDescent="0.3">
      <c r="A2971" s="221"/>
      <c r="B2971" s="223"/>
      <c r="C2971" s="26"/>
      <c r="D2971" s="26"/>
      <c r="E2971" s="27"/>
      <c r="F2971" s="37" t="s">
        <v>521</v>
      </c>
      <c r="G2971" s="28" t="str">
        <f t="shared" si="51"/>
        <v/>
      </c>
      <c r="H2971" s="29"/>
      <c r="I2971" s="25"/>
      <c r="J2971" s="138">
        <v>0</v>
      </c>
    </row>
    <row r="2972" spans="1:10" ht="15.75" hidden="1" thickBot="1" x14ac:dyDescent="0.3">
      <c r="A2972" s="221"/>
      <c r="B2972" s="223"/>
      <c r="C2972" s="30" t="s">
        <v>68</v>
      </c>
      <c r="D2972" s="30" t="s">
        <v>12</v>
      </c>
      <c r="E2972" s="31">
        <v>0.4</v>
      </c>
      <c r="F2972" s="28">
        <v>22.961500000000001</v>
      </c>
      <c r="G2972" s="28">
        <f t="shared" si="51"/>
        <v>9.1846000000000014</v>
      </c>
      <c r="H2972" s="33">
        <f>SUM(G2972:G2973)</f>
        <v>9.1846000000000014</v>
      </c>
      <c r="I2972" s="34"/>
      <c r="J2972" s="138">
        <v>0</v>
      </c>
    </row>
    <row r="2973" spans="1:10" ht="39" hidden="1" thickBot="1" x14ac:dyDescent="0.3">
      <c r="A2973" s="221"/>
      <c r="B2973" s="223"/>
      <c r="C2973" s="30" t="s">
        <v>856</v>
      </c>
      <c r="D2973" s="30" t="s">
        <v>20</v>
      </c>
      <c r="E2973" s="31">
        <v>1</v>
      </c>
      <c r="F2973" s="25">
        <v>0</v>
      </c>
      <c r="G2973" s="28">
        <f t="shared" si="51"/>
        <v>0</v>
      </c>
      <c r="H2973" s="29"/>
      <c r="I2973" s="25"/>
      <c r="J2973" s="138">
        <v>0</v>
      </c>
    </row>
    <row r="2974" spans="1:10" ht="15.75" hidden="1" thickBot="1" x14ac:dyDescent="0.3">
      <c r="A2974" s="227"/>
      <c r="B2974" s="224"/>
      <c r="C2974" s="30"/>
      <c r="D2974" s="30"/>
      <c r="E2974" s="31"/>
      <c r="F2974" s="25" t="s">
        <v>521</v>
      </c>
      <c r="G2974" s="28" t="str">
        <f t="shared" si="51"/>
        <v/>
      </c>
      <c r="H2974" s="29"/>
      <c r="I2974" s="25"/>
      <c r="J2974" s="138">
        <v>0</v>
      </c>
    </row>
    <row r="2975" spans="1:10" ht="15.75" hidden="1" thickBot="1" x14ac:dyDescent="0.3">
      <c r="A2975" s="220" t="s">
        <v>857</v>
      </c>
      <c r="B2975" s="222" t="e">
        <f>INDEX(Orçamentária!A:B,MATCH(Composições!A2975,Orçamentária!A:A,0),2)</f>
        <v>#N/A</v>
      </c>
      <c r="C2975" s="35"/>
      <c r="D2975" s="20" t="s">
        <v>20</v>
      </c>
      <c r="E2975" s="21"/>
      <c r="F2975" s="36" t="s">
        <v>521</v>
      </c>
      <c r="G2975" s="22" t="str">
        <f t="shared" si="51"/>
        <v/>
      </c>
      <c r="H2975" s="23"/>
      <c r="I2975" s="24"/>
      <c r="J2975" s="138">
        <v>0</v>
      </c>
    </row>
    <row r="2976" spans="1:10" ht="15.75" hidden="1" thickBot="1" x14ac:dyDescent="0.3">
      <c r="A2976" s="221"/>
      <c r="B2976" s="223"/>
      <c r="C2976" s="26"/>
      <c r="D2976" s="26"/>
      <c r="E2976" s="27"/>
      <c r="F2976" s="37" t="s">
        <v>521</v>
      </c>
      <c r="G2976" s="28" t="str">
        <f t="shared" si="51"/>
        <v/>
      </c>
      <c r="H2976" s="29"/>
      <c r="I2976" s="25"/>
      <c r="J2976" s="138">
        <v>0</v>
      </c>
    </row>
    <row r="2977" spans="1:10" ht="15.75" hidden="1" thickBot="1" x14ac:dyDescent="0.3">
      <c r="A2977" s="221"/>
      <c r="B2977" s="223"/>
      <c r="C2977" s="30" t="s">
        <v>68</v>
      </c>
      <c r="D2977" s="30" t="s">
        <v>12</v>
      </c>
      <c r="E2977" s="31">
        <v>0.4</v>
      </c>
      <c r="F2977" s="28">
        <v>22.961500000000001</v>
      </c>
      <c r="G2977" s="28">
        <f t="shared" si="51"/>
        <v>9.1846000000000014</v>
      </c>
      <c r="H2977" s="33">
        <f>SUM(G2977:G2978)</f>
        <v>9.1846000000000014</v>
      </c>
      <c r="I2977" s="34"/>
      <c r="J2977" s="138">
        <v>0</v>
      </c>
    </row>
    <row r="2978" spans="1:10" ht="39" hidden="1" thickBot="1" x14ac:dyDescent="0.3">
      <c r="A2978" s="221"/>
      <c r="B2978" s="223"/>
      <c r="C2978" s="30" t="s">
        <v>858</v>
      </c>
      <c r="D2978" s="30" t="s">
        <v>20</v>
      </c>
      <c r="E2978" s="31">
        <v>1</v>
      </c>
      <c r="F2978" s="25" t="s">
        <v>521</v>
      </c>
      <c r="G2978" s="28" t="str">
        <f t="shared" si="51"/>
        <v/>
      </c>
      <c r="H2978" s="29"/>
      <c r="I2978" s="25"/>
      <c r="J2978" s="138">
        <v>0</v>
      </c>
    </row>
    <row r="2979" spans="1:10" ht="15.75" hidden="1" thickBot="1" x14ac:dyDescent="0.3">
      <c r="A2979" s="227"/>
      <c r="B2979" s="224"/>
      <c r="C2979" s="30"/>
      <c r="D2979" s="30"/>
      <c r="E2979" s="31"/>
      <c r="F2979" s="25" t="s">
        <v>521</v>
      </c>
      <c r="G2979" s="28" t="str">
        <f t="shared" si="51"/>
        <v/>
      </c>
      <c r="H2979" s="29"/>
      <c r="I2979" s="25"/>
      <c r="J2979" s="138">
        <v>0</v>
      </c>
    </row>
    <row r="2980" spans="1:10" ht="15.75" hidden="1" thickBot="1" x14ac:dyDescent="0.3">
      <c r="A2980" s="220" t="s">
        <v>859</v>
      </c>
      <c r="B2980" s="222" t="e">
        <f>INDEX(Orçamentária!A:B,MATCH(Composições!A2980,Orçamentária!A:A,0),2)</f>
        <v>#N/A</v>
      </c>
      <c r="C2980" s="35"/>
      <c r="D2980" s="20" t="s">
        <v>20</v>
      </c>
      <c r="E2980" s="21"/>
      <c r="F2980" s="36" t="s">
        <v>521</v>
      </c>
      <c r="G2980" s="22" t="str">
        <f t="shared" si="51"/>
        <v/>
      </c>
      <c r="H2980" s="23"/>
      <c r="I2980" s="24"/>
      <c r="J2980" s="138">
        <v>0</v>
      </c>
    </row>
    <row r="2981" spans="1:10" ht="15.75" hidden="1" thickBot="1" x14ac:dyDescent="0.3">
      <c r="A2981" s="221"/>
      <c r="B2981" s="223"/>
      <c r="C2981" s="26"/>
      <c r="D2981" s="26"/>
      <c r="E2981" s="27"/>
      <c r="F2981" s="37" t="s">
        <v>521</v>
      </c>
      <c r="G2981" s="28" t="str">
        <f t="shared" si="51"/>
        <v/>
      </c>
      <c r="H2981" s="29"/>
      <c r="I2981" s="25"/>
      <c r="J2981" s="138">
        <v>0</v>
      </c>
    </row>
    <row r="2982" spans="1:10" ht="15.75" hidden="1" thickBot="1" x14ac:dyDescent="0.3">
      <c r="A2982" s="221"/>
      <c r="B2982" s="223"/>
      <c r="C2982" s="30" t="s">
        <v>68</v>
      </c>
      <c r="D2982" s="30" t="s">
        <v>12</v>
      </c>
      <c r="E2982" s="31">
        <v>0.3</v>
      </c>
      <c r="F2982" s="28">
        <v>22.961500000000001</v>
      </c>
      <c r="G2982" s="28">
        <f t="shared" si="51"/>
        <v>6.8884499999999997</v>
      </c>
      <c r="H2982" s="33">
        <f>SUM(G2982:G2983)</f>
        <v>6.8884499999999997</v>
      </c>
      <c r="I2982" s="34"/>
      <c r="J2982" s="138">
        <v>0</v>
      </c>
    </row>
    <row r="2983" spans="1:10" ht="26.25" hidden="1" thickBot="1" x14ac:dyDescent="0.3">
      <c r="A2983" s="221"/>
      <c r="B2983" s="223"/>
      <c r="C2983" s="30" t="s">
        <v>860</v>
      </c>
      <c r="D2983" s="30" t="s">
        <v>20</v>
      </c>
      <c r="E2983" s="31">
        <v>1</v>
      </c>
      <c r="F2983" s="25">
        <v>0</v>
      </c>
      <c r="G2983" s="28">
        <f t="shared" si="51"/>
        <v>0</v>
      </c>
      <c r="H2983" s="29"/>
      <c r="I2983" s="25"/>
      <c r="J2983" s="138">
        <v>0</v>
      </c>
    </row>
    <row r="2984" spans="1:10" ht="15.75" hidden="1" thickBot="1" x14ac:dyDescent="0.3">
      <c r="A2984" s="227"/>
      <c r="B2984" s="224"/>
      <c r="C2984" s="30"/>
      <c r="D2984" s="30"/>
      <c r="E2984" s="31"/>
      <c r="F2984" s="25" t="s">
        <v>521</v>
      </c>
      <c r="G2984" s="28" t="str">
        <f t="shared" si="51"/>
        <v/>
      </c>
      <c r="H2984" s="29"/>
      <c r="I2984" s="25"/>
      <c r="J2984" s="138">
        <v>0</v>
      </c>
    </row>
    <row r="2985" spans="1:10" ht="15.75" hidden="1" thickBot="1" x14ac:dyDescent="0.3">
      <c r="A2985" s="220" t="s">
        <v>861</v>
      </c>
      <c r="B2985" s="222" t="e">
        <f>INDEX(Orçamentária!A:B,MATCH(Composições!A2985,Orçamentária!A:A,0),2)</f>
        <v>#N/A</v>
      </c>
      <c r="C2985" s="35"/>
      <c r="D2985" s="20" t="s">
        <v>20</v>
      </c>
      <c r="E2985" s="21"/>
      <c r="F2985" s="36" t="s">
        <v>521</v>
      </c>
      <c r="G2985" s="22" t="str">
        <f t="shared" si="51"/>
        <v/>
      </c>
      <c r="H2985" s="23"/>
      <c r="I2985" s="24"/>
      <c r="J2985" s="138">
        <v>0</v>
      </c>
    </row>
    <row r="2986" spans="1:10" ht="15.75" hidden="1" thickBot="1" x14ac:dyDescent="0.3">
      <c r="A2986" s="221"/>
      <c r="B2986" s="223"/>
      <c r="C2986" s="26"/>
      <c r="D2986" s="26"/>
      <c r="E2986" s="27"/>
      <c r="F2986" s="37" t="s">
        <v>521</v>
      </c>
      <c r="G2986" s="28" t="str">
        <f t="shared" si="51"/>
        <v/>
      </c>
      <c r="H2986" s="29"/>
      <c r="I2986" s="25"/>
      <c r="J2986" s="138">
        <v>0</v>
      </c>
    </row>
    <row r="2987" spans="1:10" ht="15.75" hidden="1" thickBot="1" x14ac:dyDescent="0.3">
      <c r="A2987" s="221"/>
      <c r="B2987" s="223"/>
      <c r="C2987" s="30" t="s">
        <v>68</v>
      </c>
      <c r="D2987" s="30" t="s">
        <v>12</v>
      </c>
      <c r="E2987" s="31">
        <v>0.2</v>
      </c>
      <c r="F2987" s="28">
        <v>22.961500000000001</v>
      </c>
      <c r="G2987" s="28">
        <f t="shared" si="51"/>
        <v>4.5923000000000007</v>
      </c>
      <c r="H2987" s="33">
        <f>SUM(G2987:G2988)</f>
        <v>4.5923000000000007</v>
      </c>
      <c r="I2987" s="34"/>
      <c r="J2987" s="138">
        <v>0</v>
      </c>
    </row>
    <row r="2988" spans="1:10" ht="26.25" hidden="1" thickBot="1" x14ac:dyDescent="0.3">
      <c r="A2988" s="221"/>
      <c r="B2988" s="223"/>
      <c r="C2988" s="30" t="s">
        <v>862</v>
      </c>
      <c r="D2988" s="30" t="s">
        <v>20</v>
      </c>
      <c r="E2988" s="31">
        <v>1</v>
      </c>
      <c r="F2988" s="25">
        <v>0</v>
      </c>
      <c r="G2988" s="28">
        <f t="shared" si="51"/>
        <v>0</v>
      </c>
      <c r="H2988" s="29"/>
      <c r="I2988" s="25"/>
      <c r="J2988" s="138">
        <v>0</v>
      </c>
    </row>
    <row r="2989" spans="1:10" ht="15.75" hidden="1" thickBot="1" x14ac:dyDescent="0.3">
      <c r="A2989" s="227"/>
      <c r="B2989" s="224"/>
      <c r="C2989" s="30"/>
      <c r="D2989" s="30"/>
      <c r="E2989" s="31"/>
      <c r="F2989" s="25" t="s">
        <v>521</v>
      </c>
      <c r="G2989" s="28" t="str">
        <f t="shared" si="51"/>
        <v/>
      </c>
      <c r="H2989" s="29"/>
      <c r="I2989" s="25"/>
      <c r="J2989" s="138">
        <v>0</v>
      </c>
    </row>
    <row r="2990" spans="1:10" ht="15.75" hidden="1" thickBot="1" x14ac:dyDescent="0.3">
      <c r="A2990" s="220" t="s">
        <v>863</v>
      </c>
      <c r="B2990" s="222" t="e">
        <f>INDEX(Orçamentária!A:B,MATCH(Composições!A2990,Orçamentária!A:A,0),2)</f>
        <v>#N/A</v>
      </c>
      <c r="C2990" s="35"/>
      <c r="D2990" s="20" t="s">
        <v>20</v>
      </c>
      <c r="E2990" s="21"/>
      <c r="F2990" s="36" t="s">
        <v>521</v>
      </c>
      <c r="G2990" s="22" t="str">
        <f t="shared" si="51"/>
        <v/>
      </c>
      <c r="H2990" s="23"/>
      <c r="I2990" s="24"/>
      <c r="J2990" s="138">
        <v>0</v>
      </c>
    </row>
    <row r="2991" spans="1:10" ht="15.75" hidden="1" thickBot="1" x14ac:dyDescent="0.3">
      <c r="A2991" s="221"/>
      <c r="B2991" s="223"/>
      <c r="C2991" s="26"/>
      <c r="D2991" s="26"/>
      <c r="E2991" s="27"/>
      <c r="F2991" s="37" t="s">
        <v>521</v>
      </c>
      <c r="G2991" s="28" t="str">
        <f t="shared" si="51"/>
        <v/>
      </c>
      <c r="H2991" s="29"/>
      <c r="I2991" s="25"/>
      <c r="J2991" s="138">
        <v>0</v>
      </c>
    </row>
    <row r="2992" spans="1:10" ht="15.75" hidden="1" thickBot="1" x14ac:dyDescent="0.3">
      <c r="A2992" s="221"/>
      <c r="B2992" s="223"/>
      <c r="C2992" s="30" t="s">
        <v>68</v>
      </c>
      <c r="D2992" s="30" t="s">
        <v>12</v>
      </c>
      <c r="E2992" s="31">
        <v>0.2</v>
      </c>
      <c r="F2992" s="28">
        <v>22.961500000000001</v>
      </c>
      <c r="G2992" s="28">
        <f t="shared" si="51"/>
        <v>4.5923000000000007</v>
      </c>
      <c r="H2992" s="33">
        <f>SUM(G2992:G2993)</f>
        <v>4.5923000000000007</v>
      </c>
      <c r="I2992" s="34"/>
      <c r="J2992" s="138">
        <v>0</v>
      </c>
    </row>
    <row r="2993" spans="1:10" ht="26.25" hidden="1" thickBot="1" x14ac:dyDescent="0.3">
      <c r="A2993" s="221"/>
      <c r="B2993" s="223"/>
      <c r="C2993" s="30" t="s">
        <v>864</v>
      </c>
      <c r="D2993" s="41" t="s">
        <v>20</v>
      </c>
      <c r="E2993" s="31">
        <v>1</v>
      </c>
      <c r="F2993" s="25">
        <v>0</v>
      </c>
      <c r="G2993" s="28">
        <f t="shared" si="51"/>
        <v>0</v>
      </c>
      <c r="H2993" s="29"/>
      <c r="I2993" s="25"/>
      <c r="J2993" s="138">
        <v>0</v>
      </c>
    </row>
    <row r="2994" spans="1:10" ht="15.75" hidden="1" thickBot="1" x14ac:dyDescent="0.3">
      <c r="A2994" s="227"/>
      <c r="B2994" s="224"/>
      <c r="C2994" s="30"/>
      <c r="D2994" s="30"/>
      <c r="E2994" s="31"/>
      <c r="F2994" s="25" t="s">
        <v>521</v>
      </c>
      <c r="G2994" s="28" t="str">
        <f t="shared" si="51"/>
        <v/>
      </c>
      <c r="H2994" s="29"/>
      <c r="I2994" s="25"/>
      <c r="J2994" s="138">
        <v>0</v>
      </c>
    </row>
    <row r="2995" spans="1:10" ht="15.75" hidden="1" thickBot="1" x14ac:dyDescent="0.3">
      <c r="A2995" s="220" t="s">
        <v>865</v>
      </c>
      <c r="B2995" s="222" t="e">
        <f>INDEX(Orçamentária!A:B,MATCH(Composições!A2995,Orçamentária!A:A,0),2)</f>
        <v>#N/A</v>
      </c>
      <c r="C2995" s="35"/>
      <c r="D2995" s="20" t="s">
        <v>95</v>
      </c>
      <c r="E2995" s="21"/>
      <c r="F2995" s="36" t="s">
        <v>521</v>
      </c>
      <c r="G2995" s="22" t="str">
        <f t="shared" si="51"/>
        <v/>
      </c>
      <c r="H2995" s="23"/>
      <c r="I2995" s="24"/>
      <c r="J2995" s="138">
        <v>0</v>
      </c>
    </row>
    <row r="2996" spans="1:10" ht="15.75" hidden="1" thickBot="1" x14ac:dyDescent="0.3">
      <c r="A2996" s="221"/>
      <c r="B2996" s="223"/>
      <c r="C2996" s="26"/>
      <c r="D2996" s="26"/>
      <c r="E2996" s="27"/>
      <c r="F2996" s="37" t="s">
        <v>521</v>
      </c>
      <c r="G2996" s="28" t="str">
        <f t="shared" si="51"/>
        <v/>
      </c>
      <c r="H2996" s="29"/>
      <c r="I2996" s="25"/>
      <c r="J2996" s="138">
        <v>0</v>
      </c>
    </row>
    <row r="2997" spans="1:10" ht="39" hidden="1" thickBot="1" x14ac:dyDescent="0.3">
      <c r="A2997" s="221"/>
      <c r="B2997" s="223"/>
      <c r="C2997" s="30" t="s">
        <v>1622</v>
      </c>
      <c r="D2997" s="41" t="s">
        <v>279</v>
      </c>
      <c r="E2997" s="31">
        <v>2.1960000000000002</v>
      </c>
      <c r="F2997" s="28">
        <v>0.40849999999999997</v>
      </c>
      <c r="G2997" s="28">
        <f t="shared" si="51"/>
        <v>0.89706600000000003</v>
      </c>
      <c r="H2997" s="33">
        <f>SUM(G2997:G3003)</f>
        <v>569.9180245</v>
      </c>
      <c r="I2997" s="34"/>
      <c r="J2997" s="138">
        <v>0</v>
      </c>
    </row>
    <row r="2998" spans="1:10" ht="26.25" hidden="1" thickBot="1" x14ac:dyDescent="0.3">
      <c r="A2998" s="221"/>
      <c r="B2998" s="223"/>
      <c r="C2998" s="30" t="s">
        <v>1178</v>
      </c>
      <c r="D2998" s="41" t="s">
        <v>479</v>
      </c>
      <c r="E2998" s="31">
        <v>3.4159999999999999</v>
      </c>
      <c r="F2998" s="28">
        <v>14.25</v>
      </c>
      <c r="G2998" s="28">
        <f t="shared" si="51"/>
        <v>48.677999999999997</v>
      </c>
      <c r="H2998" s="29"/>
      <c r="I2998" s="25"/>
      <c r="J2998" s="138">
        <v>0</v>
      </c>
    </row>
    <row r="2999" spans="1:10" ht="15.75" hidden="1" thickBot="1" x14ac:dyDescent="0.3">
      <c r="A2999" s="221"/>
      <c r="B2999" s="223"/>
      <c r="C2999" s="30" t="s">
        <v>834</v>
      </c>
      <c r="D2999" s="41" t="s">
        <v>897</v>
      </c>
      <c r="E2999" s="31">
        <v>0.96399999999999997</v>
      </c>
      <c r="F2999" s="25">
        <v>39.054499999999997</v>
      </c>
      <c r="G2999" s="28">
        <f t="shared" si="51"/>
        <v>37.648537999999995</v>
      </c>
      <c r="H2999" s="29"/>
      <c r="I2999" s="25"/>
      <c r="J2999" s="138">
        <v>0</v>
      </c>
    </row>
    <row r="3000" spans="1:10" ht="26.25" hidden="1" thickBot="1" x14ac:dyDescent="0.3">
      <c r="A3000" s="221"/>
      <c r="B3000" s="223"/>
      <c r="C3000" s="30" t="s">
        <v>1179</v>
      </c>
      <c r="D3000" s="41" t="s">
        <v>988</v>
      </c>
      <c r="E3000" s="31">
        <v>1</v>
      </c>
      <c r="F3000" s="25">
        <v>407.42649999999998</v>
      </c>
      <c r="G3000" s="28">
        <f t="shared" si="51"/>
        <v>407.42649999999998</v>
      </c>
      <c r="H3000" s="29"/>
      <c r="I3000" s="25"/>
      <c r="J3000" s="138">
        <v>0</v>
      </c>
    </row>
    <row r="3001" spans="1:10" ht="26.25" hidden="1" thickBot="1" x14ac:dyDescent="0.3">
      <c r="A3001" s="221"/>
      <c r="B3001" s="223"/>
      <c r="C3001" s="30" t="s">
        <v>1691</v>
      </c>
      <c r="D3001" s="41" t="s">
        <v>479</v>
      </c>
      <c r="E3001" s="31">
        <v>2.992</v>
      </c>
      <c r="F3001" s="25">
        <v>2.4034999999999997</v>
      </c>
      <c r="G3001" s="28">
        <f t="shared" si="51"/>
        <v>7.1912719999999997</v>
      </c>
      <c r="H3001" s="29"/>
      <c r="I3001" s="25"/>
      <c r="J3001" s="138">
        <v>0</v>
      </c>
    </row>
    <row r="3002" spans="1:10" ht="15.75" hidden="1" thickBot="1" x14ac:dyDescent="0.3">
      <c r="A3002" s="221"/>
      <c r="B3002" s="223"/>
      <c r="C3002" s="30" t="s">
        <v>703</v>
      </c>
      <c r="D3002" s="41" t="s">
        <v>702</v>
      </c>
      <c r="E3002" s="31">
        <v>1.619</v>
      </c>
      <c r="F3002" s="25">
        <v>18.420500000000001</v>
      </c>
      <c r="G3002" s="28">
        <f t="shared" si="51"/>
        <v>29.822789500000003</v>
      </c>
      <c r="H3002" s="29"/>
      <c r="I3002" s="25"/>
      <c r="J3002" s="138">
        <v>0</v>
      </c>
    </row>
    <row r="3003" spans="1:10" ht="15.75" hidden="1" thickBot="1" x14ac:dyDescent="0.3">
      <c r="A3003" s="221"/>
      <c r="B3003" s="223"/>
      <c r="C3003" s="30" t="s">
        <v>1609</v>
      </c>
      <c r="D3003" s="41" t="s">
        <v>702</v>
      </c>
      <c r="E3003" s="31">
        <v>1.6659999999999999</v>
      </c>
      <c r="F3003" s="25">
        <v>22.961500000000001</v>
      </c>
      <c r="G3003" s="28">
        <f t="shared" si="51"/>
        <v>38.253858999999999</v>
      </c>
      <c r="H3003" s="29"/>
      <c r="I3003" s="25"/>
      <c r="J3003" s="138">
        <v>0</v>
      </c>
    </row>
    <row r="3004" spans="1:10" ht="15.75" hidden="1" thickBot="1" x14ac:dyDescent="0.3">
      <c r="A3004" s="227"/>
      <c r="B3004" s="224"/>
      <c r="C3004" s="30"/>
      <c r="D3004" s="30"/>
      <c r="E3004" s="31"/>
      <c r="F3004" s="25" t="s">
        <v>521</v>
      </c>
      <c r="G3004" s="28" t="str">
        <f t="shared" si="51"/>
        <v/>
      </c>
      <c r="H3004" s="29"/>
      <c r="I3004" s="25"/>
      <c r="J3004" s="138">
        <v>0</v>
      </c>
    </row>
    <row r="3005" spans="1:10" ht="15.75" hidden="1" thickBot="1" x14ac:dyDescent="0.3">
      <c r="A3005" s="220" t="s">
        <v>866</v>
      </c>
      <c r="B3005" s="222" t="e">
        <f>INDEX(Orçamentária!A:B,MATCH(Composições!A3005,Orçamentária!A:A,0),2)</f>
        <v>#N/A</v>
      </c>
      <c r="C3005" s="35"/>
      <c r="D3005" s="20" t="s">
        <v>20</v>
      </c>
      <c r="E3005" s="21"/>
      <c r="F3005" s="36" t="s">
        <v>521</v>
      </c>
      <c r="G3005" s="22" t="str">
        <f t="shared" si="51"/>
        <v/>
      </c>
      <c r="H3005" s="23"/>
      <c r="I3005" s="24"/>
      <c r="J3005" s="138">
        <v>0</v>
      </c>
    </row>
    <row r="3006" spans="1:10" ht="15.75" hidden="1" thickBot="1" x14ac:dyDescent="0.3">
      <c r="A3006" s="221"/>
      <c r="B3006" s="223"/>
      <c r="C3006" s="26"/>
      <c r="D3006" s="26"/>
      <c r="E3006" s="27"/>
      <c r="F3006" s="37" t="s">
        <v>521</v>
      </c>
      <c r="G3006" s="28" t="str">
        <f t="shared" si="51"/>
        <v/>
      </c>
      <c r="H3006" s="29"/>
      <c r="I3006" s="25"/>
      <c r="J3006" s="138">
        <v>0</v>
      </c>
    </row>
    <row r="3007" spans="1:10" ht="15.75" hidden="1" thickBot="1" x14ac:dyDescent="0.3">
      <c r="A3007" s="221"/>
      <c r="B3007" s="223"/>
      <c r="C3007" s="30" t="s">
        <v>68</v>
      </c>
      <c r="D3007" s="30" t="s">
        <v>12</v>
      </c>
      <c r="E3007" s="31">
        <v>0.2</v>
      </c>
      <c r="F3007" s="28">
        <v>22.961500000000001</v>
      </c>
      <c r="G3007" s="28">
        <f t="shared" si="51"/>
        <v>4.5923000000000007</v>
      </c>
      <c r="H3007" s="33">
        <f>SUM(G3007:G3008)</f>
        <v>4.5923000000000007</v>
      </c>
      <c r="I3007" s="34"/>
      <c r="J3007" s="138">
        <v>0</v>
      </c>
    </row>
    <row r="3008" spans="1:10" ht="26.25" hidden="1" thickBot="1" x14ac:dyDescent="0.3">
      <c r="A3008" s="221"/>
      <c r="B3008" s="223"/>
      <c r="C3008" s="30" t="s">
        <v>867</v>
      </c>
      <c r="D3008" s="30" t="s">
        <v>20</v>
      </c>
      <c r="E3008" s="31">
        <v>1</v>
      </c>
      <c r="F3008" s="25" t="s">
        <v>521</v>
      </c>
      <c r="G3008" s="28" t="str">
        <f t="shared" si="51"/>
        <v/>
      </c>
      <c r="H3008" s="29"/>
      <c r="I3008" s="25"/>
      <c r="J3008" s="138">
        <v>0</v>
      </c>
    </row>
    <row r="3009" spans="1:10" ht="15.75" hidden="1" thickBot="1" x14ac:dyDescent="0.3">
      <c r="A3009" s="227"/>
      <c r="B3009" s="224"/>
      <c r="C3009" s="30"/>
      <c r="D3009" s="30"/>
      <c r="E3009" s="31"/>
      <c r="F3009" s="25" t="s">
        <v>521</v>
      </c>
      <c r="G3009" s="28" t="str">
        <f t="shared" si="51"/>
        <v/>
      </c>
      <c r="H3009" s="29"/>
      <c r="I3009" s="25"/>
      <c r="J3009" s="138">
        <v>0</v>
      </c>
    </row>
    <row r="3010" spans="1:10" ht="15.75" hidden="1" thickBot="1" x14ac:dyDescent="0.3">
      <c r="A3010" s="220" t="s">
        <v>868</v>
      </c>
      <c r="B3010" s="222" t="e">
        <f>INDEX(Orçamentária!A:B,MATCH(Composições!A3010,Orçamentária!A:A,0),2)</f>
        <v>#N/A</v>
      </c>
      <c r="C3010" s="35"/>
      <c r="D3010" s="20" t="s">
        <v>20</v>
      </c>
      <c r="E3010" s="21"/>
      <c r="F3010" s="36" t="s">
        <v>521</v>
      </c>
      <c r="G3010" s="22" t="str">
        <f t="shared" si="51"/>
        <v/>
      </c>
      <c r="H3010" s="23"/>
      <c r="I3010" s="24"/>
      <c r="J3010" s="138">
        <v>0</v>
      </c>
    </row>
    <row r="3011" spans="1:10" ht="15.75" hidden="1" thickBot="1" x14ac:dyDescent="0.3">
      <c r="A3011" s="221"/>
      <c r="B3011" s="223"/>
      <c r="C3011" s="26"/>
      <c r="D3011" s="26"/>
      <c r="E3011" s="27"/>
      <c r="F3011" s="37" t="s">
        <v>521</v>
      </c>
      <c r="G3011" s="28" t="str">
        <f t="shared" si="51"/>
        <v/>
      </c>
      <c r="H3011" s="29"/>
      <c r="I3011" s="25"/>
      <c r="J3011" s="138">
        <v>0</v>
      </c>
    </row>
    <row r="3012" spans="1:10" ht="15.75" hidden="1" thickBot="1" x14ac:dyDescent="0.3">
      <c r="A3012" s="221"/>
      <c r="B3012" s="223"/>
      <c r="C3012" s="30" t="s">
        <v>68</v>
      </c>
      <c r="D3012" s="30" t="s">
        <v>12</v>
      </c>
      <c r="E3012" s="31">
        <v>0.2</v>
      </c>
      <c r="F3012" s="28">
        <v>22.961500000000001</v>
      </c>
      <c r="G3012" s="28">
        <f t="shared" si="51"/>
        <v>4.5923000000000007</v>
      </c>
      <c r="H3012" s="33">
        <f>SUM(G3012:G3013)</f>
        <v>4.5923000000000007</v>
      </c>
      <c r="I3012" s="34"/>
      <c r="J3012" s="138">
        <v>0</v>
      </c>
    </row>
    <row r="3013" spans="1:10" ht="39" hidden="1" thickBot="1" x14ac:dyDescent="0.3">
      <c r="A3013" s="221"/>
      <c r="B3013" s="223"/>
      <c r="C3013" s="30" t="s">
        <v>869</v>
      </c>
      <c r="D3013" s="30" t="s">
        <v>20</v>
      </c>
      <c r="E3013" s="31">
        <v>1</v>
      </c>
      <c r="F3013" s="25" t="s">
        <v>521</v>
      </c>
      <c r="G3013" s="28" t="str">
        <f t="shared" si="51"/>
        <v/>
      </c>
      <c r="H3013" s="29"/>
      <c r="I3013" s="25"/>
      <c r="J3013" s="138">
        <v>0</v>
      </c>
    </row>
    <row r="3014" spans="1:10" ht="15.75" hidden="1" thickBot="1" x14ac:dyDescent="0.3">
      <c r="A3014" s="227"/>
      <c r="B3014" s="224"/>
      <c r="C3014" s="30"/>
      <c r="D3014" s="30"/>
      <c r="E3014" s="31"/>
      <c r="F3014" s="25" t="s">
        <v>521</v>
      </c>
      <c r="G3014" s="28" t="str">
        <f t="shared" ref="G3014:G3077" si="52">IF(ISNUMBER(F3014),E3014*F3014,"")</f>
        <v/>
      </c>
      <c r="H3014" s="29"/>
      <c r="I3014" s="25"/>
      <c r="J3014" s="138">
        <v>0</v>
      </c>
    </row>
    <row r="3015" spans="1:10" ht="15.75" hidden="1" thickBot="1" x14ac:dyDescent="0.3">
      <c r="A3015" s="220" t="s">
        <v>870</v>
      </c>
      <c r="B3015" s="222" t="e">
        <f>INDEX(Orçamentária!A:B,MATCH(Composições!A3015,Orçamentária!A:A,0),2)</f>
        <v>#N/A</v>
      </c>
      <c r="C3015" s="35"/>
      <c r="D3015" s="20" t="s">
        <v>20</v>
      </c>
      <c r="E3015" s="21"/>
      <c r="F3015" s="36" t="s">
        <v>521</v>
      </c>
      <c r="G3015" s="22" t="str">
        <f t="shared" si="52"/>
        <v/>
      </c>
      <c r="H3015" s="23"/>
      <c r="I3015" s="24"/>
      <c r="J3015" s="138">
        <v>0</v>
      </c>
    </row>
    <row r="3016" spans="1:10" ht="15.75" hidden="1" thickBot="1" x14ac:dyDescent="0.3">
      <c r="A3016" s="221"/>
      <c r="B3016" s="223"/>
      <c r="C3016" s="26"/>
      <c r="D3016" s="26"/>
      <c r="E3016" s="27"/>
      <c r="F3016" s="37" t="s">
        <v>521</v>
      </c>
      <c r="G3016" s="28" t="str">
        <f t="shared" si="52"/>
        <v/>
      </c>
      <c r="H3016" s="29"/>
      <c r="I3016" s="25"/>
      <c r="J3016" s="138">
        <v>0</v>
      </c>
    </row>
    <row r="3017" spans="1:10" ht="15.75" hidden="1" thickBot="1" x14ac:dyDescent="0.3">
      <c r="A3017" s="221"/>
      <c r="B3017" s="223"/>
      <c r="C3017" s="30" t="s">
        <v>68</v>
      </c>
      <c r="D3017" s="30" t="s">
        <v>12</v>
      </c>
      <c r="E3017" s="31">
        <v>0.2</v>
      </c>
      <c r="F3017" s="28">
        <v>22.961500000000001</v>
      </c>
      <c r="G3017" s="28">
        <f t="shared" si="52"/>
        <v>4.5923000000000007</v>
      </c>
      <c r="H3017" s="33">
        <f>SUM(G3017:G3018)</f>
        <v>4.5923000000000007</v>
      </c>
      <c r="I3017" s="34"/>
      <c r="J3017" s="138">
        <v>0</v>
      </c>
    </row>
    <row r="3018" spans="1:10" ht="26.25" hidden="1" thickBot="1" x14ac:dyDescent="0.3">
      <c r="A3018" s="221"/>
      <c r="B3018" s="223"/>
      <c r="C3018" s="30" t="s">
        <v>871</v>
      </c>
      <c r="D3018" s="30" t="s">
        <v>20</v>
      </c>
      <c r="E3018" s="31">
        <v>1</v>
      </c>
      <c r="F3018" s="25" t="s">
        <v>521</v>
      </c>
      <c r="G3018" s="28" t="str">
        <f t="shared" si="52"/>
        <v/>
      </c>
      <c r="H3018" s="29"/>
      <c r="I3018" s="25"/>
      <c r="J3018" s="138">
        <v>0</v>
      </c>
    </row>
    <row r="3019" spans="1:10" ht="15.75" hidden="1" thickBot="1" x14ac:dyDescent="0.3">
      <c r="A3019" s="227"/>
      <c r="B3019" s="224"/>
      <c r="C3019" s="30"/>
      <c r="D3019" s="30"/>
      <c r="E3019" s="31"/>
      <c r="F3019" s="25" t="s">
        <v>521</v>
      </c>
      <c r="G3019" s="28" t="str">
        <f t="shared" si="52"/>
        <v/>
      </c>
      <c r="H3019" s="29"/>
      <c r="I3019" s="25"/>
      <c r="J3019" s="138">
        <v>0</v>
      </c>
    </row>
    <row r="3020" spans="1:10" ht="15.75" hidden="1" thickBot="1" x14ac:dyDescent="0.3">
      <c r="A3020" s="220" t="s">
        <v>872</v>
      </c>
      <c r="B3020" s="222" t="e">
        <f>INDEX(Orçamentária!A:B,MATCH(Composições!A3020,Orçamentária!A:A,0),2)</f>
        <v>#N/A</v>
      </c>
      <c r="C3020" s="35"/>
      <c r="D3020" s="20" t="s">
        <v>20</v>
      </c>
      <c r="E3020" s="21"/>
      <c r="F3020" s="36" t="s">
        <v>521</v>
      </c>
      <c r="G3020" s="22" t="str">
        <f t="shared" si="52"/>
        <v/>
      </c>
      <c r="H3020" s="23"/>
      <c r="I3020" s="24"/>
      <c r="J3020" s="138">
        <v>0</v>
      </c>
    </row>
    <row r="3021" spans="1:10" ht="15.75" hidden="1" thickBot="1" x14ac:dyDescent="0.3">
      <c r="A3021" s="221"/>
      <c r="B3021" s="223"/>
      <c r="C3021" s="26"/>
      <c r="D3021" s="26"/>
      <c r="E3021" s="27"/>
      <c r="F3021" s="37" t="s">
        <v>521</v>
      </c>
      <c r="G3021" s="28" t="str">
        <f t="shared" si="52"/>
        <v/>
      </c>
      <c r="H3021" s="29"/>
      <c r="I3021" s="25"/>
      <c r="J3021" s="138">
        <v>0</v>
      </c>
    </row>
    <row r="3022" spans="1:10" ht="15.75" hidden="1" thickBot="1" x14ac:dyDescent="0.3">
      <c r="A3022" s="221"/>
      <c r="B3022" s="223"/>
      <c r="C3022" s="30" t="s">
        <v>68</v>
      </c>
      <c r="D3022" s="30" t="s">
        <v>12</v>
      </c>
      <c r="E3022" s="31">
        <v>1.5</v>
      </c>
      <c r="F3022" s="28">
        <v>22.961500000000001</v>
      </c>
      <c r="G3022" s="28">
        <f t="shared" si="52"/>
        <v>34.442250000000001</v>
      </c>
      <c r="H3022" s="33">
        <f>SUM(G3022:G3023)</f>
        <v>34.442250000000001</v>
      </c>
      <c r="I3022" s="34"/>
      <c r="J3022" s="138">
        <v>0</v>
      </c>
    </row>
    <row r="3023" spans="1:10" ht="51.75" hidden="1" thickBot="1" x14ac:dyDescent="0.3">
      <c r="A3023" s="221"/>
      <c r="B3023" s="223"/>
      <c r="C3023" s="133" t="s">
        <v>873</v>
      </c>
      <c r="D3023" s="30" t="s">
        <v>20</v>
      </c>
      <c r="E3023" s="31">
        <v>1</v>
      </c>
      <c r="F3023" s="25" t="s">
        <v>521</v>
      </c>
      <c r="G3023" s="28" t="str">
        <f t="shared" si="52"/>
        <v/>
      </c>
      <c r="H3023" s="29"/>
      <c r="I3023" s="25"/>
      <c r="J3023" s="138">
        <v>0</v>
      </c>
    </row>
    <row r="3024" spans="1:10" ht="15.75" hidden="1" thickBot="1" x14ac:dyDescent="0.3">
      <c r="A3024" s="227"/>
      <c r="B3024" s="224"/>
      <c r="C3024" s="30"/>
      <c r="D3024" s="30"/>
      <c r="E3024" s="31"/>
      <c r="F3024" s="25" t="s">
        <v>521</v>
      </c>
      <c r="G3024" s="28" t="str">
        <f t="shared" si="52"/>
        <v/>
      </c>
      <c r="H3024" s="29"/>
      <c r="I3024" s="25"/>
      <c r="J3024" s="138">
        <v>0</v>
      </c>
    </row>
    <row r="3025" spans="1:10" ht="15.75" hidden="1" thickBot="1" x14ac:dyDescent="0.3">
      <c r="A3025" s="220" t="s">
        <v>874</v>
      </c>
      <c r="B3025" s="222" t="e">
        <f>INDEX(Orçamentária!A:B,MATCH(Composições!A3025,Orçamentária!A:A,0),2)</f>
        <v>#N/A</v>
      </c>
      <c r="C3025" s="35"/>
      <c r="D3025" s="20" t="s">
        <v>20</v>
      </c>
      <c r="E3025" s="21"/>
      <c r="F3025" s="36" t="s">
        <v>521</v>
      </c>
      <c r="G3025" s="22" t="str">
        <f t="shared" si="52"/>
        <v/>
      </c>
      <c r="H3025" s="23"/>
      <c r="I3025" s="24"/>
      <c r="J3025" s="138">
        <v>0</v>
      </c>
    </row>
    <row r="3026" spans="1:10" ht="15.75" hidden="1" thickBot="1" x14ac:dyDescent="0.3">
      <c r="A3026" s="221"/>
      <c r="B3026" s="223"/>
      <c r="C3026" s="26"/>
      <c r="D3026" s="26"/>
      <c r="E3026" s="27"/>
      <c r="F3026" s="37" t="s">
        <v>521</v>
      </c>
      <c r="G3026" s="28" t="str">
        <f t="shared" si="52"/>
        <v/>
      </c>
      <c r="H3026" s="29"/>
      <c r="I3026" s="25"/>
      <c r="J3026" s="138">
        <v>0</v>
      </c>
    </row>
    <row r="3027" spans="1:10" ht="15.75" hidden="1" thickBot="1" x14ac:dyDescent="0.3">
      <c r="A3027" s="221"/>
      <c r="B3027" s="223"/>
      <c r="C3027" s="30" t="s">
        <v>68</v>
      </c>
      <c r="D3027" s="30" t="s">
        <v>12</v>
      </c>
      <c r="E3027" s="31">
        <v>1.5</v>
      </c>
      <c r="F3027" s="28">
        <v>22.961500000000001</v>
      </c>
      <c r="G3027" s="28">
        <f t="shared" si="52"/>
        <v>34.442250000000001</v>
      </c>
      <c r="H3027" s="33">
        <f>SUM(G3027:G3028)</f>
        <v>34.442250000000001</v>
      </c>
      <c r="I3027" s="34"/>
      <c r="J3027" s="138">
        <v>0</v>
      </c>
    </row>
    <row r="3028" spans="1:10" ht="15.75" hidden="1" thickBot="1" x14ac:dyDescent="0.3">
      <c r="A3028" s="221"/>
      <c r="B3028" s="223"/>
      <c r="C3028" s="30" t="s">
        <v>875</v>
      </c>
      <c r="D3028" s="30" t="s">
        <v>20</v>
      </c>
      <c r="E3028" s="31">
        <v>1</v>
      </c>
      <c r="F3028" s="25" t="s">
        <v>521</v>
      </c>
      <c r="G3028" s="28" t="str">
        <f t="shared" si="52"/>
        <v/>
      </c>
      <c r="H3028" s="29"/>
      <c r="I3028" s="25"/>
      <c r="J3028" s="138">
        <v>0</v>
      </c>
    </row>
    <row r="3029" spans="1:10" ht="15.75" hidden="1" thickBot="1" x14ac:dyDescent="0.3">
      <c r="A3029" s="227"/>
      <c r="B3029" s="224"/>
      <c r="C3029" s="30"/>
      <c r="D3029" s="30"/>
      <c r="E3029" s="31"/>
      <c r="F3029" s="25" t="s">
        <v>521</v>
      </c>
      <c r="G3029" s="28" t="str">
        <f t="shared" si="52"/>
        <v/>
      </c>
      <c r="H3029" s="29"/>
      <c r="I3029" s="25"/>
      <c r="J3029" s="138">
        <v>0</v>
      </c>
    </row>
    <row r="3030" spans="1:10" ht="15.75" hidden="1" thickBot="1" x14ac:dyDescent="0.3">
      <c r="A3030" s="220" t="s">
        <v>876</v>
      </c>
      <c r="B3030" s="222" t="e">
        <f>INDEX(Orçamentária!A:B,MATCH(Composições!A3030,Orçamentária!A:A,0),2)</f>
        <v>#N/A</v>
      </c>
      <c r="C3030" s="35"/>
      <c r="D3030" s="20" t="s">
        <v>20</v>
      </c>
      <c r="E3030" s="21"/>
      <c r="F3030" s="36" t="s">
        <v>521</v>
      </c>
      <c r="G3030" s="22" t="str">
        <f t="shared" si="52"/>
        <v/>
      </c>
      <c r="H3030" s="23"/>
      <c r="I3030" s="24"/>
      <c r="J3030" s="138">
        <v>0</v>
      </c>
    </row>
    <row r="3031" spans="1:10" ht="15.75" hidden="1" thickBot="1" x14ac:dyDescent="0.3">
      <c r="A3031" s="221"/>
      <c r="B3031" s="223"/>
      <c r="C3031" s="26"/>
      <c r="D3031" s="26"/>
      <c r="E3031" s="27"/>
      <c r="F3031" s="37" t="s">
        <v>521</v>
      </c>
      <c r="G3031" s="28" t="str">
        <f t="shared" si="52"/>
        <v/>
      </c>
      <c r="H3031" s="29"/>
      <c r="I3031" s="25"/>
      <c r="J3031" s="138">
        <v>0</v>
      </c>
    </row>
    <row r="3032" spans="1:10" ht="15.75" hidden="1" thickBot="1" x14ac:dyDescent="0.3">
      <c r="A3032" s="221"/>
      <c r="B3032" s="223"/>
      <c r="C3032" s="30" t="s">
        <v>68</v>
      </c>
      <c r="D3032" s="30" t="s">
        <v>12</v>
      </c>
      <c r="E3032" s="31">
        <v>1</v>
      </c>
      <c r="F3032" s="28">
        <v>22.961500000000001</v>
      </c>
      <c r="G3032" s="28">
        <f t="shared" si="52"/>
        <v>22.961500000000001</v>
      </c>
      <c r="H3032" s="33">
        <f>SUM(G3032:G3033)</f>
        <v>22.961500000000001</v>
      </c>
      <c r="I3032" s="34"/>
      <c r="J3032" s="138">
        <v>0</v>
      </c>
    </row>
    <row r="3033" spans="1:10" ht="26.25" hidden="1" thickBot="1" x14ac:dyDescent="0.3">
      <c r="A3033" s="221"/>
      <c r="B3033" s="223"/>
      <c r="C3033" s="30" t="s">
        <v>877</v>
      </c>
      <c r="D3033" s="30" t="s">
        <v>20</v>
      </c>
      <c r="E3033" s="31">
        <v>1</v>
      </c>
      <c r="F3033" s="25" t="s">
        <v>521</v>
      </c>
      <c r="G3033" s="28" t="str">
        <f t="shared" si="52"/>
        <v/>
      </c>
      <c r="H3033" s="29"/>
      <c r="I3033" s="25"/>
      <c r="J3033" s="138">
        <v>0</v>
      </c>
    </row>
    <row r="3034" spans="1:10" ht="15.75" hidden="1" thickBot="1" x14ac:dyDescent="0.3">
      <c r="A3034" s="227"/>
      <c r="B3034" s="224"/>
      <c r="C3034" s="30"/>
      <c r="D3034" s="30"/>
      <c r="E3034" s="31"/>
      <c r="F3034" s="25" t="s">
        <v>521</v>
      </c>
      <c r="G3034" s="28" t="str">
        <f t="shared" si="52"/>
        <v/>
      </c>
      <c r="H3034" s="29"/>
      <c r="I3034" s="25"/>
      <c r="J3034" s="138">
        <v>0</v>
      </c>
    </row>
    <row r="3035" spans="1:10" ht="15.75" hidden="1" thickBot="1" x14ac:dyDescent="0.3">
      <c r="A3035" s="220" t="s">
        <v>878</v>
      </c>
      <c r="B3035" s="222" t="e">
        <f>INDEX(Orçamentária!A:B,MATCH(Composições!A3035,Orçamentária!A:A,0),2)</f>
        <v>#N/A</v>
      </c>
      <c r="C3035" s="35"/>
      <c r="D3035" s="20" t="s">
        <v>20</v>
      </c>
      <c r="E3035" s="21"/>
      <c r="F3035" s="36" t="s">
        <v>521</v>
      </c>
      <c r="G3035" s="22" t="str">
        <f t="shared" si="52"/>
        <v/>
      </c>
      <c r="H3035" s="23"/>
      <c r="I3035" s="24"/>
      <c r="J3035" s="138">
        <v>0</v>
      </c>
    </row>
    <row r="3036" spans="1:10" ht="15.75" hidden="1" thickBot="1" x14ac:dyDescent="0.3">
      <c r="A3036" s="221"/>
      <c r="B3036" s="223"/>
      <c r="C3036" s="26"/>
      <c r="D3036" s="26"/>
      <c r="E3036" s="27"/>
      <c r="F3036" s="37" t="s">
        <v>521</v>
      </c>
      <c r="G3036" s="28" t="str">
        <f t="shared" si="52"/>
        <v/>
      </c>
      <c r="H3036" s="29"/>
      <c r="I3036" s="25"/>
      <c r="J3036" s="138">
        <v>0</v>
      </c>
    </row>
    <row r="3037" spans="1:10" ht="15.75" hidden="1" thickBot="1" x14ac:dyDescent="0.3">
      <c r="A3037" s="221"/>
      <c r="B3037" s="223"/>
      <c r="C3037" s="30" t="s">
        <v>68</v>
      </c>
      <c r="D3037" s="30" t="s">
        <v>12</v>
      </c>
      <c r="E3037" s="31">
        <v>0.1</v>
      </c>
      <c r="F3037" s="28">
        <v>22.961500000000001</v>
      </c>
      <c r="G3037" s="28">
        <f t="shared" si="52"/>
        <v>2.2961500000000004</v>
      </c>
      <c r="H3037" s="33">
        <f>SUM(G3037:G3038)</f>
        <v>2.2961500000000004</v>
      </c>
      <c r="I3037" s="34"/>
      <c r="J3037" s="138">
        <v>0</v>
      </c>
    </row>
    <row r="3038" spans="1:10" ht="26.25" hidden="1" thickBot="1" x14ac:dyDescent="0.3">
      <c r="A3038" s="221"/>
      <c r="B3038" s="223"/>
      <c r="C3038" s="30" t="s">
        <v>879</v>
      </c>
      <c r="D3038" s="30" t="s">
        <v>20</v>
      </c>
      <c r="E3038" s="31">
        <v>1</v>
      </c>
      <c r="F3038" s="25" t="s">
        <v>521</v>
      </c>
      <c r="G3038" s="28" t="str">
        <f t="shared" si="52"/>
        <v/>
      </c>
      <c r="H3038" s="29"/>
      <c r="I3038" s="25"/>
      <c r="J3038" s="138">
        <v>0</v>
      </c>
    </row>
    <row r="3039" spans="1:10" ht="15.75" hidden="1" thickBot="1" x14ac:dyDescent="0.3">
      <c r="A3039" s="227"/>
      <c r="B3039" s="224"/>
      <c r="C3039" s="30"/>
      <c r="D3039" s="30"/>
      <c r="E3039" s="31"/>
      <c r="F3039" s="25" t="s">
        <v>521</v>
      </c>
      <c r="G3039" s="28" t="str">
        <f t="shared" si="52"/>
        <v/>
      </c>
      <c r="H3039" s="29"/>
      <c r="I3039" s="25"/>
      <c r="J3039" s="138">
        <v>0</v>
      </c>
    </row>
    <row r="3040" spans="1:10" ht="15.75" hidden="1" thickBot="1" x14ac:dyDescent="0.3">
      <c r="A3040" s="220" t="s">
        <v>880</v>
      </c>
      <c r="B3040" s="222" t="e">
        <f>INDEX(Orçamentária!A:B,MATCH(Composições!A3040,Orçamentária!A:A,0),2)</f>
        <v>#N/A</v>
      </c>
      <c r="C3040" s="35"/>
      <c r="D3040" s="20" t="s">
        <v>20</v>
      </c>
      <c r="E3040" s="21"/>
      <c r="F3040" s="36" t="s">
        <v>521</v>
      </c>
      <c r="G3040" s="22" t="str">
        <f t="shared" si="52"/>
        <v/>
      </c>
      <c r="H3040" s="23"/>
      <c r="I3040" s="24"/>
      <c r="J3040" s="138">
        <v>0</v>
      </c>
    </row>
    <row r="3041" spans="1:10" ht="15.75" hidden="1" thickBot="1" x14ac:dyDescent="0.3">
      <c r="A3041" s="221"/>
      <c r="B3041" s="223"/>
      <c r="C3041" s="26"/>
      <c r="D3041" s="26"/>
      <c r="E3041" s="27"/>
      <c r="F3041" s="37" t="s">
        <v>521</v>
      </c>
      <c r="G3041" s="28" t="str">
        <f t="shared" si="52"/>
        <v/>
      </c>
      <c r="H3041" s="29"/>
      <c r="I3041" s="25"/>
      <c r="J3041" s="138">
        <v>0</v>
      </c>
    </row>
    <row r="3042" spans="1:10" ht="15.75" hidden="1" thickBot="1" x14ac:dyDescent="0.3">
      <c r="A3042" s="221"/>
      <c r="B3042" s="223"/>
      <c r="C3042" s="30" t="s">
        <v>68</v>
      </c>
      <c r="D3042" s="30" t="s">
        <v>12</v>
      </c>
      <c r="E3042" s="31">
        <v>0.2</v>
      </c>
      <c r="F3042" s="28">
        <v>22.961500000000001</v>
      </c>
      <c r="G3042" s="28">
        <f t="shared" si="52"/>
        <v>4.5923000000000007</v>
      </c>
      <c r="H3042" s="33">
        <f>SUM(G3042:G3043)</f>
        <v>4.5923000000000007</v>
      </c>
      <c r="I3042" s="34"/>
      <c r="J3042" s="138">
        <v>0</v>
      </c>
    </row>
    <row r="3043" spans="1:10" ht="26.25" hidden="1" thickBot="1" x14ac:dyDescent="0.3">
      <c r="A3043" s="221"/>
      <c r="B3043" s="223"/>
      <c r="C3043" s="30" t="s">
        <v>881</v>
      </c>
      <c r="D3043" s="30" t="s">
        <v>20</v>
      </c>
      <c r="E3043" s="31">
        <v>1</v>
      </c>
      <c r="F3043" s="25" t="s">
        <v>521</v>
      </c>
      <c r="G3043" s="28" t="str">
        <f t="shared" si="52"/>
        <v/>
      </c>
      <c r="H3043" s="29"/>
      <c r="I3043" s="25"/>
      <c r="J3043" s="138">
        <v>0</v>
      </c>
    </row>
    <row r="3044" spans="1:10" ht="15.75" hidden="1" thickBot="1" x14ac:dyDescent="0.3">
      <c r="A3044" s="227"/>
      <c r="B3044" s="224"/>
      <c r="C3044" s="30"/>
      <c r="D3044" s="30"/>
      <c r="E3044" s="31"/>
      <c r="F3044" s="25" t="s">
        <v>521</v>
      </c>
      <c r="G3044" s="28" t="str">
        <f t="shared" si="52"/>
        <v/>
      </c>
      <c r="H3044" s="29"/>
      <c r="I3044" s="25"/>
      <c r="J3044" s="138">
        <v>0</v>
      </c>
    </row>
    <row r="3045" spans="1:10" ht="15.75" hidden="1" thickBot="1" x14ac:dyDescent="0.3">
      <c r="A3045" s="220" t="s">
        <v>882</v>
      </c>
      <c r="B3045" s="222" t="e">
        <f>INDEX(Orçamentária!A:B,MATCH(Composições!A3045,Orçamentária!A:A,0),2)</f>
        <v>#N/A</v>
      </c>
      <c r="C3045" s="35"/>
      <c r="D3045" s="20" t="s">
        <v>20</v>
      </c>
      <c r="E3045" s="21"/>
      <c r="F3045" s="36" t="s">
        <v>521</v>
      </c>
      <c r="G3045" s="22" t="str">
        <f t="shared" si="52"/>
        <v/>
      </c>
      <c r="H3045" s="23"/>
      <c r="I3045" s="24"/>
      <c r="J3045" s="138">
        <v>0</v>
      </c>
    </row>
    <row r="3046" spans="1:10" ht="15.75" hidden="1" thickBot="1" x14ac:dyDescent="0.3">
      <c r="A3046" s="221"/>
      <c r="B3046" s="223"/>
      <c r="C3046" s="26"/>
      <c r="D3046" s="26"/>
      <c r="E3046" s="27"/>
      <c r="F3046" s="37" t="s">
        <v>521</v>
      </c>
      <c r="G3046" s="28" t="str">
        <f t="shared" si="52"/>
        <v/>
      </c>
      <c r="H3046" s="29"/>
      <c r="I3046" s="25"/>
      <c r="J3046" s="138">
        <v>0</v>
      </c>
    </row>
    <row r="3047" spans="1:10" ht="15.75" hidden="1" thickBot="1" x14ac:dyDescent="0.3">
      <c r="A3047" s="221"/>
      <c r="B3047" s="223"/>
      <c r="C3047" s="30" t="s">
        <v>68</v>
      </c>
      <c r="D3047" s="30" t="s">
        <v>12</v>
      </c>
      <c r="E3047" s="31">
        <v>0.2</v>
      </c>
      <c r="F3047" s="28">
        <v>22.961500000000001</v>
      </c>
      <c r="G3047" s="28">
        <f t="shared" si="52"/>
        <v>4.5923000000000007</v>
      </c>
      <c r="H3047" s="33">
        <f>SUM(G3047:G3048)</f>
        <v>4.5923000000000007</v>
      </c>
      <c r="I3047" s="34"/>
      <c r="J3047" s="138">
        <v>0</v>
      </c>
    </row>
    <row r="3048" spans="1:10" ht="39" hidden="1" thickBot="1" x14ac:dyDescent="0.3">
      <c r="A3048" s="221"/>
      <c r="B3048" s="223"/>
      <c r="C3048" s="30" t="s">
        <v>883</v>
      </c>
      <c r="D3048" s="30" t="s">
        <v>20</v>
      </c>
      <c r="E3048" s="31">
        <v>1</v>
      </c>
      <c r="F3048" s="25" t="s">
        <v>521</v>
      </c>
      <c r="G3048" s="28" t="str">
        <f t="shared" si="52"/>
        <v/>
      </c>
      <c r="H3048" s="29"/>
      <c r="I3048" s="25"/>
      <c r="J3048" s="138">
        <v>0</v>
      </c>
    </row>
    <row r="3049" spans="1:10" ht="15.75" hidden="1" thickBot="1" x14ac:dyDescent="0.3">
      <c r="A3049" s="227"/>
      <c r="B3049" s="224"/>
      <c r="C3049" s="30"/>
      <c r="D3049" s="30"/>
      <c r="E3049" s="31"/>
      <c r="F3049" s="25" t="s">
        <v>521</v>
      </c>
      <c r="G3049" s="28" t="str">
        <f t="shared" si="52"/>
        <v/>
      </c>
      <c r="H3049" s="29"/>
      <c r="I3049" s="25"/>
      <c r="J3049" s="138">
        <v>0</v>
      </c>
    </row>
    <row r="3050" spans="1:10" ht="15.75" hidden="1" thickBot="1" x14ac:dyDescent="0.3">
      <c r="A3050" s="220" t="s">
        <v>884</v>
      </c>
      <c r="B3050" s="222" t="e">
        <f>INDEX(Orçamentária!A:B,MATCH(Composições!A3050,Orçamentária!A:A,0),2)</f>
        <v>#N/A</v>
      </c>
      <c r="C3050" s="35"/>
      <c r="D3050" s="20" t="s">
        <v>93</v>
      </c>
      <c r="E3050" s="21"/>
      <c r="F3050" s="36" t="s">
        <v>521</v>
      </c>
      <c r="G3050" s="22" t="str">
        <f t="shared" si="52"/>
        <v/>
      </c>
      <c r="H3050" s="23"/>
      <c r="I3050" s="24"/>
      <c r="J3050" s="138">
        <v>0</v>
      </c>
    </row>
    <row r="3051" spans="1:10" ht="15.75" hidden="1" thickBot="1" x14ac:dyDescent="0.3">
      <c r="A3051" s="225"/>
      <c r="B3051" s="223"/>
      <c r="C3051" s="26"/>
      <c r="D3051" s="26"/>
      <c r="E3051" s="27"/>
      <c r="F3051" s="37" t="s">
        <v>521</v>
      </c>
      <c r="G3051" s="28" t="str">
        <f t="shared" si="52"/>
        <v/>
      </c>
      <c r="H3051" s="29"/>
      <c r="I3051" s="25"/>
      <c r="J3051" s="138">
        <v>0</v>
      </c>
    </row>
    <row r="3052" spans="1:10" ht="15.75" hidden="1" thickBot="1" x14ac:dyDescent="0.3">
      <c r="A3052" s="225"/>
      <c r="B3052" s="223"/>
      <c r="C3052" s="30" t="s">
        <v>68</v>
      </c>
      <c r="D3052" s="30" t="s">
        <v>12</v>
      </c>
      <c r="E3052" s="31">
        <v>0.25</v>
      </c>
      <c r="F3052" s="28">
        <v>22.961500000000001</v>
      </c>
      <c r="G3052" s="28">
        <f t="shared" si="52"/>
        <v>5.7403750000000002</v>
      </c>
      <c r="H3052" s="33">
        <f>SUM(G3052:G3053)</f>
        <v>39.053863499999999</v>
      </c>
      <c r="I3052" s="34"/>
      <c r="J3052" s="138">
        <v>0</v>
      </c>
    </row>
    <row r="3053" spans="1:10" ht="15.75" hidden="1" thickBot="1" x14ac:dyDescent="0.3">
      <c r="A3053" s="225"/>
      <c r="B3053" s="223"/>
      <c r="C3053" s="30" t="s">
        <v>834</v>
      </c>
      <c r="D3053" s="30" t="s">
        <v>42</v>
      </c>
      <c r="E3053" s="31">
        <v>0.85299999999999998</v>
      </c>
      <c r="F3053" s="25">
        <v>39.054499999999997</v>
      </c>
      <c r="G3053" s="28">
        <f t="shared" si="52"/>
        <v>33.313488499999998</v>
      </c>
      <c r="H3053" s="29"/>
      <c r="I3053" s="25"/>
      <c r="J3053" s="138">
        <v>0</v>
      </c>
    </row>
    <row r="3054" spans="1:10" ht="15.75" hidden="1" thickBot="1" x14ac:dyDescent="0.3">
      <c r="A3054" s="225"/>
      <c r="B3054" s="223"/>
      <c r="C3054" s="30"/>
      <c r="D3054" s="41"/>
      <c r="E3054" s="31"/>
      <c r="F3054" s="25" t="s">
        <v>521</v>
      </c>
      <c r="G3054" s="28" t="str">
        <f t="shared" si="52"/>
        <v/>
      </c>
      <c r="H3054" s="29"/>
      <c r="I3054" s="25"/>
      <c r="J3054" s="138">
        <v>0</v>
      </c>
    </row>
    <row r="3055" spans="1:10" ht="26.25" hidden="1" thickBot="1" x14ac:dyDescent="0.3">
      <c r="A3055" s="225"/>
      <c r="B3055" s="223"/>
      <c r="C3055" s="42" t="s">
        <v>885</v>
      </c>
      <c r="D3055" s="41"/>
      <c r="E3055" s="31"/>
      <c r="F3055" s="25" t="s">
        <v>521</v>
      </c>
      <c r="G3055" s="28" t="str">
        <f t="shared" si="52"/>
        <v/>
      </c>
      <c r="H3055" s="29"/>
      <c r="I3055" s="25"/>
      <c r="J3055" s="138">
        <v>0</v>
      </c>
    </row>
    <row r="3056" spans="1:10" ht="26.25" hidden="1" thickBot="1" x14ac:dyDescent="0.3">
      <c r="A3056" s="225"/>
      <c r="B3056" s="223"/>
      <c r="C3056" s="46" t="s">
        <v>839</v>
      </c>
      <c r="D3056" s="41"/>
      <c r="E3056" s="31"/>
      <c r="F3056" s="25" t="s">
        <v>521</v>
      </c>
      <c r="G3056" s="28" t="str">
        <f t="shared" si="52"/>
        <v/>
      </c>
      <c r="H3056" s="29"/>
      <c r="I3056" s="25"/>
      <c r="J3056" s="138">
        <v>0</v>
      </c>
    </row>
    <row r="3057" spans="1:10" ht="15.75" hidden="1" thickBot="1" x14ac:dyDescent="0.3">
      <c r="A3057" s="226"/>
      <c r="B3057" s="224"/>
      <c r="C3057" s="30"/>
      <c r="D3057" s="30"/>
      <c r="E3057" s="31"/>
      <c r="F3057" s="25" t="s">
        <v>521</v>
      </c>
      <c r="G3057" s="28" t="str">
        <f t="shared" si="52"/>
        <v/>
      </c>
      <c r="H3057" s="29"/>
      <c r="I3057" s="25"/>
      <c r="J3057" s="138">
        <v>0</v>
      </c>
    </row>
    <row r="3058" spans="1:10" ht="15.75" hidden="1" thickBot="1" x14ac:dyDescent="0.3">
      <c r="A3058" s="220" t="s">
        <v>886</v>
      </c>
      <c r="B3058" s="222" t="e">
        <f>INDEX(Orçamentária!A:B,MATCH(Composições!A3058,Orçamentária!A:A,0),2)</f>
        <v>#N/A</v>
      </c>
      <c r="C3058" s="35"/>
      <c r="D3058" s="20" t="s">
        <v>93</v>
      </c>
      <c r="E3058" s="21"/>
      <c r="F3058" s="36" t="s">
        <v>521</v>
      </c>
      <c r="G3058" s="22" t="str">
        <f t="shared" si="52"/>
        <v/>
      </c>
      <c r="H3058" s="23"/>
      <c r="I3058" s="24"/>
      <c r="J3058" s="138">
        <v>0</v>
      </c>
    </row>
    <row r="3059" spans="1:10" ht="15.75" hidden="1" thickBot="1" x14ac:dyDescent="0.3">
      <c r="A3059" s="221"/>
      <c r="B3059" s="223"/>
      <c r="C3059" s="26"/>
      <c r="D3059" s="26"/>
      <c r="E3059" s="27"/>
      <c r="F3059" s="37" t="s">
        <v>521</v>
      </c>
      <c r="G3059" s="28" t="str">
        <f t="shared" si="52"/>
        <v/>
      </c>
      <c r="H3059" s="29"/>
      <c r="I3059" s="25"/>
      <c r="J3059" s="138">
        <v>0</v>
      </c>
    </row>
    <row r="3060" spans="1:10" ht="15.75" hidden="1" thickBot="1" x14ac:dyDescent="0.3">
      <c r="A3060" s="221"/>
      <c r="B3060" s="223"/>
      <c r="C3060" s="30" t="s">
        <v>68</v>
      </c>
      <c r="D3060" s="30" t="s">
        <v>12</v>
      </c>
      <c r="E3060" s="31">
        <v>0.2</v>
      </c>
      <c r="F3060" s="28">
        <v>22.961500000000001</v>
      </c>
      <c r="G3060" s="28">
        <f t="shared" si="52"/>
        <v>4.5923000000000007</v>
      </c>
      <c r="H3060" s="33">
        <f>SUM(G3060:G3061)</f>
        <v>4.5923000000000007</v>
      </c>
      <c r="I3060" s="34"/>
      <c r="J3060" s="138">
        <v>0</v>
      </c>
    </row>
    <row r="3061" spans="1:10" ht="26.25" hidden="1" thickBot="1" x14ac:dyDescent="0.3">
      <c r="A3061" s="221"/>
      <c r="B3061" s="223"/>
      <c r="C3061" s="30" t="s">
        <v>887</v>
      </c>
      <c r="D3061" s="30" t="s">
        <v>93</v>
      </c>
      <c r="E3061" s="31">
        <v>0.11899999999999999</v>
      </c>
      <c r="F3061" s="25" t="s">
        <v>521</v>
      </c>
      <c r="G3061" s="28" t="str">
        <f t="shared" si="52"/>
        <v/>
      </c>
      <c r="H3061" s="29"/>
      <c r="I3061" s="25"/>
      <c r="J3061" s="138">
        <v>0</v>
      </c>
    </row>
    <row r="3062" spans="1:10" ht="15.75" hidden="1" thickBot="1" x14ac:dyDescent="0.3">
      <c r="A3062" s="227"/>
      <c r="B3062" s="224"/>
      <c r="C3062" s="30"/>
      <c r="D3062" s="30"/>
      <c r="E3062" s="31"/>
      <c r="F3062" s="25" t="s">
        <v>521</v>
      </c>
      <c r="G3062" s="28" t="str">
        <f t="shared" si="52"/>
        <v/>
      </c>
      <c r="H3062" s="29"/>
      <c r="I3062" s="25"/>
      <c r="J3062" s="138">
        <v>0</v>
      </c>
    </row>
    <row r="3063" spans="1:10" ht="15.75" hidden="1" thickBot="1" x14ac:dyDescent="0.3">
      <c r="A3063" s="220" t="s">
        <v>888</v>
      </c>
      <c r="B3063" s="222" t="e">
        <f>INDEX(Orçamentária!A:B,MATCH(Composições!A3063,Orçamentária!A:A,0),2)</f>
        <v>#N/A</v>
      </c>
      <c r="C3063" s="35"/>
      <c r="D3063" s="20" t="s">
        <v>93</v>
      </c>
      <c r="E3063" s="21"/>
      <c r="F3063" s="36" t="s">
        <v>521</v>
      </c>
      <c r="G3063" s="22" t="str">
        <f t="shared" si="52"/>
        <v/>
      </c>
      <c r="H3063" s="23"/>
      <c r="I3063" s="24"/>
      <c r="J3063" s="138">
        <v>0</v>
      </c>
    </row>
    <row r="3064" spans="1:10" ht="15.75" hidden="1" thickBot="1" x14ac:dyDescent="0.3">
      <c r="A3064" s="225"/>
      <c r="B3064" s="223"/>
      <c r="C3064" s="26"/>
      <c r="D3064" s="26"/>
      <c r="E3064" s="27"/>
      <c r="F3064" s="37" t="s">
        <v>521</v>
      </c>
      <c r="G3064" s="28" t="str">
        <f t="shared" si="52"/>
        <v/>
      </c>
      <c r="H3064" s="29"/>
      <c r="I3064" s="25"/>
      <c r="J3064" s="138">
        <v>0</v>
      </c>
    </row>
    <row r="3065" spans="1:10" ht="15.75" hidden="1" thickBot="1" x14ac:dyDescent="0.3">
      <c r="A3065" s="225"/>
      <c r="B3065" s="223"/>
      <c r="C3065" s="30" t="s">
        <v>68</v>
      </c>
      <c r="D3065" s="30" t="s">
        <v>12</v>
      </c>
      <c r="E3065" s="31">
        <v>0.3</v>
      </c>
      <c r="F3065" s="28">
        <v>22.961500000000001</v>
      </c>
      <c r="G3065" s="28">
        <f t="shared" si="52"/>
        <v>6.8884499999999997</v>
      </c>
      <c r="H3065" s="33">
        <f>SUM(G3065:G3066)</f>
        <v>11.535935499999999</v>
      </c>
      <c r="I3065" s="34"/>
      <c r="J3065" s="138">
        <v>0</v>
      </c>
    </row>
    <row r="3066" spans="1:10" ht="15.75" hidden="1" thickBot="1" x14ac:dyDescent="0.3">
      <c r="A3066" s="225"/>
      <c r="B3066" s="223"/>
      <c r="C3066" s="30" t="s">
        <v>834</v>
      </c>
      <c r="D3066" s="30" t="s">
        <v>42</v>
      </c>
      <c r="E3066" s="31">
        <v>0.11899999999999999</v>
      </c>
      <c r="F3066" s="25">
        <v>39.054499999999997</v>
      </c>
      <c r="G3066" s="28">
        <f t="shared" si="52"/>
        <v>4.6474854999999993</v>
      </c>
      <c r="H3066" s="29"/>
      <c r="I3066" s="25"/>
      <c r="J3066" s="138">
        <v>0</v>
      </c>
    </row>
    <row r="3067" spans="1:10" ht="15.75" hidden="1" thickBot="1" x14ac:dyDescent="0.3">
      <c r="A3067" s="225"/>
      <c r="B3067" s="223"/>
      <c r="C3067" s="30"/>
      <c r="D3067" s="30"/>
      <c r="E3067" s="31"/>
      <c r="F3067" s="25" t="s">
        <v>521</v>
      </c>
      <c r="G3067" s="28" t="str">
        <f t="shared" si="52"/>
        <v/>
      </c>
      <c r="H3067" s="29"/>
      <c r="I3067" s="25"/>
      <c r="J3067" s="138">
        <v>0</v>
      </c>
    </row>
    <row r="3068" spans="1:10" ht="39" hidden="1" thickBot="1" x14ac:dyDescent="0.3">
      <c r="A3068" s="225"/>
      <c r="B3068" s="223"/>
      <c r="C3068" s="42" t="s">
        <v>889</v>
      </c>
      <c r="D3068" s="30"/>
      <c r="E3068" s="31"/>
      <c r="F3068" s="25" t="s">
        <v>521</v>
      </c>
      <c r="G3068" s="28" t="str">
        <f t="shared" si="52"/>
        <v/>
      </c>
      <c r="H3068" s="29"/>
      <c r="I3068" s="25"/>
      <c r="J3068" s="138">
        <v>0</v>
      </c>
    </row>
    <row r="3069" spans="1:10" ht="15.75" hidden="1" thickBot="1" x14ac:dyDescent="0.3">
      <c r="A3069" s="225"/>
      <c r="B3069" s="223"/>
      <c r="C3069" s="46" t="s">
        <v>890</v>
      </c>
      <c r="D3069" s="30"/>
      <c r="E3069" s="31"/>
      <c r="F3069" s="25" t="s">
        <v>521</v>
      </c>
      <c r="G3069" s="28" t="str">
        <f t="shared" si="52"/>
        <v/>
      </c>
      <c r="H3069" s="29"/>
      <c r="I3069" s="25"/>
      <c r="J3069" s="138">
        <v>0</v>
      </c>
    </row>
    <row r="3070" spans="1:10" ht="15.75" hidden="1" thickBot="1" x14ac:dyDescent="0.3">
      <c r="A3070" s="226"/>
      <c r="B3070" s="224"/>
      <c r="C3070" s="30"/>
      <c r="D3070" s="30"/>
      <c r="E3070" s="31"/>
      <c r="F3070" s="25" t="s">
        <v>521</v>
      </c>
      <c r="G3070" s="28" t="str">
        <f t="shared" si="52"/>
        <v/>
      </c>
      <c r="H3070" s="29"/>
      <c r="I3070" s="25"/>
      <c r="J3070" s="138">
        <v>0</v>
      </c>
    </row>
    <row r="3071" spans="1:10" ht="15.75" hidden="1" thickBot="1" x14ac:dyDescent="0.3">
      <c r="A3071" s="220" t="s">
        <v>891</v>
      </c>
      <c r="B3071" s="222" t="e">
        <f>INDEX(Orçamentária!A:B,MATCH(Composições!A3071,Orçamentária!A:A,0),2)</f>
        <v>#N/A</v>
      </c>
      <c r="C3071" s="35"/>
      <c r="D3071" s="20" t="s">
        <v>20</v>
      </c>
      <c r="E3071" s="21"/>
      <c r="F3071" s="36" t="s">
        <v>521</v>
      </c>
      <c r="G3071" s="22" t="str">
        <f t="shared" si="52"/>
        <v/>
      </c>
      <c r="H3071" s="23"/>
      <c r="I3071" s="24"/>
      <c r="J3071" s="138">
        <v>0</v>
      </c>
    </row>
    <row r="3072" spans="1:10" ht="15.75" hidden="1" thickBot="1" x14ac:dyDescent="0.3">
      <c r="A3072" s="221"/>
      <c r="B3072" s="223"/>
      <c r="C3072" s="26"/>
      <c r="D3072" s="26"/>
      <c r="E3072" s="27"/>
      <c r="F3072" s="37" t="s">
        <v>521</v>
      </c>
      <c r="G3072" s="28" t="str">
        <f t="shared" si="52"/>
        <v/>
      </c>
      <c r="H3072" s="29"/>
      <c r="I3072" s="25"/>
      <c r="J3072" s="138">
        <v>0</v>
      </c>
    </row>
    <row r="3073" spans="1:10" ht="15.75" hidden="1" thickBot="1" x14ac:dyDescent="0.3">
      <c r="A3073" s="221"/>
      <c r="B3073" s="223"/>
      <c r="C3073" s="30" t="s">
        <v>68</v>
      </c>
      <c r="D3073" s="41" t="s">
        <v>12</v>
      </c>
      <c r="E3073" s="31">
        <v>1.5</v>
      </c>
      <c r="F3073" s="28">
        <v>22.961500000000001</v>
      </c>
      <c r="G3073" s="28">
        <f t="shared" si="52"/>
        <v>34.442250000000001</v>
      </c>
      <c r="H3073" s="33">
        <f>SUM(G3073:G3073)</f>
        <v>34.442250000000001</v>
      </c>
      <c r="I3073" s="34"/>
      <c r="J3073" s="138">
        <v>0</v>
      </c>
    </row>
    <row r="3074" spans="1:10" ht="15.75" hidden="1" thickBot="1" x14ac:dyDescent="0.3">
      <c r="A3074" s="227"/>
      <c r="B3074" s="224"/>
      <c r="C3074" s="30"/>
      <c r="D3074" s="30"/>
      <c r="E3074" s="31"/>
      <c r="F3074" s="25" t="s">
        <v>521</v>
      </c>
      <c r="G3074" s="28" t="str">
        <f t="shared" si="52"/>
        <v/>
      </c>
      <c r="H3074" s="29"/>
      <c r="I3074" s="25"/>
      <c r="J3074" s="138">
        <v>0</v>
      </c>
    </row>
    <row r="3075" spans="1:10" ht="15.75" hidden="1" thickBot="1" x14ac:dyDescent="0.3">
      <c r="A3075" s="220" t="s">
        <v>892</v>
      </c>
      <c r="B3075" s="222" t="e">
        <f>INDEX(Orçamentária!A:B,MATCH(Composições!A3075,Orçamentária!A:A,0),2)</f>
        <v>#N/A</v>
      </c>
      <c r="C3075" s="35"/>
      <c r="D3075" s="20" t="s">
        <v>95</v>
      </c>
      <c r="E3075" s="21"/>
      <c r="F3075" s="36" t="s">
        <v>521</v>
      </c>
      <c r="G3075" s="22" t="str">
        <f t="shared" si="52"/>
        <v/>
      </c>
      <c r="H3075" s="23"/>
      <c r="I3075" s="24"/>
      <c r="J3075" s="138">
        <v>0</v>
      </c>
    </row>
    <row r="3076" spans="1:10" ht="15.75" hidden="1" thickBot="1" x14ac:dyDescent="0.3">
      <c r="A3076" s="221"/>
      <c r="B3076" s="223"/>
      <c r="C3076" s="26"/>
      <c r="D3076" s="26"/>
      <c r="E3076" s="27"/>
      <c r="F3076" s="37" t="s">
        <v>521</v>
      </c>
      <c r="G3076" s="28" t="str">
        <f t="shared" si="52"/>
        <v/>
      </c>
      <c r="H3076" s="29"/>
      <c r="I3076" s="25"/>
      <c r="J3076" s="138">
        <v>0</v>
      </c>
    </row>
    <row r="3077" spans="1:10" ht="15.75" hidden="1" thickBot="1" x14ac:dyDescent="0.3">
      <c r="A3077" s="221"/>
      <c r="B3077" s="223"/>
      <c r="C3077" s="30" t="s">
        <v>68</v>
      </c>
      <c r="D3077" s="30" t="s">
        <v>12</v>
      </c>
      <c r="E3077" s="31">
        <v>0.47899999999999998</v>
      </c>
      <c r="F3077" s="28">
        <v>22.961500000000001</v>
      </c>
      <c r="G3077" s="28">
        <f t="shared" si="52"/>
        <v>10.9985585</v>
      </c>
      <c r="H3077" s="33">
        <f>SUM(G3077:G3081)</f>
        <v>94.961287499999997</v>
      </c>
      <c r="I3077" s="34"/>
      <c r="J3077" s="138">
        <v>0</v>
      </c>
    </row>
    <row r="3078" spans="1:10" ht="15.75" hidden="1" thickBot="1" x14ac:dyDescent="0.3">
      <c r="A3078" s="221"/>
      <c r="B3078" s="223"/>
      <c r="C3078" s="30" t="s">
        <v>23</v>
      </c>
      <c r="D3078" s="30" t="s">
        <v>12</v>
      </c>
      <c r="E3078" s="31">
        <v>0.46600000000000003</v>
      </c>
      <c r="F3078" s="28">
        <v>18.420500000000001</v>
      </c>
      <c r="G3078" s="28">
        <f t="shared" ref="G3078:G3141" si="53">IF(ISNUMBER(F3078),E3078*F3078,"")</f>
        <v>8.5839530000000011</v>
      </c>
      <c r="H3078" s="29"/>
      <c r="I3078" s="25"/>
      <c r="J3078" s="138">
        <v>0</v>
      </c>
    </row>
    <row r="3079" spans="1:10" ht="26.25" hidden="1" thickBot="1" x14ac:dyDescent="0.3">
      <c r="A3079" s="221"/>
      <c r="B3079" s="223"/>
      <c r="C3079" s="30" t="s">
        <v>1178</v>
      </c>
      <c r="D3079" s="30" t="s">
        <v>479</v>
      </c>
      <c r="E3079" s="31">
        <v>4.609</v>
      </c>
      <c r="F3079" s="25">
        <v>14.25</v>
      </c>
      <c r="G3079" s="28">
        <f t="shared" si="53"/>
        <v>65.678250000000006</v>
      </c>
      <c r="H3079" s="29"/>
      <c r="I3079" s="25"/>
      <c r="J3079" s="138">
        <v>0</v>
      </c>
    </row>
    <row r="3080" spans="1:10" ht="26.25" hidden="1" thickBot="1" x14ac:dyDescent="0.3">
      <c r="A3080" s="221"/>
      <c r="B3080" s="223"/>
      <c r="C3080" s="30" t="s">
        <v>1691</v>
      </c>
      <c r="D3080" s="30" t="s">
        <v>93</v>
      </c>
      <c r="E3080" s="31">
        <v>4.0359999999999996</v>
      </c>
      <c r="F3080" s="25">
        <v>2.4034999999999997</v>
      </c>
      <c r="G3080" s="28">
        <f t="shared" si="53"/>
        <v>9.7005259999999982</v>
      </c>
      <c r="H3080" s="29"/>
      <c r="I3080" s="25"/>
      <c r="J3080" s="138">
        <v>0</v>
      </c>
    </row>
    <row r="3081" spans="1:10" ht="15.75" hidden="1" thickBot="1" x14ac:dyDescent="0.3">
      <c r="A3081" s="221"/>
      <c r="B3081" s="223"/>
      <c r="C3081" s="30" t="s">
        <v>893</v>
      </c>
      <c r="D3081" s="30" t="s">
        <v>95</v>
      </c>
      <c r="E3081" s="31">
        <v>1</v>
      </c>
      <c r="F3081" s="25" t="s">
        <v>521</v>
      </c>
      <c r="G3081" s="28" t="str">
        <f t="shared" si="53"/>
        <v/>
      </c>
      <c r="H3081" s="29"/>
      <c r="I3081" s="25"/>
      <c r="J3081" s="138">
        <v>0</v>
      </c>
    </row>
    <row r="3082" spans="1:10" ht="15.75" hidden="1" thickBot="1" x14ac:dyDescent="0.3">
      <c r="A3082" s="227"/>
      <c r="B3082" s="224"/>
      <c r="C3082" s="30"/>
      <c r="D3082" s="30"/>
      <c r="E3082" s="31"/>
      <c r="F3082" s="25" t="s">
        <v>521</v>
      </c>
      <c r="G3082" s="28" t="str">
        <f t="shared" si="53"/>
        <v/>
      </c>
      <c r="H3082" s="29"/>
      <c r="I3082" s="25"/>
      <c r="J3082" s="138">
        <v>0</v>
      </c>
    </row>
    <row r="3083" spans="1:10" ht="15.75" hidden="1" thickBot="1" x14ac:dyDescent="0.3">
      <c r="A3083" s="220" t="s">
        <v>894</v>
      </c>
      <c r="B3083" s="222" t="e">
        <f>INDEX(Orçamentária!A:B,MATCH(Composições!A3083,Orçamentária!A:A,0),2)</f>
        <v>#N/A</v>
      </c>
      <c r="C3083" s="35"/>
      <c r="D3083" s="20" t="s">
        <v>20</v>
      </c>
      <c r="E3083" s="21"/>
      <c r="F3083" s="36" t="s">
        <v>521</v>
      </c>
      <c r="G3083" s="22" t="str">
        <f t="shared" si="53"/>
        <v/>
      </c>
      <c r="H3083" s="23"/>
      <c r="I3083" s="24"/>
      <c r="J3083" s="138">
        <v>0</v>
      </c>
    </row>
    <row r="3084" spans="1:10" ht="15.75" hidden="1" thickBot="1" x14ac:dyDescent="0.3">
      <c r="A3084" s="221"/>
      <c r="B3084" s="223"/>
      <c r="C3084" s="26"/>
      <c r="D3084" s="26"/>
      <c r="E3084" s="27"/>
      <c r="F3084" s="37" t="s">
        <v>521</v>
      </c>
      <c r="G3084" s="28" t="str">
        <f t="shared" si="53"/>
        <v/>
      </c>
      <c r="H3084" s="29"/>
      <c r="I3084" s="25"/>
      <c r="J3084" s="138">
        <v>0</v>
      </c>
    </row>
    <row r="3085" spans="1:10" ht="15.75" hidden="1" thickBot="1" x14ac:dyDescent="0.3">
      <c r="A3085" s="221"/>
      <c r="B3085" s="223"/>
      <c r="C3085" s="30" t="s">
        <v>68</v>
      </c>
      <c r="D3085" s="41" t="s">
        <v>12</v>
      </c>
      <c r="E3085" s="31">
        <v>0.4</v>
      </c>
      <c r="F3085" s="28">
        <v>22.961500000000001</v>
      </c>
      <c r="G3085" s="28">
        <f t="shared" si="53"/>
        <v>9.1846000000000014</v>
      </c>
      <c r="H3085" s="33">
        <f>SUM(G3085:G3086)</f>
        <v>9.1846000000000014</v>
      </c>
      <c r="I3085" s="34"/>
      <c r="J3085" s="138">
        <v>0</v>
      </c>
    </row>
    <row r="3086" spans="1:10" ht="15.75" hidden="1" thickBot="1" x14ac:dyDescent="0.3">
      <c r="A3086" s="221"/>
      <c r="B3086" s="223"/>
      <c r="C3086" s="30" t="s">
        <v>895</v>
      </c>
      <c r="D3086" s="41" t="s">
        <v>20</v>
      </c>
      <c r="E3086" s="31">
        <v>1</v>
      </c>
      <c r="F3086" s="25" t="s">
        <v>521</v>
      </c>
      <c r="G3086" s="28" t="str">
        <f t="shared" si="53"/>
        <v/>
      </c>
      <c r="H3086" s="29"/>
      <c r="I3086" s="25"/>
      <c r="J3086" s="138">
        <v>0</v>
      </c>
    </row>
    <row r="3087" spans="1:10" ht="15.75" hidden="1" thickBot="1" x14ac:dyDescent="0.3">
      <c r="A3087" s="227"/>
      <c r="B3087" s="224"/>
      <c r="C3087" s="30"/>
      <c r="D3087" s="30"/>
      <c r="E3087" s="31"/>
      <c r="F3087" s="25" t="s">
        <v>521</v>
      </c>
      <c r="G3087" s="28" t="str">
        <f t="shared" si="53"/>
        <v/>
      </c>
      <c r="H3087" s="29"/>
      <c r="I3087" s="25"/>
      <c r="J3087" s="138">
        <v>0</v>
      </c>
    </row>
    <row r="3088" spans="1:10" ht="15.75" hidden="1" thickBot="1" x14ac:dyDescent="0.3">
      <c r="A3088" s="220" t="s">
        <v>896</v>
      </c>
      <c r="B3088" s="222" t="e">
        <f>INDEX(Orçamentária!A:B,MATCH(Composições!A3088,Orçamentária!A:A,0),2)</f>
        <v>#N/A</v>
      </c>
      <c r="C3088" s="35"/>
      <c r="D3088" s="20" t="s">
        <v>42</v>
      </c>
      <c r="E3088" s="21"/>
      <c r="F3088" s="36" t="s">
        <v>521</v>
      </c>
      <c r="G3088" s="22" t="str">
        <f t="shared" si="53"/>
        <v/>
      </c>
      <c r="H3088" s="23"/>
      <c r="I3088" s="24"/>
      <c r="J3088" s="138">
        <v>0</v>
      </c>
    </row>
    <row r="3089" spans="1:10" ht="15.75" hidden="1" thickBot="1" x14ac:dyDescent="0.3">
      <c r="A3089" s="221"/>
      <c r="B3089" s="223"/>
      <c r="C3089" s="26"/>
      <c r="D3089" s="26"/>
      <c r="E3089" s="27"/>
      <c r="F3089" s="37" t="s">
        <v>521</v>
      </c>
      <c r="G3089" s="28" t="str">
        <f t="shared" si="53"/>
        <v/>
      </c>
      <c r="H3089" s="29"/>
      <c r="I3089" s="25"/>
      <c r="J3089" s="138">
        <v>0</v>
      </c>
    </row>
    <row r="3090" spans="1:10" ht="39" hidden="1" thickBot="1" x14ac:dyDescent="0.3">
      <c r="A3090" s="221"/>
      <c r="B3090" s="223"/>
      <c r="C3090" s="30" t="s">
        <v>898</v>
      </c>
      <c r="D3090" s="41" t="s">
        <v>279</v>
      </c>
      <c r="E3090" s="31">
        <v>0.74299999999999999</v>
      </c>
      <c r="F3090" s="25">
        <v>0.20899999999999999</v>
      </c>
      <c r="G3090" s="28">
        <f t="shared" si="53"/>
        <v>0.15528699999999998</v>
      </c>
      <c r="H3090" s="33">
        <f>SUM(G3090:G3094)</f>
        <v>14.547639750000002</v>
      </c>
      <c r="I3090" s="34"/>
      <c r="J3090" s="138">
        <v>0</v>
      </c>
    </row>
    <row r="3091" spans="1:10" ht="26.25" hidden="1" thickBot="1" x14ac:dyDescent="0.3">
      <c r="A3091" s="221"/>
      <c r="B3091" s="223"/>
      <c r="C3091" s="30" t="s">
        <v>1808</v>
      </c>
      <c r="D3091" s="41" t="s">
        <v>897</v>
      </c>
      <c r="E3091" s="31">
        <v>2.5000000000000001E-2</v>
      </c>
      <c r="F3091" s="25">
        <v>22.61</v>
      </c>
      <c r="G3091" s="28">
        <f t="shared" si="53"/>
        <v>0.56525000000000003</v>
      </c>
      <c r="H3091" s="29"/>
      <c r="I3091" s="25"/>
      <c r="J3091" s="138">
        <v>0</v>
      </c>
    </row>
    <row r="3092" spans="1:10" ht="15.75" hidden="1" thickBot="1" x14ac:dyDescent="0.3">
      <c r="A3092" s="221"/>
      <c r="B3092" s="223"/>
      <c r="C3092" s="30" t="s">
        <v>899</v>
      </c>
      <c r="D3092" s="41" t="s">
        <v>702</v>
      </c>
      <c r="E3092" s="31">
        <v>9.1999999999999998E-3</v>
      </c>
      <c r="F3092" s="25">
        <v>18.3825</v>
      </c>
      <c r="G3092" s="28">
        <f t="shared" si="53"/>
        <v>0.16911899999999999</v>
      </c>
      <c r="H3092" s="29"/>
      <c r="I3092" s="25"/>
      <c r="J3092" s="138">
        <v>0</v>
      </c>
    </row>
    <row r="3093" spans="1:10" ht="15.75" hidden="1" thickBot="1" x14ac:dyDescent="0.3">
      <c r="A3093" s="221"/>
      <c r="B3093" s="223"/>
      <c r="C3093" s="30" t="s">
        <v>900</v>
      </c>
      <c r="D3093" s="30" t="s">
        <v>702</v>
      </c>
      <c r="E3093" s="31">
        <v>5.6099999999999997E-2</v>
      </c>
      <c r="F3093" s="25">
        <v>24.747499999999999</v>
      </c>
      <c r="G3093" s="28">
        <f t="shared" si="53"/>
        <v>1.3883347499999998</v>
      </c>
      <c r="H3093" s="29"/>
      <c r="I3093" s="25"/>
      <c r="J3093" s="138">
        <v>0</v>
      </c>
    </row>
    <row r="3094" spans="1:10" ht="15.75" hidden="1" thickBot="1" x14ac:dyDescent="0.3">
      <c r="A3094" s="221"/>
      <c r="B3094" s="223"/>
      <c r="C3094" s="30" t="s">
        <v>2798</v>
      </c>
      <c r="D3094" s="30" t="s">
        <v>897</v>
      </c>
      <c r="E3094" s="31">
        <v>1</v>
      </c>
      <c r="F3094" s="25">
        <v>12.269649000000001</v>
      </c>
      <c r="G3094" s="28">
        <f t="shared" si="53"/>
        <v>12.269649000000001</v>
      </c>
      <c r="H3094" s="29"/>
      <c r="I3094" s="25"/>
      <c r="J3094" s="138">
        <v>0</v>
      </c>
    </row>
    <row r="3095" spans="1:10" ht="15.75" hidden="1" thickBot="1" x14ac:dyDescent="0.3">
      <c r="A3095" s="227"/>
      <c r="B3095" s="224"/>
      <c r="C3095" s="30"/>
      <c r="D3095" s="30"/>
      <c r="E3095" s="31"/>
      <c r="F3095" s="25" t="s">
        <v>521</v>
      </c>
      <c r="G3095" s="28" t="str">
        <f t="shared" si="53"/>
        <v/>
      </c>
      <c r="H3095" s="29"/>
      <c r="I3095" s="25"/>
      <c r="J3095" s="138">
        <v>0</v>
      </c>
    </row>
    <row r="3096" spans="1:10" ht="15.75" hidden="1" thickBot="1" x14ac:dyDescent="0.3">
      <c r="A3096" s="220" t="s">
        <v>901</v>
      </c>
      <c r="B3096" s="222" t="e">
        <f>INDEX(Orçamentária!A:B,MATCH(Composições!A3096,Orçamentária!A:A,0),2)</f>
        <v>#N/A</v>
      </c>
      <c r="C3096" s="35"/>
      <c r="D3096" s="20" t="s">
        <v>20</v>
      </c>
      <c r="E3096" s="21"/>
      <c r="F3096" s="36" t="s">
        <v>521</v>
      </c>
      <c r="G3096" s="22" t="str">
        <f t="shared" si="53"/>
        <v/>
      </c>
      <c r="H3096" s="23"/>
      <c r="I3096" s="24"/>
      <c r="J3096" s="138">
        <v>0</v>
      </c>
    </row>
    <row r="3097" spans="1:10" ht="15.75" hidden="1" thickBot="1" x14ac:dyDescent="0.3">
      <c r="A3097" s="221"/>
      <c r="B3097" s="223"/>
      <c r="C3097" s="26"/>
      <c r="D3097" s="26"/>
      <c r="E3097" s="27"/>
      <c r="F3097" s="37" t="s">
        <v>521</v>
      </c>
      <c r="G3097" s="28" t="str">
        <f t="shared" si="53"/>
        <v/>
      </c>
      <c r="H3097" s="29"/>
      <c r="I3097" s="25"/>
      <c r="J3097" s="138">
        <v>0</v>
      </c>
    </row>
    <row r="3098" spans="1:10" ht="15.75" hidden="1" thickBot="1" x14ac:dyDescent="0.3">
      <c r="A3098" s="221"/>
      <c r="B3098" s="223"/>
      <c r="C3098" s="30" t="s">
        <v>68</v>
      </c>
      <c r="D3098" s="30" t="s">
        <v>12</v>
      </c>
      <c r="E3098" s="31">
        <v>0.2</v>
      </c>
      <c r="F3098" s="28">
        <v>22.961500000000001</v>
      </c>
      <c r="G3098" s="28">
        <f t="shared" si="53"/>
        <v>4.5923000000000007</v>
      </c>
      <c r="H3098" s="33">
        <f>SUM(G3098:G3099)</f>
        <v>4.5923000000000007</v>
      </c>
      <c r="I3098" s="34"/>
      <c r="J3098" s="138">
        <v>0</v>
      </c>
    </row>
    <row r="3099" spans="1:10" ht="26.25" hidden="1" thickBot="1" x14ac:dyDescent="0.3">
      <c r="A3099" s="221"/>
      <c r="B3099" s="223"/>
      <c r="C3099" s="30" t="s">
        <v>902</v>
      </c>
      <c r="D3099" s="30" t="s">
        <v>20</v>
      </c>
      <c r="E3099" s="31">
        <v>1</v>
      </c>
      <c r="F3099" s="25" t="s">
        <v>521</v>
      </c>
      <c r="G3099" s="28" t="str">
        <f t="shared" si="53"/>
        <v/>
      </c>
      <c r="H3099" s="29"/>
      <c r="I3099" s="25"/>
      <c r="J3099" s="138">
        <v>0</v>
      </c>
    </row>
    <row r="3100" spans="1:10" ht="15.75" hidden="1" thickBot="1" x14ac:dyDescent="0.3">
      <c r="A3100" s="227"/>
      <c r="B3100" s="224"/>
      <c r="C3100" s="30"/>
      <c r="D3100" s="30"/>
      <c r="E3100" s="31"/>
      <c r="F3100" s="25" t="s">
        <v>521</v>
      </c>
      <c r="G3100" s="28" t="str">
        <f t="shared" si="53"/>
        <v/>
      </c>
      <c r="H3100" s="29"/>
      <c r="I3100" s="25"/>
      <c r="J3100" s="138">
        <v>0</v>
      </c>
    </row>
    <row r="3101" spans="1:10" ht="15.75" hidden="1" thickBot="1" x14ac:dyDescent="0.3">
      <c r="A3101" s="220" t="s">
        <v>903</v>
      </c>
      <c r="B3101" s="222" t="e">
        <f>INDEX(Orçamentária!A:B,MATCH(Composições!A3101,Orçamentária!A:A,0),2)</f>
        <v>#N/A</v>
      </c>
      <c r="C3101" s="35"/>
      <c r="D3101" s="20" t="s">
        <v>20</v>
      </c>
      <c r="E3101" s="21"/>
      <c r="F3101" s="36" t="s">
        <v>521</v>
      </c>
      <c r="G3101" s="22" t="str">
        <f t="shared" si="53"/>
        <v/>
      </c>
      <c r="H3101" s="23"/>
      <c r="I3101" s="24"/>
      <c r="J3101" s="138">
        <v>0</v>
      </c>
    </row>
    <row r="3102" spans="1:10" ht="15.75" hidden="1" thickBot="1" x14ac:dyDescent="0.3">
      <c r="A3102" s="221"/>
      <c r="B3102" s="223"/>
      <c r="C3102" s="26"/>
      <c r="D3102" s="26"/>
      <c r="E3102" s="27"/>
      <c r="F3102" s="37" t="s">
        <v>521</v>
      </c>
      <c r="G3102" s="28" t="str">
        <f t="shared" si="53"/>
        <v/>
      </c>
      <c r="H3102" s="29"/>
      <c r="I3102" s="25"/>
      <c r="J3102" s="138">
        <v>0</v>
      </c>
    </row>
    <row r="3103" spans="1:10" ht="15.75" hidden="1" thickBot="1" x14ac:dyDescent="0.3">
      <c r="A3103" s="221"/>
      <c r="B3103" s="223"/>
      <c r="C3103" s="30" t="s">
        <v>68</v>
      </c>
      <c r="D3103" s="30" t="s">
        <v>12</v>
      </c>
      <c r="E3103" s="31">
        <v>0.3</v>
      </c>
      <c r="F3103" s="28">
        <v>22.961500000000001</v>
      </c>
      <c r="G3103" s="28">
        <f t="shared" si="53"/>
        <v>6.8884499999999997</v>
      </c>
      <c r="H3103" s="33">
        <f>SUM(G3103:G3104)</f>
        <v>6.8884499999999997</v>
      </c>
      <c r="I3103" s="34"/>
      <c r="J3103" s="138">
        <v>0</v>
      </c>
    </row>
    <row r="3104" spans="1:10" ht="39" hidden="1" thickBot="1" x14ac:dyDescent="0.3">
      <c r="A3104" s="221"/>
      <c r="B3104" s="223"/>
      <c r="C3104" s="30" t="s">
        <v>904</v>
      </c>
      <c r="D3104" s="30" t="s">
        <v>20</v>
      </c>
      <c r="E3104" s="31">
        <v>1</v>
      </c>
      <c r="F3104" s="25" t="s">
        <v>521</v>
      </c>
      <c r="G3104" s="28" t="str">
        <f t="shared" si="53"/>
        <v/>
      </c>
      <c r="H3104" s="29"/>
      <c r="I3104" s="25"/>
      <c r="J3104" s="138">
        <v>0</v>
      </c>
    </row>
    <row r="3105" spans="1:10" ht="15.75" hidden="1" thickBot="1" x14ac:dyDescent="0.3">
      <c r="A3105" s="227"/>
      <c r="B3105" s="224"/>
      <c r="C3105" s="30"/>
      <c r="D3105" s="30"/>
      <c r="E3105" s="31"/>
      <c r="F3105" s="25" t="s">
        <v>521</v>
      </c>
      <c r="G3105" s="28" t="str">
        <f t="shared" si="53"/>
        <v/>
      </c>
      <c r="H3105" s="29"/>
      <c r="I3105" s="25"/>
      <c r="J3105" s="138">
        <v>0</v>
      </c>
    </row>
    <row r="3106" spans="1:10" ht="15.75" hidden="1" thickBot="1" x14ac:dyDescent="0.3">
      <c r="A3106" s="220" t="s">
        <v>905</v>
      </c>
      <c r="B3106" s="222" t="e">
        <f>INDEX(Orçamentária!A:B,MATCH(Composições!A3106,Orçamentária!A:A,0),2)</f>
        <v>#N/A</v>
      </c>
      <c r="C3106" s="35"/>
      <c r="D3106" s="20" t="s">
        <v>20</v>
      </c>
      <c r="E3106" s="21"/>
      <c r="F3106" s="36" t="s">
        <v>521</v>
      </c>
      <c r="G3106" s="22" t="str">
        <f t="shared" si="53"/>
        <v/>
      </c>
      <c r="H3106" s="23"/>
      <c r="I3106" s="24"/>
      <c r="J3106" s="138">
        <v>0</v>
      </c>
    </row>
    <row r="3107" spans="1:10" ht="15.75" hidden="1" thickBot="1" x14ac:dyDescent="0.3">
      <c r="A3107" s="221"/>
      <c r="B3107" s="223"/>
      <c r="C3107" s="26"/>
      <c r="D3107" s="26"/>
      <c r="E3107" s="27"/>
      <c r="F3107" s="37" t="s">
        <v>521</v>
      </c>
      <c r="G3107" s="28" t="str">
        <f t="shared" si="53"/>
        <v/>
      </c>
      <c r="H3107" s="29"/>
      <c r="I3107" s="25"/>
      <c r="J3107" s="138">
        <v>0</v>
      </c>
    </row>
    <row r="3108" spans="1:10" ht="15.75" hidden="1" thickBot="1" x14ac:dyDescent="0.3">
      <c r="A3108" s="221"/>
      <c r="B3108" s="223"/>
      <c r="C3108" s="30" t="s">
        <v>68</v>
      </c>
      <c r="D3108" s="30" t="s">
        <v>12</v>
      </c>
      <c r="E3108" s="31">
        <v>0.3</v>
      </c>
      <c r="F3108" s="28">
        <v>22.961500000000001</v>
      </c>
      <c r="G3108" s="28">
        <f t="shared" si="53"/>
        <v>6.8884499999999997</v>
      </c>
      <c r="H3108" s="33">
        <f>SUM(G3108:G3109)</f>
        <v>6.8884499999999997</v>
      </c>
      <c r="I3108" s="34"/>
      <c r="J3108" s="138">
        <v>0</v>
      </c>
    </row>
    <row r="3109" spans="1:10" ht="39" hidden="1" thickBot="1" x14ac:dyDescent="0.3">
      <c r="A3109" s="221"/>
      <c r="B3109" s="223"/>
      <c r="C3109" s="30" t="s">
        <v>906</v>
      </c>
      <c r="D3109" s="30" t="s">
        <v>20</v>
      </c>
      <c r="E3109" s="31">
        <v>1</v>
      </c>
      <c r="F3109" s="25" t="s">
        <v>521</v>
      </c>
      <c r="G3109" s="28" t="str">
        <f t="shared" si="53"/>
        <v/>
      </c>
      <c r="H3109" s="29"/>
      <c r="I3109" s="25"/>
      <c r="J3109" s="138">
        <v>0</v>
      </c>
    </row>
    <row r="3110" spans="1:10" ht="15.75" hidden="1" thickBot="1" x14ac:dyDescent="0.3">
      <c r="A3110" s="227"/>
      <c r="B3110" s="224"/>
      <c r="C3110" s="30"/>
      <c r="D3110" s="30"/>
      <c r="E3110" s="31"/>
      <c r="F3110" s="25" t="s">
        <v>521</v>
      </c>
      <c r="G3110" s="28" t="str">
        <f t="shared" si="53"/>
        <v/>
      </c>
      <c r="H3110" s="29"/>
      <c r="I3110" s="25"/>
      <c r="J3110" s="138">
        <v>0</v>
      </c>
    </row>
    <row r="3111" spans="1:10" ht="15.75" hidden="1" thickBot="1" x14ac:dyDescent="0.3">
      <c r="A3111" s="220" t="s">
        <v>907</v>
      </c>
      <c r="B3111" s="222" t="e">
        <f>INDEX(Orçamentária!A:B,MATCH(Composições!A3111,Orçamentária!A:A,0),2)</f>
        <v>#N/A</v>
      </c>
      <c r="C3111" s="35"/>
      <c r="D3111" s="20" t="s">
        <v>20</v>
      </c>
      <c r="E3111" s="21"/>
      <c r="F3111" s="36" t="s">
        <v>521</v>
      </c>
      <c r="G3111" s="22" t="str">
        <f t="shared" si="53"/>
        <v/>
      </c>
      <c r="H3111" s="23"/>
      <c r="I3111" s="24"/>
      <c r="J3111" s="138">
        <v>0</v>
      </c>
    </row>
    <row r="3112" spans="1:10" ht="15.75" hidden="1" thickBot="1" x14ac:dyDescent="0.3">
      <c r="A3112" s="221"/>
      <c r="B3112" s="223"/>
      <c r="C3112" s="26"/>
      <c r="D3112" s="26"/>
      <c r="E3112" s="27"/>
      <c r="F3112" s="37" t="s">
        <v>521</v>
      </c>
      <c r="G3112" s="28" t="str">
        <f t="shared" si="53"/>
        <v/>
      </c>
      <c r="H3112" s="29"/>
      <c r="I3112" s="25"/>
      <c r="J3112" s="138">
        <v>0</v>
      </c>
    </row>
    <row r="3113" spans="1:10" ht="15.75" hidden="1" thickBot="1" x14ac:dyDescent="0.3">
      <c r="A3113" s="221"/>
      <c r="B3113" s="223"/>
      <c r="C3113" s="30" t="s">
        <v>68</v>
      </c>
      <c r="D3113" s="30" t="s">
        <v>12</v>
      </c>
      <c r="E3113" s="31">
        <v>0.3</v>
      </c>
      <c r="F3113" s="28">
        <v>22.961500000000001</v>
      </c>
      <c r="G3113" s="28">
        <f t="shared" si="53"/>
        <v>6.8884499999999997</v>
      </c>
      <c r="H3113" s="33">
        <f>SUM(G3113:G3114)</f>
        <v>6.8884499999999997</v>
      </c>
      <c r="I3113" s="34"/>
      <c r="J3113" s="138">
        <v>0</v>
      </c>
    </row>
    <row r="3114" spans="1:10" ht="26.25" hidden="1" thickBot="1" x14ac:dyDescent="0.3">
      <c r="A3114" s="221"/>
      <c r="B3114" s="223"/>
      <c r="C3114" s="30" t="s">
        <v>908</v>
      </c>
      <c r="D3114" s="30" t="s">
        <v>20</v>
      </c>
      <c r="E3114" s="31">
        <v>1</v>
      </c>
      <c r="F3114" s="25" t="s">
        <v>521</v>
      </c>
      <c r="G3114" s="28" t="str">
        <f t="shared" si="53"/>
        <v/>
      </c>
      <c r="H3114" s="29"/>
      <c r="I3114" s="25"/>
      <c r="J3114" s="138">
        <v>0</v>
      </c>
    </row>
    <row r="3115" spans="1:10" ht="15.75" hidden="1" thickBot="1" x14ac:dyDescent="0.3">
      <c r="A3115" s="227"/>
      <c r="B3115" s="224"/>
      <c r="C3115" s="30"/>
      <c r="D3115" s="30"/>
      <c r="E3115" s="31"/>
      <c r="F3115" s="25" t="s">
        <v>521</v>
      </c>
      <c r="G3115" s="28" t="str">
        <f t="shared" si="53"/>
        <v/>
      </c>
      <c r="H3115" s="29"/>
      <c r="I3115" s="25"/>
      <c r="J3115" s="138">
        <v>0</v>
      </c>
    </row>
    <row r="3116" spans="1:10" ht="15.75" hidden="1" thickBot="1" x14ac:dyDescent="0.3">
      <c r="A3116" s="220" t="s">
        <v>909</v>
      </c>
      <c r="B3116" s="222" t="e">
        <f>INDEX(Orçamentária!A:B,MATCH(Composições!A3116,Orçamentária!A:A,0),2)</f>
        <v>#N/A</v>
      </c>
      <c r="C3116" s="35"/>
      <c r="D3116" s="20" t="s">
        <v>20</v>
      </c>
      <c r="E3116" s="21"/>
      <c r="F3116" s="36" t="s">
        <v>521</v>
      </c>
      <c r="G3116" s="22" t="str">
        <f t="shared" si="53"/>
        <v/>
      </c>
      <c r="H3116" s="23"/>
      <c r="I3116" s="24"/>
      <c r="J3116" s="138">
        <v>0</v>
      </c>
    </row>
    <row r="3117" spans="1:10" ht="15.75" hidden="1" thickBot="1" x14ac:dyDescent="0.3">
      <c r="A3117" s="221"/>
      <c r="B3117" s="223"/>
      <c r="C3117" s="26"/>
      <c r="D3117" s="26"/>
      <c r="E3117" s="27"/>
      <c r="F3117" s="37" t="s">
        <v>521</v>
      </c>
      <c r="G3117" s="28" t="str">
        <f t="shared" si="53"/>
        <v/>
      </c>
      <c r="H3117" s="29"/>
      <c r="I3117" s="25"/>
      <c r="J3117" s="138">
        <v>0</v>
      </c>
    </row>
    <row r="3118" spans="1:10" ht="15.75" hidden="1" thickBot="1" x14ac:dyDescent="0.3">
      <c r="A3118" s="221"/>
      <c r="B3118" s="223"/>
      <c r="C3118" s="30" t="s">
        <v>68</v>
      </c>
      <c r="D3118" s="30" t="s">
        <v>12</v>
      </c>
      <c r="E3118" s="31">
        <v>0.15</v>
      </c>
      <c r="F3118" s="28">
        <v>22.961500000000001</v>
      </c>
      <c r="G3118" s="28">
        <f t="shared" si="53"/>
        <v>3.4442249999999999</v>
      </c>
      <c r="H3118" s="33">
        <f>SUM(G3118:G3119)</f>
        <v>3.4442249999999999</v>
      </c>
      <c r="I3118" s="34"/>
      <c r="J3118" s="138">
        <v>0</v>
      </c>
    </row>
    <row r="3119" spans="1:10" ht="26.25" hidden="1" thickBot="1" x14ac:dyDescent="0.3">
      <c r="A3119" s="221"/>
      <c r="B3119" s="223"/>
      <c r="C3119" s="30" t="s">
        <v>910</v>
      </c>
      <c r="D3119" s="30" t="s">
        <v>20</v>
      </c>
      <c r="E3119" s="31">
        <v>1</v>
      </c>
      <c r="F3119" s="25" t="s">
        <v>521</v>
      </c>
      <c r="G3119" s="28" t="str">
        <f t="shared" si="53"/>
        <v/>
      </c>
      <c r="H3119" s="29"/>
      <c r="I3119" s="25"/>
      <c r="J3119" s="138">
        <v>0</v>
      </c>
    </row>
    <row r="3120" spans="1:10" ht="15.75" hidden="1" thickBot="1" x14ac:dyDescent="0.3">
      <c r="A3120" s="227"/>
      <c r="B3120" s="224"/>
      <c r="C3120" s="30"/>
      <c r="D3120" s="30"/>
      <c r="E3120" s="31"/>
      <c r="F3120" s="25" t="s">
        <v>521</v>
      </c>
      <c r="G3120" s="28" t="str">
        <f t="shared" si="53"/>
        <v/>
      </c>
      <c r="H3120" s="29"/>
      <c r="I3120" s="25"/>
      <c r="J3120" s="138">
        <v>0</v>
      </c>
    </row>
    <row r="3121" spans="1:10" ht="15.75" hidden="1" thickBot="1" x14ac:dyDescent="0.3">
      <c r="A3121" s="220" t="s">
        <v>911</v>
      </c>
      <c r="B3121" s="222" t="e">
        <f>INDEX(Orçamentária!A:B,MATCH(Composições!A3121,Orçamentária!A:A,0),2)</f>
        <v>#N/A</v>
      </c>
      <c r="C3121" s="35"/>
      <c r="D3121" s="20" t="s">
        <v>20</v>
      </c>
      <c r="E3121" s="21"/>
      <c r="F3121" s="36" t="s">
        <v>521</v>
      </c>
      <c r="G3121" s="22" t="str">
        <f t="shared" si="53"/>
        <v/>
      </c>
      <c r="H3121" s="23"/>
      <c r="I3121" s="24"/>
      <c r="J3121" s="138">
        <v>0</v>
      </c>
    </row>
    <row r="3122" spans="1:10" ht="15.75" hidden="1" thickBot="1" x14ac:dyDescent="0.3">
      <c r="A3122" s="221"/>
      <c r="B3122" s="223"/>
      <c r="C3122" s="26"/>
      <c r="D3122" s="26"/>
      <c r="E3122" s="27"/>
      <c r="F3122" s="37" t="s">
        <v>521</v>
      </c>
      <c r="G3122" s="28" t="str">
        <f t="shared" si="53"/>
        <v/>
      </c>
      <c r="H3122" s="29"/>
      <c r="I3122" s="25"/>
      <c r="J3122" s="138">
        <v>0</v>
      </c>
    </row>
    <row r="3123" spans="1:10" ht="15.75" hidden="1" thickBot="1" x14ac:dyDescent="0.3">
      <c r="A3123" s="221"/>
      <c r="B3123" s="223"/>
      <c r="C3123" s="30" t="s">
        <v>68</v>
      </c>
      <c r="D3123" s="30" t="s">
        <v>12</v>
      </c>
      <c r="E3123" s="31">
        <v>0.15</v>
      </c>
      <c r="F3123" s="28">
        <v>22.961500000000001</v>
      </c>
      <c r="G3123" s="28">
        <f t="shared" si="53"/>
        <v>3.4442249999999999</v>
      </c>
      <c r="H3123" s="33">
        <f>SUM(G3123:G3124)</f>
        <v>3.4442249999999999</v>
      </c>
      <c r="I3123" s="34"/>
      <c r="J3123" s="138">
        <v>0</v>
      </c>
    </row>
    <row r="3124" spans="1:10" ht="26.25" hidden="1" thickBot="1" x14ac:dyDescent="0.3">
      <c r="A3124" s="221"/>
      <c r="B3124" s="223"/>
      <c r="C3124" s="30" t="s">
        <v>912</v>
      </c>
      <c r="D3124" s="30" t="s">
        <v>20</v>
      </c>
      <c r="E3124" s="31">
        <v>1</v>
      </c>
      <c r="F3124" s="25" t="s">
        <v>521</v>
      </c>
      <c r="G3124" s="28" t="str">
        <f t="shared" si="53"/>
        <v/>
      </c>
      <c r="H3124" s="29"/>
      <c r="I3124" s="25"/>
      <c r="J3124" s="138">
        <v>0</v>
      </c>
    </row>
    <row r="3125" spans="1:10" ht="15.75" hidden="1" thickBot="1" x14ac:dyDescent="0.3">
      <c r="A3125" s="227"/>
      <c r="B3125" s="224"/>
      <c r="C3125" s="30"/>
      <c r="D3125" s="30"/>
      <c r="E3125" s="31"/>
      <c r="F3125" s="25" t="s">
        <v>521</v>
      </c>
      <c r="G3125" s="28" t="str">
        <f t="shared" si="53"/>
        <v/>
      </c>
      <c r="H3125" s="29"/>
      <c r="I3125" s="25"/>
      <c r="J3125" s="138">
        <v>0</v>
      </c>
    </row>
    <row r="3126" spans="1:10" ht="15.75" hidden="1" thickBot="1" x14ac:dyDescent="0.3">
      <c r="A3126" s="220" t="s">
        <v>913</v>
      </c>
      <c r="B3126" s="222" t="e">
        <f>INDEX(Orçamentária!A:B,MATCH(Composições!A3126,Orçamentária!A:A,0),2)</f>
        <v>#N/A</v>
      </c>
      <c r="C3126" s="35"/>
      <c r="D3126" s="20" t="s">
        <v>20</v>
      </c>
      <c r="E3126" s="21"/>
      <c r="F3126" s="36" t="s">
        <v>521</v>
      </c>
      <c r="G3126" s="22" t="str">
        <f t="shared" si="53"/>
        <v/>
      </c>
      <c r="H3126" s="23"/>
      <c r="I3126" s="24"/>
      <c r="J3126" s="138">
        <v>0</v>
      </c>
    </row>
    <row r="3127" spans="1:10" ht="15.75" hidden="1" thickBot="1" x14ac:dyDescent="0.3">
      <c r="A3127" s="221"/>
      <c r="B3127" s="223"/>
      <c r="C3127" s="26"/>
      <c r="D3127" s="26"/>
      <c r="E3127" s="27"/>
      <c r="F3127" s="37" t="s">
        <v>521</v>
      </c>
      <c r="G3127" s="28" t="str">
        <f t="shared" si="53"/>
        <v/>
      </c>
      <c r="H3127" s="29"/>
      <c r="I3127" s="25"/>
      <c r="J3127" s="138">
        <v>0</v>
      </c>
    </row>
    <row r="3128" spans="1:10" ht="15.75" hidden="1" thickBot="1" x14ac:dyDescent="0.3">
      <c r="A3128" s="221"/>
      <c r="B3128" s="223"/>
      <c r="C3128" s="30" t="s">
        <v>68</v>
      </c>
      <c r="D3128" s="30" t="s">
        <v>12</v>
      </c>
      <c r="E3128" s="31">
        <v>0.15</v>
      </c>
      <c r="F3128" s="28">
        <v>22.961500000000001</v>
      </c>
      <c r="G3128" s="28">
        <f t="shared" si="53"/>
        <v>3.4442249999999999</v>
      </c>
      <c r="H3128" s="33">
        <f>SUM(G3128:G3129)</f>
        <v>3.4442249999999999</v>
      </c>
      <c r="I3128" s="34"/>
      <c r="J3128" s="138">
        <v>0</v>
      </c>
    </row>
    <row r="3129" spans="1:10" ht="26.25" hidden="1" thickBot="1" x14ac:dyDescent="0.3">
      <c r="A3129" s="221"/>
      <c r="B3129" s="223"/>
      <c r="C3129" s="30" t="s">
        <v>914</v>
      </c>
      <c r="D3129" s="30" t="s">
        <v>20</v>
      </c>
      <c r="E3129" s="31">
        <v>1</v>
      </c>
      <c r="F3129" s="25" t="s">
        <v>521</v>
      </c>
      <c r="G3129" s="28" t="str">
        <f t="shared" si="53"/>
        <v/>
      </c>
      <c r="H3129" s="29"/>
      <c r="I3129" s="25"/>
      <c r="J3129" s="138">
        <v>0</v>
      </c>
    </row>
    <row r="3130" spans="1:10" ht="15.75" hidden="1" thickBot="1" x14ac:dyDescent="0.3">
      <c r="A3130" s="227"/>
      <c r="B3130" s="224"/>
      <c r="C3130" s="30"/>
      <c r="D3130" s="30"/>
      <c r="E3130" s="31"/>
      <c r="F3130" s="25" t="s">
        <v>521</v>
      </c>
      <c r="G3130" s="28" t="str">
        <f t="shared" si="53"/>
        <v/>
      </c>
      <c r="H3130" s="29"/>
      <c r="I3130" s="25"/>
      <c r="J3130" s="138">
        <v>0</v>
      </c>
    </row>
    <row r="3131" spans="1:10" ht="15.75" hidden="1" thickBot="1" x14ac:dyDescent="0.3">
      <c r="A3131" s="220" t="s">
        <v>915</v>
      </c>
      <c r="B3131" s="222" t="e">
        <f>INDEX(Orçamentária!A:B,MATCH(Composições!A3131,Orçamentária!A:A,0),2)</f>
        <v>#N/A</v>
      </c>
      <c r="C3131" s="35"/>
      <c r="D3131" s="20" t="s">
        <v>20</v>
      </c>
      <c r="E3131" s="21"/>
      <c r="F3131" s="36" t="s">
        <v>521</v>
      </c>
      <c r="G3131" s="22" t="str">
        <f t="shared" si="53"/>
        <v/>
      </c>
      <c r="H3131" s="23"/>
      <c r="I3131" s="24"/>
      <c r="J3131" s="138">
        <v>0</v>
      </c>
    </row>
    <row r="3132" spans="1:10" ht="15.75" hidden="1" thickBot="1" x14ac:dyDescent="0.3">
      <c r="A3132" s="221"/>
      <c r="B3132" s="223"/>
      <c r="C3132" s="26"/>
      <c r="D3132" s="26"/>
      <c r="E3132" s="27"/>
      <c r="F3132" s="37" t="s">
        <v>521</v>
      </c>
      <c r="G3132" s="28" t="str">
        <f t="shared" si="53"/>
        <v/>
      </c>
      <c r="H3132" s="29"/>
      <c r="I3132" s="25"/>
      <c r="J3132" s="138">
        <v>0</v>
      </c>
    </row>
    <row r="3133" spans="1:10" ht="15.75" hidden="1" thickBot="1" x14ac:dyDescent="0.3">
      <c r="A3133" s="221"/>
      <c r="B3133" s="223"/>
      <c r="C3133" s="30" t="s">
        <v>68</v>
      </c>
      <c r="D3133" s="30" t="s">
        <v>12</v>
      </c>
      <c r="E3133" s="31">
        <v>0.15</v>
      </c>
      <c r="F3133" s="28">
        <v>22.961500000000001</v>
      </c>
      <c r="G3133" s="28">
        <f t="shared" si="53"/>
        <v>3.4442249999999999</v>
      </c>
      <c r="H3133" s="33">
        <f>SUM(G3133:G3134)</f>
        <v>3.4442249999999999</v>
      </c>
      <c r="I3133" s="34"/>
      <c r="J3133" s="138">
        <v>0</v>
      </c>
    </row>
    <row r="3134" spans="1:10" ht="15.75" hidden="1" thickBot="1" x14ac:dyDescent="0.3">
      <c r="A3134" s="221"/>
      <c r="B3134" s="223"/>
      <c r="C3134" s="30" t="s">
        <v>916</v>
      </c>
      <c r="D3134" s="30" t="s">
        <v>20</v>
      </c>
      <c r="E3134" s="31">
        <v>1</v>
      </c>
      <c r="F3134" s="25" t="s">
        <v>521</v>
      </c>
      <c r="G3134" s="28" t="str">
        <f t="shared" si="53"/>
        <v/>
      </c>
      <c r="H3134" s="29"/>
      <c r="I3134" s="25"/>
      <c r="J3134" s="138">
        <v>0</v>
      </c>
    </row>
    <row r="3135" spans="1:10" ht="15.75" hidden="1" thickBot="1" x14ac:dyDescent="0.3">
      <c r="A3135" s="227"/>
      <c r="B3135" s="224"/>
      <c r="C3135" s="30"/>
      <c r="D3135" s="30"/>
      <c r="E3135" s="31"/>
      <c r="F3135" s="25" t="s">
        <v>521</v>
      </c>
      <c r="G3135" s="28" t="str">
        <f t="shared" si="53"/>
        <v/>
      </c>
      <c r="H3135" s="29"/>
      <c r="I3135" s="25"/>
      <c r="J3135" s="138">
        <v>0</v>
      </c>
    </row>
    <row r="3136" spans="1:10" ht="15.75" hidden="1" thickBot="1" x14ac:dyDescent="0.3">
      <c r="A3136" s="220" t="s">
        <v>917</v>
      </c>
      <c r="B3136" s="222" t="e">
        <f>INDEX(Orçamentária!A:B,MATCH(Composições!A3136,Orçamentária!A:A,0),2)</f>
        <v>#N/A</v>
      </c>
      <c r="C3136" s="35"/>
      <c r="D3136" s="20" t="s">
        <v>20</v>
      </c>
      <c r="E3136" s="21"/>
      <c r="F3136" s="36" t="s">
        <v>521</v>
      </c>
      <c r="G3136" s="22" t="str">
        <f t="shared" si="53"/>
        <v/>
      </c>
      <c r="H3136" s="23"/>
      <c r="I3136" s="24"/>
      <c r="J3136" s="138">
        <v>0</v>
      </c>
    </row>
    <row r="3137" spans="1:10" ht="15.75" hidden="1" thickBot="1" x14ac:dyDescent="0.3">
      <c r="A3137" s="221"/>
      <c r="B3137" s="223"/>
      <c r="C3137" s="26"/>
      <c r="D3137" s="26"/>
      <c r="E3137" s="27"/>
      <c r="F3137" s="37" t="s">
        <v>521</v>
      </c>
      <c r="G3137" s="28" t="str">
        <f t="shared" si="53"/>
        <v/>
      </c>
      <c r="H3137" s="29"/>
      <c r="I3137" s="25"/>
      <c r="J3137" s="138">
        <v>0</v>
      </c>
    </row>
    <row r="3138" spans="1:10" ht="15.75" hidden="1" thickBot="1" x14ac:dyDescent="0.3">
      <c r="A3138" s="221"/>
      <c r="B3138" s="223"/>
      <c r="C3138" s="30" t="s">
        <v>68</v>
      </c>
      <c r="D3138" s="30" t="s">
        <v>12</v>
      </c>
      <c r="E3138" s="31">
        <v>0.4</v>
      </c>
      <c r="F3138" s="28">
        <v>22.961500000000001</v>
      </c>
      <c r="G3138" s="28">
        <f t="shared" si="53"/>
        <v>9.1846000000000014</v>
      </c>
      <c r="H3138" s="33">
        <f>SUM(G3138:G3139)</f>
        <v>9.1846000000000014</v>
      </c>
      <c r="I3138" s="34"/>
      <c r="J3138" s="138">
        <v>0</v>
      </c>
    </row>
    <row r="3139" spans="1:10" ht="39" hidden="1" thickBot="1" x14ac:dyDescent="0.3">
      <c r="A3139" s="221"/>
      <c r="B3139" s="223"/>
      <c r="C3139" s="30" t="s">
        <v>918</v>
      </c>
      <c r="D3139" s="30" t="s">
        <v>20</v>
      </c>
      <c r="E3139" s="31">
        <v>1</v>
      </c>
      <c r="F3139" s="25" t="s">
        <v>521</v>
      </c>
      <c r="G3139" s="28" t="str">
        <f t="shared" si="53"/>
        <v/>
      </c>
      <c r="H3139" s="29"/>
      <c r="I3139" s="25"/>
      <c r="J3139" s="138">
        <v>0</v>
      </c>
    </row>
    <row r="3140" spans="1:10" ht="15.75" hidden="1" thickBot="1" x14ac:dyDescent="0.3">
      <c r="A3140" s="227"/>
      <c r="B3140" s="224"/>
      <c r="C3140" s="30"/>
      <c r="D3140" s="30"/>
      <c r="E3140" s="31"/>
      <c r="F3140" s="25" t="s">
        <v>521</v>
      </c>
      <c r="G3140" s="28" t="str">
        <f t="shared" si="53"/>
        <v/>
      </c>
      <c r="H3140" s="29"/>
      <c r="I3140" s="25"/>
      <c r="J3140" s="138">
        <v>0</v>
      </c>
    </row>
    <row r="3141" spans="1:10" ht="15.75" hidden="1" thickBot="1" x14ac:dyDescent="0.3">
      <c r="A3141" s="220" t="s">
        <v>919</v>
      </c>
      <c r="B3141" s="222" t="e">
        <f>INDEX(Orçamentária!A:B,MATCH(Composições!A3141,Orçamentária!A:A,0),2)</f>
        <v>#N/A</v>
      </c>
      <c r="C3141" s="35"/>
      <c r="D3141" s="20" t="s">
        <v>1520</v>
      </c>
      <c r="E3141" s="21"/>
      <c r="F3141" s="36" t="s">
        <v>521</v>
      </c>
      <c r="G3141" s="22" t="str">
        <f t="shared" si="53"/>
        <v/>
      </c>
      <c r="H3141" s="23"/>
      <c r="I3141" s="24"/>
      <c r="J3141" s="138">
        <v>0</v>
      </c>
    </row>
    <row r="3142" spans="1:10" ht="15.75" hidden="1" thickBot="1" x14ac:dyDescent="0.3">
      <c r="A3142" s="225"/>
      <c r="B3142" s="223"/>
      <c r="C3142" s="26"/>
      <c r="D3142" s="26"/>
      <c r="E3142" s="27"/>
      <c r="F3142" s="37" t="s">
        <v>521</v>
      </c>
      <c r="G3142" s="28" t="str">
        <f t="shared" ref="G3142:G3205" si="54">IF(ISNUMBER(F3142),E3142*F3142,"")</f>
        <v/>
      </c>
      <c r="H3142" s="29"/>
      <c r="I3142" s="25"/>
      <c r="J3142" s="138">
        <v>0</v>
      </c>
    </row>
    <row r="3143" spans="1:10" ht="15.75" hidden="1" thickBot="1" x14ac:dyDescent="0.3">
      <c r="A3143" s="225"/>
      <c r="B3143" s="223"/>
      <c r="C3143" s="30" t="s">
        <v>23</v>
      </c>
      <c r="D3143" s="30" t="s">
        <v>12</v>
      </c>
      <c r="E3143" s="31">
        <v>2.9209999999999998</v>
      </c>
      <c r="F3143" s="28">
        <v>18.420500000000001</v>
      </c>
      <c r="G3143" s="28">
        <f t="shared" si="54"/>
        <v>53.8062805</v>
      </c>
      <c r="H3143" s="33">
        <f>SUM(G3143:G3143)</f>
        <v>53.8062805</v>
      </c>
      <c r="I3143" s="34"/>
      <c r="J3143" s="138">
        <v>0</v>
      </c>
    </row>
    <row r="3144" spans="1:10" ht="15.75" hidden="1" thickBot="1" x14ac:dyDescent="0.3">
      <c r="A3144" s="225"/>
      <c r="B3144" s="223"/>
      <c r="C3144" s="30"/>
      <c r="D3144" s="30"/>
      <c r="E3144" s="31"/>
      <c r="F3144" s="25" t="s">
        <v>521</v>
      </c>
      <c r="G3144" s="28" t="str">
        <f t="shared" si="54"/>
        <v/>
      </c>
      <c r="H3144" s="29"/>
      <c r="I3144" s="25"/>
      <c r="J3144" s="138">
        <v>0</v>
      </c>
    </row>
    <row r="3145" spans="1:10" ht="15.75" hidden="1" thickBot="1" x14ac:dyDescent="0.3">
      <c r="A3145" s="225"/>
      <c r="B3145" s="223"/>
      <c r="C3145" s="46" t="s">
        <v>890</v>
      </c>
      <c r="D3145" s="30"/>
      <c r="E3145" s="31"/>
      <c r="F3145" s="25" t="s">
        <v>521</v>
      </c>
      <c r="G3145" s="28" t="str">
        <f t="shared" si="54"/>
        <v/>
      </c>
      <c r="H3145" s="29"/>
      <c r="I3145" s="25"/>
      <c r="J3145" s="138">
        <v>0</v>
      </c>
    </row>
    <row r="3146" spans="1:10" ht="15.75" hidden="1" thickBot="1" x14ac:dyDescent="0.3">
      <c r="A3146" s="226"/>
      <c r="B3146" s="224"/>
      <c r="C3146" s="30"/>
      <c r="D3146" s="30"/>
      <c r="E3146" s="31"/>
      <c r="F3146" s="25" t="s">
        <v>521</v>
      </c>
      <c r="G3146" s="28" t="str">
        <f t="shared" si="54"/>
        <v/>
      </c>
      <c r="H3146" s="29"/>
      <c r="I3146" s="25"/>
      <c r="J3146" s="138">
        <v>0</v>
      </c>
    </row>
    <row r="3147" spans="1:10" ht="15.75" hidden="1" thickBot="1" x14ac:dyDescent="0.3">
      <c r="A3147" s="220" t="s">
        <v>920</v>
      </c>
      <c r="B3147" s="222" t="e">
        <f>INDEX(Orçamentária!A:B,MATCH(Composições!A3147,Orçamentária!A:A,0),2)</f>
        <v>#N/A</v>
      </c>
      <c r="C3147" s="35"/>
      <c r="D3147" s="20" t="s">
        <v>95</v>
      </c>
      <c r="E3147" s="21"/>
      <c r="F3147" s="36" t="s">
        <v>521</v>
      </c>
      <c r="G3147" s="22" t="str">
        <f t="shared" si="54"/>
        <v/>
      </c>
      <c r="H3147" s="23"/>
      <c r="I3147" s="24"/>
      <c r="J3147" s="138">
        <v>0</v>
      </c>
    </row>
    <row r="3148" spans="1:10" ht="15.75" hidden="1" thickBot="1" x14ac:dyDescent="0.3">
      <c r="A3148" s="221"/>
      <c r="B3148" s="223"/>
      <c r="C3148" s="26"/>
      <c r="D3148" s="26"/>
      <c r="E3148" s="27"/>
      <c r="F3148" s="37" t="s">
        <v>521</v>
      </c>
      <c r="G3148" s="28" t="str">
        <f t="shared" si="54"/>
        <v/>
      </c>
      <c r="H3148" s="29"/>
      <c r="I3148" s="25"/>
      <c r="J3148" s="138">
        <v>0</v>
      </c>
    </row>
    <row r="3149" spans="1:10" ht="15.75" hidden="1" thickBot="1" x14ac:dyDescent="0.3">
      <c r="A3149" s="221"/>
      <c r="B3149" s="223"/>
      <c r="C3149" s="30" t="s">
        <v>68</v>
      </c>
      <c r="D3149" s="30" t="s">
        <v>12</v>
      </c>
      <c r="E3149" s="31">
        <v>1.5</v>
      </c>
      <c r="F3149" s="28">
        <v>22.961500000000001</v>
      </c>
      <c r="G3149" s="28">
        <f t="shared" si="54"/>
        <v>34.442250000000001</v>
      </c>
      <c r="H3149" s="33">
        <f>SUM(G3149:G3151)</f>
        <v>123.78975</v>
      </c>
      <c r="I3149" s="34"/>
      <c r="J3149" s="138">
        <v>0</v>
      </c>
    </row>
    <row r="3150" spans="1:10" ht="15.75" hidden="1" thickBot="1" x14ac:dyDescent="0.3">
      <c r="A3150" s="221"/>
      <c r="B3150" s="223"/>
      <c r="C3150" s="30" t="s">
        <v>23</v>
      </c>
      <c r="D3150" s="30" t="s">
        <v>12</v>
      </c>
      <c r="E3150" s="31">
        <v>1</v>
      </c>
      <c r="F3150" s="28">
        <v>18.420500000000001</v>
      </c>
      <c r="G3150" s="28">
        <f t="shared" si="54"/>
        <v>18.420500000000001</v>
      </c>
      <c r="H3150" s="29"/>
      <c r="I3150" s="25"/>
      <c r="J3150" s="138">
        <v>0</v>
      </c>
    </row>
    <row r="3151" spans="1:10" ht="15.75" hidden="1" thickBot="1" x14ac:dyDescent="0.3">
      <c r="A3151" s="221"/>
      <c r="B3151" s="223"/>
      <c r="C3151" s="30" t="s">
        <v>921</v>
      </c>
      <c r="D3151" s="30" t="s">
        <v>95</v>
      </c>
      <c r="E3151" s="31">
        <v>1</v>
      </c>
      <c r="F3151" s="25">
        <v>70.926999999999992</v>
      </c>
      <c r="G3151" s="28">
        <f t="shared" si="54"/>
        <v>70.926999999999992</v>
      </c>
      <c r="H3151" s="29"/>
      <c r="I3151" s="25"/>
      <c r="J3151" s="138">
        <v>0</v>
      </c>
    </row>
    <row r="3152" spans="1:10" ht="15.75" hidden="1" thickBot="1" x14ac:dyDescent="0.3">
      <c r="A3152" s="227"/>
      <c r="B3152" s="224"/>
      <c r="C3152" s="30"/>
      <c r="D3152" s="30"/>
      <c r="E3152" s="31"/>
      <c r="F3152" s="25" t="s">
        <v>521</v>
      </c>
      <c r="G3152" s="28" t="str">
        <f t="shared" si="54"/>
        <v/>
      </c>
      <c r="H3152" s="29"/>
      <c r="I3152" s="25"/>
      <c r="J3152" s="138">
        <v>0</v>
      </c>
    </row>
    <row r="3153" spans="1:10" ht="15.75" hidden="1" thickBot="1" x14ac:dyDescent="0.3">
      <c r="A3153" s="220" t="s">
        <v>922</v>
      </c>
      <c r="B3153" s="222" t="e">
        <f>INDEX(Orçamentária!A:B,MATCH(Composições!A3153,Orçamentária!A:A,0),2)</f>
        <v>#N/A</v>
      </c>
      <c r="C3153" s="35"/>
      <c r="D3153" s="20" t="s">
        <v>95</v>
      </c>
      <c r="E3153" s="21"/>
      <c r="F3153" s="36" t="s">
        <v>521</v>
      </c>
      <c r="G3153" s="22" t="str">
        <f t="shared" si="54"/>
        <v/>
      </c>
      <c r="H3153" s="23"/>
      <c r="I3153" s="24"/>
      <c r="J3153" s="138">
        <v>0</v>
      </c>
    </row>
    <row r="3154" spans="1:10" ht="15.75" hidden="1" thickBot="1" x14ac:dyDescent="0.3">
      <c r="A3154" s="221"/>
      <c r="B3154" s="223"/>
      <c r="C3154" s="26"/>
      <c r="D3154" s="26"/>
      <c r="E3154" s="27"/>
      <c r="F3154" s="37" t="s">
        <v>521</v>
      </c>
      <c r="G3154" s="28" t="str">
        <f t="shared" si="54"/>
        <v/>
      </c>
      <c r="H3154" s="29"/>
      <c r="I3154" s="25"/>
      <c r="J3154" s="138">
        <v>0</v>
      </c>
    </row>
    <row r="3155" spans="1:10" ht="15.75" hidden="1" thickBot="1" x14ac:dyDescent="0.3">
      <c r="A3155" s="221"/>
      <c r="B3155" s="223"/>
      <c r="C3155" s="30" t="s">
        <v>68</v>
      </c>
      <c r="D3155" s="30" t="s">
        <v>12</v>
      </c>
      <c r="E3155" s="31">
        <v>1.5</v>
      </c>
      <c r="F3155" s="28">
        <v>22.961500000000001</v>
      </c>
      <c r="G3155" s="28">
        <f t="shared" si="54"/>
        <v>34.442250000000001</v>
      </c>
      <c r="H3155" s="33">
        <f>SUM(G3155:G3157)</f>
        <v>175.36525</v>
      </c>
      <c r="I3155" s="34"/>
      <c r="J3155" s="138">
        <v>0</v>
      </c>
    </row>
    <row r="3156" spans="1:10" ht="15.75" hidden="1" thickBot="1" x14ac:dyDescent="0.3">
      <c r="A3156" s="221"/>
      <c r="B3156" s="223"/>
      <c r="C3156" s="30" t="s">
        <v>23</v>
      </c>
      <c r="D3156" s="30" t="s">
        <v>12</v>
      </c>
      <c r="E3156" s="31">
        <v>1</v>
      </c>
      <c r="F3156" s="28">
        <v>18.420500000000001</v>
      </c>
      <c r="G3156" s="28">
        <f t="shared" si="54"/>
        <v>18.420500000000001</v>
      </c>
      <c r="H3156" s="29"/>
      <c r="I3156" s="25"/>
      <c r="J3156" s="138">
        <v>0</v>
      </c>
    </row>
    <row r="3157" spans="1:10" ht="15.75" hidden="1" thickBot="1" x14ac:dyDescent="0.3">
      <c r="A3157" s="221"/>
      <c r="B3157" s="223"/>
      <c r="C3157" s="30" t="s">
        <v>923</v>
      </c>
      <c r="D3157" s="30" t="s">
        <v>95</v>
      </c>
      <c r="E3157" s="31">
        <v>1</v>
      </c>
      <c r="F3157" s="25">
        <v>122.50249999999998</v>
      </c>
      <c r="G3157" s="28">
        <f t="shared" si="54"/>
        <v>122.50249999999998</v>
      </c>
      <c r="H3157" s="29"/>
      <c r="I3157" s="25"/>
      <c r="J3157" s="138">
        <v>0</v>
      </c>
    </row>
    <row r="3158" spans="1:10" ht="15.75" hidden="1" thickBot="1" x14ac:dyDescent="0.3">
      <c r="A3158" s="227"/>
      <c r="B3158" s="224"/>
      <c r="C3158" s="30"/>
      <c r="D3158" s="30"/>
      <c r="E3158" s="31"/>
      <c r="F3158" s="25" t="s">
        <v>521</v>
      </c>
      <c r="G3158" s="28" t="str">
        <f t="shared" si="54"/>
        <v/>
      </c>
      <c r="H3158" s="29"/>
      <c r="I3158" s="25"/>
      <c r="J3158" s="138">
        <v>0</v>
      </c>
    </row>
    <row r="3159" spans="1:10" ht="15.75" hidden="1" thickBot="1" x14ac:dyDescent="0.3">
      <c r="A3159" s="220" t="s">
        <v>924</v>
      </c>
      <c r="B3159" s="222" t="e">
        <f>INDEX(Orçamentária!A:B,MATCH(Composições!A3159,Orçamentária!A:A,0),2)</f>
        <v>#N/A</v>
      </c>
      <c r="C3159" s="35"/>
      <c r="D3159" s="20" t="s">
        <v>93</v>
      </c>
      <c r="E3159" s="21"/>
      <c r="F3159" s="36" t="s">
        <v>521</v>
      </c>
      <c r="G3159" s="22" t="str">
        <f t="shared" si="54"/>
        <v/>
      </c>
      <c r="H3159" s="23"/>
      <c r="I3159" s="24"/>
      <c r="J3159" s="138">
        <v>0</v>
      </c>
    </row>
    <row r="3160" spans="1:10" ht="15.75" hidden="1" thickBot="1" x14ac:dyDescent="0.3">
      <c r="A3160" s="221"/>
      <c r="B3160" s="223"/>
      <c r="C3160" s="26"/>
      <c r="D3160" s="26"/>
      <c r="E3160" s="27"/>
      <c r="F3160" s="37" t="s">
        <v>521</v>
      </c>
      <c r="G3160" s="28" t="str">
        <f t="shared" si="54"/>
        <v/>
      </c>
      <c r="H3160" s="29"/>
      <c r="I3160" s="25"/>
      <c r="J3160" s="138">
        <v>0</v>
      </c>
    </row>
    <row r="3161" spans="1:10" ht="15.75" hidden="1" thickBot="1" x14ac:dyDescent="0.3">
      <c r="A3161" s="221"/>
      <c r="B3161" s="223"/>
      <c r="C3161" s="30" t="s">
        <v>68</v>
      </c>
      <c r="D3161" s="44" t="s">
        <v>12</v>
      </c>
      <c r="E3161" s="31">
        <v>0.5</v>
      </c>
      <c r="F3161" s="28">
        <v>22.961500000000001</v>
      </c>
      <c r="G3161" s="28">
        <f t="shared" si="54"/>
        <v>11.48075</v>
      </c>
      <c r="H3161" s="33">
        <f>SUM(G3161:G3163)</f>
        <v>26.896875000000001</v>
      </c>
      <c r="I3161" s="34"/>
      <c r="J3161" s="138">
        <v>0</v>
      </c>
    </row>
    <row r="3162" spans="1:10" ht="15.75" hidden="1" thickBot="1" x14ac:dyDescent="0.3">
      <c r="A3162" s="221"/>
      <c r="B3162" s="223"/>
      <c r="C3162" s="30" t="s">
        <v>23</v>
      </c>
      <c r="D3162" s="30" t="s">
        <v>12</v>
      </c>
      <c r="E3162" s="31">
        <v>0.25</v>
      </c>
      <c r="F3162" s="28">
        <v>18.420500000000001</v>
      </c>
      <c r="G3162" s="28">
        <f t="shared" si="54"/>
        <v>4.6051250000000001</v>
      </c>
      <c r="H3162" s="29"/>
      <c r="I3162" s="25"/>
      <c r="J3162" s="138">
        <v>0</v>
      </c>
    </row>
    <row r="3163" spans="1:10" ht="15.75" hidden="1" thickBot="1" x14ac:dyDescent="0.3">
      <c r="A3163" s="221"/>
      <c r="B3163" s="223"/>
      <c r="C3163" s="30" t="s">
        <v>288</v>
      </c>
      <c r="D3163" s="30" t="s">
        <v>794</v>
      </c>
      <c r="E3163" s="31">
        <v>2</v>
      </c>
      <c r="F3163" s="25">
        <v>5.4055</v>
      </c>
      <c r="G3163" s="28">
        <f t="shared" si="54"/>
        <v>10.811</v>
      </c>
      <c r="H3163" s="29"/>
      <c r="I3163" s="25"/>
      <c r="J3163" s="138">
        <v>0</v>
      </c>
    </row>
    <row r="3164" spans="1:10" ht="15.75" hidden="1" thickBot="1" x14ac:dyDescent="0.3">
      <c r="A3164" s="227"/>
      <c r="B3164" s="224"/>
      <c r="C3164" s="30"/>
      <c r="D3164" s="30"/>
      <c r="E3164" s="31"/>
      <c r="F3164" s="25" t="s">
        <v>521</v>
      </c>
      <c r="G3164" s="28" t="str">
        <f t="shared" si="54"/>
        <v/>
      </c>
      <c r="H3164" s="29"/>
      <c r="I3164" s="25"/>
      <c r="J3164" s="138">
        <v>0</v>
      </c>
    </row>
    <row r="3165" spans="1:10" ht="15.75" hidden="1" thickBot="1" x14ac:dyDescent="0.3">
      <c r="A3165" s="220" t="s">
        <v>925</v>
      </c>
      <c r="B3165" s="222" t="e">
        <f>INDEX(Orçamentária!A:B,MATCH(Composições!A3165,Orçamentária!A:A,0),2)</f>
        <v>#N/A</v>
      </c>
      <c r="C3165" s="35"/>
      <c r="D3165" s="20" t="s">
        <v>95</v>
      </c>
      <c r="E3165" s="21"/>
      <c r="F3165" s="36" t="s">
        <v>521</v>
      </c>
      <c r="G3165" s="22" t="str">
        <f t="shared" si="54"/>
        <v/>
      </c>
      <c r="H3165" s="23"/>
      <c r="I3165" s="24"/>
      <c r="J3165" s="138">
        <v>0</v>
      </c>
    </row>
    <row r="3166" spans="1:10" ht="15.75" hidden="1" thickBot="1" x14ac:dyDescent="0.3">
      <c r="A3166" s="221"/>
      <c r="B3166" s="223"/>
      <c r="C3166" s="26"/>
      <c r="D3166" s="26"/>
      <c r="E3166" s="27"/>
      <c r="F3166" s="37" t="s">
        <v>521</v>
      </c>
      <c r="G3166" s="28" t="str">
        <f t="shared" si="54"/>
        <v/>
      </c>
      <c r="H3166" s="29"/>
      <c r="I3166" s="25"/>
      <c r="J3166" s="138">
        <v>0</v>
      </c>
    </row>
    <row r="3167" spans="1:10" ht="15.75" hidden="1" thickBot="1" x14ac:dyDescent="0.3">
      <c r="A3167" s="221"/>
      <c r="B3167" s="223"/>
      <c r="C3167" s="30" t="s">
        <v>23</v>
      </c>
      <c r="D3167" s="30" t="s">
        <v>12</v>
      </c>
      <c r="E3167" s="31">
        <v>1</v>
      </c>
      <c r="F3167" s="28">
        <v>18.420500000000001</v>
      </c>
      <c r="G3167" s="28">
        <f t="shared" si="54"/>
        <v>18.420500000000001</v>
      </c>
      <c r="H3167" s="33">
        <f>SUM(G3167:G3168)</f>
        <v>52.862750000000005</v>
      </c>
      <c r="I3167" s="34"/>
      <c r="J3167" s="138">
        <v>0</v>
      </c>
    </row>
    <row r="3168" spans="1:10" ht="15.75" hidden="1" thickBot="1" x14ac:dyDescent="0.3">
      <c r="A3168" s="221"/>
      <c r="B3168" s="223"/>
      <c r="C3168" s="30" t="s">
        <v>68</v>
      </c>
      <c r="D3168" s="30" t="s">
        <v>12</v>
      </c>
      <c r="E3168" s="31">
        <v>1.5</v>
      </c>
      <c r="F3168" s="28">
        <v>22.961500000000001</v>
      </c>
      <c r="G3168" s="28">
        <f t="shared" si="54"/>
        <v>34.442250000000001</v>
      </c>
      <c r="H3168" s="29"/>
      <c r="I3168" s="25"/>
      <c r="J3168" s="138">
        <v>0</v>
      </c>
    </row>
    <row r="3169" spans="1:10" ht="15.75" hidden="1" thickBot="1" x14ac:dyDescent="0.3">
      <c r="A3169" s="227"/>
      <c r="B3169" s="224"/>
      <c r="C3169" s="30"/>
      <c r="D3169" s="30"/>
      <c r="E3169" s="31"/>
      <c r="F3169" s="25" t="s">
        <v>521</v>
      </c>
      <c r="G3169" s="28" t="str">
        <f t="shared" si="54"/>
        <v/>
      </c>
      <c r="H3169" s="29"/>
      <c r="I3169" s="25"/>
      <c r="J3169" s="138">
        <v>0</v>
      </c>
    </row>
    <row r="3170" spans="1:10" ht="15.75" hidden="1" thickBot="1" x14ac:dyDescent="0.3">
      <c r="A3170" s="220" t="s">
        <v>927</v>
      </c>
      <c r="B3170" s="222" t="e">
        <f>INDEX(Orçamentária!A:B,MATCH(Composições!A3170,Orçamentária!A:A,0),2)</f>
        <v>#N/A</v>
      </c>
      <c r="C3170" s="35"/>
      <c r="D3170" s="20" t="s">
        <v>95</v>
      </c>
      <c r="E3170" s="21"/>
      <c r="F3170" s="36" t="s">
        <v>521</v>
      </c>
      <c r="G3170" s="22" t="str">
        <f t="shared" si="54"/>
        <v/>
      </c>
      <c r="H3170" s="23"/>
      <c r="I3170" s="24"/>
      <c r="J3170" s="138">
        <v>0</v>
      </c>
    </row>
    <row r="3171" spans="1:10" ht="15.75" hidden="1" thickBot="1" x14ac:dyDescent="0.3">
      <c r="A3171" s="221"/>
      <c r="B3171" s="223"/>
      <c r="C3171" s="26"/>
      <c r="D3171" s="26"/>
      <c r="E3171" s="27"/>
      <c r="F3171" s="37" t="s">
        <v>521</v>
      </c>
      <c r="G3171" s="28" t="str">
        <f t="shared" si="54"/>
        <v/>
      </c>
      <c r="H3171" s="29"/>
      <c r="I3171" s="25"/>
      <c r="J3171" s="138">
        <v>0</v>
      </c>
    </row>
    <row r="3172" spans="1:10" ht="15.75" hidden="1" thickBot="1" x14ac:dyDescent="0.3">
      <c r="A3172" s="221"/>
      <c r="B3172" s="223"/>
      <c r="C3172" s="30" t="s">
        <v>928</v>
      </c>
      <c r="D3172" s="41" t="s">
        <v>95</v>
      </c>
      <c r="E3172" s="31">
        <v>1</v>
      </c>
      <c r="F3172" s="28" t="s">
        <v>521</v>
      </c>
      <c r="G3172" s="28" t="str">
        <f t="shared" si="54"/>
        <v/>
      </c>
      <c r="H3172" s="33">
        <f>SUM(G3172:G3174)</f>
        <v>52.862750000000005</v>
      </c>
      <c r="I3172" s="34"/>
      <c r="J3172" s="138">
        <v>0</v>
      </c>
    </row>
    <row r="3173" spans="1:10" ht="15.75" hidden="1" thickBot="1" x14ac:dyDescent="0.3">
      <c r="A3173" s="221"/>
      <c r="B3173" s="223"/>
      <c r="C3173" s="30" t="s">
        <v>23</v>
      </c>
      <c r="D3173" s="41" t="s">
        <v>12</v>
      </c>
      <c r="E3173" s="31">
        <v>1</v>
      </c>
      <c r="F3173" s="25">
        <v>18.420500000000001</v>
      </c>
      <c r="G3173" s="28">
        <f t="shared" si="54"/>
        <v>18.420500000000001</v>
      </c>
      <c r="H3173" s="29"/>
      <c r="I3173" s="25"/>
      <c r="J3173" s="138">
        <v>0</v>
      </c>
    </row>
    <row r="3174" spans="1:10" ht="15.75" hidden="1" thickBot="1" x14ac:dyDescent="0.3">
      <c r="A3174" s="221"/>
      <c r="B3174" s="223"/>
      <c r="C3174" s="30" t="s">
        <v>68</v>
      </c>
      <c r="D3174" s="41" t="s">
        <v>12</v>
      </c>
      <c r="E3174" s="31">
        <v>1.5</v>
      </c>
      <c r="F3174" s="25">
        <v>22.961500000000001</v>
      </c>
      <c r="G3174" s="28">
        <f t="shared" si="54"/>
        <v>34.442250000000001</v>
      </c>
      <c r="H3174" s="29"/>
      <c r="I3174" s="25"/>
      <c r="J3174" s="138">
        <v>0</v>
      </c>
    </row>
    <row r="3175" spans="1:10" ht="15.75" hidden="1" thickBot="1" x14ac:dyDescent="0.3">
      <c r="A3175" s="227"/>
      <c r="B3175" s="224"/>
      <c r="C3175" s="30"/>
      <c r="D3175" s="30"/>
      <c r="E3175" s="31"/>
      <c r="F3175" s="25" t="s">
        <v>521</v>
      </c>
      <c r="G3175" s="28" t="str">
        <f t="shared" si="54"/>
        <v/>
      </c>
      <c r="H3175" s="29"/>
      <c r="I3175" s="25"/>
      <c r="J3175" s="138">
        <v>0</v>
      </c>
    </row>
    <row r="3176" spans="1:10" ht="15.75" hidden="1" thickBot="1" x14ac:dyDescent="0.3">
      <c r="A3176" s="220" t="s">
        <v>929</v>
      </c>
      <c r="B3176" s="222" t="e">
        <f>INDEX(Orçamentária!A:B,MATCH(Composições!A3176,Orçamentária!A:A,0),2)</f>
        <v>#N/A</v>
      </c>
      <c r="C3176" s="35"/>
      <c r="D3176" s="20" t="s">
        <v>20</v>
      </c>
      <c r="E3176" s="21"/>
      <c r="F3176" s="36" t="s">
        <v>521</v>
      </c>
      <c r="G3176" s="22" t="str">
        <f t="shared" si="54"/>
        <v/>
      </c>
      <c r="H3176" s="23"/>
      <c r="I3176" s="24"/>
      <c r="J3176" s="138">
        <v>0</v>
      </c>
    </row>
    <row r="3177" spans="1:10" ht="15.75" hidden="1" thickBot="1" x14ac:dyDescent="0.3">
      <c r="A3177" s="221"/>
      <c r="B3177" s="223"/>
      <c r="C3177" s="26"/>
      <c r="D3177" s="26"/>
      <c r="E3177" s="27"/>
      <c r="F3177" s="37" t="s">
        <v>521</v>
      </c>
      <c r="G3177" s="28" t="str">
        <f t="shared" si="54"/>
        <v/>
      </c>
      <c r="H3177" s="29"/>
      <c r="I3177" s="25"/>
      <c r="J3177" s="138">
        <v>0</v>
      </c>
    </row>
    <row r="3178" spans="1:10" ht="15.75" hidden="1" thickBot="1" x14ac:dyDescent="0.3">
      <c r="A3178" s="221"/>
      <c r="B3178" s="223"/>
      <c r="C3178" s="30" t="s">
        <v>68</v>
      </c>
      <c r="D3178" s="30" t="s">
        <v>12</v>
      </c>
      <c r="E3178" s="31">
        <v>0.1</v>
      </c>
      <c r="F3178" s="28">
        <v>22.961500000000001</v>
      </c>
      <c r="G3178" s="28">
        <f t="shared" si="54"/>
        <v>2.2961500000000004</v>
      </c>
      <c r="H3178" s="33">
        <f>SUM(G3178:G3179)</f>
        <v>7.597150000000001</v>
      </c>
      <c r="I3178" s="34"/>
      <c r="J3178" s="138">
        <v>0</v>
      </c>
    </row>
    <row r="3179" spans="1:10" ht="26.25" hidden="1" thickBot="1" x14ac:dyDescent="0.3">
      <c r="A3179" s="221"/>
      <c r="B3179" s="223"/>
      <c r="C3179" s="30" t="s">
        <v>926</v>
      </c>
      <c r="D3179" s="30" t="s">
        <v>20</v>
      </c>
      <c r="E3179" s="31">
        <v>1</v>
      </c>
      <c r="F3179" s="25">
        <v>5.3010000000000002</v>
      </c>
      <c r="G3179" s="28">
        <f t="shared" si="54"/>
        <v>5.3010000000000002</v>
      </c>
      <c r="H3179" s="29"/>
      <c r="I3179" s="25"/>
      <c r="J3179" s="138">
        <v>0</v>
      </c>
    </row>
    <row r="3180" spans="1:10" ht="15.75" hidden="1" thickBot="1" x14ac:dyDescent="0.3">
      <c r="A3180" s="227"/>
      <c r="B3180" s="224"/>
      <c r="C3180" s="30"/>
      <c r="D3180" s="30"/>
      <c r="E3180" s="31"/>
      <c r="F3180" s="25" t="s">
        <v>521</v>
      </c>
      <c r="G3180" s="28" t="str">
        <f t="shared" si="54"/>
        <v/>
      </c>
      <c r="H3180" s="29"/>
      <c r="I3180" s="25"/>
      <c r="J3180" s="138">
        <v>0</v>
      </c>
    </row>
    <row r="3181" spans="1:10" ht="15.75" hidden="1" thickBot="1" x14ac:dyDescent="0.3">
      <c r="A3181" s="220" t="s">
        <v>930</v>
      </c>
      <c r="B3181" s="222" t="e">
        <f>INDEX(Orçamentária!A:B,MATCH(Composições!A3181,Orçamentária!A:A,0),2)</f>
        <v>#N/A</v>
      </c>
      <c r="C3181" s="35"/>
      <c r="D3181" s="20" t="s">
        <v>109</v>
      </c>
      <c r="E3181" s="21"/>
      <c r="F3181" s="36" t="s">
        <v>521</v>
      </c>
      <c r="G3181" s="22" t="str">
        <f t="shared" si="54"/>
        <v/>
      </c>
      <c r="H3181" s="23"/>
      <c r="I3181" s="24"/>
      <c r="J3181" s="138">
        <v>0</v>
      </c>
    </row>
    <row r="3182" spans="1:10" ht="15.75" hidden="1" thickBot="1" x14ac:dyDescent="0.3">
      <c r="A3182" s="221"/>
      <c r="B3182" s="223"/>
      <c r="C3182" s="26"/>
      <c r="D3182" s="26"/>
      <c r="E3182" s="27"/>
      <c r="F3182" s="37" t="s">
        <v>521</v>
      </c>
      <c r="G3182" s="28" t="str">
        <f t="shared" si="54"/>
        <v/>
      </c>
      <c r="H3182" s="29"/>
      <c r="I3182" s="25"/>
      <c r="J3182" s="138">
        <v>0</v>
      </c>
    </row>
    <row r="3183" spans="1:10" ht="15.75" hidden="1" thickBot="1" x14ac:dyDescent="0.3">
      <c r="A3183" s="221"/>
      <c r="B3183" s="223"/>
      <c r="C3183" s="30" t="s">
        <v>710</v>
      </c>
      <c r="D3183" s="41" t="s">
        <v>702</v>
      </c>
      <c r="E3183" s="31">
        <v>4.8468999999999998</v>
      </c>
      <c r="F3183" s="25">
        <v>24.889999999999997</v>
      </c>
      <c r="G3183" s="28">
        <f t="shared" si="54"/>
        <v>120.63934099999997</v>
      </c>
      <c r="H3183" s="33">
        <f>SUM(G3183:G3185)</f>
        <v>4004.8615026499997</v>
      </c>
      <c r="I3183" s="34"/>
      <c r="J3183" s="138">
        <v>0</v>
      </c>
    </row>
    <row r="3184" spans="1:10" ht="15.75" hidden="1" thickBot="1" x14ac:dyDescent="0.3">
      <c r="A3184" s="221"/>
      <c r="B3184" s="223"/>
      <c r="C3184" s="30" t="s">
        <v>703</v>
      </c>
      <c r="D3184" s="41" t="s">
        <v>702</v>
      </c>
      <c r="E3184" s="31">
        <v>3.2313000000000001</v>
      </c>
      <c r="F3184" s="25">
        <v>18.420500000000001</v>
      </c>
      <c r="G3184" s="28">
        <f t="shared" si="54"/>
        <v>59.522161650000001</v>
      </c>
      <c r="H3184" s="29"/>
      <c r="I3184" s="25"/>
      <c r="J3184" s="138">
        <v>0</v>
      </c>
    </row>
    <row r="3185" spans="1:10" ht="15.75" hidden="1" thickBot="1" x14ac:dyDescent="0.3">
      <c r="A3185" s="221"/>
      <c r="B3185" s="223"/>
      <c r="C3185" s="30" t="s">
        <v>931</v>
      </c>
      <c r="D3185" s="41" t="s">
        <v>897</v>
      </c>
      <c r="E3185" s="31">
        <v>2200</v>
      </c>
      <c r="F3185" s="25">
        <v>1.7384999999999999</v>
      </c>
      <c r="G3185" s="28">
        <f t="shared" si="54"/>
        <v>3824.7</v>
      </c>
      <c r="H3185" s="29"/>
      <c r="I3185" s="25"/>
      <c r="J3185" s="138">
        <v>0</v>
      </c>
    </row>
    <row r="3186" spans="1:10" ht="15.75" hidden="1" thickBot="1" x14ac:dyDescent="0.3">
      <c r="A3186" s="221"/>
      <c r="B3186" s="223"/>
      <c r="C3186" s="30"/>
      <c r="D3186" s="41"/>
      <c r="E3186" s="31"/>
      <c r="F3186" s="25" t="s">
        <v>521</v>
      </c>
      <c r="G3186" s="28"/>
      <c r="H3186" s="29"/>
      <c r="I3186" s="25"/>
      <c r="J3186" s="138">
        <v>0</v>
      </c>
    </row>
    <row r="3187" spans="1:10" ht="26.25" hidden="1" thickBot="1" x14ac:dyDescent="0.3">
      <c r="A3187" s="221"/>
      <c r="B3187" s="223"/>
      <c r="C3187" s="42" t="s">
        <v>2325</v>
      </c>
      <c r="D3187" s="41"/>
      <c r="E3187" s="31"/>
      <c r="F3187" s="25" t="s">
        <v>521</v>
      </c>
      <c r="G3187" s="28"/>
      <c r="H3187" s="29"/>
      <c r="I3187" s="25"/>
      <c r="J3187" s="138">
        <v>0</v>
      </c>
    </row>
    <row r="3188" spans="1:10" ht="30.75" hidden="1" thickBot="1" x14ac:dyDescent="0.3">
      <c r="A3188" s="221"/>
      <c r="B3188" s="223"/>
      <c r="C3188" s="158" t="s">
        <v>2326</v>
      </c>
      <c r="D3188" s="41"/>
      <c r="E3188" s="31"/>
      <c r="F3188" s="25" t="s">
        <v>521</v>
      </c>
      <c r="G3188" s="28"/>
      <c r="H3188" s="29"/>
      <c r="I3188" s="25"/>
      <c r="J3188" s="138">
        <v>0</v>
      </c>
    </row>
    <row r="3189" spans="1:10" ht="15.75" hidden="1" thickBot="1" x14ac:dyDescent="0.3">
      <c r="A3189" s="227"/>
      <c r="B3189" s="224"/>
      <c r="C3189" s="30"/>
      <c r="D3189" s="30"/>
      <c r="E3189" s="31"/>
      <c r="F3189" s="25" t="s">
        <v>521</v>
      </c>
      <c r="G3189" s="28" t="str">
        <f t="shared" ref="G3189:G3252" si="55">IF(ISNUMBER(F3189),E3189*F3189,"")</f>
        <v/>
      </c>
      <c r="H3189" s="29"/>
      <c r="I3189" s="25"/>
      <c r="J3189" s="138">
        <v>0</v>
      </c>
    </row>
    <row r="3190" spans="1:10" ht="15.75" hidden="1" thickBot="1" x14ac:dyDescent="0.3">
      <c r="A3190" s="220" t="s">
        <v>932</v>
      </c>
      <c r="B3190" s="222" t="e">
        <f>INDEX(Orçamentária!A:B,MATCH(Composições!A3190,Orçamentária!A:A,0),2)</f>
        <v>#N/A</v>
      </c>
      <c r="C3190" s="35"/>
      <c r="D3190" s="20" t="s">
        <v>42</v>
      </c>
      <c r="E3190" s="21"/>
      <c r="F3190" s="36" t="s">
        <v>521</v>
      </c>
      <c r="G3190" s="22" t="str">
        <f t="shared" si="55"/>
        <v/>
      </c>
      <c r="H3190" s="23"/>
      <c r="I3190" s="24"/>
      <c r="J3190" s="138">
        <v>0</v>
      </c>
    </row>
    <row r="3191" spans="1:10" ht="15.75" hidden="1" thickBot="1" x14ac:dyDescent="0.3">
      <c r="A3191" s="221"/>
      <c r="B3191" s="223"/>
      <c r="C3191" s="26"/>
      <c r="D3191" s="26"/>
      <c r="E3191" s="27"/>
      <c r="F3191" s="37" t="s">
        <v>521</v>
      </c>
      <c r="G3191" s="28" t="str">
        <f t="shared" si="55"/>
        <v/>
      </c>
      <c r="H3191" s="29"/>
      <c r="I3191" s="25"/>
      <c r="J3191" s="138">
        <v>0</v>
      </c>
    </row>
    <row r="3192" spans="1:10" ht="39" hidden="1" thickBot="1" x14ac:dyDescent="0.3">
      <c r="A3192" s="221"/>
      <c r="B3192" s="223"/>
      <c r="C3192" s="30" t="s">
        <v>898</v>
      </c>
      <c r="D3192" s="41" t="s">
        <v>279</v>
      </c>
      <c r="E3192" s="31">
        <v>0.36699999999999999</v>
      </c>
      <c r="F3192" s="25">
        <v>0.20899999999999999</v>
      </c>
      <c r="G3192" s="28">
        <f t="shared" si="55"/>
        <v>7.6702999999999993E-2</v>
      </c>
      <c r="H3192" s="33">
        <f>SUM(G3192:G3196)</f>
        <v>11.137339250000002</v>
      </c>
      <c r="I3192" s="34"/>
      <c r="J3192" s="138">
        <v>0</v>
      </c>
    </row>
    <row r="3193" spans="1:10" ht="26.25" hidden="1" thickBot="1" x14ac:dyDescent="0.3">
      <c r="A3193" s="221"/>
      <c r="B3193" s="223"/>
      <c r="C3193" s="30" t="s">
        <v>1808</v>
      </c>
      <c r="D3193" s="41" t="s">
        <v>897</v>
      </c>
      <c r="E3193" s="31">
        <v>2.5000000000000001E-2</v>
      </c>
      <c r="F3193" s="25">
        <v>22.61</v>
      </c>
      <c r="G3193" s="28">
        <f t="shared" si="55"/>
        <v>0.56525000000000003</v>
      </c>
      <c r="H3193" s="29"/>
      <c r="I3193" s="25"/>
      <c r="J3193" s="138">
        <v>0</v>
      </c>
    </row>
    <row r="3194" spans="1:10" ht="15.75" hidden="1" thickBot="1" x14ac:dyDescent="0.3">
      <c r="A3194" s="221"/>
      <c r="B3194" s="223"/>
      <c r="C3194" s="30" t="s">
        <v>899</v>
      </c>
      <c r="D3194" s="41" t="s">
        <v>702</v>
      </c>
      <c r="E3194" s="31">
        <v>4.1999999999999997E-3</v>
      </c>
      <c r="F3194" s="25">
        <v>18.3825</v>
      </c>
      <c r="G3194" s="28">
        <f t="shared" si="55"/>
        <v>7.7206499999999997E-2</v>
      </c>
      <c r="H3194" s="29"/>
      <c r="I3194" s="25"/>
      <c r="J3194" s="138">
        <v>0</v>
      </c>
    </row>
    <row r="3195" spans="1:10" ht="15.75" hidden="1" thickBot="1" x14ac:dyDescent="0.3">
      <c r="A3195" s="221"/>
      <c r="B3195" s="223"/>
      <c r="C3195" s="30" t="s">
        <v>900</v>
      </c>
      <c r="D3195" s="41" t="s">
        <v>702</v>
      </c>
      <c r="E3195" s="31">
        <v>2.5700000000000001E-2</v>
      </c>
      <c r="F3195" s="25">
        <v>24.747499999999999</v>
      </c>
      <c r="G3195" s="28">
        <f t="shared" si="55"/>
        <v>0.63601074999999996</v>
      </c>
      <c r="H3195" s="29"/>
      <c r="I3195" s="25"/>
      <c r="J3195" s="138">
        <v>0</v>
      </c>
    </row>
    <row r="3196" spans="1:10" ht="15.75" hidden="1" thickBot="1" x14ac:dyDescent="0.3">
      <c r="A3196" s="221"/>
      <c r="B3196" s="223"/>
      <c r="C3196" s="30" t="s">
        <v>2799</v>
      </c>
      <c r="D3196" s="41" t="s">
        <v>897</v>
      </c>
      <c r="E3196" s="31">
        <v>1</v>
      </c>
      <c r="F3196" s="25">
        <v>9.7821690000000014</v>
      </c>
      <c r="G3196" s="28">
        <f t="shared" si="55"/>
        <v>9.7821690000000014</v>
      </c>
      <c r="H3196" s="29"/>
      <c r="I3196" s="25"/>
      <c r="J3196" s="138">
        <v>0</v>
      </c>
    </row>
    <row r="3197" spans="1:10" ht="15.75" hidden="1" thickBot="1" x14ac:dyDescent="0.3">
      <c r="A3197" s="227"/>
      <c r="B3197" s="224"/>
      <c r="C3197" s="30"/>
      <c r="D3197" s="30"/>
      <c r="E3197" s="31"/>
      <c r="F3197" s="25" t="s">
        <v>521</v>
      </c>
      <c r="G3197" s="28" t="str">
        <f t="shared" si="55"/>
        <v/>
      </c>
      <c r="H3197" s="29"/>
      <c r="I3197" s="25"/>
      <c r="J3197" s="138">
        <v>0</v>
      </c>
    </row>
    <row r="3198" spans="1:10" ht="15.75" hidden="1" thickBot="1" x14ac:dyDescent="0.3">
      <c r="A3198" s="220" t="s">
        <v>933</v>
      </c>
      <c r="B3198" s="222" t="e">
        <f>INDEX(Orçamentária!A:B,MATCH(Composições!A3198,Orçamentária!A:A,0),2)</f>
        <v>#N/A</v>
      </c>
      <c r="C3198" s="35"/>
      <c r="D3198" s="20" t="s">
        <v>42</v>
      </c>
      <c r="E3198" s="21"/>
      <c r="F3198" s="36" t="s">
        <v>521</v>
      </c>
      <c r="G3198" s="22" t="str">
        <f t="shared" si="55"/>
        <v/>
      </c>
      <c r="H3198" s="23"/>
      <c r="I3198" s="24"/>
      <c r="J3198" s="138">
        <v>0</v>
      </c>
    </row>
    <row r="3199" spans="1:10" ht="15.75" hidden="1" thickBot="1" x14ac:dyDescent="0.3">
      <c r="A3199" s="221"/>
      <c r="B3199" s="223"/>
      <c r="C3199" s="26"/>
      <c r="D3199" s="26"/>
      <c r="E3199" s="27"/>
      <c r="F3199" s="37" t="s">
        <v>521</v>
      </c>
      <c r="G3199" s="28" t="str">
        <f t="shared" si="55"/>
        <v/>
      </c>
      <c r="H3199" s="29"/>
      <c r="I3199" s="25"/>
      <c r="J3199" s="138">
        <v>0</v>
      </c>
    </row>
    <row r="3200" spans="1:10" ht="39" hidden="1" thickBot="1" x14ac:dyDescent="0.3">
      <c r="A3200" s="221"/>
      <c r="B3200" s="223"/>
      <c r="C3200" s="30" t="s">
        <v>898</v>
      </c>
      <c r="D3200" s="41" t="s">
        <v>279</v>
      </c>
      <c r="E3200" s="31">
        <v>0.21199999999999999</v>
      </c>
      <c r="F3200" s="25">
        <v>0.20899999999999999</v>
      </c>
      <c r="G3200" s="28">
        <f t="shared" si="55"/>
        <v>4.4308E-2</v>
      </c>
      <c r="H3200" s="33">
        <f>SUM(G3200:G3204)</f>
        <v>10.85902725</v>
      </c>
      <c r="I3200" s="34"/>
      <c r="J3200" s="138">
        <v>0</v>
      </c>
    </row>
    <row r="3201" spans="1:10" ht="26.25" hidden="1" thickBot="1" x14ac:dyDescent="0.3">
      <c r="A3201" s="221"/>
      <c r="B3201" s="223"/>
      <c r="C3201" s="30" t="s">
        <v>1808</v>
      </c>
      <c r="D3201" s="41" t="s">
        <v>897</v>
      </c>
      <c r="E3201" s="31">
        <v>2.5000000000000001E-2</v>
      </c>
      <c r="F3201" s="25">
        <v>22.61</v>
      </c>
      <c r="G3201" s="28">
        <f t="shared" si="55"/>
        <v>0.56525000000000003</v>
      </c>
      <c r="H3201" s="29"/>
      <c r="I3201" s="25"/>
      <c r="J3201" s="138">
        <v>0</v>
      </c>
    </row>
    <row r="3202" spans="1:10" ht="15.75" hidden="1" thickBot="1" x14ac:dyDescent="0.3">
      <c r="A3202" s="221"/>
      <c r="B3202" s="223"/>
      <c r="C3202" s="30" t="s">
        <v>899</v>
      </c>
      <c r="D3202" s="41" t="s">
        <v>702</v>
      </c>
      <c r="E3202" s="31">
        <v>3.2000000000000002E-3</v>
      </c>
      <c r="F3202" s="25">
        <v>18.3825</v>
      </c>
      <c r="G3202" s="28">
        <f t="shared" si="55"/>
        <v>5.8824000000000001E-2</v>
      </c>
      <c r="H3202" s="29"/>
      <c r="I3202" s="25"/>
      <c r="J3202" s="138">
        <v>0</v>
      </c>
    </row>
    <row r="3203" spans="1:10" ht="15.75" hidden="1" thickBot="1" x14ac:dyDescent="0.3">
      <c r="A3203" s="221"/>
      <c r="B3203" s="223"/>
      <c r="C3203" s="30" t="s">
        <v>900</v>
      </c>
      <c r="D3203" s="41" t="s">
        <v>702</v>
      </c>
      <c r="E3203" s="31">
        <v>1.9400000000000001E-2</v>
      </c>
      <c r="F3203" s="25">
        <v>24.747499999999999</v>
      </c>
      <c r="G3203" s="28">
        <f t="shared" si="55"/>
        <v>0.48010150000000001</v>
      </c>
      <c r="H3203" s="29"/>
      <c r="I3203" s="25"/>
      <c r="J3203" s="138">
        <v>0</v>
      </c>
    </row>
    <row r="3204" spans="1:10" ht="15.75" hidden="1" thickBot="1" x14ac:dyDescent="0.3">
      <c r="A3204" s="221"/>
      <c r="B3204" s="223"/>
      <c r="C3204" s="30" t="s">
        <v>2800</v>
      </c>
      <c r="D3204" s="41" t="s">
        <v>897</v>
      </c>
      <c r="E3204" s="31">
        <v>1</v>
      </c>
      <c r="F3204" s="25">
        <v>9.7105437500000011</v>
      </c>
      <c r="G3204" s="28">
        <f t="shared" si="55"/>
        <v>9.7105437500000011</v>
      </c>
      <c r="H3204" s="29"/>
      <c r="I3204" s="25"/>
      <c r="J3204" s="138">
        <v>0</v>
      </c>
    </row>
    <row r="3205" spans="1:10" ht="15.75" hidden="1" thickBot="1" x14ac:dyDescent="0.3">
      <c r="A3205" s="227"/>
      <c r="B3205" s="224"/>
      <c r="C3205" s="30"/>
      <c r="D3205" s="30"/>
      <c r="E3205" s="31"/>
      <c r="F3205" s="25" t="s">
        <v>521</v>
      </c>
      <c r="G3205" s="28" t="str">
        <f t="shared" si="55"/>
        <v/>
      </c>
      <c r="H3205" s="29"/>
      <c r="I3205" s="25"/>
      <c r="J3205" s="138">
        <v>0</v>
      </c>
    </row>
    <row r="3206" spans="1:10" ht="15.75" hidden="1" thickBot="1" x14ac:dyDescent="0.3">
      <c r="A3206" s="220" t="s">
        <v>934</v>
      </c>
      <c r="B3206" s="222" t="e">
        <f>INDEX(Orçamentária!A:B,MATCH(Composições!A3206,Orçamentária!A:A,0),2)</f>
        <v>#N/A</v>
      </c>
      <c r="C3206" s="35"/>
      <c r="D3206" s="20" t="s">
        <v>20</v>
      </c>
      <c r="E3206" s="21"/>
      <c r="F3206" s="36" t="s">
        <v>521</v>
      </c>
      <c r="G3206" s="22" t="str">
        <f t="shared" si="55"/>
        <v/>
      </c>
      <c r="H3206" s="23"/>
      <c r="I3206" s="24"/>
      <c r="J3206" s="138">
        <v>0</v>
      </c>
    </row>
    <row r="3207" spans="1:10" ht="15.75" hidden="1" thickBot="1" x14ac:dyDescent="0.3">
      <c r="A3207" s="221"/>
      <c r="B3207" s="223"/>
      <c r="C3207" s="134"/>
      <c r="D3207" s="26"/>
      <c r="E3207" s="27"/>
      <c r="F3207" s="37" t="s">
        <v>521</v>
      </c>
      <c r="G3207" s="28" t="str">
        <f t="shared" si="55"/>
        <v/>
      </c>
      <c r="H3207" s="29"/>
      <c r="I3207" s="25"/>
      <c r="J3207" s="138">
        <v>0</v>
      </c>
    </row>
    <row r="3208" spans="1:10" ht="15.75" hidden="1" thickBot="1" x14ac:dyDescent="0.3">
      <c r="A3208" s="221"/>
      <c r="B3208" s="223"/>
      <c r="C3208" s="30" t="s">
        <v>23</v>
      </c>
      <c r="D3208" s="41" t="s">
        <v>12</v>
      </c>
      <c r="E3208" s="31">
        <v>0.55000000000000004</v>
      </c>
      <c r="F3208" s="25">
        <v>18.420500000000001</v>
      </c>
      <c r="G3208" s="28">
        <f t="shared" si="55"/>
        <v>10.131275</v>
      </c>
      <c r="H3208" s="33">
        <f>SUM(G3208:G3209)</f>
        <v>22.760100000000001</v>
      </c>
      <c r="I3208" s="34"/>
      <c r="J3208" s="138">
        <v>0</v>
      </c>
    </row>
    <row r="3209" spans="1:10" ht="15.75" hidden="1" thickBot="1" x14ac:dyDescent="0.3">
      <c r="A3209" s="221"/>
      <c r="B3209" s="223"/>
      <c r="C3209" s="30" t="s">
        <v>68</v>
      </c>
      <c r="D3209" s="41" t="s">
        <v>12</v>
      </c>
      <c r="E3209" s="31">
        <v>0.55000000000000004</v>
      </c>
      <c r="F3209" s="25">
        <v>22.961500000000001</v>
      </c>
      <c r="G3209" s="28">
        <f t="shared" si="55"/>
        <v>12.628825000000001</v>
      </c>
      <c r="H3209" s="29"/>
      <c r="I3209" s="25"/>
      <c r="J3209" s="138">
        <v>0</v>
      </c>
    </row>
    <row r="3210" spans="1:10" ht="15.75" hidden="1" thickBot="1" x14ac:dyDescent="0.3">
      <c r="A3210" s="227"/>
      <c r="B3210" s="224"/>
      <c r="C3210" s="30"/>
      <c r="D3210" s="30"/>
      <c r="E3210" s="31"/>
      <c r="F3210" s="25" t="s">
        <v>521</v>
      </c>
      <c r="G3210" s="28" t="str">
        <f t="shared" si="55"/>
        <v/>
      </c>
      <c r="H3210" s="29"/>
      <c r="I3210" s="25"/>
      <c r="J3210" s="138">
        <v>0</v>
      </c>
    </row>
    <row r="3211" spans="1:10" ht="15.75" thickBot="1" x14ac:dyDescent="0.3">
      <c r="A3211" s="220" t="s">
        <v>935</v>
      </c>
      <c r="B3211" s="222" t="str">
        <f>INDEX(Orçamentária!A:B,MATCH(Composições!A3211,Orçamentária!A:A,0),2)</f>
        <v>Escavação manual de valas</v>
      </c>
      <c r="C3211" s="35"/>
      <c r="D3211" s="20" t="s">
        <v>109</v>
      </c>
      <c r="E3211" s="21"/>
      <c r="F3211" s="36" t="s">
        <v>521</v>
      </c>
      <c r="G3211" s="22" t="str">
        <f t="shared" si="55"/>
        <v/>
      </c>
      <c r="H3211" s="23"/>
      <c r="I3211" s="24"/>
      <c r="J3211" s="138">
        <v>2000</v>
      </c>
    </row>
    <row r="3212" spans="1:10" x14ac:dyDescent="0.25">
      <c r="A3212" s="221"/>
      <c r="B3212" s="223"/>
      <c r="C3212" s="26"/>
      <c r="D3212" s="26"/>
      <c r="E3212" s="27"/>
      <c r="F3212" s="37" t="s">
        <v>521</v>
      </c>
      <c r="G3212" s="28" t="str">
        <f t="shared" si="55"/>
        <v/>
      </c>
      <c r="H3212" s="29"/>
      <c r="I3212" s="25"/>
      <c r="J3212" s="138">
        <v>2000</v>
      </c>
    </row>
    <row r="3213" spans="1:10" x14ac:dyDescent="0.25">
      <c r="A3213" s="221"/>
      <c r="B3213" s="223"/>
      <c r="C3213" s="30" t="s">
        <v>23</v>
      </c>
      <c r="D3213" s="41" t="s">
        <v>12</v>
      </c>
      <c r="E3213" s="31">
        <v>3.956</v>
      </c>
      <c r="F3213" s="25">
        <v>18.420500000000001</v>
      </c>
      <c r="G3213" s="28">
        <f t="shared" si="55"/>
        <v>72.871498000000003</v>
      </c>
      <c r="H3213" s="33">
        <f>SUM(G3213:G3213)</f>
        <v>72.871498000000003</v>
      </c>
      <c r="I3213" s="34"/>
      <c r="J3213" s="138">
        <v>2000</v>
      </c>
    </row>
    <row r="3214" spans="1:10" ht="15.75" thickBot="1" x14ac:dyDescent="0.3">
      <c r="A3214" s="227"/>
      <c r="B3214" s="224"/>
      <c r="C3214" s="30"/>
      <c r="D3214" s="30"/>
      <c r="E3214" s="31"/>
      <c r="F3214" s="25" t="s">
        <v>521</v>
      </c>
      <c r="G3214" s="28" t="str">
        <f t="shared" si="55"/>
        <v/>
      </c>
      <c r="H3214" s="29"/>
      <c r="I3214" s="25"/>
      <c r="J3214" s="138">
        <v>2000</v>
      </c>
    </row>
    <row r="3215" spans="1:10" ht="15.75" thickBot="1" x14ac:dyDescent="0.3">
      <c r="A3215" s="220" t="s">
        <v>936</v>
      </c>
      <c r="B3215" s="222" t="str">
        <f>INDEX(Orçamentária!A:B,MATCH(Composições!A3215,Orçamentária!A:A,0),2)</f>
        <v>Reaterro de vala com compactação mecanizada</v>
      </c>
      <c r="C3215" s="35"/>
      <c r="D3215" s="20" t="s">
        <v>109</v>
      </c>
      <c r="E3215" s="21"/>
      <c r="F3215" s="36" t="s">
        <v>521</v>
      </c>
      <c r="G3215" s="22" t="str">
        <f t="shared" si="55"/>
        <v/>
      </c>
      <c r="H3215" s="23"/>
      <c r="I3215" s="24"/>
      <c r="J3215" s="138">
        <v>1625.4</v>
      </c>
    </row>
    <row r="3216" spans="1:10" x14ac:dyDescent="0.25">
      <c r="A3216" s="221"/>
      <c r="B3216" s="223"/>
      <c r="C3216" s="26"/>
      <c r="D3216" s="26"/>
      <c r="E3216" s="27"/>
      <c r="F3216" s="37" t="s">
        <v>521</v>
      </c>
      <c r="G3216" s="28" t="str">
        <f t="shared" si="55"/>
        <v/>
      </c>
      <c r="H3216" s="29"/>
      <c r="I3216" s="25"/>
      <c r="J3216" s="138">
        <v>1625.4</v>
      </c>
    </row>
    <row r="3217" spans="1:10" x14ac:dyDescent="0.25">
      <c r="A3217" s="221"/>
      <c r="B3217" s="223"/>
      <c r="C3217" s="30" t="s">
        <v>703</v>
      </c>
      <c r="D3217" s="41" t="s">
        <v>702</v>
      </c>
      <c r="E3217" s="31">
        <v>0.65</v>
      </c>
      <c r="F3217" s="25">
        <v>18.420500000000001</v>
      </c>
      <c r="G3217" s="28">
        <f t="shared" si="55"/>
        <v>11.973325000000001</v>
      </c>
      <c r="H3217" s="33">
        <f>SUM(G3217:G3220)</f>
        <v>26.723405000000003</v>
      </c>
      <c r="I3217" s="34"/>
      <c r="J3217" s="138">
        <v>1625.4</v>
      </c>
    </row>
    <row r="3218" spans="1:10" ht="25.5" x14ac:dyDescent="0.25">
      <c r="A3218" s="221"/>
      <c r="B3218" s="223"/>
      <c r="C3218" s="30" t="s">
        <v>937</v>
      </c>
      <c r="D3218" s="41" t="s">
        <v>938</v>
      </c>
      <c r="E3218" s="31">
        <v>0.27400000000000002</v>
      </c>
      <c r="F3218" s="25">
        <v>26.875499999999999</v>
      </c>
      <c r="G3218" s="28">
        <f t="shared" si="55"/>
        <v>7.3638870000000001</v>
      </c>
      <c r="H3218" s="29"/>
      <c r="I3218" s="25"/>
      <c r="J3218" s="138">
        <v>1625.4</v>
      </c>
    </row>
    <row r="3219" spans="1:10" ht="25.5" x14ac:dyDescent="0.25">
      <c r="A3219" s="221"/>
      <c r="B3219" s="223"/>
      <c r="C3219" s="30" t="s">
        <v>939</v>
      </c>
      <c r="D3219" s="41" t="s">
        <v>940</v>
      </c>
      <c r="E3219" s="31">
        <v>0.254</v>
      </c>
      <c r="F3219" s="25">
        <v>20.1875</v>
      </c>
      <c r="G3219" s="28">
        <f t="shared" si="55"/>
        <v>5.1276250000000001</v>
      </c>
      <c r="H3219" s="29"/>
      <c r="I3219" s="25"/>
      <c r="J3219" s="138">
        <v>1625.4</v>
      </c>
    </row>
    <row r="3220" spans="1:10" ht="25.5" x14ac:dyDescent="0.25">
      <c r="A3220" s="221"/>
      <c r="B3220" s="223"/>
      <c r="C3220" s="30" t="s">
        <v>941</v>
      </c>
      <c r="D3220" s="30" t="s">
        <v>120</v>
      </c>
      <c r="E3220" s="31">
        <v>1</v>
      </c>
      <c r="F3220" s="25">
        <v>2.2585680000000004</v>
      </c>
      <c r="G3220" s="28">
        <f t="shared" si="55"/>
        <v>2.2585680000000004</v>
      </c>
      <c r="H3220" s="29"/>
      <c r="I3220" s="25"/>
      <c r="J3220" s="138">
        <v>1625.4</v>
      </c>
    </row>
    <row r="3221" spans="1:10" ht="15.75" thickBot="1" x14ac:dyDescent="0.3">
      <c r="A3221" s="227"/>
      <c r="B3221" s="224"/>
      <c r="C3221" s="30"/>
      <c r="D3221" s="30"/>
      <c r="E3221" s="31"/>
      <c r="F3221" s="25" t="s">
        <v>521</v>
      </c>
      <c r="G3221" s="28" t="str">
        <f t="shared" si="55"/>
        <v/>
      </c>
      <c r="H3221" s="29"/>
      <c r="I3221" s="25"/>
      <c r="J3221" s="138">
        <v>1625.4</v>
      </c>
    </row>
    <row r="3222" spans="1:10" ht="15.75" hidden="1" thickBot="1" x14ac:dyDescent="0.3">
      <c r="A3222" s="220" t="s">
        <v>942</v>
      </c>
      <c r="B3222" s="222" t="e">
        <f>INDEX(Orçamentária!A:B,MATCH(Composições!A3222,Orçamentária!A:A,0),2)</f>
        <v>#N/A</v>
      </c>
      <c r="C3222" s="35"/>
      <c r="D3222" s="20" t="s">
        <v>109</v>
      </c>
      <c r="E3222" s="21"/>
      <c r="F3222" s="36" t="s">
        <v>521</v>
      </c>
      <c r="G3222" s="22" t="str">
        <f t="shared" si="55"/>
        <v/>
      </c>
      <c r="H3222" s="23"/>
      <c r="I3222" s="24"/>
      <c r="J3222" s="138">
        <v>0</v>
      </c>
    </row>
    <row r="3223" spans="1:10" ht="15.75" hidden="1" thickBot="1" x14ac:dyDescent="0.3">
      <c r="A3223" s="221"/>
      <c r="B3223" s="223"/>
      <c r="C3223" s="26"/>
      <c r="D3223" s="26"/>
      <c r="E3223" s="27"/>
      <c r="F3223" s="37" t="s">
        <v>521</v>
      </c>
      <c r="G3223" s="28" t="str">
        <f t="shared" si="55"/>
        <v/>
      </c>
      <c r="H3223" s="29"/>
      <c r="I3223" s="25"/>
      <c r="J3223" s="138">
        <v>0</v>
      </c>
    </row>
    <row r="3224" spans="1:10" ht="51.75" hidden="1" thickBot="1" x14ac:dyDescent="0.3">
      <c r="A3224" s="221"/>
      <c r="B3224" s="223"/>
      <c r="C3224" s="30" t="s">
        <v>943</v>
      </c>
      <c r="D3224" s="41" t="s">
        <v>938</v>
      </c>
      <c r="E3224" s="31">
        <v>6.0000000000000001E-3</v>
      </c>
      <c r="F3224" s="25">
        <v>322.48699999999997</v>
      </c>
      <c r="G3224" s="28">
        <f t="shared" si="55"/>
        <v>1.9349219999999998</v>
      </c>
      <c r="H3224" s="33">
        <f>SUM(G3224:G3231)</f>
        <v>190.47394075</v>
      </c>
      <c r="I3224" s="34"/>
      <c r="J3224" s="138">
        <v>0</v>
      </c>
    </row>
    <row r="3225" spans="1:10" ht="51.75" hidden="1" thickBot="1" x14ac:dyDescent="0.3">
      <c r="A3225" s="221"/>
      <c r="B3225" s="223"/>
      <c r="C3225" s="30" t="s">
        <v>944</v>
      </c>
      <c r="D3225" s="41" t="s">
        <v>940</v>
      </c>
      <c r="E3225" s="31">
        <v>3.0000000000000001E-3</v>
      </c>
      <c r="F3225" s="25">
        <v>52.6205</v>
      </c>
      <c r="G3225" s="28">
        <f t="shared" si="55"/>
        <v>0.15786150000000002</v>
      </c>
      <c r="H3225" s="29"/>
      <c r="I3225" s="25"/>
      <c r="J3225" s="138">
        <v>0</v>
      </c>
    </row>
    <row r="3226" spans="1:10" ht="26.25" hidden="1" thickBot="1" x14ac:dyDescent="0.3">
      <c r="A3226" s="221"/>
      <c r="B3226" s="223"/>
      <c r="C3226" s="30" t="s">
        <v>945</v>
      </c>
      <c r="D3226" s="41" t="s">
        <v>120</v>
      </c>
      <c r="E3226" s="31">
        <v>1.25</v>
      </c>
      <c r="F3226" s="25">
        <v>69.378500000000003</v>
      </c>
      <c r="G3226" s="28">
        <f t="shared" si="55"/>
        <v>86.72312500000001</v>
      </c>
      <c r="H3226" s="29"/>
      <c r="I3226" s="25"/>
      <c r="J3226" s="138">
        <v>0</v>
      </c>
    </row>
    <row r="3227" spans="1:10" ht="15.75" hidden="1" thickBot="1" x14ac:dyDescent="0.3">
      <c r="A3227" s="221"/>
      <c r="B3227" s="223"/>
      <c r="C3227" s="30" t="s">
        <v>703</v>
      </c>
      <c r="D3227" s="30" t="s">
        <v>702</v>
      </c>
      <c r="E3227" s="31">
        <v>0.65900000000000003</v>
      </c>
      <c r="F3227" s="25">
        <v>18.420500000000001</v>
      </c>
      <c r="G3227" s="28">
        <f t="shared" si="55"/>
        <v>12.139109500000002</v>
      </c>
      <c r="H3227" s="29"/>
      <c r="I3227" s="25"/>
      <c r="J3227" s="138">
        <v>0</v>
      </c>
    </row>
    <row r="3228" spans="1:10" ht="26.25" hidden="1" thickBot="1" x14ac:dyDescent="0.3">
      <c r="A3228" s="221"/>
      <c r="B3228" s="223"/>
      <c r="C3228" s="30" t="s">
        <v>937</v>
      </c>
      <c r="D3228" s="30" t="s">
        <v>938</v>
      </c>
      <c r="E3228" s="31">
        <v>0.27400000000000002</v>
      </c>
      <c r="F3228" s="25">
        <v>26.875499999999999</v>
      </c>
      <c r="G3228" s="28">
        <f t="shared" si="55"/>
        <v>7.3638870000000001</v>
      </c>
      <c r="H3228" s="29"/>
      <c r="I3228" s="25"/>
      <c r="J3228" s="138">
        <v>0</v>
      </c>
    </row>
    <row r="3229" spans="1:10" ht="26.25" hidden="1" thickBot="1" x14ac:dyDescent="0.3">
      <c r="A3229" s="221"/>
      <c r="B3229" s="223"/>
      <c r="C3229" s="30" t="s">
        <v>939</v>
      </c>
      <c r="D3229" s="30" t="s">
        <v>940</v>
      </c>
      <c r="E3229" s="31">
        <v>0.254</v>
      </c>
      <c r="F3229" s="25">
        <v>20.1875</v>
      </c>
      <c r="G3229" s="28">
        <f t="shared" si="55"/>
        <v>5.1276250000000001</v>
      </c>
      <c r="H3229" s="29"/>
      <c r="I3229" s="25"/>
      <c r="J3229" s="138">
        <v>0</v>
      </c>
    </row>
    <row r="3230" spans="1:10" ht="51.75" hidden="1" thickBot="1" x14ac:dyDescent="0.3">
      <c r="A3230" s="221"/>
      <c r="B3230" s="223"/>
      <c r="C3230" s="30" t="s">
        <v>1826</v>
      </c>
      <c r="D3230" s="30" t="s">
        <v>109</v>
      </c>
      <c r="E3230" s="31">
        <f>E3226*1</f>
        <v>1.25</v>
      </c>
      <c r="F3230" s="28">
        <v>7.8564315999999996</v>
      </c>
      <c r="G3230" s="28">
        <f t="shared" si="55"/>
        <v>9.8205394999999989</v>
      </c>
      <c r="H3230" s="29"/>
      <c r="I3230" s="25"/>
      <c r="J3230" s="138">
        <v>0</v>
      </c>
    </row>
    <row r="3231" spans="1:10" ht="39" hidden="1" thickBot="1" x14ac:dyDescent="0.3">
      <c r="A3231" s="221"/>
      <c r="B3231" s="223"/>
      <c r="C3231" s="30" t="s">
        <v>121</v>
      </c>
      <c r="D3231" s="41" t="s">
        <v>122</v>
      </c>
      <c r="E3231" s="31">
        <f>E3226*20</f>
        <v>25</v>
      </c>
      <c r="F3231" s="28">
        <v>2.6882748499999995</v>
      </c>
      <c r="G3231" s="28">
        <f t="shared" si="55"/>
        <v>67.206871249999992</v>
      </c>
      <c r="H3231" s="29"/>
      <c r="I3231" s="25"/>
      <c r="J3231" s="138">
        <v>0</v>
      </c>
    </row>
    <row r="3232" spans="1:10" ht="15.75" hidden="1" thickBot="1" x14ac:dyDescent="0.3">
      <c r="A3232" s="221"/>
      <c r="B3232" s="223"/>
      <c r="C3232" s="45"/>
      <c r="D3232" s="41"/>
      <c r="E3232" s="31"/>
      <c r="F3232" s="28" t="s">
        <v>521</v>
      </c>
      <c r="G3232" s="28" t="str">
        <f t="shared" si="55"/>
        <v/>
      </c>
      <c r="H3232" s="29"/>
      <c r="I3232" s="25"/>
      <c r="J3232" s="138">
        <v>0</v>
      </c>
    </row>
    <row r="3233" spans="1:10" ht="26.25" hidden="1" thickBot="1" x14ac:dyDescent="0.3">
      <c r="A3233" s="221"/>
      <c r="B3233" s="223"/>
      <c r="C3233" s="42" t="s">
        <v>946</v>
      </c>
      <c r="D3233" s="41"/>
      <c r="E3233" s="31"/>
      <c r="F3233" s="28" t="s">
        <v>521</v>
      </c>
      <c r="G3233" s="28" t="str">
        <f t="shared" si="55"/>
        <v/>
      </c>
      <c r="H3233" s="29"/>
      <c r="I3233" s="25"/>
      <c r="J3233" s="138">
        <v>0</v>
      </c>
    </row>
    <row r="3234" spans="1:10" ht="15.75" hidden="1" thickBot="1" x14ac:dyDescent="0.3">
      <c r="A3234" s="227"/>
      <c r="B3234" s="224"/>
      <c r="C3234" s="30"/>
      <c r="D3234" s="30"/>
      <c r="E3234" s="31"/>
      <c r="F3234" s="25" t="s">
        <v>521</v>
      </c>
      <c r="G3234" s="25" t="str">
        <f t="shared" si="55"/>
        <v/>
      </c>
      <c r="H3234" s="29"/>
      <c r="I3234" s="25"/>
      <c r="J3234" s="138">
        <v>0</v>
      </c>
    </row>
    <row r="3235" spans="1:10" ht="15.75" hidden="1" thickBot="1" x14ac:dyDescent="0.3">
      <c r="A3235" s="220" t="s">
        <v>947</v>
      </c>
      <c r="B3235" s="222" t="e">
        <f>INDEX(Orçamentária!A:B,MATCH(Composições!A3235,Orçamentária!A:A,0),2)</f>
        <v>#N/A</v>
      </c>
      <c r="C3235" s="35"/>
      <c r="D3235" s="20" t="s">
        <v>93</v>
      </c>
      <c r="E3235" s="21"/>
      <c r="F3235" s="36" t="s">
        <v>521</v>
      </c>
      <c r="G3235" s="22" t="str">
        <f t="shared" si="55"/>
        <v/>
      </c>
      <c r="H3235" s="23"/>
      <c r="I3235" s="24"/>
      <c r="J3235" s="138">
        <v>0</v>
      </c>
    </row>
    <row r="3236" spans="1:10" ht="15.75" hidden="1" thickBot="1" x14ac:dyDescent="0.3">
      <c r="A3236" s="221"/>
      <c r="B3236" s="223"/>
      <c r="C3236" s="26"/>
      <c r="D3236" s="26"/>
      <c r="E3236" s="27"/>
      <c r="F3236" s="37" t="s">
        <v>521</v>
      </c>
      <c r="G3236" s="28" t="str">
        <f t="shared" si="55"/>
        <v/>
      </c>
      <c r="H3236" s="29"/>
      <c r="I3236" s="25"/>
      <c r="J3236" s="138">
        <v>0</v>
      </c>
    </row>
    <row r="3237" spans="1:10" ht="26.25" hidden="1" thickBot="1" x14ac:dyDescent="0.3">
      <c r="A3237" s="221"/>
      <c r="B3237" s="223"/>
      <c r="C3237" s="30" t="s">
        <v>948</v>
      </c>
      <c r="D3237" s="30" t="s">
        <v>479</v>
      </c>
      <c r="E3237" s="31">
        <v>1.0210999999999999</v>
      </c>
      <c r="F3237" s="25">
        <v>53.7605</v>
      </c>
      <c r="G3237" s="28">
        <f t="shared" si="55"/>
        <v>54.894846549999997</v>
      </c>
      <c r="H3237" s="33">
        <f>SUM(G3237:G3239)</f>
        <v>61.143870549999995</v>
      </c>
      <c r="I3237" s="34"/>
      <c r="J3237" s="138">
        <v>0</v>
      </c>
    </row>
    <row r="3238" spans="1:10" ht="26.25" hidden="1" thickBot="1" x14ac:dyDescent="0.3">
      <c r="A3238" s="221"/>
      <c r="B3238" s="223"/>
      <c r="C3238" s="30" t="s">
        <v>949</v>
      </c>
      <c r="D3238" s="41" t="s">
        <v>702</v>
      </c>
      <c r="E3238" s="31">
        <v>0.14399999999999999</v>
      </c>
      <c r="F3238" s="25">
        <v>19.094999999999999</v>
      </c>
      <c r="G3238" s="28">
        <f t="shared" si="55"/>
        <v>2.7496799999999997</v>
      </c>
      <c r="H3238" s="29"/>
      <c r="I3238" s="25"/>
      <c r="J3238" s="138">
        <v>0</v>
      </c>
    </row>
    <row r="3239" spans="1:10" ht="26.25" hidden="1" thickBot="1" x14ac:dyDescent="0.3">
      <c r="A3239" s="221"/>
      <c r="B3239" s="223"/>
      <c r="C3239" s="30" t="s">
        <v>950</v>
      </c>
      <c r="D3239" s="41" t="s">
        <v>702</v>
      </c>
      <c r="E3239" s="31">
        <v>0.14399999999999999</v>
      </c>
      <c r="F3239" s="25">
        <v>24.300999999999998</v>
      </c>
      <c r="G3239" s="28">
        <f t="shared" si="55"/>
        <v>3.4993439999999993</v>
      </c>
      <c r="H3239" s="29"/>
      <c r="I3239" s="25"/>
      <c r="J3239" s="138">
        <v>0</v>
      </c>
    </row>
    <row r="3240" spans="1:10" ht="15.75" hidden="1" thickBot="1" x14ac:dyDescent="0.3">
      <c r="A3240" s="227"/>
      <c r="B3240" s="224"/>
      <c r="C3240" s="30"/>
      <c r="D3240" s="30"/>
      <c r="E3240" s="31"/>
      <c r="F3240" s="25" t="s">
        <v>521</v>
      </c>
      <c r="G3240" s="28" t="str">
        <f t="shared" si="55"/>
        <v/>
      </c>
      <c r="H3240" s="29"/>
      <c r="I3240" s="25"/>
      <c r="J3240" s="138">
        <v>0</v>
      </c>
    </row>
    <row r="3241" spans="1:10" ht="15.75" hidden="1" thickBot="1" x14ac:dyDescent="0.3">
      <c r="A3241" s="220" t="s">
        <v>951</v>
      </c>
      <c r="B3241" s="222" t="e">
        <f>INDEX(Orçamentária!A:B,MATCH(Composições!A3241,Orçamentária!A:A,0),2)</f>
        <v>#N/A</v>
      </c>
      <c r="C3241" s="35"/>
      <c r="D3241" s="20" t="s">
        <v>93</v>
      </c>
      <c r="E3241" s="21"/>
      <c r="F3241" s="36" t="s">
        <v>521</v>
      </c>
      <c r="G3241" s="22" t="str">
        <f t="shared" si="55"/>
        <v/>
      </c>
      <c r="H3241" s="23"/>
      <c r="I3241" s="24"/>
      <c r="J3241" s="138">
        <v>0</v>
      </c>
    </row>
    <row r="3242" spans="1:10" ht="15.75" hidden="1" thickBot="1" x14ac:dyDescent="0.3">
      <c r="A3242" s="221"/>
      <c r="B3242" s="223"/>
      <c r="C3242" s="26"/>
      <c r="D3242" s="26"/>
      <c r="E3242" s="27"/>
      <c r="F3242" s="37" t="s">
        <v>521</v>
      </c>
      <c r="G3242" s="28" t="str">
        <f t="shared" si="55"/>
        <v/>
      </c>
      <c r="H3242" s="29"/>
      <c r="I3242" s="25"/>
      <c r="J3242" s="138">
        <v>0</v>
      </c>
    </row>
    <row r="3243" spans="1:10" ht="26.25" hidden="1" thickBot="1" x14ac:dyDescent="0.3">
      <c r="A3243" s="221"/>
      <c r="B3243" s="223"/>
      <c r="C3243" s="30" t="s">
        <v>952</v>
      </c>
      <c r="D3243" s="30" t="s">
        <v>479</v>
      </c>
      <c r="E3243" s="31">
        <v>1.0210999999999999</v>
      </c>
      <c r="F3243" s="25">
        <v>68.238500000000002</v>
      </c>
      <c r="G3243" s="28">
        <f t="shared" si="55"/>
        <v>69.678332349999991</v>
      </c>
      <c r="H3243" s="33">
        <f>SUM(G3243:G3245)</f>
        <v>76.621692349999989</v>
      </c>
      <c r="I3243" s="34"/>
      <c r="J3243" s="138">
        <v>0</v>
      </c>
    </row>
    <row r="3244" spans="1:10" ht="26.25" hidden="1" thickBot="1" x14ac:dyDescent="0.3">
      <c r="A3244" s="221"/>
      <c r="B3244" s="223"/>
      <c r="C3244" s="30" t="s">
        <v>949</v>
      </c>
      <c r="D3244" s="41" t="s">
        <v>702</v>
      </c>
      <c r="E3244" s="31">
        <v>0.16</v>
      </c>
      <c r="F3244" s="25">
        <v>19.094999999999999</v>
      </c>
      <c r="G3244" s="28">
        <f t="shared" si="55"/>
        <v>3.0551999999999997</v>
      </c>
      <c r="H3244" s="29"/>
      <c r="I3244" s="25"/>
      <c r="J3244" s="138">
        <v>0</v>
      </c>
    </row>
    <row r="3245" spans="1:10" ht="26.25" hidden="1" thickBot="1" x14ac:dyDescent="0.3">
      <c r="A3245" s="221"/>
      <c r="B3245" s="223"/>
      <c r="C3245" s="30" t="s">
        <v>950</v>
      </c>
      <c r="D3245" s="41" t="s">
        <v>702</v>
      </c>
      <c r="E3245" s="31">
        <v>0.16</v>
      </c>
      <c r="F3245" s="25">
        <v>24.300999999999998</v>
      </c>
      <c r="G3245" s="28">
        <f t="shared" si="55"/>
        <v>3.8881599999999996</v>
      </c>
      <c r="H3245" s="29"/>
      <c r="I3245" s="25"/>
      <c r="J3245" s="138">
        <v>0</v>
      </c>
    </row>
    <row r="3246" spans="1:10" ht="15.75" hidden="1" thickBot="1" x14ac:dyDescent="0.3">
      <c r="A3246" s="227"/>
      <c r="B3246" s="224"/>
      <c r="C3246" s="30"/>
      <c r="D3246" s="30"/>
      <c r="E3246" s="31"/>
      <c r="F3246" s="25" t="s">
        <v>521</v>
      </c>
      <c r="G3246" s="28" t="str">
        <f t="shared" si="55"/>
        <v/>
      </c>
      <c r="H3246" s="29"/>
      <c r="I3246" s="25"/>
      <c r="J3246" s="138">
        <v>0</v>
      </c>
    </row>
    <row r="3247" spans="1:10" ht="15.75" hidden="1" thickBot="1" x14ac:dyDescent="0.3">
      <c r="A3247" s="220" t="s">
        <v>953</v>
      </c>
      <c r="B3247" s="222" t="e">
        <f>INDEX(Orçamentária!A:B,MATCH(Composições!A3247,Orçamentária!A:A,0),2)</f>
        <v>#N/A</v>
      </c>
      <c r="C3247" s="35"/>
      <c r="D3247" s="20" t="s">
        <v>93</v>
      </c>
      <c r="E3247" s="21"/>
      <c r="F3247" s="36" t="s">
        <v>521</v>
      </c>
      <c r="G3247" s="22" t="str">
        <f t="shared" si="55"/>
        <v/>
      </c>
      <c r="H3247" s="23"/>
      <c r="I3247" s="24"/>
      <c r="J3247" s="138">
        <v>0</v>
      </c>
    </row>
    <row r="3248" spans="1:10" ht="15.75" hidden="1" thickBot="1" x14ac:dyDescent="0.3">
      <c r="A3248" s="221"/>
      <c r="B3248" s="223"/>
      <c r="C3248" s="26"/>
      <c r="D3248" s="26"/>
      <c r="E3248" s="27"/>
      <c r="F3248" s="37" t="s">
        <v>521</v>
      </c>
      <c r="G3248" s="28" t="str">
        <f t="shared" si="55"/>
        <v/>
      </c>
      <c r="H3248" s="29"/>
      <c r="I3248" s="25"/>
      <c r="J3248" s="138">
        <v>0</v>
      </c>
    </row>
    <row r="3249" spans="1:10" ht="26.25" hidden="1" thickBot="1" x14ac:dyDescent="0.3">
      <c r="A3249" s="221"/>
      <c r="B3249" s="223"/>
      <c r="C3249" s="30" t="s">
        <v>954</v>
      </c>
      <c r="D3249" s="41" t="s">
        <v>479</v>
      </c>
      <c r="E3249" s="31">
        <v>1.0210999999999999</v>
      </c>
      <c r="F3249" s="25">
        <v>133.80749999999998</v>
      </c>
      <c r="G3249" s="28">
        <f t="shared" si="55"/>
        <v>136.63083824999995</v>
      </c>
      <c r="H3249" s="33">
        <f>SUM(G3249:G3251)</f>
        <v>139.92893424999997</v>
      </c>
      <c r="I3249" s="34"/>
      <c r="J3249" s="138">
        <v>0</v>
      </c>
    </row>
    <row r="3250" spans="1:10" ht="26.25" hidden="1" thickBot="1" x14ac:dyDescent="0.3">
      <c r="A3250" s="221"/>
      <c r="B3250" s="223"/>
      <c r="C3250" s="30" t="s">
        <v>949</v>
      </c>
      <c r="D3250" s="41" t="s">
        <v>702</v>
      </c>
      <c r="E3250" s="31">
        <v>7.5999999999999998E-2</v>
      </c>
      <c r="F3250" s="25">
        <v>19.094999999999999</v>
      </c>
      <c r="G3250" s="28">
        <f t="shared" si="55"/>
        <v>1.45122</v>
      </c>
      <c r="H3250" s="29"/>
      <c r="I3250" s="25"/>
      <c r="J3250" s="138">
        <v>0</v>
      </c>
    </row>
    <row r="3251" spans="1:10" ht="26.25" hidden="1" thickBot="1" x14ac:dyDescent="0.3">
      <c r="A3251" s="221"/>
      <c r="B3251" s="223"/>
      <c r="C3251" s="30" t="s">
        <v>950</v>
      </c>
      <c r="D3251" s="41" t="s">
        <v>702</v>
      </c>
      <c r="E3251" s="31">
        <v>7.5999999999999998E-2</v>
      </c>
      <c r="F3251" s="25">
        <v>24.300999999999998</v>
      </c>
      <c r="G3251" s="28">
        <f t="shared" si="55"/>
        <v>1.8468759999999997</v>
      </c>
      <c r="H3251" s="29"/>
      <c r="I3251" s="25"/>
      <c r="J3251" s="138">
        <v>0</v>
      </c>
    </row>
    <row r="3252" spans="1:10" ht="15.75" hidden="1" thickBot="1" x14ac:dyDescent="0.3">
      <c r="A3252" s="227"/>
      <c r="B3252" s="224"/>
      <c r="C3252" s="30"/>
      <c r="D3252" s="30"/>
      <c r="E3252" s="31"/>
      <c r="F3252" s="25" t="s">
        <v>521</v>
      </c>
      <c r="G3252" s="28" t="str">
        <f t="shared" si="55"/>
        <v/>
      </c>
      <c r="H3252" s="29"/>
      <c r="I3252" s="25"/>
      <c r="J3252" s="138">
        <v>0</v>
      </c>
    </row>
    <row r="3253" spans="1:10" ht="15.75" hidden="1" thickBot="1" x14ac:dyDescent="0.3">
      <c r="A3253" s="220" t="s">
        <v>955</v>
      </c>
      <c r="B3253" s="222" t="e">
        <f>INDEX(Orçamentária!A:B,MATCH(Composições!A3253,Orçamentária!A:A,0),2)</f>
        <v>#N/A</v>
      </c>
      <c r="C3253" s="35"/>
      <c r="D3253" s="20" t="s">
        <v>20</v>
      </c>
      <c r="E3253" s="21"/>
      <c r="F3253" s="36" t="s">
        <v>521</v>
      </c>
      <c r="G3253" s="22" t="str">
        <f t="shared" ref="G3253:G3316" si="56">IF(ISNUMBER(F3253),E3253*F3253,"")</f>
        <v/>
      </c>
      <c r="H3253" s="23"/>
      <c r="I3253" s="24"/>
      <c r="J3253" s="138">
        <v>0</v>
      </c>
    </row>
    <row r="3254" spans="1:10" ht="15.75" hidden="1" thickBot="1" x14ac:dyDescent="0.3">
      <c r="A3254" s="221"/>
      <c r="B3254" s="223"/>
      <c r="C3254" s="26"/>
      <c r="D3254" s="26"/>
      <c r="E3254" s="27"/>
      <c r="F3254" s="37" t="s">
        <v>521</v>
      </c>
      <c r="G3254" s="28" t="str">
        <f t="shared" si="56"/>
        <v/>
      </c>
      <c r="H3254" s="29"/>
      <c r="I3254" s="25"/>
      <c r="J3254" s="138">
        <v>0</v>
      </c>
    </row>
    <row r="3255" spans="1:10" ht="39" hidden="1" thickBot="1" x14ac:dyDescent="0.3">
      <c r="A3255" s="221"/>
      <c r="B3255" s="223"/>
      <c r="C3255" s="30" t="s">
        <v>956</v>
      </c>
      <c r="D3255" s="41" t="s">
        <v>279</v>
      </c>
      <c r="E3255" s="31">
        <v>2</v>
      </c>
      <c r="F3255" s="25">
        <v>19.835999999999999</v>
      </c>
      <c r="G3255" s="28">
        <f t="shared" si="56"/>
        <v>39.671999999999997</v>
      </c>
      <c r="H3255" s="33">
        <f>SUM(G3255:G3261)</f>
        <v>605.83629614999995</v>
      </c>
      <c r="I3255" s="34"/>
      <c r="J3255" s="138">
        <v>0</v>
      </c>
    </row>
    <row r="3256" spans="1:10" ht="26.25" hidden="1" thickBot="1" x14ac:dyDescent="0.3">
      <c r="A3256" s="221"/>
      <c r="B3256" s="223"/>
      <c r="C3256" s="30" t="s">
        <v>2260</v>
      </c>
      <c r="D3256" s="41" t="s">
        <v>279</v>
      </c>
      <c r="E3256" s="31">
        <v>1</v>
      </c>
      <c r="F3256" s="25">
        <v>14.3925</v>
      </c>
      <c r="G3256" s="28">
        <f t="shared" si="56"/>
        <v>14.3925</v>
      </c>
      <c r="H3256" s="29"/>
      <c r="I3256" s="25"/>
      <c r="J3256" s="138">
        <v>0</v>
      </c>
    </row>
    <row r="3257" spans="1:10" ht="26.25" hidden="1" thickBot="1" x14ac:dyDescent="0.3">
      <c r="A3257" s="221"/>
      <c r="B3257" s="223"/>
      <c r="C3257" s="30" t="s">
        <v>2275</v>
      </c>
      <c r="D3257" s="41" t="s">
        <v>279</v>
      </c>
      <c r="E3257" s="31">
        <v>1</v>
      </c>
      <c r="F3257" s="25">
        <v>507.78449999999998</v>
      </c>
      <c r="G3257" s="28">
        <f t="shared" si="56"/>
        <v>507.78449999999998</v>
      </c>
      <c r="H3257" s="29"/>
      <c r="I3257" s="25"/>
      <c r="J3257" s="138">
        <v>0</v>
      </c>
    </row>
    <row r="3258" spans="1:10" ht="15.75" hidden="1" thickBot="1" x14ac:dyDescent="0.3">
      <c r="A3258" s="221"/>
      <c r="B3258" s="223"/>
      <c r="C3258" s="30" t="s">
        <v>1833</v>
      </c>
      <c r="D3258" s="41" t="s">
        <v>897</v>
      </c>
      <c r="E3258" s="31">
        <v>8.8099999999999998E-2</v>
      </c>
      <c r="F3258" s="25">
        <v>64.619</v>
      </c>
      <c r="G3258" s="28">
        <f t="shared" si="56"/>
        <v>5.6929338999999999</v>
      </c>
      <c r="H3258" s="29"/>
      <c r="I3258" s="25"/>
      <c r="J3258" s="138">
        <v>0</v>
      </c>
    </row>
    <row r="3259" spans="1:10" ht="26.25" hidden="1" thickBot="1" x14ac:dyDescent="0.3">
      <c r="A3259" s="221"/>
      <c r="B3259" s="223"/>
      <c r="C3259" s="30" t="s">
        <v>950</v>
      </c>
      <c r="D3259" s="41" t="s">
        <v>702</v>
      </c>
      <c r="E3259" s="31">
        <v>1.1539999999999999</v>
      </c>
      <c r="F3259" s="25">
        <v>24.300999999999998</v>
      </c>
      <c r="G3259" s="28">
        <f t="shared" si="56"/>
        <v>28.043353999999997</v>
      </c>
      <c r="H3259" s="29"/>
      <c r="I3259" s="25"/>
      <c r="J3259" s="138">
        <v>0</v>
      </c>
    </row>
    <row r="3260" spans="1:10" ht="15.75" hidden="1" thickBot="1" x14ac:dyDescent="0.3">
      <c r="A3260" s="221"/>
      <c r="B3260" s="223"/>
      <c r="C3260" s="30" t="s">
        <v>703</v>
      </c>
      <c r="D3260" s="41" t="s">
        <v>702</v>
      </c>
      <c r="E3260" s="31">
        <v>0.55649999999999999</v>
      </c>
      <c r="F3260" s="25">
        <v>18.420500000000001</v>
      </c>
      <c r="G3260" s="28">
        <f t="shared" si="56"/>
        <v>10.25100825</v>
      </c>
      <c r="H3260" s="29"/>
      <c r="I3260" s="25"/>
      <c r="J3260" s="138">
        <v>0</v>
      </c>
    </row>
    <row r="3261" spans="1:10" ht="26.25" hidden="1" thickBot="1" x14ac:dyDescent="0.3">
      <c r="A3261" s="221"/>
      <c r="B3261" s="223"/>
      <c r="C3261" s="30" t="s">
        <v>302</v>
      </c>
      <c r="D3261" s="30" t="s">
        <v>20</v>
      </c>
      <c r="E3261" s="31">
        <v>1</v>
      </c>
      <c r="F3261" s="28" t="s">
        <v>521</v>
      </c>
      <c r="G3261" s="28" t="str">
        <f t="shared" si="56"/>
        <v/>
      </c>
      <c r="H3261" s="29"/>
      <c r="I3261" s="25"/>
      <c r="J3261" s="138">
        <v>0</v>
      </c>
    </row>
    <row r="3262" spans="1:10" ht="15.75" hidden="1" thickBot="1" x14ac:dyDescent="0.3">
      <c r="A3262" s="227"/>
      <c r="B3262" s="224"/>
      <c r="C3262" s="30"/>
      <c r="D3262" s="30"/>
      <c r="E3262" s="31"/>
      <c r="F3262" s="25" t="s">
        <v>521</v>
      </c>
      <c r="G3262" s="28" t="str">
        <f t="shared" si="56"/>
        <v/>
      </c>
      <c r="H3262" s="29"/>
      <c r="I3262" s="25"/>
      <c r="J3262" s="138">
        <v>0</v>
      </c>
    </row>
    <row r="3263" spans="1:10" ht="15.75" hidden="1" thickBot="1" x14ac:dyDescent="0.3">
      <c r="A3263" s="220" t="s">
        <v>957</v>
      </c>
      <c r="B3263" s="222" t="e">
        <f>INDEX(Orçamentária!A:B,MATCH(Composições!A3263,Orçamentária!A:A,0),2)</f>
        <v>#N/A</v>
      </c>
      <c r="C3263" s="35"/>
      <c r="D3263" s="20" t="s">
        <v>20</v>
      </c>
      <c r="E3263" s="21"/>
      <c r="F3263" s="36" t="s">
        <v>521</v>
      </c>
      <c r="G3263" s="22" t="str">
        <f t="shared" si="56"/>
        <v/>
      </c>
      <c r="H3263" s="23"/>
      <c r="I3263" s="24"/>
      <c r="J3263" s="138">
        <v>0</v>
      </c>
    </row>
    <row r="3264" spans="1:10" ht="15.75" hidden="1" thickBot="1" x14ac:dyDescent="0.3">
      <c r="A3264" s="221"/>
      <c r="B3264" s="223"/>
      <c r="C3264" s="26"/>
      <c r="D3264" s="26"/>
      <c r="E3264" s="27"/>
      <c r="F3264" s="37" t="s">
        <v>521</v>
      </c>
      <c r="G3264" s="28" t="str">
        <f t="shared" si="56"/>
        <v/>
      </c>
      <c r="H3264" s="29"/>
      <c r="I3264" s="25"/>
      <c r="J3264" s="138">
        <v>0</v>
      </c>
    </row>
    <row r="3265" spans="1:10" ht="26.25" hidden="1" thickBot="1" x14ac:dyDescent="0.3">
      <c r="A3265" s="221"/>
      <c r="B3265" s="223"/>
      <c r="C3265" s="30" t="s">
        <v>958</v>
      </c>
      <c r="D3265" s="41" t="s">
        <v>144</v>
      </c>
      <c r="E3265" s="31">
        <v>1</v>
      </c>
      <c r="F3265" s="25" t="s">
        <v>521</v>
      </c>
      <c r="G3265" s="28" t="str">
        <f t="shared" si="56"/>
        <v/>
      </c>
      <c r="H3265" s="33">
        <f>SUM(G3265:G3266)</f>
        <v>1.8420500000000002</v>
      </c>
      <c r="I3265" s="34"/>
      <c r="J3265" s="138">
        <v>0</v>
      </c>
    </row>
    <row r="3266" spans="1:10" ht="15.75" hidden="1" thickBot="1" x14ac:dyDescent="0.3">
      <c r="A3266" s="221"/>
      <c r="B3266" s="223"/>
      <c r="C3266" s="30" t="s">
        <v>959</v>
      </c>
      <c r="D3266" s="41" t="s">
        <v>12</v>
      </c>
      <c r="E3266" s="31">
        <v>0.1</v>
      </c>
      <c r="F3266" s="25">
        <v>18.420500000000001</v>
      </c>
      <c r="G3266" s="28">
        <f t="shared" si="56"/>
        <v>1.8420500000000002</v>
      </c>
      <c r="H3266" s="29"/>
      <c r="I3266" s="25"/>
      <c r="J3266" s="138">
        <v>0</v>
      </c>
    </row>
    <row r="3267" spans="1:10" ht="15.75" hidden="1" thickBot="1" x14ac:dyDescent="0.3">
      <c r="A3267" s="227"/>
      <c r="B3267" s="224"/>
      <c r="C3267" s="30"/>
      <c r="D3267" s="30"/>
      <c r="E3267" s="31"/>
      <c r="F3267" s="25" t="s">
        <v>521</v>
      </c>
      <c r="G3267" s="28" t="str">
        <f t="shared" si="56"/>
        <v/>
      </c>
      <c r="H3267" s="29"/>
      <c r="I3267" s="25"/>
      <c r="J3267" s="138">
        <v>0</v>
      </c>
    </row>
    <row r="3268" spans="1:10" ht="15.75" hidden="1" thickBot="1" x14ac:dyDescent="0.3">
      <c r="A3268" s="220" t="s">
        <v>960</v>
      </c>
      <c r="B3268" s="222" t="e">
        <f>INDEX(Orçamentária!A:B,MATCH(Composições!A3268,Orçamentária!A:A,0),2)</f>
        <v>#N/A</v>
      </c>
      <c r="C3268" s="35"/>
      <c r="D3268" s="20" t="s">
        <v>20</v>
      </c>
      <c r="E3268" s="21"/>
      <c r="F3268" s="36" t="s">
        <v>521</v>
      </c>
      <c r="G3268" s="22" t="str">
        <f t="shared" si="56"/>
        <v/>
      </c>
      <c r="H3268" s="23"/>
      <c r="I3268" s="24"/>
      <c r="J3268" s="138">
        <v>0</v>
      </c>
    </row>
    <row r="3269" spans="1:10" ht="15.75" hidden="1" thickBot="1" x14ac:dyDescent="0.3">
      <c r="A3269" s="221"/>
      <c r="B3269" s="223"/>
      <c r="C3269" s="26"/>
      <c r="D3269" s="26"/>
      <c r="E3269" s="27"/>
      <c r="F3269" s="37" t="s">
        <v>521</v>
      </c>
      <c r="G3269" s="28" t="str">
        <f t="shared" si="56"/>
        <v/>
      </c>
      <c r="H3269" s="29"/>
      <c r="I3269" s="25"/>
      <c r="J3269" s="138">
        <v>0</v>
      </c>
    </row>
    <row r="3270" spans="1:10" ht="26.25" hidden="1" thickBot="1" x14ac:dyDescent="0.3">
      <c r="A3270" s="221"/>
      <c r="B3270" s="223"/>
      <c r="C3270" s="30" t="s">
        <v>961</v>
      </c>
      <c r="D3270" s="41" t="s">
        <v>144</v>
      </c>
      <c r="E3270" s="31">
        <v>1</v>
      </c>
      <c r="F3270" s="25" t="s">
        <v>521</v>
      </c>
      <c r="G3270" s="28" t="str">
        <f t="shared" si="56"/>
        <v/>
      </c>
      <c r="H3270" s="33">
        <f>SUM(G3270:G3273)</f>
        <v>11.722019599999998</v>
      </c>
      <c r="I3270" s="34"/>
      <c r="J3270" s="138">
        <v>0</v>
      </c>
    </row>
    <row r="3271" spans="1:10" ht="15.75" hidden="1" thickBot="1" x14ac:dyDescent="0.3">
      <c r="A3271" s="221"/>
      <c r="B3271" s="223"/>
      <c r="C3271" s="30" t="s">
        <v>318</v>
      </c>
      <c r="D3271" s="41" t="s">
        <v>279</v>
      </c>
      <c r="E3271" s="31">
        <v>1.9199999999999998E-2</v>
      </c>
      <c r="F3271" s="25">
        <v>15.408999999999999</v>
      </c>
      <c r="G3271" s="28">
        <f t="shared" si="56"/>
        <v>0.29585279999999997</v>
      </c>
      <c r="H3271" s="29"/>
      <c r="I3271" s="25"/>
      <c r="J3271" s="138">
        <v>0</v>
      </c>
    </row>
    <row r="3272" spans="1:10" ht="15.75" hidden="1" thickBot="1" x14ac:dyDescent="0.3">
      <c r="A3272" s="221"/>
      <c r="B3272" s="223"/>
      <c r="C3272" s="30" t="s">
        <v>39</v>
      </c>
      <c r="D3272" s="41" t="s">
        <v>12</v>
      </c>
      <c r="E3272" s="31">
        <v>0.26329999999999998</v>
      </c>
      <c r="F3272" s="25">
        <v>24.300999999999998</v>
      </c>
      <c r="G3272" s="28">
        <f t="shared" si="56"/>
        <v>6.398453299999999</v>
      </c>
      <c r="H3272" s="29"/>
      <c r="I3272" s="25"/>
      <c r="J3272" s="138">
        <v>0</v>
      </c>
    </row>
    <row r="3273" spans="1:10" ht="26.25" hidden="1" thickBot="1" x14ac:dyDescent="0.3">
      <c r="A3273" s="221"/>
      <c r="B3273" s="223"/>
      <c r="C3273" s="30" t="s">
        <v>949</v>
      </c>
      <c r="D3273" s="30" t="s">
        <v>12</v>
      </c>
      <c r="E3273" s="31">
        <v>0.26329999999999998</v>
      </c>
      <c r="F3273" s="25">
        <v>19.094999999999999</v>
      </c>
      <c r="G3273" s="28">
        <f t="shared" si="56"/>
        <v>5.0277134999999991</v>
      </c>
      <c r="H3273" s="29"/>
      <c r="I3273" s="25"/>
      <c r="J3273" s="138">
        <v>0</v>
      </c>
    </row>
    <row r="3274" spans="1:10" ht="15.75" hidden="1" thickBot="1" x14ac:dyDescent="0.3">
      <c r="A3274" s="227"/>
      <c r="B3274" s="224"/>
      <c r="C3274" s="30"/>
      <c r="D3274" s="30"/>
      <c r="E3274" s="31"/>
      <c r="F3274" s="25" t="s">
        <v>521</v>
      </c>
      <c r="G3274" s="28" t="str">
        <f t="shared" si="56"/>
        <v/>
      </c>
      <c r="H3274" s="29"/>
      <c r="I3274" s="25"/>
      <c r="J3274" s="138">
        <v>0</v>
      </c>
    </row>
    <row r="3275" spans="1:10" ht="15.75" hidden="1" thickBot="1" x14ac:dyDescent="0.3">
      <c r="A3275" s="220" t="s">
        <v>962</v>
      </c>
      <c r="B3275" s="222" t="e">
        <f>INDEX(Orçamentária!A:B,MATCH(Composições!A3275,Orçamentária!A:A,0),2)</f>
        <v>#N/A</v>
      </c>
      <c r="C3275" s="35"/>
      <c r="D3275" s="20" t="s">
        <v>93</v>
      </c>
      <c r="E3275" s="21"/>
      <c r="F3275" s="36" t="s">
        <v>521</v>
      </c>
      <c r="G3275" s="22" t="str">
        <f t="shared" si="56"/>
        <v/>
      </c>
      <c r="H3275" s="23"/>
      <c r="I3275" s="24"/>
      <c r="J3275" s="138">
        <v>0</v>
      </c>
    </row>
    <row r="3276" spans="1:10" ht="15.75" hidden="1" thickBot="1" x14ac:dyDescent="0.3">
      <c r="A3276" s="221"/>
      <c r="B3276" s="223"/>
      <c r="C3276" s="26"/>
      <c r="D3276" s="26"/>
      <c r="E3276" s="27"/>
      <c r="F3276" s="37" t="s">
        <v>521</v>
      </c>
      <c r="G3276" s="28" t="str">
        <f t="shared" si="56"/>
        <v/>
      </c>
      <c r="H3276" s="29"/>
      <c r="I3276" s="25"/>
      <c r="J3276" s="138">
        <v>0</v>
      </c>
    </row>
    <row r="3277" spans="1:10" ht="15.75" hidden="1" thickBot="1" x14ac:dyDescent="0.3">
      <c r="A3277" s="221"/>
      <c r="B3277" s="223"/>
      <c r="C3277" s="30" t="s">
        <v>963</v>
      </c>
      <c r="D3277" s="30" t="s">
        <v>93</v>
      </c>
      <c r="E3277" s="31">
        <v>1.0149999999999999</v>
      </c>
      <c r="F3277" s="25">
        <v>0</v>
      </c>
      <c r="G3277" s="28">
        <f t="shared" si="56"/>
        <v>0</v>
      </c>
      <c r="H3277" s="33">
        <f>SUM(G3277:G3280)</f>
        <v>2.8886269999999996</v>
      </c>
      <c r="I3277" s="34"/>
      <c r="J3277" s="138">
        <v>0</v>
      </c>
    </row>
    <row r="3278" spans="1:10" ht="15.75" hidden="1" thickBot="1" x14ac:dyDescent="0.3">
      <c r="A3278" s="221"/>
      <c r="B3278" s="223"/>
      <c r="C3278" s="30" t="s">
        <v>553</v>
      </c>
      <c r="D3278" s="41" t="s">
        <v>279</v>
      </c>
      <c r="E3278" s="31">
        <v>8.9999999999999993E-3</v>
      </c>
      <c r="F3278" s="25">
        <v>4.1229999999999993</v>
      </c>
      <c r="G3278" s="28">
        <f t="shared" si="56"/>
        <v>3.7106999999999994E-2</v>
      </c>
      <c r="H3278" s="29"/>
      <c r="I3278" s="25"/>
      <c r="J3278" s="138">
        <v>0</v>
      </c>
    </row>
    <row r="3279" spans="1:10" ht="15.75" hidden="1" thickBot="1" x14ac:dyDescent="0.3">
      <c r="A3279" s="221"/>
      <c r="B3279" s="223"/>
      <c r="C3279" s="30" t="s">
        <v>74</v>
      </c>
      <c r="D3279" s="30" t="s">
        <v>12</v>
      </c>
      <c r="E3279" s="31">
        <v>6.4000000000000001E-2</v>
      </c>
      <c r="F3279" s="25">
        <v>19.4085</v>
      </c>
      <c r="G3279" s="28">
        <f t="shared" si="56"/>
        <v>1.2421440000000001</v>
      </c>
      <c r="H3279" s="29"/>
      <c r="I3279" s="25"/>
      <c r="J3279" s="138">
        <v>0</v>
      </c>
    </row>
    <row r="3280" spans="1:10" ht="15.75" hidden="1" thickBot="1" x14ac:dyDescent="0.3">
      <c r="A3280" s="221"/>
      <c r="B3280" s="223"/>
      <c r="C3280" s="30" t="s">
        <v>30</v>
      </c>
      <c r="D3280" s="30" t="s">
        <v>12</v>
      </c>
      <c r="E3280" s="31">
        <v>6.4000000000000001E-2</v>
      </c>
      <c r="F3280" s="25">
        <v>25.146499999999996</v>
      </c>
      <c r="G3280" s="28">
        <f t="shared" si="56"/>
        <v>1.6093759999999997</v>
      </c>
      <c r="H3280" s="29"/>
      <c r="I3280" s="25"/>
      <c r="J3280" s="138">
        <v>0</v>
      </c>
    </row>
    <row r="3281" spans="1:10" ht="15.75" hidden="1" thickBot="1" x14ac:dyDescent="0.3">
      <c r="A3281" s="227"/>
      <c r="B3281" s="224"/>
      <c r="C3281" s="30"/>
      <c r="D3281" s="30"/>
      <c r="E3281" s="31"/>
      <c r="F3281" s="25" t="s">
        <v>521</v>
      </c>
      <c r="G3281" s="28" t="str">
        <f t="shared" si="56"/>
        <v/>
      </c>
      <c r="H3281" s="29"/>
      <c r="I3281" s="25"/>
      <c r="J3281" s="138">
        <v>0</v>
      </c>
    </row>
    <row r="3282" spans="1:10" ht="15.75" thickBot="1" x14ac:dyDescent="0.3">
      <c r="A3282" s="220" t="s">
        <v>964</v>
      </c>
      <c r="B3282" s="222" t="str">
        <f>INDEX(Orçamentária!A:B,MATCH(Composições!A3282,Orçamentária!A:A,0),2)</f>
        <v>Condutor 35 mm² - fornecimento e instalação</v>
      </c>
      <c r="C3282" s="35"/>
      <c r="D3282" s="20" t="s">
        <v>93</v>
      </c>
      <c r="E3282" s="21"/>
      <c r="F3282" s="36" t="s">
        <v>521</v>
      </c>
      <c r="G3282" s="22" t="str">
        <f t="shared" si="56"/>
        <v/>
      </c>
      <c r="H3282" s="23"/>
      <c r="I3282" s="24"/>
      <c r="J3282" s="138">
        <v>1000</v>
      </c>
    </row>
    <row r="3283" spans="1:10" x14ac:dyDescent="0.25">
      <c r="A3283" s="221"/>
      <c r="B3283" s="223"/>
      <c r="C3283" s="26"/>
      <c r="D3283" s="26"/>
      <c r="E3283" s="27"/>
      <c r="F3283" s="37" t="s">
        <v>521</v>
      </c>
      <c r="G3283" s="28" t="str">
        <f t="shared" si="56"/>
        <v/>
      </c>
      <c r="H3283" s="29"/>
      <c r="I3283" s="25"/>
      <c r="J3283" s="138">
        <v>1000</v>
      </c>
    </row>
    <row r="3284" spans="1:10" x14ac:dyDescent="0.25">
      <c r="A3284" s="221"/>
      <c r="B3284" s="223"/>
      <c r="C3284" s="30" t="s">
        <v>965</v>
      </c>
      <c r="D3284" s="30" t="s">
        <v>93</v>
      </c>
      <c r="E3284" s="31">
        <v>1.0149999999999999</v>
      </c>
      <c r="F3284" s="25">
        <v>51.508999999999993</v>
      </c>
      <c r="G3284" s="28">
        <f t="shared" si="56"/>
        <v>52.281634999999987</v>
      </c>
      <c r="H3284" s="33">
        <f>SUM(G3284:G3287)</f>
        <v>55.571256999999989</v>
      </c>
      <c r="I3284" s="34"/>
      <c r="J3284" s="138">
        <v>1000</v>
      </c>
    </row>
    <row r="3285" spans="1:10" x14ac:dyDescent="0.25">
      <c r="A3285" s="221"/>
      <c r="B3285" s="223"/>
      <c r="C3285" s="30" t="s">
        <v>553</v>
      </c>
      <c r="D3285" s="41" t="s">
        <v>279</v>
      </c>
      <c r="E3285" s="31">
        <v>8.9999999999999993E-3</v>
      </c>
      <c r="F3285" s="25">
        <v>4.1229999999999993</v>
      </c>
      <c r="G3285" s="28">
        <f t="shared" si="56"/>
        <v>3.7106999999999994E-2</v>
      </c>
      <c r="H3285" s="29"/>
      <c r="I3285" s="25"/>
      <c r="J3285" s="138">
        <v>1000</v>
      </c>
    </row>
    <row r="3286" spans="1:10" x14ac:dyDescent="0.25">
      <c r="A3286" s="221"/>
      <c r="B3286" s="223"/>
      <c r="C3286" s="30" t="s">
        <v>74</v>
      </c>
      <c r="D3286" s="30" t="s">
        <v>12</v>
      </c>
      <c r="E3286" s="31">
        <v>7.2999999999999995E-2</v>
      </c>
      <c r="F3286" s="25">
        <v>19.4085</v>
      </c>
      <c r="G3286" s="28">
        <f t="shared" si="56"/>
        <v>1.4168204999999998</v>
      </c>
      <c r="H3286" s="29"/>
      <c r="I3286" s="25"/>
      <c r="J3286" s="138">
        <v>1000</v>
      </c>
    </row>
    <row r="3287" spans="1:10" x14ac:dyDescent="0.25">
      <c r="A3287" s="221"/>
      <c r="B3287" s="223"/>
      <c r="C3287" s="30" t="s">
        <v>30</v>
      </c>
      <c r="D3287" s="30" t="s">
        <v>12</v>
      </c>
      <c r="E3287" s="31">
        <v>7.2999999999999995E-2</v>
      </c>
      <c r="F3287" s="25">
        <v>25.146499999999996</v>
      </c>
      <c r="G3287" s="28">
        <f t="shared" si="56"/>
        <v>1.8356944999999996</v>
      </c>
      <c r="H3287" s="29"/>
      <c r="I3287" s="25"/>
      <c r="J3287" s="138">
        <v>1000</v>
      </c>
    </row>
    <row r="3288" spans="1:10" ht="15.75" thickBot="1" x14ac:dyDescent="0.3">
      <c r="A3288" s="227"/>
      <c r="B3288" s="224"/>
      <c r="C3288" s="30"/>
      <c r="D3288" s="30"/>
      <c r="E3288" s="31"/>
      <c r="F3288" s="25" t="s">
        <v>521</v>
      </c>
      <c r="G3288" s="28" t="str">
        <f t="shared" si="56"/>
        <v/>
      </c>
      <c r="H3288" s="29"/>
      <c r="I3288" s="25"/>
      <c r="J3288" s="138">
        <v>1000</v>
      </c>
    </row>
    <row r="3289" spans="1:10" ht="15.75" hidden="1" thickBot="1" x14ac:dyDescent="0.3">
      <c r="A3289" s="220" t="s">
        <v>966</v>
      </c>
      <c r="B3289" s="222" t="e">
        <f>INDEX(Orçamentária!A:B,MATCH(Composições!A3289,Orçamentária!A:A,0),2)</f>
        <v>#N/A</v>
      </c>
      <c r="C3289" s="35"/>
      <c r="D3289" s="20" t="s">
        <v>93</v>
      </c>
      <c r="E3289" s="21"/>
      <c r="F3289" s="36" t="s">
        <v>521</v>
      </c>
      <c r="G3289" s="22" t="str">
        <f t="shared" si="56"/>
        <v/>
      </c>
      <c r="H3289" s="23"/>
      <c r="I3289" s="24"/>
      <c r="J3289" s="138">
        <v>0</v>
      </c>
    </row>
    <row r="3290" spans="1:10" ht="15.75" hidden="1" thickBot="1" x14ac:dyDescent="0.3">
      <c r="A3290" s="221"/>
      <c r="B3290" s="223"/>
      <c r="C3290" s="26"/>
      <c r="D3290" s="26"/>
      <c r="E3290" s="27"/>
      <c r="F3290" s="37" t="s">
        <v>521</v>
      </c>
      <c r="G3290" s="28" t="str">
        <f t="shared" si="56"/>
        <v/>
      </c>
      <c r="H3290" s="29"/>
      <c r="I3290" s="25"/>
      <c r="J3290" s="138">
        <v>0</v>
      </c>
    </row>
    <row r="3291" spans="1:10" ht="15.75" hidden="1" thickBot="1" x14ac:dyDescent="0.3">
      <c r="A3291" s="221"/>
      <c r="B3291" s="223"/>
      <c r="C3291" s="30" t="s">
        <v>967</v>
      </c>
      <c r="D3291" s="30" t="s">
        <v>93</v>
      </c>
      <c r="E3291" s="31">
        <v>1.0149999999999999</v>
      </c>
      <c r="F3291" s="25">
        <v>0</v>
      </c>
      <c r="G3291" s="28">
        <f t="shared" si="56"/>
        <v>0</v>
      </c>
      <c r="H3291" s="33">
        <f>SUM(G3291:G3294)</f>
        <v>3.9133919999999995</v>
      </c>
      <c r="I3291" s="34"/>
      <c r="J3291" s="138">
        <v>0</v>
      </c>
    </row>
    <row r="3292" spans="1:10" ht="15.75" hidden="1" thickBot="1" x14ac:dyDescent="0.3">
      <c r="A3292" s="221"/>
      <c r="B3292" s="223"/>
      <c r="C3292" s="30" t="s">
        <v>553</v>
      </c>
      <c r="D3292" s="41" t="s">
        <v>279</v>
      </c>
      <c r="E3292" s="31">
        <v>8.9999999999999993E-3</v>
      </c>
      <c r="F3292" s="25">
        <v>4.1229999999999993</v>
      </c>
      <c r="G3292" s="28">
        <f t="shared" si="56"/>
        <v>3.7106999999999994E-2</v>
      </c>
      <c r="H3292" s="29"/>
      <c r="I3292" s="25"/>
      <c r="J3292" s="138">
        <v>0</v>
      </c>
    </row>
    <row r="3293" spans="1:10" ht="15.75" hidden="1" thickBot="1" x14ac:dyDescent="0.3">
      <c r="A3293" s="221"/>
      <c r="B3293" s="223"/>
      <c r="C3293" s="30" t="s">
        <v>74</v>
      </c>
      <c r="D3293" s="30" t="s">
        <v>12</v>
      </c>
      <c r="E3293" s="31">
        <v>8.6999999999999994E-2</v>
      </c>
      <c r="F3293" s="25">
        <v>19.4085</v>
      </c>
      <c r="G3293" s="28">
        <f t="shared" si="56"/>
        <v>1.6885394999999999</v>
      </c>
      <c r="H3293" s="29"/>
      <c r="I3293" s="25"/>
      <c r="J3293" s="138">
        <v>0</v>
      </c>
    </row>
    <row r="3294" spans="1:10" ht="15.75" hidden="1" thickBot="1" x14ac:dyDescent="0.3">
      <c r="A3294" s="221"/>
      <c r="B3294" s="223"/>
      <c r="C3294" s="30" t="s">
        <v>30</v>
      </c>
      <c r="D3294" s="30" t="s">
        <v>12</v>
      </c>
      <c r="E3294" s="31">
        <v>8.6999999999999994E-2</v>
      </c>
      <c r="F3294" s="25">
        <v>25.146499999999996</v>
      </c>
      <c r="G3294" s="28">
        <f t="shared" si="56"/>
        <v>2.1877454999999997</v>
      </c>
      <c r="H3294" s="29"/>
      <c r="I3294" s="25"/>
      <c r="J3294" s="138">
        <v>0</v>
      </c>
    </row>
    <row r="3295" spans="1:10" ht="15.75" hidden="1" thickBot="1" x14ac:dyDescent="0.3">
      <c r="A3295" s="227"/>
      <c r="B3295" s="224"/>
      <c r="C3295" s="30"/>
      <c r="D3295" s="30"/>
      <c r="E3295" s="31"/>
      <c r="F3295" s="25" t="s">
        <v>521</v>
      </c>
      <c r="G3295" s="28" t="str">
        <f t="shared" si="56"/>
        <v/>
      </c>
      <c r="H3295" s="29"/>
      <c r="I3295" s="25"/>
      <c r="J3295" s="138">
        <v>0</v>
      </c>
    </row>
    <row r="3296" spans="1:10" ht="15.75" hidden="1" thickBot="1" x14ac:dyDescent="0.3">
      <c r="A3296" s="220" t="s">
        <v>968</v>
      </c>
      <c r="B3296" s="222" t="e">
        <f>INDEX(Orçamentária!A:B,MATCH(Composições!A3296,Orçamentária!A:A,0),2)</f>
        <v>#N/A</v>
      </c>
      <c r="C3296" s="35"/>
      <c r="D3296" s="20" t="s">
        <v>93</v>
      </c>
      <c r="E3296" s="21"/>
      <c r="F3296" s="36" t="s">
        <v>521</v>
      </c>
      <c r="G3296" s="22" t="str">
        <f t="shared" si="56"/>
        <v/>
      </c>
      <c r="H3296" s="23"/>
      <c r="I3296" s="24"/>
      <c r="J3296" s="138">
        <v>0</v>
      </c>
    </row>
    <row r="3297" spans="1:10" ht="15.75" hidden="1" thickBot="1" x14ac:dyDescent="0.3">
      <c r="A3297" s="221"/>
      <c r="B3297" s="223"/>
      <c r="C3297" s="26"/>
      <c r="D3297" s="26"/>
      <c r="E3297" s="27"/>
      <c r="F3297" s="37" t="s">
        <v>521</v>
      </c>
      <c r="G3297" s="28" t="str">
        <f t="shared" si="56"/>
        <v/>
      </c>
      <c r="H3297" s="29"/>
      <c r="I3297" s="25"/>
      <c r="J3297" s="138">
        <v>0</v>
      </c>
    </row>
    <row r="3298" spans="1:10" ht="15.75" hidden="1" thickBot="1" x14ac:dyDescent="0.3">
      <c r="A3298" s="221"/>
      <c r="B3298" s="223"/>
      <c r="C3298" s="30" t="s">
        <v>969</v>
      </c>
      <c r="D3298" s="30" t="s">
        <v>93</v>
      </c>
      <c r="E3298" s="31">
        <v>1.0149999999999999</v>
      </c>
      <c r="F3298" s="25">
        <v>0</v>
      </c>
      <c r="G3298" s="28">
        <f t="shared" si="56"/>
        <v>0</v>
      </c>
      <c r="H3298" s="33">
        <f>SUM(G3298:G3301)</f>
        <v>4.7153819999999991</v>
      </c>
      <c r="I3298" s="34"/>
      <c r="J3298" s="138">
        <v>0</v>
      </c>
    </row>
    <row r="3299" spans="1:10" ht="15.75" hidden="1" thickBot="1" x14ac:dyDescent="0.3">
      <c r="A3299" s="221"/>
      <c r="B3299" s="223"/>
      <c r="C3299" s="30" t="s">
        <v>553</v>
      </c>
      <c r="D3299" s="41" t="s">
        <v>279</v>
      </c>
      <c r="E3299" s="31">
        <v>8.9999999999999993E-3</v>
      </c>
      <c r="F3299" s="25">
        <v>4.1229999999999993</v>
      </c>
      <c r="G3299" s="28">
        <f t="shared" si="56"/>
        <v>3.7106999999999994E-2</v>
      </c>
      <c r="H3299" s="29"/>
      <c r="I3299" s="25"/>
      <c r="J3299" s="138">
        <v>0</v>
      </c>
    </row>
    <row r="3300" spans="1:10" ht="15.75" hidden="1" thickBot="1" x14ac:dyDescent="0.3">
      <c r="A3300" s="221"/>
      <c r="B3300" s="223"/>
      <c r="C3300" s="30" t="s">
        <v>74</v>
      </c>
      <c r="D3300" s="30" t="s">
        <v>12</v>
      </c>
      <c r="E3300" s="31">
        <v>0.105</v>
      </c>
      <c r="F3300" s="25">
        <v>19.4085</v>
      </c>
      <c r="G3300" s="28">
        <f t="shared" si="56"/>
        <v>2.0378924999999999</v>
      </c>
      <c r="H3300" s="29"/>
      <c r="I3300" s="25"/>
      <c r="J3300" s="138">
        <v>0</v>
      </c>
    </row>
    <row r="3301" spans="1:10" ht="15.75" hidden="1" thickBot="1" x14ac:dyDescent="0.3">
      <c r="A3301" s="221"/>
      <c r="B3301" s="223"/>
      <c r="C3301" s="30" t="s">
        <v>30</v>
      </c>
      <c r="D3301" s="30" t="s">
        <v>12</v>
      </c>
      <c r="E3301" s="31">
        <v>0.105</v>
      </c>
      <c r="F3301" s="25">
        <v>25.146499999999996</v>
      </c>
      <c r="G3301" s="28">
        <f t="shared" si="56"/>
        <v>2.6403824999999994</v>
      </c>
      <c r="H3301" s="29"/>
      <c r="I3301" s="25"/>
      <c r="J3301" s="138">
        <v>0</v>
      </c>
    </row>
    <row r="3302" spans="1:10" ht="15.75" hidden="1" thickBot="1" x14ac:dyDescent="0.3">
      <c r="A3302" s="227"/>
      <c r="B3302" s="224"/>
      <c r="C3302" s="30"/>
      <c r="D3302" s="30"/>
      <c r="E3302" s="31"/>
      <c r="F3302" s="25" t="s">
        <v>521</v>
      </c>
      <c r="G3302" s="28" t="str">
        <f t="shared" si="56"/>
        <v/>
      </c>
      <c r="H3302" s="29"/>
      <c r="I3302" s="25"/>
      <c r="J3302" s="138">
        <v>0</v>
      </c>
    </row>
    <row r="3303" spans="1:10" ht="15.75" hidden="1" thickBot="1" x14ac:dyDescent="0.3">
      <c r="A3303" s="220" t="s">
        <v>970</v>
      </c>
      <c r="B3303" s="222" t="e">
        <f>INDEX(Orçamentária!A:B,MATCH(Composições!A3303,Orçamentária!A:A,0),2)</f>
        <v>#N/A</v>
      </c>
      <c r="C3303" s="35"/>
      <c r="D3303" s="20" t="s">
        <v>93</v>
      </c>
      <c r="E3303" s="21"/>
      <c r="F3303" s="36" t="s">
        <v>521</v>
      </c>
      <c r="G3303" s="22" t="str">
        <f t="shared" si="56"/>
        <v/>
      </c>
      <c r="H3303" s="23"/>
      <c r="I3303" s="24"/>
      <c r="J3303" s="138">
        <v>0</v>
      </c>
    </row>
    <row r="3304" spans="1:10" ht="15.75" hidden="1" thickBot="1" x14ac:dyDescent="0.3">
      <c r="A3304" s="221"/>
      <c r="B3304" s="223"/>
      <c r="C3304" s="26"/>
      <c r="D3304" s="26"/>
      <c r="E3304" s="27"/>
      <c r="F3304" s="37" t="s">
        <v>521</v>
      </c>
      <c r="G3304" s="28" t="str">
        <f t="shared" si="56"/>
        <v/>
      </c>
      <c r="H3304" s="29"/>
      <c r="I3304" s="25"/>
      <c r="J3304" s="138">
        <v>0</v>
      </c>
    </row>
    <row r="3305" spans="1:10" ht="15.75" hidden="1" thickBot="1" x14ac:dyDescent="0.3">
      <c r="A3305" s="221"/>
      <c r="B3305" s="223"/>
      <c r="C3305" s="30" t="s">
        <v>971</v>
      </c>
      <c r="D3305" s="30" t="s">
        <v>93</v>
      </c>
      <c r="E3305" s="31">
        <v>1.0149999999999999</v>
      </c>
      <c r="F3305" s="25">
        <v>0</v>
      </c>
      <c r="G3305" s="28">
        <f t="shared" si="56"/>
        <v>0</v>
      </c>
      <c r="H3305" s="33">
        <f>SUM(G3305:G3308)</f>
        <v>5.7401469999999994</v>
      </c>
      <c r="I3305" s="34"/>
      <c r="J3305" s="138">
        <v>0</v>
      </c>
    </row>
    <row r="3306" spans="1:10" ht="15.75" hidden="1" thickBot="1" x14ac:dyDescent="0.3">
      <c r="A3306" s="221"/>
      <c r="B3306" s="223"/>
      <c r="C3306" s="30" t="s">
        <v>553</v>
      </c>
      <c r="D3306" s="41" t="s">
        <v>279</v>
      </c>
      <c r="E3306" s="31">
        <v>8.9999999999999993E-3</v>
      </c>
      <c r="F3306" s="25">
        <v>4.1229999999999993</v>
      </c>
      <c r="G3306" s="28">
        <f t="shared" si="56"/>
        <v>3.7106999999999994E-2</v>
      </c>
      <c r="H3306" s="29"/>
      <c r="I3306" s="25"/>
      <c r="J3306" s="138">
        <v>0</v>
      </c>
    </row>
    <row r="3307" spans="1:10" ht="15.75" hidden="1" thickBot="1" x14ac:dyDescent="0.3">
      <c r="A3307" s="221"/>
      <c r="B3307" s="223"/>
      <c r="C3307" s="30" t="s">
        <v>74</v>
      </c>
      <c r="D3307" s="30" t="s">
        <v>12</v>
      </c>
      <c r="E3307" s="31">
        <v>0.128</v>
      </c>
      <c r="F3307" s="25">
        <v>19.4085</v>
      </c>
      <c r="G3307" s="28">
        <f t="shared" si="56"/>
        <v>2.4842880000000003</v>
      </c>
      <c r="H3307" s="29"/>
      <c r="I3307" s="25"/>
      <c r="J3307" s="138">
        <v>0</v>
      </c>
    </row>
    <row r="3308" spans="1:10" ht="15.75" hidden="1" thickBot="1" x14ac:dyDescent="0.3">
      <c r="A3308" s="221"/>
      <c r="B3308" s="223"/>
      <c r="C3308" s="30" t="s">
        <v>30</v>
      </c>
      <c r="D3308" s="30" t="s">
        <v>12</v>
      </c>
      <c r="E3308" s="31">
        <v>0.128</v>
      </c>
      <c r="F3308" s="25">
        <v>25.146499999999996</v>
      </c>
      <c r="G3308" s="28">
        <f t="shared" si="56"/>
        <v>3.2187519999999994</v>
      </c>
      <c r="H3308" s="29"/>
      <c r="I3308" s="25"/>
      <c r="J3308" s="138">
        <v>0</v>
      </c>
    </row>
    <row r="3309" spans="1:10" ht="15.75" hidden="1" thickBot="1" x14ac:dyDescent="0.3">
      <c r="A3309" s="227"/>
      <c r="B3309" s="224"/>
      <c r="C3309" s="30"/>
      <c r="D3309" s="30"/>
      <c r="E3309" s="31"/>
      <c r="F3309" s="25" t="s">
        <v>521</v>
      </c>
      <c r="G3309" s="28" t="str">
        <f t="shared" si="56"/>
        <v/>
      </c>
      <c r="H3309" s="29"/>
      <c r="I3309" s="25"/>
      <c r="J3309" s="138">
        <v>0</v>
      </c>
    </row>
    <row r="3310" spans="1:10" ht="15.75" hidden="1" thickBot="1" x14ac:dyDescent="0.3">
      <c r="A3310" s="220" t="s">
        <v>972</v>
      </c>
      <c r="B3310" s="222" t="e">
        <f>INDEX(Orçamentária!A:B,MATCH(Composições!A3310,Orçamentária!A:A,0),2)</f>
        <v>#N/A</v>
      </c>
      <c r="C3310" s="35"/>
      <c r="D3310" s="20" t="s">
        <v>93</v>
      </c>
      <c r="E3310" s="21"/>
      <c r="F3310" s="36" t="s">
        <v>521</v>
      </c>
      <c r="G3310" s="22" t="str">
        <f t="shared" si="56"/>
        <v/>
      </c>
      <c r="H3310" s="23"/>
      <c r="I3310" s="24"/>
      <c r="J3310" s="138">
        <v>0</v>
      </c>
    </row>
    <row r="3311" spans="1:10" ht="15.75" hidden="1" thickBot="1" x14ac:dyDescent="0.3">
      <c r="A3311" s="221"/>
      <c r="B3311" s="223"/>
      <c r="C3311" s="26"/>
      <c r="D3311" s="26"/>
      <c r="E3311" s="27"/>
      <c r="F3311" s="37" t="s">
        <v>521</v>
      </c>
      <c r="G3311" s="28" t="str">
        <f t="shared" si="56"/>
        <v/>
      </c>
      <c r="H3311" s="29"/>
      <c r="I3311" s="25"/>
      <c r="J3311" s="138">
        <v>0</v>
      </c>
    </row>
    <row r="3312" spans="1:10" ht="15.75" hidden="1" thickBot="1" x14ac:dyDescent="0.3">
      <c r="A3312" s="221"/>
      <c r="B3312" s="223"/>
      <c r="C3312" s="30" t="s">
        <v>973</v>
      </c>
      <c r="D3312" s="30" t="s">
        <v>93</v>
      </c>
      <c r="E3312" s="31">
        <v>1.0149999999999999</v>
      </c>
      <c r="F3312" s="25">
        <v>0</v>
      </c>
      <c r="G3312" s="28">
        <f t="shared" si="56"/>
        <v>0</v>
      </c>
      <c r="H3312" s="33">
        <f>SUM(G3312:G3315)</f>
        <v>6.8094669999999997</v>
      </c>
      <c r="I3312" s="34"/>
      <c r="J3312" s="138">
        <v>0</v>
      </c>
    </row>
    <row r="3313" spans="1:10" ht="15.75" hidden="1" thickBot="1" x14ac:dyDescent="0.3">
      <c r="A3313" s="221"/>
      <c r="B3313" s="223"/>
      <c r="C3313" s="30" t="s">
        <v>553</v>
      </c>
      <c r="D3313" s="41" t="s">
        <v>279</v>
      </c>
      <c r="E3313" s="31">
        <v>8.9999999999999993E-3</v>
      </c>
      <c r="F3313" s="25">
        <v>4.1229999999999993</v>
      </c>
      <c r="G3313" s="28">
        <f t="shared" si="56"/>
        <v>3.7106999999999994E-2</v>
      </c>
      <c r="H3313" s="29"/>
      <c r="I3313" s="25"/>
      <c r="J3313" s="138">
        <v>0</v>
      </c>
    </row>
    <row r="3314" spans="1:10" ht="15.75" hidden="1" thickBot="1" x14ac:dyDescent="0.3">
      <c r="A3314" s="221"/>
      <c r="B3314" s="223"/>
      <c r="C3314" s="30" t="s">
        <v>74</v>
      </c>
      <c r="D3314" s="30" t="s">
        <v>12</v>
      </c>
      <c r="E3314" s="31">
        <v>0.152</v>
      </c>
      <c r="F3314" s="25">
        <v>19.4085</v>
      </c>
      <c r="G3314" s="28">
        <f t="shared" si="56"/>
        <v>2.9500920000000002</v>
      </c>
      <c r="H3314" s="29"/>
      <c r="I3314" s="25"/>
      <c r="J3314" s="138">
        <v>0</v>
      </c>
    </row>
    <row r="3315" spans="1:10" ht="15.75" hidden="1" thickBot="1" x14ac:dyDescent="0.3">
      <c r="A3315" s="221"/>
      <c r="B3315" s="223"/>
      <c r="C3315" s="30" t="s">
        <v>30</v>
      </c>
      <c r="D3315" s="30" t="s">
        <v>12</v>
      </c>
      <c r="E3315" s="31">
        <v>0.152</v>
      </c>
      <c r="F3315" s="25">
        <v>25.146499999999996</v>
      </c>
      <c r="G3315" s="28">
        <f t="shared" si="56"/>
        <v>3.8222679999999993</v>
      </c>
      <c r="H3315" s="29"/>
      <c r="I3315" s="25"/>
      <c r="J3315" s="138">
        <v>0</v>
      </c>
    </row>
    <row r="3316" spans="1:10" ht="15.75" hidden="1" thickBot="1" x14ac:dyDescent="0.3">
      <c r="A3316" s="227"/>
      <c r="B3316" s="224"/>
      <c r="C3316" s="30"/>
      <c r="D3316" s="30"/>
      <c r="E3316" s="31"/>
      <c r="F3316" s="25" t="s">
        <v>521</v>
      </c>
      <c r="G3316" s="28" t="str">
        <f t="shared" si="56"/>
        <v/>
      </c>
      <c r="H3316" s="29"/>
      <c r="I3316" s="25"/>
      <c r="J3316" s="138">
        <v>0</v>
      </c>
    </row>
    <row r="3317" spans="1:10" ht="15.75" hidden="1" thickBot="1" x14ac:dyDescent="0.3">
      <c r="A3317" s="220" t="s">
        <v>974</v>
      </c>
      <c r="B3317" s="222" t="e">
        <f>INDEX(Orçamentária!A:B,MATCH(Composições!A3317,Orçamentária!A:A,0),2)</f>
        <v>#N/A</v>
      </c>
      <c r="C3317" s="35"/>
      <c r="D3317" s="20" t="s">
        <v>93</v>
      </c>
      <c r="E3317" s="21"/>
      <c r="F3317" s="36" t="s">
        <v>521</v>
      </c>
      <c r="G3317" s="22" t="str">
        <f t="shared" ref="G3317:G3380" si="57">IF(ISNUMBER(F3317),E3317*F3317,"")</f>
        <v/>
      </c>
      <c r="H3317" s="23"/>
      <c r="I3317" s="24"/>
      <c r="J3317" s="138">
        <v>0</v>
      </c>
    </row>
    <row r="3318" spans="1:10" ht="15.75" hidden="1" thickBot="1" x14ac:dyDescent="0.3">
      <c r="A3318" s="221"/>
      <c r="B3318" s="223"/>
      <c r="C3318" s="26"/>
      <c r="D3318" s="26"/>
      <c r="E3318" s="27"/>
      <c r="F3318" s="37" t="s">
        <v>521</v>
      </c>
      <c r="G3318" s="28" t="str">
        <f t="shared" si="57"/>
        <v/>
      </c>
      <c r="H3318" s="29"/>
      <c r="I3318" s="25"/>
      <c r="J3318" s="138">
        <v>0</v>
      </c>
    </row>
    <row r="3319" spans="1:10" ht="15.75" hidden="1" thickBot="1" x14ac:dyDescent="0.3">
      <c r="A3319" s="221"/>
      <c r="B3319" s="223"/>
      <c r="C3319" s="30" t="s">
        <v>975</v>
      </c>
      <c r="D3319" s="30" t="s">
        <v>93</v>
      </c>
      <c r="E3319" s="31">
        <v>1.0149999999999999</v>
      </c>
      <c r="F3319" s="25">
        <v>0</v>
      </c>
      <c r="G3319" s="28">
        <f t="shared" si="57"/>
        <v>0</v>
      </c>
      <c r="H3319" s="33">
        <f>SUM(G3319:G3322)</f>
        <v>8.0124519999999997</v>
      </c>
      <c r="I3319" s="34"/>
      <c r="J3319" s="138">
        <v>0</v>
      </c>
    </row>
    <row r="3320" spans="1:10" ht="15.75" hidden="1" thickBot="1" x14ac:dyDescent="0.3">
      <c r="A3320" s="221"/>
      <c r="B3320" s="223"/>
      <c r="C3320" s="30" t="s">
        <v>553</v>
      </c>
      <c r="D3320" s="41" t="s">
        <v>279</v>
      </c>
      <c r="E3320" s="31">
        <v>8.9999999999999993E-3</v>
      </c>
      <c r="F3320" s="25">
        <v>4.1229999999999993</v>
      </c>
      <c r="G3320" s="28">
        <f t="shared" si="57"/>
        <v>3.7106999999999994E-2</v>
      </c>
      <c r="H3320" s="29"/>
      <c r="I3320" s="25"/>
      <c r="J3320" s="138">
        <v>0</v>
      </c>
    </row>
    <row r="3321" spans="1:10" ht="15.75" hidden="1" thickBot="1" x14ac:dyDescent="0.3">
      <c r="A3321" s="221"/>
      <c r="B3321" s="223"/>
      <c r="C3321" s="30" t="s">
        <v>74</v>
      </c>
      <c r="D3321" s="30" t="s">
        <v>12</v>
      </c>
      <c r="E3321" s="31">
        <v>0.17899999999999999</v>
      </c>
      <c r="F3321" s="25">
        <v>19.4085</v>
      </c>
      <c r="G3321" s="28">
        <f t="shared" si="57"/>
        <v>3.4741214999999999</v>
      </c>
      <c r="H3321" s="29"/>
      <c r="I3321" s="25"/>
      <c r="J3321" s="138">
        <v>0</v>
      </c>
    </row>
    <row r="3322" spans="1:10" ht="15.75" hidden="1" thickBot="1" x14ac:dyDescent="0.3">
      <c r="A3322" s="221"/>
      <c r="B3322" s="223"/>
      <c r="C3322" s="30" t="s">
        <v>30</v>
      </c>
      <c r="D3322" s="30" t="s">
        <v>12</v>
      </c>
      <c r="E3322" s="31">
        <v>0.17899999999999999</v>
      </c>
      <c r="F3322" s="25">
        <v>25.146499999999996</v>
      </c>
      <c r="G3322" s="28">
        <f t="shared" si="57"/>
        <v>4.5012234999999992</v>
      </c>
      <c r="H3322" s="29"/>
      <c r="I3322" s="25"/>
      <c r="J3322" s="138">
        <v>0</v>
      </c>
    </row>
    <row r="3323" spans="1:10" ht="15.75" hidden="1" thickBot="1" x14ac:dyDescent="0.3">
      <c r="A3323" s="227"/>
      <c r="B3323" s="224"/>
      <c r="C3323" s="30"/>
      <c r="D3323" s="30"/>
      <c r="E3323" s="31"/>
      <c r="F3323" s="25" t="s">
        <v>521</v>
      </c>
      <c r="G3323" s="28" t="str">
        <f t="shared" si="57"/>
        <v/>
      </c>
      <c r="H3323" s="29"/>
      <c r="I3323" s="25"/>
      <c r="J3323" s="138">
        <v>0</v>
      </c>
    </row>
    <row r="3324" spans="1:10" ht="15.75" hidden="1" thickBot="1" x14ac:dyDescent="0.3">
      <c r="A3324" s="220" t="s">
        <v>976</v>
      </c>
      <c r="B3324" s="222" t="e">
        <f>INDEX(Orçamentária!A:B,MATCH(Composições!A3324,Orçamentária!A:A,0),2)</f>
        <v>#N/A</v>
      </c>
      <c r="C3324" s="35"/>
      <c r="D3324" s="20" t="s">
        <v>93</v>
      </c>
      <c r="E3324" s="21"/>
      <c r="F3324" s="36" t="s">
        <v>521</v>
      </c>
      <c r="G3324" s="22" t="str">
        <f t="shared" si="57"/>
        <v/>
      </c>
      <c r="H3324" s="23"/>
      <c r="I3324" s="24"/>
      <c r="J3324" s="138">
        <v>0</v>
      </c>
    </row>
    <row r="3325" spans="1:10" ht="15.75" hidden="1" thickBot="1" x14ac:dyDescent="0.3">
      <c r="A3325" s="221"/>
      <c r="B3325" s="223"/>
      <c r="C3325" s="26"/>
      <c r="D3325" s="26"/>
      <c r="E3325" s="27"/>
      <c r="F3325" s="37" t="s">
        <v>521</v>
      </c>
      <c r="G3325" s="28" t="str">
        <f t="shared" si="57"/>
        <v/>
      </c>
      <c r="H3325" s="29"/>
      <c r="I3325" s="25"/>
      <c r="J3325" s="138">
        <v>0</v>
      </c>
    </row>
    <row r="3326" spans="1:10" ht="15.75" hidden="1" thickBot="1" x14ac:dyDescent="0.3">
      <c r="A3326" s="221"/>
      <c r="B3326" s="223"/>
      <c r="C3326" s="30" t="s">
        <v>977</v>
      </c>
      <c r="D3326" s="30" t="s">
        <v>93</v>
      </c>
      <c r="E3326" s="31">
        <v>1.0149999999999999</v>
      </c>
      <c r="F3326" s="25">
        <v>0</v>
      </c>
      <c r="G3326" s="28">
        <f t="shared" si="57"/>
        <v>0</v>
      </c>
      <c r="H3326" s="33">
        <f>SUM(G3326:G3329)</f>
        <v>9.4827669999999991</v>
      </c>
      <c r="I3326" s="34"/>
      <c r="J3326" s="138">
        <v>0</v>
      </c>
    </row>
    <row r="3327" spans="1:10" ht="15.75" hidden="1" thickBot="1" x14ac:dyDescent="0.3">
      <c r="A3327" s="221"/>
      <c r="B3327" s="223"/>
      <c r="C3327" s="30" t="s">
        <v>553</v>
      </c>
      <c r="D3327" s="41" t="s">
        <v>279</v>
      </c>
      <c r="E3327" s="31">
        <v>8.9999999999999993E-3</v>
      </c>
      <c r="F3327" s="25">
        <v>4.1229999999999993</v>
      </c>
      <c r="G3327" s="28">
        <f t="shared" si="57"/>
        <v>3.7106999999999994E-2</v>
      </c>
      <c r="H3327" s="29"/>
      <c r="I3327" s="25"/>
      <c r="J3327" s="138">
        <v>0</v>
      </c>
    </row>
    <row r="3328" spans="1:10" ht="15.75" hidden="1" thickBot="1" x14ac:dyDescent="0.3">
      <c r="A3328" s="221"/>
      <c r="B3328" s="223"/>
      <c r="C3328" s="30" t="s">
        <v>74</v>
      </c>
      <c r="D3328" s="30" t="s">
        <v>12</v>
      </c>
      <c r="E3328" s="31">
        <v>0.21199999999999999</v>
      </c>
      <c r="F3328" s="25">
        <v>19.4085</v>
      </c>
      <c r="G3328" s="28">
        <f t="shared" si="57"/>
        <v>4.1146019999999996</v>
      </c>
      <c r="H3328" s="29"/>
      <c r="I3328" s="25"/>
      <c r="J3328" s="138">
        <v>0</v>
      </c>
    </row>
    <row r="3329" spans="1:10" ht="15.75" hidden="1" thickBot="1" x14ac:dyDescent="0.3">
      <c r="A3329" s="221"/>
      <c r="B3329" s="223"/>
      <c r="C3329" s="30" t="s">
        <v>30</v>
      </c>
      <c r="D3329" s="30" t="s">
        <v>12</v>
      </c>
      <c r="E3329" s="31">
        <v>0.21199999999999999</v>
      </c>
      <c r="F3329" s="25">
        <v>25.146499999999996</v>
      </c>
      <c r="G3329" s="28">
        <f t="shared" si="57"/>
        <v>5.3310579999999987</v>
      </c>
      <c r="H3329" s="29"/>
      <c r="I3329" s="25"/>
      <c r="J3329" s="138">
        <v>0</v>
      </c>
    </row>
    <row r="3330" spans="1:10" ht="15.75" hidden="1" thickBot="1" x14ac:dyDescent="0.3">
      <c r="A3330" s="227"/>
      <c r="B3330" s="224"/>
      <c r="C3330" s="30"/>
      <c r="D3330" s="30"/>
      <c r="E3330" s="31"/>
      <c r="F3330" s="25" t="s">
        <v>521</v>
      </c>
      <c r="G3330" s="28" t="str">
        <f t="shared" si="57"/>
        <v/>
      </c>
      <c r="H3330" s="29"/>
      <c r="I3330" s="25"/>
      <c r="J3330" s="138">
        <v>0</v>
      </c>
    </row>
    <row r="3331" spans="1:10" ht="15.75" hidden="1" thickBot="1" x14ac:dyDescent="0.3">
      <c r="A3331" s="220" t="s">
        <v>978</v>
      </c>
      <c r="B3331" s="222" t="e">
        <f>INDEX(Orçamentária!A:B,MATCH(Composições!A3331,Orçamentária!A:A,0),2)</f>
        <v>#N/A</v>
      </c>
      <c r="C3331" s="35"/>
      <c r="D3331" s="20" t="s">
        <v>93</v>
      </c>
      <c r="E3331" s="21"/>
      <c r="F3331" s="36" t="s">
        <v>521</v>
      </c>
      <c r="G3331" s="22" t="str">
        <f t="shared" si="57"/>
        <v/>
      </c>
      <c r="H3331" s="23"/>
      <c r="I3331" s="24"/>
      <c r="J3331" s="138">
        <v>0</v>
      </c>
    </row>
    <row r="3332" spans="1:10" ht="15.75" hidden="1" thickBot="1" x14ac:dyDescent="0.3">
      <c r="A3332" s="221"/>
      <c r="B3332" s="223"/>
      <c r="C3332" s="26"/>
      <c r="D3332" s="26"/>
      <c r="E3332" s="27"/>
      <c r="F3332" s="37" t="s">
        <v>521</v>
      </c>
      <c r="G3332" s="28" t="str">
        <f t="shared" si="57"/>
        <v/>
      </c>
      <c r="H3332" s="29"/>
      <c r="I3332" s="25"/>
      <c r="J3332" s="138">
        <v>0</v>
      </c>
    </row>
    <row r="3333" spans="1:10" ht="15.75" hidden="1" thickBot="1" x14ac:dyDescent="0.3">
      <c r="A3333" s="221"/>
      <c r="B3333" s="223"/>
      <c r="C3333" s="30" t="s">
        <v>979</v>
      </c>
      <c r="D3333" s="30" t="s">
        <v>93</v>
      </c>
      <c r="E3333" s="31">
        <v>1.0149999999999999</v>
      </c>
      <c r="F3333" s="25">
        <v>0</v>
      </c>
      <c r="G3333" s="28">
        <f t="shared" si="57"/>
        <v>0</v>
      </c>
      <c r="H3333" s="33">
        <f>SUM(G3333:G3336)</f>
        <v>11.755071999999998</v>
      </c>
      <c r="I3333" s="34"/>
      <c r="J3333" s="138">
        <v>0</v>
      </c>
    </row>
    <row r="3334" spans="1:10" ht="15.75" hidden="1" thickBot="1" x14ac:dyDescent="0.3">
      <c r="A3334" s="221"/>
      <c r="B3334" s="223"/>
      <c r="C3334" s="30" t="s">
        <v>553</v>
      </c>
      <c r="D3334" s="41" t="s">
        <v>279</v>
      </c>
      <c r="E3334" s="31">
        <v>8.9999999999999993E-3</v>
      </c>
      <c r="F3334" s="25">
        <v>4.1229999999999993</v>
      </c>
      <c r="G3334" s="28">
        <f t="shared" si="57"/>
        <v>3.7106999999999994E-2</v>
      </c>
      <c r="H3334" s="29"/>
      <c r="I3334" s="25"/>
      <c r="J3334" s="138">
        <v>0</v>
      </c>
    </row>
    <row r="3335" spans="1:10" ht="15.75" hidden="1" thickBot="1" x14ac:dyDescent="0.3">
      <c r="A3335" s="221"/>
      <c r="B3335" s="223"/>
      <c r="C3335" s="30" t="s">
        <v>74</v>
      </c>
      <c r="D3335" s="30" t="s">
        <v>12</v>
      </c>
      <c r="E3335" s="31">
        <v>0.26300000000000001</v>
      </c>
      <c r="F3335" s="25">
        <v>19.4085</v>
      </c>
      <c r="G3335" s="28">
        <f t="shared" si="57"/>
        <v>5.1044355000000001</v>
      </c>
      <c r="H3335" s="29"/>
      <c r="I3335" s="25"/>
      <c r="J3335" s="138">
        <v>0</v>
      </c>
    </row>
    <row r="3336" spans="1:10" ht="15.75" hidden="1" thickBot="1" x14ac:dyDescent="0.3">
      <c r="A3336" s="221"/>
      <c r="B3336" s="223"/>
      <c r="C3336" s="30" t="s">
        <v>30</v>
      </c>
      <c r="D3336" s="30" t="s">
        <v>12</v>
      </c>
      <c r="E3336" s="31">
        <v>0.26300000000000001</v>
      </c>
      <c r="F3336" s="25">
        <v>25.146499999999996</v>
      </c>
      <c r="G3336" s="28">
        <f t="shared" si="57"/>
        <v>6.6135294999999994</v>
      </c>
      <c r="H3336" s="29"/>
      <c r="I3336" s="25"/>
      <c r="J3336" s="138">
        <v>0</v>
      </c>
    </row>
    <row r="3337" spans="1:10" ht="15.75" hidden="1" thickBot="1" x14ac:dyDescent="0.3">
      <c r="A3337" s="227"/>
      <c r="B3337" s="224"/>
      <c r="C3337" s="30"/>
      <c r="D3337" s="30"/>
      <c r="E3337" s="31"/>
      <c r="F3337" s="25" t="s">
        <v>521</v>
      </c>
      <c r="G3337" s="28" t="str">
        <f t="shared" si="57"/>
        <v/>
      </c>
      <c r="H3337" s="29"/>
      <c r="I3337" s="25"/>
      <c r="J3337" s="138">
        <v>0</v>
      </c>
    </row>
    <row r="3338" spans="1:10" ht="15.75" hidden="1" thickBot="1" x14ac:dyDescent="0.3">
      <c r="A3338" s="220" t="s">
        <v>980</v>
      </c>
      <c r="B3338" s="222" t="e">
        <f>INDEX(Orçamentária!A:B,MATCH(Composições!A3338,Orçamentária!A:A,0),2)</f>
        <v>#N/A</v>
      </c>
      <c r="C3338" s="35"/>
      <c r="D3338" s="20" t="s">
        <v>95</v>
      </c>
      <c r="E3338" s="21"/>
      <c r="F3338" s="36" t="s">
        <v>521</v>
      </c>
      <c r="G3338" s="22" t="str">
        <f t="shared" si="57"/>
        <v/>
      </c>
      <c r="H3338" s="23"/>
      <c r="I3338" s="24"/>
      <c r="J3338" s="138">
        <v>0</v>
      </c>
    </row>
    <row r="3339" spans="1:10" ht="15.75" hidden="1" thickBot="1" x14ac:dyDescent="0.3">
      <c r="A3339" s="221"/>
      <c r="B3339" s="223"/>
      <c r="C3339" s="26"/>
      <c r="D3339" s="26"/>
      <c r="E3339" s="27"/>
      <c r="F3339" s="37" t="s">
        <v>521</v>
      </c>
      <c r="G3339" s="28" t="str">
        <f t="shared" si="57"/>
        <v/>
      </c>
      <c r="H3339" s="29"/>
      <c r="I3339" s="25"/>
      <c r="J3339" s="138">
        <v>0</v>
      </c>
    </row>
    <row r="3340" spans="1:10" ht="26.25" hidden="1" thickBot="1" x14ac:dyDescent="0.3">
      <c r="A3340" s="221"/>
      <c r="B3340" s="223"/>
      <c r="C3340" s="30" t="s">
        <v>981</v>
      </c>
      <c r="D3340" s="41" t="s">
        <v>702</v>
      </c>
      <c r="E3340" s="31">
        <v>0.29509999999999997</v>
      </c>
      <c r="F3340" s="25">
        <v>18.933499999999999</v>
      </c>
      <c r="G3340" s="28">
        <f t="shared" si="57"/>
        <v>5.5872758499999993</v>
      </c>
      <c r="H3340" s="33">
        <f>SUM(G3340:G3342)</f>
        <v>8.559499785869999</v>
      </c>
      <c r="I3340" s="34"/>
      <c r="J3340" s="138">
        <v>0</v>
      </c>
    </row>
    <row r="3341" spans="1:10" ht="15.75" hidden="1" thickBot="1" x14ac:dyDescent="0.3">
      <c r="A3341" s="221"/>
      <c r="B3341" s="223"/>
      <c r="C3341" s="30" t="s">
        <v>703</v>
      </c>
      <c r="D3341" s="41" t="s">
        <v>702</v>
      </c>
      <c r="E3341" s="31">
        <v>5.8999999999999997E-2</v>
      </c>
      <c r="F3341" s="25">
        <v>18.420500000000001</v>
      </c>
      <c r="G3341" s="28">
        <f t="shared" si="57"/>
        <v>1.0868095</v>
      </c>
      <c r="H3341" s="29"/>
      <c r="I3341" s="25"/>
      <c r="J3341" s="138">
        <v>0</v>
      </c>
    </row>
    <row r="3342" spans="1:10" ht="51.75" hidden="1" thickBot="1" x14ac:dyDescent="0.3">
      <c r="A3342" s="221"/>
      <c r="B3342" s="223"/>
      <c r="C3342" s="30" t="s">
        <v>982</v>
      </c>
      <c r="D3342" s="41" t="s">
        <v>983</v>
      </c>
      <c r="E3342" s="31">
        <v>0.1673</v>
      </c>
      <c r="F3342" s="25">
        <v>11.269661899999999</v>
      </c>
      <c r="G3342" s="28">
        <f t="shared" si="57"/>
        <v>1.8854144358699998</v>
      </c>
      <c r="H3342" s="29"/>
      <c r="I3342" s="25"/>
      <c r="J3342" s="138">
        <v>0</v>
      </c>
    </row>
    <row r="3343" spans="1:10" ht="15.75" hidden="1" thickBot="1" x14ac:dyDescent="0.3">
      <c r="A3343" s="227"/>
      <c r="B3343" s="224"/>
      <c r="C3343" s="30"/>
      <c r="D3343" s="30"/>
      <c r="E3343" s="31"/>
      <c r="F3343" s="25" t="s">
        <v>521</v>
      </c>
      <c r="G3343" s="28" t="str">
        <f t="shared" si="57"/>
        <v/>
      </c>
      <c r="H3343" s="29"/>
      <c r="I3343" s="25"/>
      <c r="J3343" s="138">
        <v>0</v>
      </c>
    </row>
    <row r="3344" spans="1:10" ht="15.75" hidden="1" thickBot="1" x14ac:dyDescent="0.3">
      <c r="A3344" s="220" t="s">
        <v>984</v>
      </c>
      <c r="B3344" s="222" t="e">
        <f>INDEX(Orçamentária!A:B,MATCH(Composições!A3344,Orçamentária!A:A,0),2)</f>
        <v>#N/A</v>
      </c>
      <c r="C3344" s="35"/>
      <c r="D3344" s="20" t="s">
        <v>93</v>
      </c>
      <c r="E3344" s="21"/>
      <c r="F3344" s="36" t="s">
        <v>521</v>
      </c>
      <c r="G3344" s="22" t="str">
        <f t="shared" si="57"/>
        <v/>
      </c>
      <c r="H3344" s="23"/>
      <c r="I3344" s="24"/>
      <c r="J3344" s="138">
        <v>0</v>
      </c>
    </row>
    <row r="3345" spans="1:10" ht="15.75" hidden="1" thickBot="1" x14ac:dyDescent="0.3">
      <c r="A3345" s="221"/>
      <c r="B3345" s="223"/>
      <c r="C3345" s="26"/>
      <c r="D3345" s="26"/>
      <c r="E3345" s="27"/>
      <c r="F3345" s="37" t="s">
        <v>521</v>
      </c>
      <c r="G3345" s="28" t="str">
        <f t="shared" si="57"/>
        <v/>
      </c>
      <c r="H3345" s="29"/>
      <c r="I3345" s="25"/>
      <c r="J3345" s="138">
        <v>0</v>
      </c>
    </row>
    <row r="3346" spans="1:10" ht="26.25" hidden="1" thickBot="1" x14ac:dyDescent="0.3">
      <c r="A3346" s="221"/>
      <c r="B3346" s="223"/>
      <c r="C3346" s="30" t="s">
        <v>981</v>
      </c>
      <c r="D3346" s="41" t="s">
        <v>702</v>
      </c>
      <c r="E3346" s="31">
        <v>0.5</v>
      </c>
      <c r="F3346" s="25">
        <v>18.933499999999999</v>
      </c>
      <c r="G3346" s="28">
        <f t="shared" si="57"/>
        <v>9.4667499999999993</v>
      </c>
      <c r="H3346" s="33">
        <f>SUM(G3346:G3348)</f>
        <v>15.839204083799999</v>
      </c>
      <c r="I3346" s="34"/>
      <c r="J3346" s="138">
        <v>0</v>
      </c>
    </row>
    <row r="3347" spans="1:10" ht="15.75" hidden="1" thickBot="1" x14ac:dyDescent="0.3">
      <c r="A3347" s="221"/>
      <c r="B3347" s="223"/>
      <c r="C3347" s="30" t="s">
        <v>703</v>
      </c>
      <c r="D3347" s="41" t="s">
        <v>702</v>
      </c>
      <c r="E3347" s="31">
        <v>0.1</v>
      </c>
      <c r="F3347" s="25">
        <v>18.420500000000001</v>
      </c>
      <c r="G3347" s="28">
        <f t="shared" si="57"/>
        <v>1.8420500000000002</v>
      </c>
      <c r="H3347" s="33"/>
      <c r="I3347" s="34"/>
      <c r="J3347" s="138">
        <v>0</v>
      </c>
    </row>
    <row r="3348" spans="1:10" ht="51.75" hidden="1" thickBot="1" x14ac:dyDescent="0.3">
      <c r="A3348" s="221"/>
      <c r="B3348" s="223"/>
      <c r="C3348" s="30" t="s">
        <v>982</v>
      </c>
      <c r="D3348" s="41" t="s">
        <v>983</v>
      </c>
      <c r="E3348" s="31">
        <v>0.40200000000000002</v>
      </c>
      <c r="F3348" s="25">
        <v>11.269661899999999</v>
      </c>
      <c r="G3348" s="28">
        <f t="shared" si="57"/>
        <v>4.5304040837999997</v>
      </c>
      <c r="H3348" s="29"/>
      <c r="I3348" s="25"/>
      <c r="J3348" s="138">
        <v>0</v>
      </c>
    </row>
    <row r="3349" spans="1:10" ht="15.75" hidden="1" thickBot="1" x14ac:dyDescent="0.3">
      <c r="A3349" s="227"/>
      <c r="B3349" s="224"/>
      <c r="C3349" s="30"/>
      <c r="D3349" s="30"/>
      <c r="E3349" s="31"/>
      <c r="F3349" s="25" t="s">
        <v>521</v>
      </c>
      <c r="G3349" s="28" t="str">
        <f t="shared" si="57"/>
        <v/>
      </c>
      <c r="H3349" s="29"/>
      <c r="I3349" s="25"/>
      <c r="J3349" s="138">
        <v>0</v>
      </c>
    </row>
    <row r="3350" spans="1:10" ht="15.75" hidden="1" thickBot="1" x14ac:dyDescent="0.3">
      <c r="A3350" s="220" t="s">
        <v>985</v>
      </c>
      <c r="B3350" s="222" t="e">
        <f>INDEX(Orçamentária!A:B,MATCH(Composições!A3350,Orçamentária!A:A,0),2)</f>
        <v>#N/A</v>
      </c>
      <c r="C3350" s="35"/>
      <c r="D3350" s="20" t="s">
        <v>1456</v>
      </c>
      <c r="E3350" s="21"/>
      <c r="F3350" s="36" t="s">
        <v>521</v>
      </c>
      <c r="G3350" s="22" t="str">
        <f t="shared" si="57"/>
        <v/>
      </c>
      <c r="H3350" s="23"/>
      <c r="I3350" s="24"/>
      <c r="J3350" s="138">
        <v>0</v>
      </c>
    </row>
    <row r="3351" spans="1:10" ht="15.75" hidden="1" thickBot="1" x14ac:dyDescent="0.3">
      <c r="A3351" s="221"/>
      <c r="B3351" s="223"/>
      <c r="C3351" s="26"/>
      <c r="D3351" s="26"/>
      <c r="E3351" s="27"/>
      <c r="F3351" s="37" t="s">
        <v>521</v>
      </c>
      <c r="G3351" s="28" t="str">
        <f t="shared" si="57"/>
        <v/>
      </c>
      <c r="H3351" s="29"/>
      <c r="I3351" s="25"/>
      <c r="J3351" s="138">
        <v>0</v>
      </c>
    </row>
    <row r="3352" spans="1:10" ht="26.25" hidden="1" thickBot="1" x14ac:dyDescent="0.3">
      <c r="A3352" s="221"/>
      <c r="B3352" s="223"/>
      <c r="C3352" s="30" t="s">
        <v>986</v>
      </c>
      <c r="D3352" s="41" t="s">
        <v>279</v>
      </c>
      <c r="E3352" s="31">
        <v>0.89449999999999996</v>
      </c>
      <c r="F3352" s="25">
        <v>0.152</v>
      </c>
      <c r="G3352" s="28">
        <f t="shared" si="57"/>
        <v>0.135964</v>
      </c>
      <c r="H3352" s="33">
        <f>SUM(G3352:G3355)</f>
        <v>4.4881049500000003</v>
      </c>
      <c r="I3352" s="34"/>
      <c r="J3352" s="138">
        <v>0</v>
      </c>
    </row>
    <row r="3353" spans="1:10" ht="26.25" hidden="1" thickBot="1" x14ac:dyDescent="0.3">
      <c r="A3353" s="221"/>
      <c r="B3353" s="223"/>
      <c r="C3353" s="30" t="s">
        <v>987</v>
      </c>
      <c r="D3353" s="41" t="s">
        <v>988</v>
      </c>
      <c r="E3353" s="31">
        <f>ROUND(1.177*(1/3),4)</f>
        <v>0.39229999999999998</v>
      </c>
      <c r="F3353" s="25">
        <v>3.0114999999999998</v>
      </c>
      <c r="G3353" s="28">
        <f t="shared" si="57"/>
        <v>1.1814114499999999</v>
      </c>
      <c r="H3353" s="29"/>
      <c r="I3353" s="25"/>
      <c r="J3353" s="138">
        <v>0</v>
      </c>
    </row>
    <row r="3354" spans="1:10" ht="15.75" hidden="1" thickBot="1" x14ac:dyDescent="0.3">
      <c r="A3354" s="221"/>
      <c r="B3354" s="223"/>
      <c r="C3354" s="30" t="s">
        <v>785</v>
      </c>
      <c r="D3354" s="41" t="s">
        <v>702</v>
      </c>
      <c r="E3354" s="31">
        <v>6.9900000000000004E-2</v>
      </c>
      <c r="F3354" s="25">
        <v>19.494</v>
      </c>
      <c r="G3354" s="28">
        <f t="shared" si="57"/>
        <v>1.3626306000000001</v>
      </c>
      <c r="H3354" s="29"/>
      <c r="I3354" s="25"/>
      <c r="J3354" s="138">
        <v>0</v>
      </c>
    </row>
    <row r="3355" spans="1:10" ht="15.75" hidden="1" thickBot="1" x14ac:dyDescent="0.3">
      <c r="A3355" s="221"/>
      <c r="B3355" s="223"/>
      <c r="C3355" s="30" t="s">
        <v>989</v>
      </c>
      <c r="D3355" s="41" t="s">
        <v>702</v>
      </c>
      <c r="E3355" s="31">
        <v>7.3400000000000007E-2</v>
      </c>
      <c r="F3355" s="25">
        <v>24.633499999999998</v>
      </c>
      <c r="G3355" s="28">
        <f t="shared" si="57"/>
        <v>1.8080989000000001</v>
      </c>
      <c r="H3355" s="29"/>
      <c r="I3355" s="25"/>
      <c r="J3355" s="138">
        <v>0</v>
      </c>
    </row>
    <row r="3356" spans="1:10" ht="15.75" hidden="1" thickBot="1" x14ac:dyDescent="0.3">
      <c r="A3356" s="221"/>
      <c r="B3356" s="223"/>
      <c r="C3356" s="30"/>
      <c r="D3356" s="41"/>
      <c r="E3356" s="31"/>
      <c r="F3356" s="25" t="s">
        <v>521</v>
      </c>
      <c r="G3356" s="28" t="str">
        <f t="shared" si="57"/>
        <v/>
      </c>
      <c r="H3356" s="29"/>
      <c r="I3356" s="25"/>
      <c r="J3356" s="138">
        <v>0</v>
      </c>
    </row>
    <row r="3357" spans="1:10" ht="26.25" hidden="1" thickBot="1" x14ac:dyDescent="0.3">
      <c r="A3357" s="221"/>
      <c r="B3357" s="223"/>
      <c r="C3357" s="46" t="s">
        <v>990</v>
      </c>
      <c r="D3357" s="41"/>
      <c r="E3357" s="31"/>
      <c r="F3357" s="25" t="s">
        <v>521</v>
      </c>
      <c r="G3357" s="28" t="str">
        <f t="shared" si="57"/>
        <v/>
      </c>
      <c r="H3357" s="29"/>
      <c r="I3357" s="25"/>
      <c r="J3357" s="138">
        <v>0</v>
      </c>
    </row>
    <row r="3358" spans="1:10" ht="15.75" hidden="1" thickBot="1" x14ac:dyDescent="0.3">
      <c r="A3358" s="227"/>
      <c r="B3358" s="224"/>
      <c r="C3358" s="49"/>
      <c r="D3358" s="49"/>
      <c r="E3358" s="60"/>
      <c r="F3358" s="61" t="s">
        <v>521</v>
      </c>
      <c r="G3358" s="62" t="str">
        <f t="shared" si="57"/>
        <v/>
      </c>
      <c r="H3358" s="63"/>
      <c r="I3358" s="25"/>
      <c r="J3358" s="138">
        <v>0</v>
      </c>
    </row>
    <row r="3359" spans="1:10" ht="15.75" hidden="1" thickBot="1" x14ac:dyDescent="0.3">
      <c r="A3359" s="220" t="s">
        <v>991</v>
      </c>
      <c r="B3359" s="222" t="e">
        <f>INDEX(Orçamentária!A:B,MATCH(Composições!A3359,Orçamentária!A:A,0),2)</f>
        <v>#N/A</v>
      </c>
      <c r="C3359" s="35"/>
      <c r="D3359" s="20" t="s">
        <v>20</v>
      </c>
      <c r="E3359" s="21"/>
      <c r="F3359" s="36" t="s">
        <v>521</v>
      </c>
      <c r="G3359" s="22" t="str">
        <f t="shared" si="57"/>
        <v/>
      </c>
      <c r="H3359" s="23"/>
      <c r="I3359" s="24"/>
      <c r="J3359" s="138">
        <v>0</v>
      </c>
    </row>
    <row r="3360" spans="1:10" ht="15.75" hidden="1" thickBot="1" x14ac:dyDescent="0.3">
      <c r="A3360" s="221"/>
      <c r="B3360" s="223"/>
      <c r="C3360" s="26"/>
      <c r="D3360" s="26"/>
      <c r="E3360" s="27"/>
      <c r="F3360" s="37" t="s">
        <v>521</v>
      </c>
      <c r="G3360" s="28" t="str">
        <f t="shared" si="57"/>
        <v/>
      </c>
      <c r="H3360" s="29"/>
      <c r="I3360" s="25"/>
      <c r="J3360" s="138">
        <v>0</v>
      </c>
    </row>
    <row r="3361" spans="1:10" ht="15.75" hidden="1" thickBot="1" x14ac:dyDescent="0.3">
      <c r="A3361" s="221"/>
      <c r="B3361" s="223"/>
      <c r="C3361" s="30" t="s">
        <v>615</v>
      </c>
      <c r="D3361" s="30" t="s">
        <v>12</v>
      </c>
      <c r="E3361" s="31">
        <v>2.5</v>
      </c>
      <c r="F3361" s="25">
        <v>24.747499999999999</v>
      </c>
      <c r="G3361" s="28">
        <f t="shared" si="57"/>
        <v>61.868749999999999</v>
      </c>
      <c r="H3361" s="33">
        <f>SUM(G3361:G3362)</f>
        <v>159.81375</v>
      </c>
      <c r="I3361" s="34"/>
      <c r="J3361" s="138">
        <v>0</v>
      </c>
    </row>
    <row r="3362" spans="1:10" ht="15.75" hidden="1" thickBot="1" x14ac:dyDescent="0.3">
      <c r="A3362" s="221"/>
      <c r="B3362" s="223"/>
      <c r="C3362" s="30" t="s">
        <v>616</v>
      </c>
      <c r="D3362" s="30" t="s">
        <v>12</v>
      </c>
      <c r="E3362" s="31">
        <v>5</v>
      </c>
      <c r="F3362" s="25">
        <v>19.588999999999999</v>
      </c>
      <c r="G3362" s="28">
        <f t="shared" si="57"/>
        <v>97.944999999999993</v>
      </c>
      <c r="H3362" s="29"/>
      <c r="I3362" s="25"/>
      <c r="J3362" s="138">
        <v>0</v>
      </c>
    </row>
    <row r="3363" spans="1:10" ht="15.75" hidden="1" thickBot="1" x14ac:dyDescent="0.3">
      <c r="A3363" s="227"/>
      <c r="B3363" s="224"/>
      <c r="C3363" s="30"/>
      <c r="D3363" s="30"/>
      <c r="E3363" s="31"/>
      <c r="F3363" s="25" t="s">
        <v>521</v>
      </c>
      <c r="G3363" s="28" t="str">
        <f t="shared" si="57"/>
        <v/>
      </c>
      <c r="H3363" s="29"/>
      <c r="I3363" s="25"/>
      <c r="J3363" s="138">
        <v>0</v>
      </c>
    </row>
    <row r="3364" spans="1:10" ht="15.75" hidden="1" thickBot="1" x14ac:dyDescent="0.3">
      <c r="A3364" s="220" t="s">
        <v>992</v>
      </c>
      <c r="B3364" s="222" t="e">
        <f>INDEX(Orçamentária!A:B,MATCH(Composições!A3364,Orçamentária!A:A,0),2)</f>
        <v>#N/A</v>
      </c>
      <c r="C3364" s="35"/>
      <c r="D3364" s="20" t="s">
        <v>20</v>
      </c>
      <c r="E3364" s="21"/>
      <c r="F3364" s="36" t="s">
        <v>521</v>
      </c>
      <c r="G3364" s="22" t="str">
        <f t="shared" si="57"/>
        <v/>
      </c>
      <c r="H3364" s="23"/>
      <c r="I3364" s="24"/>
      <c r="J3364" s="138">
        <v>0</v>
      </c>
    </row>
    <row r="3365" spans="1:10" ht="15.75" hidden="1" thickBot="1" x14ac:dyDescent="0.3">
      <c r="A3365" s="221"/>
      <c r="B3365" s="223"/>
      <c r="C3365" s="26"/>
      <c r="D3365" s="26"/>
      <c r="E3365" s="27"/>
      <c r="F3365" s="37" t="s">
        <v>521</v>
      </c>
      <c r="G3365" s="28" t="str">
        <f t="shared" si="57"/>
        <v/>
      </c>
      <c r="H3365" s="29"/>
      <c r="I3365" s="25"/>
      <c r="J3365" s="138">
        <v>0</v>
      </c>
    </row>
    <row r="3366" spans="1:10" ht="26.25" hidden="1" thickBot="1" x14ac:dyDescent="0.3">
      <c r="A3366" s="221"/>
      <c r="B3366" s="223"/>
      <c r="C3366" s="30" t="s">
        <v>993</v>
      </c>
      <c r="D3366" s="41" t="s">
        <v>144</v>
      </c>
      <c r="E3366" s="31">
        <v>1</v>
      </c>
      <c r="F3366" s="25" t="s">
        <v>521</v>
      </c>
      <c r="G3366" s="28" t="str">
        <f t="shared" si="57"/>
        <v/>
      </c>
      <c r="H3366" s="33">
        <f>SUM(G3366:G3369)</f>
        <v>6.6477047999999996</v>
      </c>
      <c r="I3366" s="34"/>
      <c r="J3366" s="138">
        <v>0</v>
      </c>
    </row>
    <row r="3367" spans="1:10" ht="15.75" hidden="1" thickBot="1" x14ac:dyDescent="0.3">
      <c r="A3367" s="221"/>
      <c r="B3367" s="223"/>
      <c r="C3367" s="30" t="s">
        <v>318</v>
      </c>
      <c r="D3367" s="41" t="s">
        <v>279</v>
      </c>
      <c r="E3367" s="31">
        <v>1.32E-2</v>
      </c>
      <c r="F3367" s="25">
        <v>15.408999999999999</v>
      </c>
      <c r="G3367" s="28">
        <f t="shared" si="57"/>
        <v>0.20339879999999999</v>
      </c>
      <c r="H3367" s="29"/>
      <c r="I3367" s="25"/>
      <c r="J3367" s="138">
        <v>0</v>
      </c>
    </row>
    <row r="3368" spans="1:10" ht="15.75" hidden="1" thickBot="1" x14ac:dyDescent="0.3">
      <c r="A3368" s="221"/>
      <c r="B3368" s="223"/>
      <c r="C3368" s="30" t="s">
        <v>39</v>
      </c>
      <c r="D3368" s="41" t="s">
        <v>12</v>
      </c>
      <c r="E3368" s="31">
        <v>0.14849999999999999</v>
      </c>
      <c r="F3368" s="25">
        <v>24.300999999999998</v>
      </c>
      <c r="G3368" s="28">
        <f t="shared" si="57"/>
        <v>3.6086984999999996</v>
      </c>
      <c r="H3368" s="29"/>
      <c r="I3368" s="25"/>
      <c r="J3368" s="138">
        <v>0</v>
      </c>
    </row>
    <row r="3369" spans="1:10" ht="26.25" hidden="1" thickBot="1" x14ac:dyDescent="0.3">
      <c r="A3369" s="221"/>
      <c r="B3369" s="223"/>
      <c r="C3369" s="30" t="s">
        <v>107</v>
      </c>
      <c r="D3369" s="30" t="s">
        <v>12</v>
      </c>
      <c r="E3369" s="31">
        <v>0.14849999999999999</v>
      </c>
      <c r="F3369" s="25">
        <v>19.094999999999999</v>
      </c>
      <c r="G3369" s="28">
        <f t="shared" si="57"/>
        <v>2.8356074999999996</v>
      </c>
      <c r="H3369" s="29"/>
      <c r="I3369" s="25"/>
      <c r="J3369" s="138">
        <v>0</v>
      </c>
    </row>
    <row r="3370" spans="1:10" ht="15.75" hidden="1" thickBot="1" x14ac:dyDescent="0.3">
      <c r="A3370" s="227"/>
      <c r="B3370" s="224"/>
      <c r="C3370" s="30"/>
      <c r="D3370" s="30"/>
      <c r="E3370" s="31"/>
      <c r="F3370" s="25" t="s">
        <v>521</v>
      </c>
      <c r="G3370" s="28" t="str">
        <f t="shared" si="57"/>
        <v/>
      </c>
      <c r="H3370" s="29"/>
      <c r="I3370" s="25"/>
      <c r="J3370" s="138">
        <v>0</v>
      </c>
    </row>
    <row r="3371" spans="1:10" ht="15.75" hidden="1" thickBot="1" x14ac:dyDescent="0.3">
      <c r="A3371" s="220" t="s">
        <v>994</v>
      </c>
      <c r="B3371" s="222" t="e">
        <f>INDEX(Orçamentária!A:B,MATCH(Composições!A3371,Orçamentária!A:A,0),2)</f>
        <v>#N/A</v>
      </c>
      <c r="C3371" s="35"/>
      <c r="D3371" s="20" t="s">
        <v>20</v>
      </c>
      <c r="E3371" s="21"/>
      <c r="F3371" s="36" t="s">
        <v>521</v>
      </c>
      <c r="G3371" s="22" t="str">
        <f t="shared" si="57"/>
        <v/>
      </c>
      <c r="H3371" s="23"/>
      <c r="I3371" s="24"/>
      <c r="J3371" s="138">
        <v>0</v>
      </c>
    </row>
    <row r="3372" spans="1:10" ht="15.75" hidden="1" thickBot="1" x14ac:dyDescent="0.3">
      <c r="A3372" s="221"/>
      <c r="B3372" s="223"/>
      <c r="C3372" s="26"/>
      <c r="D3372" s="26"/>
      <c r="E3372" s="27"/>
      <c r="F3372" s="37" t="s">
        <v>521</v>
      </c>
      <c r="G3372" s="28" t="str">
        <f t="shared" si="57"/>
        <v/>
      </c>
      <c r="H3372" s="29"/>
      <c r="I3372" s="25"/>
      <c r="J3372" s="138">
        <v>0</v>
      </c>
    </row>
    <row r="3373" spans="1:10" ht="15.75" hidden="1" thickBot="1" x14ac:dyDescent="0.3">
      <c r="A3373" s="221"/>
      <c r="B3373" s="223"/>
      <c r="C3373" s="30" t="s">
        <v>318</v>
      </c>
      <c r="D3373" s="41" t="s">
        <v>279</v>
      </c>
      <c r="E3373" s="31">
        <v>1.06E-2</v>
      </c>
      <c r="F3373" s="25">
        <v>15.408999999999999</v>
      </c>
      <c r="G3373" s="28">
        <f t="shared" si="57"/>
        <v>0.16333539999999999</v>
      </c>
      <c r="H3373" s="33">
        <f>SUM(G3373:G3376)</f>
        <v>4.9455745999999996</v>
      </c>
      <c r="I3373" s="34"/>
      <c r="J3373" s="138">
        <v>0</v>
      </c>
    </row>
    <row r="3374" spans="1:10" ht="26.25" hidden="1" thickBot="1" x14ac:dyDescent="0.3">
      <c r="A3374" s="221"/>
      <c r="B3374" s="223"/>
      <c r="C3374" s="30" t="s">
        <v>995</v>
      </c>
      <c r="D3374" s="41" t="s">
        <v>144</v>
      </c>
      <c r="E3374" s="31">
        <v>1</v>
      </c>
      <c r="F3374" s="25" t="s">
        <v>521</v>
      </c>
      <c r="G3374" s="28" t="str">
        <f t="shared" si="57"/>
        <v/>
      </c>
      <c r="H3374" s="29"/>
      <c r="I3374" s="25"/>
      <c r="J3374" s="138">
        <v>0</v>
      </c>
    </row>
    <row r="3375" spans="1:10" ht="26.25" hidden="1" thickBot="1" x14ac:dyDescent="0.3">
      <c r="A3375" s="221"/>
      <c r="B3375" s="223"/>
      <c r="C3375" s="30" t="s">
        <v>107</v>
      </c>
      <c r="D3375" s="41" t="s">
        <v>12</v>
      </c>
      <c r="E3375" s="31">
        <v>0.11020000000000001</v>
      </c>
      <c r="F3375" s="25">
        <v>19.094999999999999</v>
      </c>
      <c r="G3375" s="28">
        <f t="shared" si="57"/>
        <v>2.1042689999999999</v>
      </c>
      <c r="H3375" s="29"/>
      <c r="I3375" s="25"/>
      <c r="J3375" s="138">
        <v>0</v>
      </c>
    </row>
    <row r="3376" spans="1:10" ht="15.75" hidden="1" thickBot="1" x14ac:dyDescent="0.3">
      <c r="A3376" s="221"/>
      <c r="B3376" s="223"/>
      <c r="C3376" s="30" t="s">
        <v>39</v>
      </c>
      <c r="D3376" s="30" t="s">
        <v>12</v>
      </c>
      <c r="E3376" s="31">
        <v>0.11020000000000001</v>
      </c>
      <c r="F3376" s="25">
        <v>24.300999999999998</v>
      </c>
      <c r="G3376" s="28">
        <f t="shared" si="57"/>
        <v>2.6779701999999999</v>
      </c>
      <c r="H3376" s="29"/>
      <c r="I3376" s="25"/>
      <c r="J3376" s="138">
        <v>0</v>
      </c>
    </row>
    <row r="3377" spans="1:10" ht="15.75" hidden="1" thickBot="1" x14ac:dyDescent="0.3">
      <c r="A3377" s="227"/>
      <c r="B3377" s="224"/>
      <c r="C3377" s="30"/>
      <c r="D3377" s="30"/>
      <c r="E3377" s="31"/>
      <c r="F3377" s="25" t="s">
        <v>521</v>
      </c>
      <c r="G3377" s="28" t="str">
        <f t="shared" si="57"/>
        <v/>
      </c>
      <c r="H3377" s="29"/>
      <c r="I3377" s="25"/>
      <c r="J3377" s="138">
        <v>0</v>
      </c>
    </row>
    <row r="3378" spans="1:10" ht="15.75" hidden="1" thickBot="1" x14ac:dyDescent="0.3">
      <c r="A3378" s="220" t="s">
        <v>996</v>
      </c>
      <c r="B3378" s="222" t="e">
        <f>INDEX(Orçamentária!A:B,MATCH(Composições!A3378,Orçamentária!A:A,0),2)</f>
        <v>#N/A</v>
      </c>
      <c r="C3378" s="35"/>
      <c r="D3378" s="20" t="s">
        <v>20</v>
      </c>
      <c r="E3378" s="21"/>
      <c r="F3378" s="36" t="s">
        <v>521</v>
      </c>
      <c r="G3378" s="22" t="str">
        <f t="shared" si="57"/>
        <v/>
      </c>
      <c r="H3378" s="23"/>
      <c r="I3378" s="24"/>
      <c r="J3378" s="138">
        <v>0</v>
      </c>
    </row>
    <row r="3379" spans="1:10" ht="15.75" hidden="1" thickBot="1" x14ac:dyDescent="0.3">
      <c r="A3379" s="221"/>
      <c r="B3379" s="223"/>
      <c r="C3379" s="26"/>
      <c r="D3379" s="26"/>
      <c r="E3379" s="27"/>
      <c r="F3379" s="37" t="s">
        <v>521</v>
      </c>
      <c r="G3379" s="28" t="str">
        <f t="shared" si="57"/>
        <v/>
      </c>
      <c r="H3379" s="29"/>
      <c r="I3379" s="25"/>
      <c r="J3379" s="138">
        <v>0</v>
      </c>
    </row>
    <row r="3380" spans="1:10" ht="26.25" hidden="1" thickBot="1" x14ac:dyDescent="0.3">
      <c r="A3380" s="221"/>
      <c r="B3380" s="223"/>
      <c r="C3380" s="30" t="s">
        <v>997</v>
      </c>
      <c r="D3380" s="41" t="s">
        <v>279</v>
      </c>
      <c r="E3380" s="31">
        <v>1</v>
      </c>
      <c r="F3380" s="25">
        <v>243.31399999999999</v>
      </c>
      <c r="G3380" s="28">
        <f t="shared" si="57"/>
        <v>243.31399999999999</v>
      </c>
      <c r="H3380" s="33">
        <f>SUM(G3380:G3383)</f>
        <v>285.85794611292874</v>
      </c>
      <c r="I3380" s="34"/>
      <c r="J3380" s="138">
        <v>0</v>
      </c>
    </row>
    <row r="3381" spans="1:10" ht="26.25" hidden="1" thickBot="1" x14ac:dyDescent="0.3">
      <c r="A3381" s="221"/>
      <c r="B3381" s="223"/>
      <c r="C3381" s="30" t="s">
        <v>1601</v>
      </c>
      <c r="D3381" s="41" t="s">
        <v>120</v>
      </c>
      <c r="E3381" s="31">
        <v>4.4000000000000003E-3</v>
      </c>
      <c r="F3381" s="25">
        <v>643.29426430199999</v>
      </c>
      <c r="G3381" s="28">
        <f t="shared" ref="G3381:G3444" si="58">IF(ISNUMBER(F3381),E3381*F3381,"")</f>
        <v>2.8304947629288</v>
      </c>
      <c r="H3381" s="29"/>
      <c r="I3381" s="25"/>
      <c r="J3381" s="138">
        <v>0</v>
      </c>
    </row>
    <row r="3382" spans="1:10" ht="15.75" hidden="1" thickBot="1" x14ac:dyDescent="0.3">
      <c r="A3382" s="221"/>
      <c r="B3382" s="223"/>
      <c r="C3382" s="30" t="s">
        <v>22</v>
      </c>
      <c r="D3382" s="30" t="s">
        <v>12</v>
      </c>
      <c r="E3382" s="31">
        <v>1.0088999999999999</v>
      </c>
      <c r="F3382" s="25">
        <v>24.889999999999997</v>
      </c>
      <c r="G3382" s="28">
        <f t="shared" si="58"/>
        <v>25.111520999999996</v>
      </c>
      <c r="H3382" s="29"/>
      <c r="I3382" s="25"/>
      <c r="J3382" s="138">
        <v>0</v>
      </c>
    </row>
    <row r="3383" spans="1:10" ht="15.75" hidden="1" thickBot="1" x14ac:dyDescent="0.3">
      <c r="A3383" s="221"/>
      <c r="B3383" s="223"/>
      <c r="C3383" s="30" t="s">
        <v>23</v>
      </c>
      <c r="D3383" s="30" t="s">
        <v>12</v>
      </c>
      <c r="E3383" s="31">
        <v>0.79269999999999996</v>
      </c>
      <c r="F3383" s="25">
        <v>18.420500000000001</v>
      </c>
      <c r="G3383" s="28">
        <f t="shared" si="58"/>
        <v>14.60193035</v>
      </c>
      <c r="H3383" s="29"/>
      <c r="I3383" s="25"/>
      <c r="J3383" s="138">
        <v>0</v>
      </c>
    </row>
    <row r="3384" spans="1:10" ht="15.75" hidden="1" thickBot="1" x14ac:dyDescent="0.3">
      <c r="A3384" s="227"/>
      <c r="B3384" s="224"/>
      <c r="C3384" s="49"/>
      <c r="D3384" s="49"/>
      <c r="E3384" s="60"/>
      <c r="F3384" s="61" t="s">
        <v>521</v>
      </c>
      <c r="G3384" s="62" t="str">
        <f t="shared" si="58"/>
        <v/>
      </c>
      <c r="H3384" s="63"/>
      <c r="I3384" s="25"/>
      <c r="J3384" s="138">
        <v>0</v>
      </c>
    </row>
    <row r="3385" spans="1:10" ht="15.75" hidden="1" thickBot="1" x14ac:dyDescent="0.3">
      <c r="A3385" s="225" t="s">
        <v>999</v>
      </c>
      <c r="B3385" s="223" t="e">
        <f>INDEX(Orçamentária!A:B,MATCH(Composições!A3385,Orçamentária!A:A,0),2)</f>
        <v>#N/A</v>
      </c>
      <c r="C3385" s="155"/>
      <c r="D3385" s="20" t="s">
        <v>1449</v>
      </c>
      <c r="E3385" s="64"/>
      <c r="F3385" s="65" t="s">
        <v>521</v>
      </c>
      <c r="G3385" s="65" t="str">
        <f t="shared" si="58"/>
        <v/>
      </c>
      <c r="H3385" s="66"/>
      <c r="I3385" s="24"/>
      <c r="J3385" s="138">
        <v>0</v>
      </c>
    </row>
    <row r="3386" spans="1:10" ht="15.75" hidden="1" thickBot="1" x14ac:dyDescent="0.3">
      <c r="A3386" s="221"/>
      <c r="B3386" s="223"/>
      <c r="C3386" s="26"/>
      <c r="D3386" s="26"/>
      <c r="E3386" s="27"/>
      <c r="F3386" s="25" t="s">
        <v>521</v>
      </c>
      <c r="G3386" s="28" t="str">
        <f t="shared" si="58"/>
        <v/>
      </c>
      <c r="H3386" s="29"/>
      <c r="I3386" s="25"/>
      <c r="J3386" s="138">
        <v>0</v>
      </c>
    </row>
    <row r="3387" spans="1:10" ht="15.75" hidden="1" thickBot="1" x14ac:dyDescent="0.3">
      <c r="A3387" s="221"/>
      <c r="B3387" s="223"/>
      <c r="C3387" s="30" t="s">
        <v>1000</v>
      </c>
      <c r="D3387" s="30" t="s">
        <v>12</v>
      </c>
      <c r="E3387" s="31">
        <v>1</v>
      </c>
      <c r="F3387" s="25">
        <v>90.867500000000007</v>
      </c>
      <c r="G3387" s="28">
        <f t="shared" si="58"/>
        <v>90.867500000000007</v>
      </c>
      <c r="H3387" s="33">
        <f>SUM(G3387:G3387)</f>
        <v>90.867500000000007</v>
      </c>
      <c r="I3387" s="34"/>
      <c r="J3387" s="138">
        <v>0</v>
      </c>
    </row>
    <row r="3388" spans="1:10" ht="15.75" hidden="1" thickBot="1" x14ac:dyDescent="0.3">
      <c r="A3388" s="227"/>
      <c r="B3388" s="224"/>
      <c r="C3388" s="30"/>
      <c r="D3388" s="30"/>
      <c r="E3388" s="31"/>
      <c r="F3388" s="25" t="s">
        <v>521</v>
      </c>
      <c r="G3388" s="28" t="str">
        <f t="shared" si="58"/>
        <v/>
      </c>
      <c r="H3388" s="29"/>
      <c r="I3388" s="25"/>
      <c r="J3388" s="138">
        <v>0</v>
      </c>
    </row>
    <row r="3389" spans="1:10" ht="15.75" hidden="1" thickBot="1" x14ac:dyDescent="0.3">
      <c r="A3389" s="220" t="s">
        <v>1001</v>
      </c>
      <c r="B3389" s="222" t="e">
        <f>INDEX(Orçamentária!A:B,MATCH(Composições!A3389,Orçamentária!A:A,0),2)</f>
        <v>#N/A</v>
      </c>
      <c r="C3389" s="35"/>
      <c r="D3389" s="20" t="s">
        <v>2846</v>
      </c>
      <c r="E3389" s="21"/>
      <c r="F3389" s="36" t="s">
        <v>521</v>
      </c>
      <c r="G3389" s="22" t="str">
        <f t="shared" si="58"/>
        <v/>
      </c>
      <c r="H3389" s="23"/>
      <c r="I3389" s="24"/>
      <c r="J3389" s="138">
        <v>0</v>
      </c>
    </row>
    <row r="3390" spans="1:10" ht="15.75" hidden="1" thickBot="1" x14ac:dyDescent="0.3">
      <c r="A3390" s="225"/>
      <c r="B3390" s="223"/>
      <c r="C3390" s="26"/>
      <c r="D3390" s="26"/>
      <c r="E3390" s="27"/>
      <c r="F3390" s="37" t="s">
        <v>521</v>
      </c>
      <c r="G3390" s="28" t="str">
        <f t="shared" si="58"/>
        <v/>
      </c>
      <c r="H3390" s="29"/>
      <c r="I3390" s="25"/>
      <c r="J3390" s="138">
        <v>0</v>
      </c>
    </row>
    <row r="3391" spans="1:10" ht="39" hidden="1" thickBot="1" x14ac:dyDescent="0.3">
      <c r="A3391" s="225"/>
      <c r="B3391" s="223"/>
      <c r="C3391" s="30" t="s">
        <v>1002</v>
      </c>
      <c r="D3391" s="30" t="s">
        <v>127</v>
      </c>
      <c r="E3391" s="31">
        <v>1</v>
      </c>
      <c r="F3391" s="25">
        <v>570</v>
      </c>
      <c r="G3391" s="28">
        <f t="shared" si="58"/>
        <v>570</v>
      </c>
      <c r="H3391" s="33">
        <f>SUM(G3391:G3391)</f>
        <v>570</v>
      </c>
      <c r="I3391" s="34"/>
      <c r="J3391" s="138">
        <v>0</v>
      </c>
    </row>
    <row r="3392" spans="1:10" ht="15.75" hidden="1" thickBot="1" x14ac:dyDescent="0.3">
      <c r="A3392" s="226"/>
      <c r="B3392" s="224"/>
      <c r="C3392" s="30"/>
      <c r="D3392" s="30"/>
      <c r="E3392" s="31"/>
      <c r="F3392" s="25" t="s">
        <v>521</v>
      </c>
      <c r="G3392" s="28" t="str">
        <f t="shared" si="58"/>
        <v/>
      </c>
      <c r="H3392" s="29"/>
      <c r="I3392" s="25"/>
      <c r="J3392" s="138">
        <v>0</v>
      </c>
    </row>
    <row r="3393" spans="1:10" ht="15.75" hidden="1" thickBot="1" x14ac:dyDescent="0.3">
      <c r="A3393" s="220" t="s">
        <v>1003</v>
      </c>
      <c r="B3393" s="222" t="e">
        <f>INDEX(Orçamentária!A:B,MATCH(Composições!A3393,Orçamentária!A:A,0),2)</f>
        <v>#N/A</v>
      </c>
      <c r="C3393" s="35"/>
      <c r="D3393" s="20" t="s">
        <v>95</v>
      </c>
      <c r="E3393" s="21"/>
      <c r="F3393" s="36" t="s">
        <v>521</v>
      </c>
      <c r="G3393" s="22" t="str">
        <f t="shared" si="58"/>
        <v/>
      </c>
      <c r="H3393" s="23"/>
      <c r="I3393" s="24"/>
      <c r="J3393" s="138">
        <v>0</v>
      </c>
    </row>
    <row r="3394" spans="1:10" ht="15.75" hidden="1" thickBot="1" x14ac:dyDescent="0.3">
      <c r="A3394" s="221"/>
      <c r="B3394" s="223"/>
      <c r="C3394" s="26"/>
      <c r="D3394" s="26"/>
      <c r="E3394" s="27"/>
      <c r="F3394" s="37" t="s">
        <v>521</v>
      </c>
      <c r="G3394" s="28" t="str">
        <f t="shared" si="58"/>
        <v/>
      </c>
      <c r="H3394" s="29"/>
      <c r="I3394" s="25"/>
      <c r="J3394" s="138">
        <v>0</v>
      </c>
    </row>
    <row r="3395" spans="1:10" ht="15.75" hidden="1" thickBot="1" x14ac:dyDescent="0.3">
      <c r="A3395" s="221"/>
      <c r="B3395" s="223"/>
      <c r="C3395" s="30" t="s">
        <v>23</v>
      </c>
      <c r="D3395" s="30" t="s">
        <v>12</v>
      </c>
      <c r="E3395" s="31">
        <v>8.8999999999999996E-2</v>
      </c>
      <c r="F3395" s="25">
        <v>18.420500000000001</v>
      </c>
      <c r="G3395" s="28">
        <f t="shared" si="58"/>
        <v>1.6394245000000001</v>
      </c>
      <c r="H3395" s="33">
        <f>SUM(G3395:G3396)</f>
        <v>1.6808920000000001</v>
      </c>
      <c r="I3395" s="34"/>
      <c r="J3395" s="138">
        <v>0</v>
      </c>
    </row>
    <row r="3396" spans="1:10" ht="39" hidden="1" thickBot="1" x14ac:dyDescent="0.3">
      <c r="A3396" s="221"/>
      <c r="B3396" s="223"/>
      <c r="C3396" s="30" t="s">
        <v>1004</v>
      </c>
      <c r="D3396" s="30" t="s">
        <v>33</v>
      </c>
      <c r="E3396" s="31">
        <v>1.4999999999999999E-2</v>
      </c>
      <c r="F3396" s="25">
        <v>2.7645</v>
      </c>
      <c r="G3396" s="28">
        <f t="shared" si="58"/>
        <v>4.1467499999999997E-2</v>
      </c>
      <c r="H3396" s="29"/>
      <c r="I3396" s="25"/>
      <c r="J3396" s="138">
        <v>0</v>
      </c>
    </row>
    <row r="3397" spans="1:10" ht="15.75" hidden="1" thickBot="1" x14ac:dyDescent="0.3">
      <c r="A3397" s="227"/>
      <c r="B3397" s="224"/>
      <c r="C3397" s="30"/>
      <c r="D3397" s="30"/>
      <c r="E3397" s="31"/>
      <c r="F3397" s="25" t="s">
        <v>521</v>
      </c>
      <c r="G3397" s="28" t="str">
        <f t="shared" si="58"/>
        <v/>
      </c>
      <c r="H3397" s="29"/>
      <c r="I3397" s="25"/>
      <c r="J3397" s="138">
        <v>0</v>
      </c>
    </row>
    <row r="3398" spans="1:10" ht="15.75" hidden="1" thickBot="1" x14ac:dyDescent="0.3">
      <c r="A3398" s="220" t="s">
        <v>1005</v>
      </c>
      <c r="B3398" s="222" t="e">
        <f>INDEX(Orçamentária!A:B,MATCH(Composições!A3398,Orçamentária!A:A,0),2)</f>
        <v>#N/A</v>
      </c>
      <c r="C3398" s="35"/>
      <c r="D3398" s="20" t="s">
        <v>95</v>
      </c>
      <c r="E3398" s="21"/>
      <c r="F3398" s="43" t="s">
        <v>521</v>
      </c>
      <c r="G3398" s="22" t="str">
        <f t="shared" si="58"/>
        <v/>
      </c>
      <c r="H3398" s="23"/>
      <c r="I3398" s="24"/>
      <c r="J3398" s="138">
        <v>0</v>
      </c>
    </row>
    <row r="3399" spans="1:10" ht="15.75" hidden="1" thickBot="1" x14ac:dyDescent="0.3">
      <c r="A3399" s="221"/>
      <c r="B3399" s="223"/>
      <c r="C3399" s="26"/>
      <c r="D3399" s="26"/>
      <c r="E3399" s="27"/>
      <c r="F3399" s="48" t="s">
        <v>521</v>
      </c>
      <c r="G3399" s="48" t="str">
        <f t="shared" si="58"/>
        <v/>
      </c>
      <c r="H3399" s="67"/>
      <c r="I3399" s="68"/>
      <c r="J3399" s="138">
        <v>0</v>
      </c>
    </row>
    <row r="3400" spans="1:10" ht="15.75" hidden="1" thickBot="1" x14ac:dyDescent="0.3">
      <c r="A3400" s="221"/>
      <c r="B3400" s="223"/>
      <c r="C3400" s="30" t="s">
        <v>54</v>
      </c>
      <c r="D3400" s="30" t="s">
        <v>12</v>
      </c>
      <c r="E3400" s="31">
        <v>0.25</v>
      </c>
      <c r="F3400" s="48">
        <v>24.795000000000002</v>
      </c>
      <c r="G3400" s="48">
        <f t="shared" si="58"/>
        <v>6.1987500000000004</v>
      </c>
      <c r="H3400" s="33">
        <f>SUM(G3400:G3401)</f>
        <v>6.1987500000000004</v>
      </c>
      <c r="I3400" s="34"/>
      <c r="J3400" s="138">
        <v>0</v>
      </c>
    </row>
    <row r="3401" spans="1:10" ht="15.75" hidden="1" thickBot="1" x14ac:dyDescent="0.3">
      <c r="A3401" s="227"/>
      <c r="B3401" s="224"/>
      <c r="C3401" s="30"/>
      <c r="D3401" s="30"/>
      <c r="E3401" s="31"/>
      <c r="F3401" s="48" t="s">
        <v>521</v>
      </c>
      <c r="G3401" s="48" t="str">
        <f t="shared" si="58"/>
        <v/>
      </c>
      <c r="H3401" s="67"/>
      <c r="I3401" s="68"/>
      <c r="J3401" s="138">
        <v>0</v>
      </c>
    </row>
    <row r="3402" spans="1:10" ht="15.75" hidden="1" thickBot="1" x14ac:dyDescent="0.3">
      <c r="A3402" s="220" t="s">
        <v>1006</v>
      </c>
      <c r="B3402" s="222" t="e">
        <f>INDEX(Orçamentária!A:B,MATCH(Composições!A3402,Orçamentária!A:A,0),2)</f>
        <v>#N/A</v>
      </c>
      <c r="C3402" s="35"/>
      <c r="D3402" s="20" t="s">
        <v>95</v>
      </c>
      <c r="E3402" s="21"/>
      <c r="F3402" s="43" t="s">
        <v>521</v>
      </c>
      <c r="G3402" s="22" t="str">
        <f t="shared" si="58"/>
        <v/>
      </c>
      <c r="H3402" s="23"/>
      <c r="I3402" s="24"/>
      <c r="J3402" s="138">
        <v>0</v>
      </c>
    </row>
    <row r="3403" spans="1:10" ht="15.75" hidden="1" thickBot="1" x14ac:dyDescent="0.3">
      <c r="A3403" s="221"/>
      <c r="B3403" s="223"/>
      <c r="C3403" s="26"/>
      <c r="D3403" s="26"/>
      <c r="E3403" s="27"/>
      <c r="F3403" s="48" t="s">
        <v>521</v>
      </c>
      <c r="G3403" s="48" t="str">
        <f t="shared" si="58"/>
        <v/>
      </c>
      <c r="H3403" s="67"/>
      <c r="I3403" s="68"/>
      <c r="J3403" s="138">
        <v>0</v>
      </c>
    </row>
    <row r="3404" spans="1:10" ht="15.75" hidden="1" thickBot="1" x14ac:dyDescent="0.3">
      <c r="A3404" s="221"/>
      <c r="B3404" s="223"/>
      <c r="C3404" s="30" t="s">
        <v>23</v>
      </c>
      <c r="D3404" s="30" t="s">
        <v>702</v>
      </c>
      <c r="E3404" s="31">
        <v>1.25</v>
      </c>
      <c r="F3404" s="48">
        <v>18.420500000000001</v>
      </c>
      <c r="G3404" s="48">
        <f t="shared" si="58"/>
        <v>23.025625000000002</v>
      </c>
      <c r="H3404" s="33">
        <f>SUM(G3404:G3404)</f>
        <v>23.025625000000002</v>
      </c>
      <c r="I3404" s="34"/>
      <c r="J3404" s="138">
        <v>0</v>
      </c>
    </row>
    <row r="3405" spans="1:10" ht="15.75" hidden="1" thickBot="1" x14ac:dyDescent="0.3">
      <c r="A3405" s="227"/>
      <c r="B3405" s="224"/>
      <c r="C3405" s="30"/>
      <c r="D3405" s="30"/>
      <c r="E3405" s="31"/>
      <c r="F3405" s="48" t="s">
        <v>521</v>
      </c>
      <c r="G3405" s="48" t="str">
        <f t="shared" si="58"/>
        <v/>
      </c>
      <c r="H3405" s="67"/>
      <c r="I3405" s="68"/>
      <c r="J3405" s="138">
        <v>0</v>
      </c>
    </row>
    <row r="3406" spans="1:10" ht="15.75" hidden="1" thickBot="1" x14ac:dyDescent="0.3">
      <c r="A3406" s="220" t="s">
        <v>1007</v>
      </c>
      <c r="B3406" s="222" t="e">
        <f>INDEX(Orçamentária!A:B,MATCH(Composições!A3406,Orçamentária!A:A,0),2)</f>
        <v>#N/A</v>
      </c>
      <c r="C3406" s="35"/>
      <c r="D3406" s="20" t="s">
        <v>95</v>
      </c>
      <c r="E3406" s="21"/>
      <c r="F3406" s="43" t="s">
        <v>521</v>
      </c>
      <c r="G3406" s="22" t="str">
        <f t="shared" si="58"/>
        <v/>
      </c>
      <c r="H3406" s="23"/>
      <c r="I3406" s="24"/>
      <c r="J3406" s="138">
        <v>0</v>
      </c>
    </row>
    <row r="3407" spans="1:10" ht="15.75" hidden="1" thickBot="1" x14ac:dyDescent="0.3">
      <c r="A3407" s="221"/>
      <c r="B3407" s="223"/>
      <c r="C3407" s="26"/>
      <c r="D3407" s="26"/>
      <c r="E3407" s="27"/>
      <c r="F3407" s="48" t="s">
        <v>521</v>
      </c>
      <c r="G3407" s="48" t="str">
        <f t="shared" si="58"/>
        <v/>
      </c>
      <c r="H3407" s="67"/>
      <c r="I3407" s="68"/>
      <c r="J3407" s="138">
        <v>0</v>
      </c>
    </row>
    <row r="3408" spans="1:10" ht="39" hidden="1" thickBot="1" x14ac:dyDescent="0.3">
      <c r="A3408" s="221"/>
      <c r="B3408" s="223"/>
      <c r="C3408" s="30" t="s">
        <v>1008</v>
      </c>
      <c r="D3408" s="30" t="s">
        <v>897</v>
      </c>
      <c r="E3408" s="31">
        <v>1.5</v>
      </c>
      <c r="F3408" s="48">
        <v>19.835999999999999</v>
      </c>
      <c r="G3408" s="48">
        <f t="shared" si="58"/>
        <v>29.753999999999998</v>
      </c>
      <c r="H3408" s="33">
        <f>SUM(G3408:G3411)</f>
        <v>50.345221500000001</v>
      </c>
      <c r="I3408" s="34"/>
      <c r="J3408" s="138">
        <v>0</v>
      </c>
    </row>
    <row r="3409" spans="1:10" ht="15.75" hidden="1" thickBot="1" x14ac:dyDescent="0.3">
      <c r="A3409" s="221"/>
      <c r="B3409" s="223"/>
      <c r="C3409" s="30" t="s">
        <v>1759</v>
      </c>
      <c r="D3409" s="30" t="s">
        <v>988</v>
      </c>
      <c r="E3409" s="31">
        <v>1.351</v>
      </c>
      <c r="F3409" s="48">
        <v>6.2415000000000003</v>
      </c>
      <c r="G3409" s="48">
        <f t="shared" si="58"/>
        <v>8.4322665000000008</v>
      </c>
      <c r="H3409" s="67"/>
      <c r="I3409" s="34"/>
      <c r="J3409" s="138">
        <v>0</v>
      </c>
    </row>
    <row r="3410" spans="1:10" ht="15.75" hidden="1" thickBot="1" x14ac:dyDescent="0.3">
      <c r="A3410" s="221"/>
      <c r="B3410" s="223"/>
      <c r="C3410" s="30" t="s">
        <v>1009</v>
      </c>
      <c r="D3410" s="30" t="s">
        <v>702</v>
      </c>
      <c r="E3410" s="31">
        <v>8.5000000000000006E-2</v>
      </c>
      <c r="F3410" s="48">
        <v>19.474999999999998</v>
      </c>
      <c r="G3410" s="48">
        <f t="shared" si="58"/>
        <v>1.655375</v>
      </c>
      <c r="H3410" s="67"/>
      <c r="I3410" s="68"/>
      <c r="J3410" s="138">
        <v>0</v>
      </c>
    </row>
    <row r="3411" spans="1:10" ht="15.75" hidden="1" thickBot="1" x14ac:dyDescent="0.3">
      <c r="A3411" s="221"/>
      <c r="B3411" s="223"/>
      <c r="C3411" s="30" t="s">
        <v>1010</v>
      </c>
      <c r="D3411" s="30" t="s">
        <v>702</v>
      </c>
      <c r="E3411" s="31">
        <v>0.42199999999999999</v>
      </c>
      <c r="F3411" s="48">
        <v>24.889999999999997</v>
      </c>
      <c r="G3411" s="48">
        <f t="shared" si="58"/>
        <v>10.503579999999998</v>
      </c>
      <c r="H3411" s="67"/>
      <c r="I3411" s="68"/>
      <c r="J3411" s="138">
        <v>0</v>
      </c>
    </row>
    <row r="3412" spans="1:10" ht="15.75" hidden="1" thickBot="1" x14ac:dyDescent="0.3">
      <c r="A3412" s="227"/>
      <c r="B3412" s="224"/>
      <c r="C3412" s="30"/>
      <c r="D3412" s="30"/>
      <c r="E3412" s="31"/>
      <c r="F3412" s="48" t="s">
        <v>521</v>
      </c>
      <c r="G3412" s="48" t="str">
        <f t="shared" si="58"/>
        <v/>
      </c>
      <c r="H3412" s="67"/>
      <c r="I3412" s="68"/>
      <c r="J3412" s="138">
        <v>0</v>
      </c>
    </row>
    <row r="3413" spans="1:10" ht="15.75" hidden="1" thickBot="1" x14ac:dyDescent="0.3">
      <c r="A3413" s="220" t="s">
        <v>1011</v>
      </c>
      <c r="B3413" s="222" t="e">
        <f>INDEX(Orçamentária!A:B,MATCH(Composições!A3413,Orçamentária!A:A,0),2)</f>
        <v>#N/A</v>
      </c>
      <c r="C3413" s="35"/>
      <c r="D3413" s="20" t="s">
        <v>95</v>
      </c>
      <c r="E3413" s="21"/>
      <c r="F3413" s="43" t="s">
        <v>521</v>
      </c>
      <c r="G3413" s="22" t="str">
        <f t="shared" si="58"/>
        <v/>
      </c>
      <c r="H3413" s="23"/>
      <c r="I3413" s="24"/>
      <c r="J3413" s="138">
        <v>0</v>
      </c>
    </row>
    <row r="3414" spans="1:10" ht="15.75" hidden="1" thickBot="1" x14ac:dyDescent="0.3">
      <c r="A3414" s="221"/>
      <c r="B3414" s="223"/>
      <c r="C3414" s="26"/>
      <c r="D3414" s="26"/>
      <c r="E3414" s="27"/>
      <c r="F3414" s="48" t="s">
        <v>521</v>
      </c>
      <c r="G3414" s="48" t="str">
        <f t="shared" si="58"/>
        <v/>
      </c>
      <c r="H3414" s="67"/>
      <c r="I3414" s="68"/>
      <c r="J3414" s="138">
        <v>0</v>
      </c>
    </row>
    <row r="3415" spans="1:10" ht="15.75" hidden="1" thickBot="1" x14ac:dyDescent="0.3">
      <c r="A3415" s="221"/>
      <c r="B3415" s="223"/>
      <c r="C3415" s="30" t="s">
        <v>1012</v>
      </c>
      <c r="D3415" s="30" t="s">
        <v>988</v>
      </c>
      <c r="E3415" s="31">
        <v>1.04</v>
      </c>
      <c r="F3415" s="48">
        <v>1.843</v>
      </c>
      <c r="G3415" s="48">
        <f t="shared" si="58"/>
        <v>1.91672</v>
      </c>
      <c r="H3415" s="33">
        <f>SUM(G3415:G3418)</f>
        <v>51.872401338750009</v>
      </c>
      <c r="I3415" s="34"/>
      <c r="J3415" s="138">
        <v>0</v>
      </c>
    </row>
    <row r="3416" spans="1:10" ht="26.25" hidden="1" thickBot="1" x14ac:dyDescent="0.3">
      <c r="A3416" s="221"/>
      <c r="B3416" s="223"/>
      <c r="C3416" s="30" t="s">
        <v>1013</v>
      </c>
      <c r="D3416" s="30" t="s">
        <v>120</v>
      </c>
      <c r="E3416" s="31">
        <v>3.5000000000000003E-2</v>
      </c>
      <c r="F3416" s="48">
        <v>888.66413825000006</v>
      </c>
      <c r="G3416" s="48">
        <f t="shared" si="58"/>
        <v>31.103244838750005</v>
      </c>
      <c r="H3416" s="67"/>
      <c r="I3416" s="68"/>
      <c r="J3416" s="138">
        <v>0</v>
      </c>
    </row>
    <row r="3417" spans="1:10" ht="15.75" hidden="1" thickBot="1" x14ac:dyDescent="0.3">
      <c r="A3417" s="221"/>
      <c r="B3417" s="223"/>
      <c r="C3417" s="30" t="s">
        <v>22</v>
      </c>
      <c r="D3417" s="30" t="s">
        <v>702</v>
      </c>
      <c r="E3417" s="31">
        <v>0.65900000000000003</v>
      </c>
      <c r="F3417" s="48">
        <v>24.889999999999997</v>
      </c>
      <c r="G3417" s="48">
        <f t="shared" si="58"/>
        <v>16.402509999999999</v>
      </c>
      <c r="H3417" s="67"/>
      <c r="I3417" s="68"/>
      <c r="J3417" s="138">
        <v>0</v>
      </c>
    </row>
    <row r="3418" spans="1:10" ht="15.75" hidden="1" thickBot="1" x14ac:dyDescent="0.3">
      <c r="A3418" s="221"/>
      <c r="B3418" s="223"/>
      <c r="C3418" s="30" t="s">
        <v>23</v>
      </c>
      <c r="D3418" s="30" t="s">
        <v>702</v>
      </c>
      <c r="E3418" s="31">
        <v>0.13300000000000001</v>
      </c>
      <c r="F3418" s="48">
        <v>18.420500000000001</v>
      </c>
      <c r="G3418" s="48">
        <f t="shared" si="58"/>
        <v>2.4499265000000001</v>
      </c>
      <c r="H3418" s="67"/>
      <c r="I3418" s="68"/>
      <c r="J3418" s="138">
        <v>0</v>
      </c>
    </row>
    <row r="3419" spans="1:10" ht="15.75" hidden="1" thickBot="1" x14ac:dyDescent="0.3">
      <c r="A3419" s="227"/>
      <c r="B3419" s="224"/>
      <c r="C3419" s="30"/>
      <c r="D3419" s="30"/>
      <c r="E3419" s="31"/>
      <c r="F3419" s="48" t="s">
        <v>521</v>
      </c>
      <c r="G3419" s="48" t="str">
        <f t="shared" si="58"/>
        <v/>
      </c>
      <c r="H3419" s="67"/>
      <c r="I3419" s="68"/>
      <c r="J3419" s="138">
        <v>0</v>
      </c>
    </row>
    <row r="3420" spans="1:10" ht="15.75" hidden="1" thickBot="1" x14ac:dyDescent="0.3">
      <c r="A3420" s="220" t="s">
        <v>1014</v>
      </c>
      <c r="B3420" s="222" t="e">
        <f>INDEX(Orçamentária!A:B,MATCH(Composições!A3420,Orçamentária!A:A,0),2)</f>
        <v>#N/A</v>
      </c>
      <c r="C3420" s="35"/>
      <c r="D3420" s="20" t="s">
        <v>95</v>
      </c>
      <c r="E3420" s="21"/>
      <c r="F3420" s="43" t="s">
        <v>521</v>
      </c>
      <c r="G3420" s="22" t="str">
        <f t="shared" si="58"/>
        <v/>
      </c>
      <c r="H3420" s="23"/>
      <c r="I3420" s="24"/>
      <c r="J3420" s="138">
        <v>0</v>
      </c>
    </row>
    <row r="3421" spans="1:10" ht="15.75" hidden="1" thickBot="1" x14ac:dyDescent="0.3">
      <c r="A3421" s="221"/>
      <c r="B3421" s="223"/>
      <c r="C3421" s="26"/>
      <c r="D3421" s="26"/>
      <c r="E3421" s="27"/>
      <c r="F3421" s="48" t="s">
        <v>521</v>
      </c>
      <c r="G3421" s="48" t="str">
        <f t="shared" si="58"/>
        <v/>
      </c>
      <c r="H3421" s="67"/>
      <c r="I3421" s="68"/>
      <c r="J3421" s="138">
        <v>0</v>
      </c>
    </row>
    <row r="3422" spans="1:10" ht="26.25" hidden="1" thickBot="1" x14ac:dyDescent="0.3">
      <c r="A3422" s="221"/>
      <c r="B3422" s="223"/>
      <c r="C3422" s="30" t="s">
        <v>1015</v>
      </c>
      <c r="D3422" s="30" t="s">
        <v>988</v>
      </c>
      <c r="E3422" s="31">
        <v>1.05</v>
      </c>
      <c r="F3422" s="48">
        <v>13.603999999999999</v>
      </c>
      <c r="G3422" s="48">
        <f t="shared" si="58"/>
        <v>14.2842</v>
      </c>
      <c r="H3422" s="33">
        <f>SUM(G3422:G3425)</f>
        <v>65.593916338750006</v>
      </c>
      <c r="I3422" s="34"/>
      <c r="J3422" s="138">
        <v>0</v>
      </c>
    </row>
    <row r="3423" spans="1:10" ht="26.25" hidden="1" thickBot="1" x14ac:dyDescent="0.3">
      <c r="A3423" s="221"/>
      <c r="B3423" s="223"/>
      <c r="C3423" s="30" t="s">
        <v>1013</v>
      </c>
      <c r="D3423" s="30" t="s">
        <v>120</v>
      </c>
      <c r="E3423" s="31">
        <v>3.5000000000000003E-2</v>
      </c>
      <c r="F3423" s="48">
        <v>888.66413825000006</v>
      </c>
      <c r="G3423" s="48">
        <f t="shared" si="58"/>
        <v>31.103244838750005</v>
      </c>
      <c r="H3423" s="67"/>
      <c r="I3423" s="68"/>
      <c r="J3423" s="138">
        <v>0</v>
      </c>
    </row>
    <row r="3424" spans="1:10" ht="15.75" hidden="1" thickBot="1" x14ac:dyDescent="0.3">
      <c r="A3424" s="221"/>
      <c r="B3424" s="223"/>
      <c r="C3424" s="30" t="s">
        <v>22</v>
      </c>
      <c r="D3424" s="30" t="s">
        <v>702</v>
      </c>
      <c r="E3424" s="31">
        <v>0.70599999999999996</v>
      </c>
      <c r="F3424" s="48">
        <v>24.889999999999997</v>
      </c>
      <c r="G3424" s="48">
        <f t="shared" si="58"/>
        <v>17.572339999999997</v>
      </c>
      <c r="H3424" s="67"/>
      <c r="I3424" s="68"/>
      <c r="J3424" s="138">
        <v>0</v>
      </c>
    </row>
    <row r="3425" spans="1:10" ht="15.75" hidden="1" thickBot="1" x14ac:dyDescent="0.3">
      <c r="A3425" s="221"/>
      <c r="B3425" s="223"/>
      <c r="C3425" s="30" t="s">
        <v>23</v>
      </c>
      <c r="D3425" s="30" t="s">
        <v>702</v>
      </c>
      <c r="E3425" s="31">
        <v>0.14299999999999999</v>
      </c>
      <c r="F3425" s="48">
        <v>18.420500000000001</v>
      </c>
      <c r="G3425" s="48">
        <f t="shared" si="58"/>
        <v>2.6341315000000001</v>
      </c>
      <c r="H3425" s="67"/>
      <c r="I3425" s="68"/>
      <c r="J3425" s="138">
        <v>0</v>
      </c>
    </row>
    <row r="3426" spans="1:10" ht="15.75" hidden="1" thickBot="1" x14ac:dyDescent="0.3">
      <c r="A3426" s="227"/>
      <c r="B3426" s="224"/>
      <c r="C3426" s="30"/>
      <c r="D3426" s="30"/>
      <c r="E3426" s="31"/>
      <c r="F3426" s="48" t="s">
        <v>521</v>
      </c>
      <c r="G3426" s="48" t="str">
        <f t="shared" si="58"/>
        <v/>
      </c>
      <c r="H3426" s="67"/>
      <c r="I3426" s="68"/>
      <c r="J3426" s="138">
        <v>0</v>
      </c>
    </row>
    <row r="3427" spans="1:10" ht="15.75" hidden="1" thickBot="1" x14ac:dyDescent="0.3">
      <c r="A3427" s="220" t="s">
        <v>1016</v>
      </c>
      <c r="B3427" s="222" t="e">
        <f>INDEX(Orçamentária!A:B,MATCH(Composições!A3427,Orçamentária!A:A,0),2)</f>
        <v>#N/A</v>
      </c>
      <c r="C3427" s="35"/>
      <c r="D3427" s="20" t="s">
        <v>95</v>
      </c>
      <c r="E3427" s="21"/>
      <c r="F3427" s="43" t="s">
        <v>521</v>
      </c>
      <c r="G3427" s="22" t="str">
        <f t="shared" si="58"/>
        <v/>
      </c>
      <c r="H3427" s="23"/>
      <c r="I3427" s="24"/>
      <c r="J3427" s="138">
        <v>0</v>
      </c>
    </row>
    <row r="3428" spans="1:10" ht="15.75" hidden="1" thickBot="1" x14ac:dyDescent="0.3">
      <c r="A3428" s="221"/>
      <c r="B3428" s="223"/>
      <c r="C3428" s="26"/>
      <c r="D3428" s="26"/>
      <c r="E3428" s="27"/>
      <c r="F3428" s="48" t="s">
        <v>521</v>
      </c>
      <c r="G3428" s="48" t="str">
        <f t="shared" si="58"/>
        <v/>
      </c>
      <c r="H3428" s="67"/>
      <c r="I3428" s="68"/>
      <c r="J3428" s="138">
        <v>0</v>
      </c>
    </row>
    <row r="3429" spans="1:10" ht="15.75" hidden="1" thickBot="1" x14ac:dyDescent="0.3">
      <c r="A3429" s="221"/>
      <c r="B3429" s="223"/>
      <c r="C3429" s="30" t="s">
        <v>54</v>
      </c>
      <c r="D3429" s="30" t="s">
        <v>12</v>
      </c>
      <c r="E3429" s="31">
        <v>0.4</v>
      </c>
      <c r="F3429" s="48">
        <v>24.795000000000002</v>
      </c>
      <c r="G3429" s="48">
        <f t="shared" si="58"/>
        <v>9.918000000000001</v>
      </c>
      <c r="H3429" s="33">
        <f>SUM(G3429:G3430)</f>
        <v>17.286200000000001</v>
      </c>
      <c r="I3429" s="34"/>
      <c r="J3429" s="138">
        <v>0</v>
      </c>
    </row>
    <row r="3430" spans="1:10" ht="15.75" hidden="1" thickBot="1" x14ac:dyDescent="0.3">
      <c r="A3430" s="221"/>
      <c r="B3430" s="223"/>
      <c r="C3430" s="30" t="s">
        <v>23</v>
      </c>
      <c r="D3430" s="30" t="s">
        <v>12</v>
      </c>
      <c r="E3430" s="31">
        <v>0.4</v>
      </c>
      <c r="F3430" s="48">
        <v>18.420500000000001</v>
      </c>
      <c r="G3430" s="48">
        <f t="shared" si="58"/>
        <v>7.3682000000000007</v>
      </c>
      <c r="H3430" s="67"/>
      <c r="I3430" s="68"/>
      <c r="J3430" s="138">
        <v>0</v>
      </c>
    </row>
    <row r="3431" spans="1:10" ht="15.75" hidden="1" thickBot="1" x14ac:dyDescent="0.3">
      <c r="A3431" s="227"/>
      <c r="B3431" s="224"/>
      <c r="C3431" s="30"/>
      <c r="D3431" s="30"/>
      <c r="E3431" s="31"/>
      <c r="F3431" s="48" t="s">
        <v>521</v>
      </c>
      <c r="G3431" s="48" t="str">
        <f t="shared" si="58"/>
        <v/>
      </c>
      <c r="H3431" s="67"/>
      <c r="I3431" s="68"/>
      <c r="J3431" s="138">
        <v>0</v>
      </c>
    </row>
    <row r="3432" spans="1:10" ht="15.75" hidden="1" thickBot="1" x14ac:dyDescent="0.3">
      <c r="A3432" s="220" t="s">
        <v>1017</v>
      </c>
      <c r="B3432" s="222" t="e">
        <f>INDEX(Orçamentária!A:B,MATCH(Composições!A3432,Orçamentária!A:A,0),2)</f>
        <v>#N/A</v>
      </c>
      <c r="C3432" s="35"/>
      <c r="D3432" s="20" t="s">
        <v>95</v>
      </c>
      <c r="E3432" s="21"/>
      <c r="F3432" s="43" t="s">
        <v>521</v>
      </c>
      <c r="G3432" s="22" t="str">
        <f t="shared" si="58"/>
        <v/>
      </c>
      <c r="H3432" s="23"/>
      <c r="I3432" s="24"/>
      <c r="J3432" s="138">
        <v>0</v>
      </c>
    </row>
    <row r="3433" spans="1:10" ht="15.75" hidden="1" thickBot="1" x14ac:dyDescent="0.3">
      <c r="A3433" s="221"/>
      <c r="B3433" s="223"/>
      <c r="C3433" s="26"/>
      <c r="D3433" s="26"/>
      <c r="E3433" s="27"/>
      <c r="F3433" s="48" t="s">
        <v>521</v>
      </c>
      <c r="G3433" s="48" t="str">
        <f t="shared" si="58"/>
        <v/>
      </c>
      <c r="H3433" s="67"/>
      <c r="I3433" s="68"/>
      <c r="J3433" s="138">
        <v>0</v>
      </c>
    </row>
    <row r="3434" spans="1:10" ht="15.75" hidden="1" thickBot="1" x14ac:dyDescent="0.3">
      <c r="A3434" s="221"/>
      <c r="B3434" s="223"/>
      <c r="C3434" s="30" t="s">
        <v>54</v>
      </c>
      <c r="D3434" s="30" t="s">
        <v>12</v>
      </c>
      <c r="E3434" s="31">
        <v>1.2</v>
      </c>
      <c r="F3434" s="48">
        <v>24.795000000000002</v>
      </c>
      <c r="G3434" s="48">
        <f t="shared" si="58"/>
        <v>29.754000000000001</v>
      </c>
      <c r="H3434" s="33">
        <f>SUM(G3434:G3435)</f>
        <v>51.858600000000003</v>
      </c>
      <c r="I3434" s="34"/>
      <c r="J3434" s="138">
        <v>0</v>
      </c>
    </row>
    <row r="3435" spans="1:10" ht="15.75" hidden="1" thickBot="1" x14ac:dyDescent="0.3">
      <c r="A3435" s="221"/>
      <c r="B3435" s="223"/>
      <c r="C3435" s="30" t="s">
        <v>23</v>
      </c>
      <c r="D3435" s="30" t="s">
        <v>12</v>
      </c>
      <c r="E3435" s="31">
        <v>1.2</v>
      </c>
      <c r="F3435" s="48">
        <v>18.420500000000001</v>
      </c>
      <c r="G3435" s="48">
        <f t="shared" si="58"/>
        <v>22.104600000000001</v>
      </c>
      <c r="H3435" s="67"/>
      <c r="I3435" s="68"/>
      <c r="J3435" s="138">
        <v>0</v>
      </c>
    </row>
    <row r="3436" spans="1:10" ht="15.75" hidden="1" thickBot="1" x14ac:dyDescent="0.3">
      <c r="A3436" s="227"/>
      <c r="B3436" s="224"/>
      <c r="C3436" s="30"/>
      <c r="D3436" s="30"/>
      <c r="E3436" s="31"/>
      <c r="F3436" s="48" t="s">
        <v>521</v>
      </c>
      <c r="G3436" s="48" t="str">
        <f t="shared" si="58"/>
        <v/>
      </c>
      <c r="H3436" s="67"/>
      <c r="I3436" s="68"/>
      <c r="J3436" s="138">
        <v>0</v>
      </c>
    </row>
    <row r="3437" spans="1:10" ht="15.75" hidden="1" thickBot="1" x14ac:dyDescent="0.3">
      <c r="A3437" s="220" t="s">
        <v>1018</v>
      </c>
      <c r="B3437" s="222" t="e">
        <f>INDEX(Orçamentária!A:B,MATCH(Composições!A3437,Orçamentária!A:A,0),2)</f>
        <v>#N/A</v>
      </c>
      <c r="C3437" s="35"/>
      <c r="D3437" s="20" t="s">
        <v>95</v>
      </c>
      <c r="E3437" s="21"/>
      <c r="F3437" s="43" t="s">
        <v>521</v>
      </c>
      <c r="G3437" s="22" t="str">
        <f t="shared" si="58"/>
        <v/>
      </c>
      <c r="H3437" s="23"/>
      <c r="I3437" s="24"/>
      <c r="J3437" s="138">
        <v>0</v>
      </c>
    </row>
    <row r="3438" spans="1:10" ht="15.75" hidden="1" thickBot="1" x14ac:dyDescent="0.3">
      <c r="A3438" s="221"/>
      <c r="B3438" s="223"/>
      <c r="C3438" s="26"/>
      <c r="D3438" s="26"/>
      <c r="E3438" s="27"/>
      <c r="F3438" s="48" t="s">
        <v>521</v>
      </c>
      <c r="G3438" s="48" t="str">
        <f t="shared" si="58"/>
        <v/>
      </c>
      <c r="H3438" s="67"/>
      <c r="I3438" s="68"/>
      <c r="J3438" s="138">
        <v>0</v>
      </c>
    </row>
    <row r="3439" spans="1:10" ht="15.75" hidden="1" thickBot="1" x14ac:dyDescent="0.3">
      <c r="A3439" s="221"/>
      <c r="B3439" s="223"/>
      <c r="C3439" s="30" t="s">
        <v>1019</v>
      </c>
      <c r="D3439" s="30" t="s">
        <v>95</v>
      </c>
      <c r="E3439" s="31">
        <v>1.05</v>
      </c>
      <c r="F3439" s="48">
        <v>4.8925000000000001</v>
      </c>
      <c r="G3439" s="48">
        <f t="shared" si="58"/>
        <v>5.1371250000000002</v>
      </c>
      <c r="H3439" s="33">
        <f>SUM(G3439:G3440)</f>
        <v>8.8212250000000001</v>
      </c>
      <c r="I3439" s="34"/>
      <c r="J3439" s="138">
        <v>0</v>
      </c>
    </row>
    <row r="3440" spans="1:10" ht="15.75" hidden="1" thickBot="1" x14ac:dyDescent="0.3">
      <c r="A3440" s="221"/>
      <c r="B3440" s="223"/>
      <c r="C3440" s="30" t="s">
        <v>23</v>
      </c>
      <c r="D3440" s="30" t="s">
        <v>12</v>
      </c>
      <c r="E3440" s="31">
        <v>0.2</v>
      </c>
      <c r="F3440" s="48">
        <v>18.420500000000001</v>
      </c>
      <c r="G3440" s="48">
        <f t="shared" si="58"/>
        <v>3.6841000000000004</v>
      </c>
      <c r="H3440" s="67"/>
      <c r="I3440" s="68"/>
      <c r="J3440" s="138">
        <v>0</v>
      </c>
    </row>
    <row r="3441" spans="1:10" ht="15.75" hidden="1" thickBot="1" x14ac:dyDescent="0.3">
      <c r="A3441" s="227"/>
      <c r="B3441" s="224"/>
      <c r="C3441" s="30"/>
      <c r="D3441" s="30"/>
      <c r="E3441" s="31"/>
      <c r="F3441" s="48" t="s">
        <v>521</v>
      </c>
      <c r="G3441" s="48" t="str">
        <f t="shared" si="58"/>
        <v/>
      </c>
      <c r="H3441" s="67"/>
      <c r="I3441" s="68"/>
      <c r="J3441" s="138">
        <v>0</v>
      </c>
    </row>
    <row r="3442" spans="1:10" ht="15.75" hidden="1" thickBot="1" x14ac:dyDescent="0.3">
      <c r="A3442" s="220" t="s">
        <v>1020</v>
      </c>
      <c r="B3442" s="222" t="e">
        <f>INDEX(Orçamentária!A:B,MATCH(Composições!A3442,Orçamentária!A:A,0),2)</f>
        <v>#N/A</v>
      </c>
      <c r="C3442" s="35"/>
      <c r="D3442" s="20" t="s">
        <v>95</v>
      </c>
      <c r="E3442" s="21"/>
      <c r="F3442" s="43" t="s">
        <v>521</v>
      </c>
      <c r="G3442" s="22" t="str">
        <f t="shared" si="58"/>
        <v/>
      </c>
      <c r="H3442" s="23"/>
      <c r="I3442" s="24"/>
      <c r="J3442" s="138">
        <v>0</v>
      </c>
    </row>
    <row r="3443" spans="1:10" ht="15.75" hidden="1" thickBot="1" x14ac:dyDescent="0.3">
      <c r="A3443" s="221"/>
      <c r="B3443" s="223"/>
      <c r="C3443" s="26"/>
      <c r="D3443" s="26"/>
      <c r="E3443" s="27"/>
      <c r="F3443" s="48" t="s">
        <v>521</v>
      </c>
      <c r="G3443" s="48" t="str">
        <f t="shared" si="58"/>
        <v/>
      </c>
      <c r="H3443" s="67"/>
      <c r="I3443" s="68"/>
      <c r="J3443" s="138">
        <v>0</v>
      </c>
    </row>
    <row r="3444" spans="1:10" ht="15.75" hidden="1" thickBot="1" x14ac:dyDescent="0.3">
      <c r="A3444" s="221"/>
      <c r="B3444" s="223"/>
      <c r="C3444" s="30" t="s">
        <v>23</v>
      </c>
      <c r="D3444" s="30" t="s">
        <v>12</v>
      </c>
      <c r="E3444" s="31">
        <v>0.3</v>
      </c>
      <c r="F3444" s="48">
        <v>18.420500000000001</v>
      </c>
      <c r="G3444" s="48">
        <f t="shared" si="58"/>
        <v>5.5261500000000003</v>
      </c>
      <c r="H3444" s="33">
        <f>SUM(G3444)</f>
        <v>5.5261500000000003</v>
      </c>
      <c r="I3444" s="34"/>
      <c r="J3444" s="138">
        <v>0</v>
      </c>
    </row>
    <row r="3445" spans="1:10" ht="15.75" hidden="1" thickBot="1" x14ac:dyDescent="0.3">
      <c r="A3445" s="227"/>
      <c r="B3445" s="224"/>
      <c r="C3445" s="30"/>
      <c r="D3445" s="30"/>
      <c r="E3445" s="31"/>
      <c r="F3445" s="48" t="s">
        <v>521</v>
      </c>
      <c r="G3445" s="48" t="str">
        <f t="shared" ref="G3445:G3508" si="59">IF(ISNUMBER(F3445),E3445*F3445,"")</f>
        <v/>
      </c>
      <c r="H3445" s="67"/>
      <c r="I3445" s="68"/>
      <c r="J3445" s="138">
        <v>0</v>
      </c>
    </row>
    <row r="3446" spans="1:10" ht="15.75" hidden="1" thickBot="1" x14ac:dyDescent="0.3">
      <c r="A3446" s="220" t="s">
        <v>1021</v>
      </c>
      <c r="B3446" s="222" t="e">
        <f>INDEX(Orçamentária!A:B,MATCH(Composições!A3446,Orçamentária!A:A,0),2)</f>
        <v>#N/A</v>
      </c>
      <c r="C3446" s="35"/>
      <c r="D3446" s="20" t="s">
        <v>20</v>
      </c>
      <c r="E3446" s="21"/>
      <c r="F3446" s="43" t="s">
        <v>521</v>
      </c>
      <c r="G3446" s="22" t="str">
        <f t="shared" si="59"/>
        <v/>
      </c>
      <c r="H3446" s="23"/>
      <c r="I3446" s="24"/>
      <c r="J3446" s="138">
        <v>0</v>
      </c>
    </row>
    <row r="3447" spans="1:10" ht="15.75" hidden="1" thickBot="1" x14ac:dyDescent="0.3">
      <c r="A3447" s="221"/>
      <c r="B3447" s="223"/>
      <c r="C3447" s="26"/>
      <c r="D3447" s="26"/>
      <c r="E3447" s="27"/>
      <c r="F3447" s="48" t="s">
        <v>521</v>
      </c>
      <c r="G3447" s="48" t="str">
        <f t="shared" si="59"/>
        <v/>
      </c>
      <c r="H3447" s="67"/>
      <c r="I3447" s="68"/>
      <c r="J3447" s="138">
        <v>0</v>
      </c>
    </row>
    <row r="3448" spans="1:10" ht="15.75" hidden="1" thickBot="1" x14ac:dyDescent="0.3">
      <c r="A3448" s="221"/>
      <c r="B3448" s="223"/>
      <c r="C3448" s="30" t="s">
        <v>23</v>
      </c>
      <c r="D3448" s="30" t="s">
        <v>12</v>
      </c>
      <c r="E3448" s="31">
        <v>0.1</v>
      </c>
      <c r="F3448" s="48">
        <v>18.420500000000001</v>
      </c>
      <c r="G3448" s="48">
        <f t="shared" si="59"/>
        <v>1.8420500000000002</v>
      </c>
      <c r="H3448" s="33">
        <f>SUM(G3448)</f>
        <v>1.8420500000000002</v>
      </c>
      <c r="I3448" s="34"/>
      <c r="J3448" s="138">
        <v>0</v>
      </c>
    </row>
    <row r="3449" spans="1:10" ht="15.75" hidden="1" thickBot="1" x14ac:dyDescent="0.3">
      <c r="A3449" s="227"/>
      <c r="B3449" s="224"/>
      <c r="C3449" s="30"/>
      <c r="D3449" s="30"/>
      <c r="E3449" s="31"/>
      <c r="F3449" s="48" t="s">
        <v>521</v>
      </c>
      <c r="G3449" s="48" t="str">
        <f t="shared" si="59"/>
        <v/>
      </c>
      <c r="H3449" s="67"/>
      <c r="I3449" s="68"/>
      <c r="J3449" s="138">
        <v>0</v>
      </c>
    </row>
    <row r="3450" spans="1:10" ht="15.75" hidden="1" thickBot="1" x14ac:dyDescent="0.3">
      <c r="A3450" s="220" t="s">
        <v>1022</v>
      </c>
      <c r="B3450" s="222" t="e">
        <f>INDEX(Orçamentária!A:B,MATCH(Composições!A3450,Orçamentária!A:A,0),2)</f>
        <v>#N/A</v>
      </c>
      <c r="C3450" s="35"/>
      <c r="D3450" s="20" t="s">
        <v>20</v>
      </c>
      <c r="E3450" s="21"/>
      <c r="F3450" s="43" t="s">
        <v>521</v>
      </c>
      <c r="G3450" s="22" t="str">
        <f t="shared" si="59"/>
        <v/>
      </c>
      <c r="H3450" s="23"/>
      <c r="I3450" s="24"/>
      <c r="J3450" s="138">
        <v>0</v>
      </c>
    </row>
    <row r="3451" spans="1:10" ht="15.75" hidden="1" thickBot="1" x14ac:dyDescent="0.3">
      <c r="A3451" s="221"/>
      <c r="B3451" s="223"/>
      <c r="C3451" s="26"/>
      <c r="D3451" s="26"/>
      <c r="E3451" s="27"/>
      <c r="F3451" s="48" t="s">
        <v>521</v>
      </c>
      <c r="G3451" s="48" t="str">
        <f t="shared" si="59"/>
        <v/>
      </c>
      <c r="H3451" s="67"/>
      <c r="I3451" s="68"/>
      <c r="J3451" s="138">
        <v>0</v>
      </c>
    </row>
    <row r="3452" spans="1:10" ht="15.75" hidden="1" thickBot="1" x14ac:dyDescent="0.3">
      <c r="A3452" s="221"/>
      <c r="B3452" s="223"/>
      <c r="C3452" s="30" t="s">
        <v>22</v>
      </c>
      <c r="D3452" s="30" t="s">
        <v>12</v>
      </c>
      <c r="E3452" s="31">
        <f>0.1+0.1</f>
        <v>0.2</v>
      </c>
      <c r="F3452" s="48">
        <v>24.889999999999997</v>
      </c>
      <c r="G3452" s="48">
        <f t="shared" si="59"/>
        <v>4.9779999999999998</v>
      </c>
      <c r="H3452" s="33">
        <f>SUM(G3452:G3456)</f>
        <v>8.943540135314592</v>
      </c>
      <c r="I3452" s="34"/>
      <c r="J3452" s="138">
        <v>0</v>
      </c>
    </row>
    <row r="3453" spans="1:10" ht="15.75" hidden="1" thickBot="1" x14ac:dyDescent="0.3">
      <c r="A3453" s="221"/>
      <c r="B3453" s="223"/>
      <c r="C3453" s="30" t="s">
        <v>23</v>
      </c>
      <c r="D3453" s="30" t="s">
        <v>12</v>
      </c>
      <c r="E3453" s="31">
        <f>0.1+0.1</f>
        <v>0.2</v>
      </c>
      <c r="F3453" s="48">
        <v>18.420500000000001</v>
      </c>
      <c r="G3453" s="48">
        <f t="shared" si="59"/>
        <v>3.6841000000000004</v>
      </c>
      <c r="H3453" s="67"/>
      <c r="I3453" s="68"/>
      <c r="J3453" s="138">
        <v>0</v>
      </c>
    </row>
    <row r="3454" spans="1:10" ht="15.75" hidden="1" thickBot="1" x14ac:dyDescent="0.3">
      <c r="A3454" s="221"/>
      <c r="B3454" s="223"/>
      <c r="C3454" s="30" t="s">
        <v>1023</v>
      </c>
      <c r="D3454" s="30" t="s">
        <v>144</v>
      </c>
      <c r="E3454" s="31">
        <f>0.016*2</f>
        <v>3.2000000000000001E-2</v>
      </c>
      <c r="F3454" s="48">
        <v>0</v>
      </c>
      <c r="G3454" s="48">
        <f t="shared" si="59"/>
        <v>0</v>
      </c>
      <c r="H3454" s="67"/>
      <c r="I3454" s="68"/>
      <c r="J3454" s="138">
        <v>0</v>
      </c>
    </row>
    <row r="3455" spans="1:10" ht="15.75" hidden="1" thickBot="1" x14ac:dyDescent="0.3">
      <c r="A3455" s="221"/>
      <c r="B3455" s="223"/>
      <c r="C3455" s="30" t="s">
        <v>1024</v>
      </c>
      <c r="D3455" s="30" t="s">
        <v>1025</v>
      </c>
      <c r="E3455" s="31">
        <f>0.1*2</f>
        <v>0.2</v>
      </c>
      <c r="F3455" s="48">
        <v>0</v>
      </c>
      <c r="G3455" s="48">
        <f t="shared" si="59"/>
        <v>0</v>
      </c>
      <c r="H3455" s="67"/>
      <c r="I3455" s="68"/>
      <c r="J3455" s="138">
        <v>0</v>
      </c>
    </row>
    <row r="3456" spans="1:10" ht="39" hidden="1" thickBot="1" x14ac:dyDescent="0.3">
      <c r="A3456" s="221"/>
      <c r="B3456" s="223"/>
      <c r="C3456" s="30" t="s">
        <v>1026</v>
      </c>
      <c r="D3456" s="30" t="s">
        <v>109</v>
      </c>
      <c r="E3456" s="31">
        <f>ROUND(0.15*0.05*0.05,4)</f>
        <v>4.0000000000000002E-4</v>
      </c>
      <c r="F3456" s="48">
        <v>703.60033828648</v>
      </c>
      <c r="G3456" s="48">
        <f t="shared" si="59"/>
        <v>0.281440135314592</v>
      </c>
      <c r="H3456" s="67"/>
      <c r="I3456" s="68"/>
      <c r="J3456" s="138">
        <v>0</v>
      </c>
    </row>
    <row r="3457" spans="1:10" ht="15.75" hidden="1" thickBot="1" x14ac:dyDescent="0.3">
      <c r="A3457" s="221"/>
      <c r="B3457" s="223"/>
      <c r="C3457" s="30"/>
      <c r="D3457" s="30"/>
      <c r="E3457" s="31"/>
      <c r="F3457" s="48" t="s">
        <v>521</v>
      </c>
      <c r="G3457" s="48" t="str">
        <f t="shared" si="59"/>
        <v/>
      </c>
      <c r="H3457" s="67"/>
      <c r="I3457" s="68"/>
      <c r="J3457" s="138">
        <v>0</v>
      </c>
    </row>
    <row r="3458" spans="1:10" ht="15.75" hidden="1" thickBot="1" x14ac:dyDescent="0.3">
      <c r="A3458" s="221"/>
      <c r="B3458" s="223"/>
      <c r="C3458" s="135" t="s">
        <v>1027</v>
      </c>
      <c r="D3458" s="30"/>
      <c r="E3458" s="31"/>
      <c r="F3458" s="48" t="s">
        <v>521</v>
      </c>
      <c r="G3458" s="48" t="str">
        <f t="shared" si="59"/>
        <v/>
      </c>
      <c r="H3458" s="67"/>
      <c r="I3458" s="68"/>
      <c r="J3458" s="138">
        <v>0</v>
      </c>
    </row>
    <row r="3459" spans="1:10" ht="15.75" hidden="1" thickBot="1" x14ac:dyDescent="0.3">
      <c r="A3459" s="227"/>
      <c r="B3459" s="224"/>
      <c r="C3459" s="30"/>
      <c r="D3459" s="30"/>
      <c r="E3459" s="31"/>
      <c r="F3459" s="48" t="s">
        <v>521</v>
      </c>
      <c r="G3459" s="48" t="str">
        <f t="shared" si="59"/>
        <v/>
      </c>
      <c r="H3459" s="67"/>
      <c r="I3459" s="68"/>
      <c r="J3459" s="138">
        <v>0</v>
      </c>
    </row>
    <row r="3460" spans="1:10" ht="15.75" hidden="1" thickBot="1" x14ac:dyDescent="0.3">
      <c r="A3460" s="220" t="s">
        <v>1028</v>
      </c>
      <c r="B3460" s="222" t="e">
        <f>INDEX(Orçamentária!A:B,MATCH(Composições!A3460,Orçamentária!A:A,0),2)</f>
        <v>#N/A</v>
      </c>
      <c r="C3460" s="35"/>
      <c r="D3460" s="20" t="s">
        <v>20</v>
      </c>
      <c r="E3460" s="21"/>
      <c r="F3460" s="43" t="s">
        <v>521</v>
      </c>
      <c r="G3460" s="22" t="str">
        <f t="shared" si="59"/>
        <v/>
      </c>
      <c r="H3460" s="23"/>
      <c r="I3460" s="24"/>
      <c r="J3460" s="138">
        <v>0</v>
      </c>
    </row>
    <row r="3461" spans="1:10" ht="15.75" hidden="1" thickBot="1" x14ac:dyDescent="0.3">
      <c r="A3461" s="221"/>
      <c r="B3461" s="223"/>
      <c r="C3461" s="26"/>
      <c r="D3461" s="26"/>
      <c r="E3461" s="27"/>
      <c r="F3461" s="48" t="s">
        <v>521</v>
      </c>
      <c r="G3461" s="48" t="str">
        <f t="shared" si="59"/>
        <v/>
      </c>
      <c r="H3461" s="67"/>
      <c r="I3461" s="68"/>
      <c r="J3461" s="138">
        <v>0</v>
      </c>
    </row>
    <row r="3462" spans="1:10" ht="15.75" hidden="1" thickBot="1" x14ac:dyDescent="0.3">
      <c r="A3462" s="221"/>
      <c r="B3462" s="223"/>
      <c r="C3462" s="30" t="s">
        <v>22</v>
      </c>
      <c r="D3462" s="30" t="s">
        <v>12</v>
      </c>
      <c r="E3462" s="31">
        <f>0.1+0.1</f>
        <v>0.2</v>
      </c>
      <c r="F3462" s="48">
        <v>24.889999999999997</v>
      </c>
      <c r="G3462" s="48">
        <f t="shared" si="59"/>
        <v>4.9779999999999998</v>
      </c>
      <c r="H3462" s="33">
        <f>SUM(G3462:G3467)</f>
        <v>8.943540135314592</v>
      </c>
      <c r="I3462" s="34"/>
      <c r="J3462" s="138">
        <v>0</v>
      </c>
    </row>
    <row r="3463" spans="1:10" ht="15.75" hidden="1" thickBot="1" x14ac:dyDescent="0.3">
      <c r="A3463" s="221"/>
      <c r="B3463" s="223"/>
      <c r="C3463" s="30" t="s">
        <v>23</v>
      </c>
      <c r="D3463" s="30" t="s">
        <v>12</v>
      </c>
      <c r="E3463" s="31">
        <f>0.1+0.1</f>
        <v>0.2</v>
      </c>
      <c r="F3463" s="48">
        <v>18.420500000000001</v>
      </c>
      <c r="G3463" s="48">
        <f t="shared" si="59"/>
        <v>3.6841000000000004</v>
      </c>
      <c r="H3463" s="67"/>
      <c r="I3463" s="68"/>
      <c r="J3463" s="138">
        <v>0</v>
      </c>
    </row>
    <row r="3464" spans="1:10" ht="15.75" hidden="1" thickBot="1" x14ac:dyDescent="0.3">
      <c r="A3464" s="221"/>
      <c r="B3464" s="223"/>
      <c r="C3464" s="30" t="s">
        <v>1023</v>
      </c>
      <c r="D3464" s="30" t="s">
        <v>144</v>
      </c>
      <c r="E3464" s="31">
        <f>0.016*2</f>
        <v>3.2000000000000001E-2</v>
      </c>
      <c r="F3464" s="48">
        <v>0</v>
      </c>
      <c r="G3464" s="48">
        <f t="shared" si="59"/>
        <v>0</v>
      </c>
      <c r="H3464" s="67"/>
      <c r="I3464" s="68"/>
      <c r="J3464" s="138">
        <v>0</v>
      </c>
    </row>
    <row r="3465" spans="1:10" ht="15.75" hidden="1" thickBot="1" x14ac:dyDescent="0.3">
      <c r="A3465" s="221"/>
      <c r="B3465" s="223"/>
      <c r="C3465" s="30" t="s">
        <v>1024</v>
      </c>
      <c r="D3465" s="30" t="s">
        <v>1025</v>
      </c>
      <c r="E3465" s="31">
        <f>0.1*2</f>
        <v>0.2</v>
      </c>
      <c r="F3465" s="48">
        <v>0</v>
      </c>
      <c r="G3465" s="48">
        <f t="shared" si="59"/>
        <v>0</v>
      </c>
      <c r="H3465" s="67"/>
      <c r="I3465" s="68"/>
      <c r="J3465" s="138">
        <v>0</v>
      </c>
    </row>
    <row r="3466" spans="1:10" ht="15.75" hidden="1" thickBot="1" x14ac:dyDescent="0.3">
      <c r="A3466" s="221"/>
      <c r="B3466" s="223"/>
      <c r="C3466" s="30" t="s">
        <v>1029</v>
      </c>
      <c r="D3466" s="30" t="s">
        <v>144</v>
      </c>
      <c r="E3466" s="31">
        <v>1</v>
      </c>
      <c r="F3466" s="48" t="s">
        <v>521</v>
      </c>
      <c r="G3466" s="48" t="str">
        <f t="shared" si="59"/>
        <v/>
      </c>
      <c r="H3466" s="67"/>
      <c r="I3466" s="68"/>
      <c r="J3466" s="138">
        <v>0</v>
      </c>
    </row>
    <row r="3467" spans="1:10" ht="39" hidden="1" thickBot="1" x14ac:dyDescent="0.3">
      <c r="A3467" s="221"/>
      <c r="B3467" s="223"/>
      <c r="C3467" s="30" t="s">
        <v>1026</v>
      </c>
      <c r="D3467" s="30" t="s">
        <v>109</v>
      </c>
      <c r="E3467" s="31">
        <f>ROUND(0.15*0.05*0.05,4)</f>
        <v>4.0000000000000002E-4</v>
      </c>
      <c r="F3467" s="48">
        <v>703.60033828648</v>
      </c>
      <c r="G3467" s="48">
        <f t="shared" si="59"/>
        <v>0.281440135314592</v>
      </c>
      <c r="H3467" s="67"/>
      <c r="I3467" s="68"/>
      <c r="J3467" s="138">
        <v>0</v>
      </c>
    </row>
    <row r="3468" spans="1:10" ht="15.75" hidden="1" thickBot="1" x14ac:dyDescent="0.3">
      <c r="A3468" s="221"/>
      <c r="B3468" s="223"/>
      <c r="C3468" s="30"/>
      <c r="D3468" s="30"/>
      <c r="E3468" s="31"/>
      <c r="F3468" s="48" t="s">
        <v>521</v>
      </c>
      <c r="G3468" s="48" t="str">
        <f t="shared" si="59"/>
        <v/>
      </c>
      <c r="H3468" s="67"/>
      <c r="I3468" s="68"/>
      <c r="J3468" s="138">
        <v>0</v>
      </c>
    </row>
    <row r="3469" spans="1:10" ht="15.75" hidden="1" thickBot="1" x14ac:dyDescent="0.3">
      <c r="A3469" s="221"/>
      <c r="B3469" s="223"/>
      <c r="C3469" s="135" t="s">
        <v>1027</v>
      </c>
      <c r="D3469" s="30"/>
      <c r="E3469" s="31"/>
      <c r="F3469" s="48" t="s">
        <v>521</v>
      </c>
      <c r="G3469" s="48" t="str">
        <f t="shared" si="59"/>
        <v/>
      </c>
      <c r="H3469" s="67"/>
      <c r="I3469" s="68"/>
      <c r="J3469" s="138">
        <v>0</v>
      </c>
    </row>
    <row r="3470" spans="1:10" ht="15.75" hidden="1" thickBot="1" x14ac:dyDescent="0.3">
      <c r="A3470" s="227"/>
      <c r="B3470" s="224"/>
      <c r="C3470" s="30"/>
      <c r="D3470" s="30"/>
      <c r="E3470" s="31"/>
      <c r="F3470" s="48" t="s">
        <v>521</v>
      </c>
      <c r="G3470" s="48" t="str">
        <f t="shared" si="59"/>
        <v/>
      </c>
      <c r="H3470" s="67"/>
      <c r="I3470" s="68"/>
      <c r="J3470" s="138">
        <v>0</v>
      </c>
    </row>
    <row r="3471" spans="1:10" ht="15.75" hidden="1" thickBot="1" x14ac:dyDescent="0.3">
      <c r="A3471" s="220" t="s">
        <v>1523</v>
      </c>
      <c r="B3471" s="222" t="e">
        <f>INDEX(Orçamentária!A:B,MATCH(Composições!A3471,Orçamentária!A:A,0),2)</f>
        <v>#N/A</v>
      </c>
      <c r="C3471" s="35"/>
      <c r="D3471" s="20" t="s">
        <v>20</v>
      </c>
      <c r="E3471" s="21"/>
      <c r="F3471" s="43" t="s">
        <v>521</v>
      </c>
      <c r="G3471" s="22" t="str">
        <f t="shared" si="59"/>
        <v/>
      </c>
      <c r="H3471" s="23"/>
      <c r="I3471" s="24"/>
      <c r="J3471" s="138">
        <v>0</v>
      </c>
    </row>
    <row r="3472" spans="1:10" ht="15.75" hidden="1" thickBot="1" x14ac:dyDescent="0.3">
      <c r="A3472" s="221"/>
      <c r="B3472" s="223"/>
      <c r="C3472" s="26"/>
      <c r="D3472" s="26"/>
      <c r="E3472" s="27"/>
      <c r="F3472" s="48" t="s">
        <v>521</v>
      </c>
      <c r="G3472" s="48" t="str">
        <f t="shared" si="59"/>
        <v/>
      </c>
      <c r="H3472" s="67"/>
      <c r="I3472" s="68"/>
      <c r="J3472" s="138">
        <v>0</v>
      </c>
    </row>
    <row r="3473" spans="1:10" ht="15.75" hidden="1" thickBot="1" x14ac:dyDescent="0.3">
      <c r="A3473" s="221"/>
      <c r="B3473" s="223"/>
      <c r="C3473" s="30" t="s">
        <v>22</v>
      </c>
      <c r="D3473" s="30" t="s">
        <v>12</v>
      </c>
      <c r="E3473" s="31">
        <f>0.1+0.1</f>
        <v>0.2</v>
      </c>
      <c r="F3473" s="48">
        <v>24.889999999999997</v>
      </c>
      <c r="G3473" s="48">
        <f t="shared" si="59"/>
        <v>4.9779999999999998</v>
      </c>
      <c r="H3473" s="33">
        <f>SUM(G3473:G3478)</f>
        <v>8.943540135314592</v>
      </c>
      <c r="I3473" s="34"/>
      <c r="J3473" s="138">
        <v>0</v>
      </c>
    </row>
    <row r="3474" spans="1:10" ht="15.75" hidden="1" thickBot="1" x14ac:dyDescent="0.3">
      <c r="A3474" s="221"/>
      <c r="B3474" s="223"/>
      <c r="C3474" s="30" t="s">
        <v>23</v>
      </c>
      <c r="D3474" s="30" t="s">
        <v>12</v>
      </c>
      <c r="E3474" s="31">
        <f>0.1+0.1</f>
        <v>0.2</v>
      </c>
      <c r="F3474" s="48">
        <v>18.420500000000001</v>
      </c>
      <c r="G3474" s="48">
        <f t="shared" si="59"/>
        <v>3.6841000000000004</v>
      </c>
      <c r="H3474" s="67"/>
      <c r="I3474" s="68"/>
      <c r="J3474" s="138">
        <v>0</v>
      </c>
    </row>
    <row r="3475" spans="1:10" ht="15.75" hidden="1" thickBot="1" x14ac:dyDescent="0.3">
      <c r="A3475" s="221"/>
      <c r="B3475" s="223"/>
      <c r="C3475" s="30" t="s">
        <v>1023</v>
      </c>
      <c r="D3475" s="30" t="s">
        <v>144</v>
      </c>
      <c r="E3475" s="31">
        <f>0.016*2</f>
        <v>3.2000000000000001E-2</v>
      </c>
      <c r="F3475" s="48">
        <v>0</v>
      </c>
      <c r="G3475" s="48">
        <f t="shared" si="59"/>
        <v>0</v>
      </c>
      <c r="H3475" s="67"/>
      <c r="I3475" s="68"/>
      <c r="J3475" s="138">
        <v>0</v>
      </c>
    </row>
    <row r="3476" spans="1:10" ht="15.75" hidden="1" thickBot="1" x14ac:dyDescent="0.3">
      <c r="A3476" s="221"/>
      <c r="B3476" s="223"/>
      <c r="C3476" s="30" t="s">
        <v>1024</v>
      </c>
      <c r="D3476" s="30" t="s">
        <v>1025</v>
      </c>
      <c r="E3476" s="31">
        <f>0.1*2</f>
        <v>0.2</v>
      </c>
      <c r="F3476" s="48">
        <v>0</v>
      </c>
      <c r="G3476" s="48">
        <f t="shared" si="59"/>
        <v>0</v>
      </c>
      <c r="H3476" s="67"/>
      <c r="I3476" s="68"/>
      <c r="J3476" s="138">
        <v>0</v>
      </c>
    </row>
    <row r="3477" spans="1:10" ht="15.75" hidden="1" thickBot="1" x14ac:dyDescent="0.3">
      <c r="A3477" s="221"/>
      <c r="B3477" s="223"/>
      <c r="C3477" s="30" t="s">
        <v>1102</v>
      </c>
      <c r="D3477" s="30" t="s">
        <v>144</v>
      </c>
      <c r="E3477" s="31">
        <v>1</v>
      </c>
      <c r="F3477" s="48" t="s">
        <v>521</v>
      </c>
      <c r="G3477" s="48" t="str">
        <f t="shared" si="59"/>
        <v/>
      </c>
      <c r="H3477" s="67"/>
      <c r="I3477" s="68"/>
      <c r="J3477" s="138">
        <v>0</v>
      </c>
    </row>
    <row r="3478" spans="1:10" ht="39" hidden="1" thickBot="1" x14ac:dyDescent="0.3">
      <c r="A3478" s="221"/>
      <c r="B3478" s="223"/>
      <c r="C3478" s="30" t="s">
        <v>1026</v>
      </c>
      <c r="D3478" s="30" t="s">
        <v>109</v>
      </c>
      <c r="E3478" s="31">
        <f>ROUND(0.15*0.05*0.05,4)</f>
        <v>4.0000000000000002E-4</v>
      </c>
      <c r="F3478" s="48">
        <v>703.60033828648</v>
      </c>
      <c r="G3478" s="48">
        <f t="shared" si="59"/>
        <v>0.281440135314592</v>
      </c>
      <c r="H3478" s="67"/>
      <c r="I3478" s="68"/>
      <c r="J3478" s="138">
        <v>0</v>
      </c>
    </row>
    <row r="3479" spans="1:10" ht="15.75" hidden="1" thickBot="1" x14ac:dyDescent="0.3">
      <c r="A3479" s="221"/>
      <c r="B3479" s="223"/>
      <c r="C3479" s="30"/>
      <c r="D3479" s="30"/>
      <c r="E3479" s="31"/>
      <c r="F3479" s="48" t="s">
        <v>521</v>
      </c>
      <c r="G3479" s="48" t="str">
        <f t="shared" si="59"/>
        <v/>
      </c>
      <c r="H3479" s="67"/>
      <c r="I3479" s="68"/>
      <c r="J3479" s="138">
        <v>0</v>
      </c>
    </row>
    <row r="3480" spans="1:10" ht="15.75" hidden="1" thickBot="1" x14ac:dyDescent="0.3">
      <c r="A3480" s="221"/>
      <c r="B3480" s="223"/>
      <c r="C3480" s="135" t="s">
        <v>1027</v>
      </c>
      <c r="D3480" s="30"/>
      <c r="E3480" s="31"/>
      <c r="F3480" s="48" t="s">
        <v>521</v>
      </c>
      <c r="G3480" s="48" t="str">
        <f t="shared" si="59"/>
        <v/>
      </c>
      <c r="H3480" s="67"/>
      <c r="I3480" s="68"/>
      <c r="J3480" s="138">
        <v>0</v>
      </c>
    </row>
    <row r="3481" spans="1:10" ht="15.75" hidden="1" thickBot="1" x14ac:dyDescent="0.3">
      <c r="A3481" s="227"/>
      <c r="B3481" s="224"/>
      <c r="C3481" s="30"/>
      <c r="D3481" s="30"/>
      <c r="E3481" s="31"/>
      <c r="F3481" s="48" t="s">
        <v>521</v>
      </c>
      <c r="G3481" s="48" t="str">
        <f t="shared" si="59"/>
        <v/>
      </c>
      <c r="H3481" s="67"/>
      <c r="I3481" s="68"/>
      <c r="J3481" s="138">
        <v>0</v>
      </c>
    </row>
    <row r="3482" spans="1:10" ht="15.75" hidden="1" thickBot="1" x14ac:dyDescent="0.3">
      <c r="A3482" s="220" t="s">
        <v>1030</v>
      </c>
      <c r="B3482" s="222" t="e">
        <f>INDEX(Orçamentária!A:B,MATCH(Composições!A3482,Orçamentária!A:A,0),2)</f>
        <v>#N/A</v>
      </c>
      <c r="C3482" s="35"/>
      <c r="D3482" s="20" t="s">
        <v>95</v>
      </c>
      <c r="E3482" s="21"/>
      <c r="F3482" s="43" t="s">
        <v>521</v>
      </c>
      <c r="G3482" s="22" t="str">
        <f t="shared" si="59"/>
        <v/>
      </c>
      <c r="H3482" s="23"/>
      <c r="I3482" s="24"/>
      <c r="J3482" s="138">
        <v>0</v>
      </c>
    </row>
    <row r="3483" spans="1:10" ht="15.75" hidden="1" thickBot="1" x14ac:dyDescent="0.3">
      <c r="A3483" s="221"/>
      <c r="B3483" s="223"/>
      <c r="C3483" s="26"/>
      <c r="D3483" s="26"/>
      <c r="E3483" s="27"/>
      <c r="F3483" s="48" t="s">
        <v>521</v>
      </c>
      <c r="G3483" s="48" t="str">
        <f t="shared" si="59"/>
        <v/>
      </c>
      <c r="H3483" s="67"/>
      <c r="I3483" s="68"/>
      <c r="J3483" s="138">
        <v>0</v>
      </c>
    </row>
    <row r="3484" spans="1:10" ht="15.75" hidden="1" thickBot="1" x14ac:dyDescent="0.3">
      <c r="A3484" s="221"/>
      <c r="B3484" s="223"/>
      <c r="C3484" s="30" t="s">
        <v>1031</v>
      </c>
      <c r="D3484" s="30" t="s">
        <v>95</v>
      </c>
      <c r="E3484" s="31">
        <v>1.05</v>
      </c>
      <c r="F3484" s="48" t="s">
        <v>521</v>
      </c>
      <c r="G3484" s="48" t="str">
        <f t="shared" si="59"/>
        <v/>
      </c>
      <c r="H3484" s="33">
        <f>SUM(G3484:G3488)</f>
        <v>52.668000000000006</v>
      </c>
      <c r="I3484" s="34"/>
      <c r="J3484" s="138">
        <v>0</v>
      </c>
    </row>
    <row r="3485" spans="1:10" ht="15.75" hidden="1" thickBot="1" x14ac:dyDescent="0.3">
      <c r="A3485" s="221"/>
      <c r="B3485" s="223"/>
      <c r="C3485" s="30" t="s">
        <v>54</v>
      </c>
      <c r="D3485" s="30" t="s">
        <v>12</v>
      </c>
      <c r="E3485" s="31">
        <v>1.35</v>
      </c>
      <c r="F3485" s="48">
        <v>24.795000000000002</v>
      </c>
      <c r="G3485" s="48">
        <f t="shared" si="59"/>
        <v>33.473250000000007</v>
      </c>
      <c r="H3485" s="67"/>
      <c r="I3485" s="68"/>
      <c r="J3485" s="138">
        <v>0</v>
      </c>
    </row>
    <row r="3486" spans="1:10" ht="15.75" hidden="1" thickBot="1" x14ac:dyDescent="0.3">
      <c r="A3486" s="221"/>
      <c r="B3486" s="223"/>
      <c r="C3486" s="30" t="s">
        <v>23</v>
      </c>
      <c r="D3486" s="30" t="s">
        <v>12</v>
      </c>
      <c r="E3486" s="31">
        <v>0.6</v>
      </c>
      <c r="F3486" s="48">
        <v>18.420500000000001</v>
      </c>
      <c r="G3486" s="48">
        <f t="shared" si="59"/>
        <v>11.052300000000001</v>
      </c>
      <c r="H3486" s="67"/>
      <c r="I3486" s="68"/>
      <c r="J3486" s="138">
        <v>0</v>
      </c>
    </row>
    <row r="3487" spans="1:10" ht="15.75" hidden="1" thickBot="1" x14ac:dyDescent="0.3">
      <c r="A3487" s="221"/>
      <c r="B3487" s="223"/>
      <c r="C3487" s="30" t="s">
        <v>1831</v>
      </c>
      <c r="D3487" s="30" t="s">
        <v>42</v>
      </c>
      <c r="E3487" s="31">
        <v>4.5</v>
      </c>
      <c r="F3487" s="48">
        <v>1.6054999999999999</v>
      </c>
      <c r="G3487" s="48">
        <f t="shared" si="59"/>
        <v>7.2247499999999993</v>
      </c>
      <c r="H3487" s="67"/>
      <c r="I3487" s="68"/>
      <c r="J3487" s="138">
        <v>0</v>
      </c>
    </row>
    <row r="3488" spans="1:10" ht="15.75" hidden="1" thickBot="1" x14ac:dyDescent="0.3">
      <c r="A3488" s="221"/>
      <c r="B3488" s="223"/>
      <c r="C3488" s="30" t="s">
        <v>1830</v>
      </c>
      <c r="D3488" s="30" t="s">
        <v>42</v>
      </c>
      <c r="E3488" s="31">
        <v>0.3</v>
      </c>
      <c r="F3488" s="48">
        <v>3.0590000000000002</v>
      </c>
      <c r="G3488" s="48">
        <f t="shared" si="59"/>
        <v>0.91769999999999996</v>
      </c>
      <c r="H3488" s="67"/>
      <c r="I3488" s="68"/>
      <c r="J3488" s="138">
        <v>0</v>
      </c>
    </row>
    <row r="3489" spans="1:10" ht="15.75" hidden="1" thickBot="1" x14ac:dyDescent="0.3">
      <c r="A3489" s="227"/>
      <c r="B3489" s="224"/>
      <c r="C3489" s="30"/>
      <c r="D3489" s="30"/>
      <c r="E3489" s="31"/>
      <c r="F3489" s="48" t="s">
        <v>521</v>
      </c>
      <c r="G3489" s="48" t="str">
        <f t="shared" si="59"/>
        <v/>
      </c>
      <c r="H3489" s="67"/>
      <c r="I3489" s="68"/>
      <c r="J3489" s="138">
        <v>0</v>
      </c>
    </row>
    <row r="3490" spans="1:10" ht="15.75" hidden="1" thickBot="1" x14ac:dyDescent="0.3">
      <c r="A3490" s="220" t="s">
        <v>1032</v>
      </c>
      <c r="B3490" s="222" t="e">
        <f>INDEX(Orçamentária!A:B,MATCH(Composições!A3490,Orçamentária!A:A,0),2)</f>
        <v>#N/A</v>
      </c>
      <c r="C3490" s="35"/>
      <c r="D3490" s="20" t="s">
        <v>95</v>
      </c>
      <c r="E3490" s="21"/>
      <c r="F3490" s="43" t="s">
        <v>521</v>
      </c>
      <c r="G3490" s="22" t="str">
        <f t="shared" si="59"/>
        <v/>
      </c>
      <c r="H3490" s="23"/>
      <c r="I3490" s="24"/>
      <c r="J3490" s="138">
        <v>0</v>
      </c>
    </row>
    <row r="3491" spans="1:10" ht="15.75" hidden="1" thickBot="1" x14ac:dyDescent="0.3">
      <c r="A3491" s="221"/>
      <c r="B3491" s="223"/>
      <c r="C3491" s="26"/>
      <c r="D3491" s="26"/>
      <c r="E3491" s="27"/>
      <c r="F3491" s="48" t="s">
        <v>521</v>
      </c>
      <c r="G3491" s="48" t="str">
        <f t="shared" si="59"/>
        <v/>
      </c>
      <c r="H3491" s="67"/>
      <c r="I3491" s="68"/>
      <c r="J3491" s="138">
        <v>0</v>
      </c>
    </row>
    <row r="3492" spans="1:10" ht="15.75" hidden="1" thickBot="1" x14ac:dyDescent="0.3">
      <c r="A3492" s="221"/>
      <c r="B3492" s="223"/>
      <c r="C3492" s="30" t="s">
        <v>1031</v>
      </c>
      <c r="D3492" s="30" t="s">
        <v>95</v>
      </c>
      <c r="E3492" s="31">
        <v>1.05</v>
      </c>
      <c r="F3492" s="48" t="s">
        <v>521</v>
      </c>
      <c r="G3492" s="48" t="str">
        <f t="shared" si="59"/>
        <v/>
      </c>
      <c r="H3492" s="33">
        <f>SUM(G3492:G3502)</f>
        <v>72.033335033828649</v>
      </c>
      <c r="I3492" s="34"/>
      <c r="J3492" s="138">
        <v>0</v>
      </c>
    </row>
    <row r="3493" spans="1:10" ht="15.75" hidden="1" thickBot="1" x14ac:dyDescent="0.3">
      <c r="A3493" s="221"/>
      <c r="B3493" s="223"/>
      <c r="C3493" s="30" t="s">
        <v>54</v>
      </c>
      <c r="D3493" s="30" t="s">
        <v>12</v>
      </c>
      <c r="E3493" s="31">
        <f>1.35</f>
        <v>1.35</v>
      </c>
      <c r="F3493" s="48">
        <v>24.795000000000002</v>
      </c>
      <c r="G3493" s="48">
        <f t="shared" si="59"/>
        <v>33.473250000000007</v>
      </c>
      <c r="H3493" s="67"/>
      <c r="I3493" s="68"/>
      <c r="J3493" s="138">
        <v>0</v>
      </c>
    </row>
    <row r="3494" spans="1:10" ht="15.75" hidden="1" thickBot="1" x14ac:dyDescent="0.3">
      <c r="A3494" s="221"/>
      <c r="B3494" s="223"/>
      <c r="C3494" s="30" t="s">
        <v>22</v>
      </c>
      <c r="D3494" s="30" t="s">
        <v>12</v>
      </c>
      <c r="E3494" s="31">
        <v>0.1</v>
      </c>
      <c r="F3494" s="48">
        <v>24.889999999999997</v>
      </c>
      <c r="G3494" s="48">
        <f t="shared" si="59"/>
        <v>2.4889999999999999</v>
      </c>
      <c r="H3494" s="67"/>
      <c r="I3494" s="68"/>
      <c r="J3494" s="138">
        <v>0</v>
      </c>
    </row>
    <row r="3495" spans="1:10" ht="15.75" hidden="1" thickBot="1" x14ac:dyDescent="0.3">
      <c r="A3495" s="221"/>
      <c r="B3495" s="223"/>
      <c r="C3495" s="30" t="s">
        <v>23</v>
      </c>
      <c r="D3495" s="30" t="s">
        <v>12</v>
      </c>
      <c r="E3495" s="31">
        <f>0.6+0.1+0.1</f>
        <v>0.79999999999999993</v>
      </c>
      <c r="F3495" s="48">
        <v>18.420500000000001</v>
      </c>
      <c r="G3495" s="48">
        <f t="shared" si="59"/>
        <v>14.7364</v>
      </c>
      <c r="H3495" s="67"/>
      <c r="I3495" s="68"/>
      <c r="J3495" s="138">
        <v>0</v>
      </c>
    </row>
    <row r="3496" spans="1:10" ht="15.75" hidden="1" thickBot="1" x14ac:dyDescent="0.3">
      <c r="A3496" s="221"/>
      <c r="B3496" s="223"/>
      <c r="C3496" s="30" t="s">
        <v>1831</v>
      </c>
      <c r="D3496" s="30" t="s">
        <v>42</v>
      </c>
      <c r="E3496" s="31">
        <v>4.5</v>
      </c>
      <c r="F3496" s="48">
        <v>1.6054999999999999</v>
      </c>
      <c r="G3496" s="48">
        <f t="shared" si="59"/>
        <v>7.2247499999999993</v>
      </c>
      <c r="H3496" s="67"/>
      <c r="I3496" s="68"/>
      <c r="J3496" s="138">
        <v>0</v>
      </c>
    </row>
    <row r="3497" spans="1:10" ht="15.75" hidden="1" thickBot="1" x14ac:dyDescent="0.3">
      <c r="A3497" s="221"/>
      <c r="B3497" s="223"/>
      <c r="C3497" s="30" t="s">
        <v>1830</v>
      </c>
      <c r="D3497" s="30" t="s">
        <v>42</v>
      </c>
      <c r="E3497" s="31">
        <v>0.3</v>
      </c>
      <c r="F3497" s="48">
        <v>3.0590000000000002</v>
      </c>
      <c r="G3497" s="48">
        <f t="shared" si="59"/>
        <v>0.91769999999999996</v>
      </c>
      <c r="H3497" s="67"/>
      <c r="I3497" s="68"/>
      <c r="J3497" s="138">
        <v>0</v>
      </c>
    </row>
    <row r="3498" spans="1:10" ht="26.25" hidden="1" thickBot="1" x14ac:dyDescent="0.3">
      <c r="A3498" s="221"/>
      <c r="B3498" s="223"/>
      <c r="C3498" s="30" t="s">
        <v>1033</v>
      </c>
      <c r="D3498" s="30" t="s">
        <v>279</v>
      </c>
      <c r="E3498" s="31">
        <f>2/(0.4*0.8)</f>
        <v>6.2499999999999991</v>
      </c>
      <c r="F3498" s="48">
        <v>2.0994999999999999</v>
      </c>
      <c r="G3498" s="48">
        <f t="shared" si="59"/>
        <v>13.121874999999998</v>
      </c>
      <c r="H3498" s="67"/>
      <c r="I3498" s="68"/>
      <c r="J3498" s="138">
        <v>0</v>
      </c>
    </row>
    <row r="3499" spans="1:10" ht="15.75" hidden="1" thickBot="1" x14ac:dyDescent="0.3">
      <c r="A3499" s="221"/>
      <c r="B3499" s="223"/>
      <c r="C3499" s="30" t="s">
        <v>1023</v>
      </c>
      <c r="D3499" s="30" t="s">
        <v>144</v>
      </c>
      <c r="E3499" s="31">
        <f>(2/(0.4*0.8))*(0.016)*1.5</f>
        <v>0.15</v>
      </c>
      <c r="F3499" s="48">
        <v>0</v>
      </c>
      <c r="G3499" s="48">
        <f t="shared" si="59"/>
        <v>0</v>
      </c>
      <c r="H3499" s="67"/>
      <c r="I3499" s="68"/>
      <c r="J3499" s="138">
        <v>0</v>
      </c>
    </row>
    <row r="3500" spans="1:10" ht="15.75" hidden="1" thickBot="1" x14ac:dyDescent="0.3">
      <c r="A3500" s="221"/>
      <c r="B3500" s="223"/>
      <c r="C3500" s="30" t="s">
        <v>1024</v>
      </c>
      <c r="D3500" s="30" t="s">
        <v>1025</v>
      </c>
      <c r="E3500" s="31">
        <f>(2/(0.4*0.8))*0.1*1.5</f>
        <v>0.9375</v>
      </c>
      <c r="F3500" s="48">
        <v>0</v>
      </c>
      <c r="G3500" s="48">
        <f t="shared" si="59"/>
        <v>0</v>
      </c>
      <c r="H3500" s="67"/>
      <c r="I3500" s="68"/>
      <c r="J3500" s="138">
        <v>0</v>
      </c>
    </row>
    <row r="3501" spans="1:10" ht="15.75" hidden="1" thickBot="1" x14ac:dyDescent="0.3">
      <c r="A3501" s="221"/>
      <c r="B3501" s="223"/>
      <c r="C3501" s="30" t="s">
        <v>1034</v>
      </c>
      <c r="D3501" s="30" t="s">
        <v>144</v>
      </c>
      <c r="E3501" s="31">
        <f>2/(0.4*0.8)</f>
        <v>6.2499999999999991</v>
      </c>
      <c r="F3501" s="48" t="s">
        <v>521</v>
      </c>
      <c r="G3501" s="48" t="str">
        <f t="shared" si="59"/>
        <v/>
      </c>
      <c r="H3501" s="67"/>
      <c r="I3501" s="68"/>
      <c r="J3501" s="138">
        <v>0</v>
      </c>
    </row>
    <row r="3502" spans="1:10" ht="39" hidden="1" thickBot="1" x14ac:dyDescent="0.3">
      <c r="A3502" s="221"/>
      <c r="B3502" s="223"/>
      <c r="C3502" s="30" t="s">
        <v>1026</v>
      </c>
      <c r="D3502" s="30" t="s">
        <v>109</v>
      </c>
      <c r="E3502" s="31">
        <v>1E-4</v>
      </c>
      <c r="F3502" s="48">
        <v>703.60033828648</v>
      </c>
      <c r="G3502" s="48">
        <f t="shared" si="59"/>
        <v>7.0360033828648E-2</v>
      </c>
      <c r="H3502" s="67"/>
      <c r="I3502" s="68"/>
      <c r="J3502" s="138">
        <v>0</v>
      </c>
    </row>
    <row r="3503" spans="1:10" ht="15.75" hidden="1" thickBot="1" x14ac:dyDescent="0.3">
      <c r="A3503" s="221"/>
      <c r="B3503" s="223"/>
      <c r="C3503" s="30"/>
      <c r="D3503" s="30"/>
      <c r="E3503" s="31"/>
      <c r="F3503" s="48" t="s">
        <v>521</v>
      </c>
      <c r="G3503" s="48" t="str">
        <f t="shared" si="59"/>
        <v/>
      </c>
      <c r="H3503" s="67"/>
      <c r="I3503" s="68"/>
      <c r="J3503" s="138">
        <v>0</v>
      </c>
    </row>
    <row r="3504" spans="1:10" ht="15.75" hidden="1" thickBot="1" x14ac:dyDescent="0.3">
      <c r="A3504" s="221"/>
      <c r="B3504" s="223"/>
      <c r="C3504" s="135" t="s">
        <v>1035</v>
      </c>
      <c r="D3504" s="30"/>
      <c r="E3504" s="31"/>
      <c r="F3504" s="48" t="s">
        <v>521</v>
      </c>
      <c r="G3504" s="48" t="str">
        <f t="shared" si="59"/>
        <v/>
      </c>
      <c r="H3504" s="67"/>
      <c r="I3504" s="68"/>
      <c r="J3504" s="138">
        <v>0</v>
      </c>
    </row>
    <row r="3505" spans="1:10" ht="26.25" hidden="1" thickBot="1" x14ac:dyDescent="0.3">
      <c r="A3505" s="221"/>
      <c r="B3505" s="223"/>
      <c r="C3505" s="135" t="s">
        <v>1036</v>
      </c>
      <c r="D3505" s="30"/>
      <c r="E3505" s="31"/>
      <c r="F3505" s="48" t="s">
        <v>521</v>
      </c>
      <c r="G3505" s="48" t="str">
        <f t="shared" si="59"/>
        <v/>
      </c>
      <c r="H3505" s="67"/>
      <c r="I3505" s="68"/>
      <c r="J3505" s="138">
        <v>0</v>
      </c>
    </row>
    <row r="3506" spans="1:10" ht="15.75" hidden="1" thickBot="1" x14ac:dyDescent="0.3">
      <c r="A3506" s="227"/>
      <c r="B3506" s="224"/>
      <c r="C3506" s="30"/>
      <c r="D3506" s="30"/>
      <c r="E3506" s="31"/>
      <c r="F3506" s="48" t="s">
        <v>521</v>
      </c>
      <c r="G3506" s="48" t="str">
        <f t="shared" si="59"/>
        <v/>
      </c>
      <c r="H3506" s="67"/>
      <c r="I3506" s="68"/>
      <c r="J3506" s="138">
        <v>0</v>
      </c>
    </row>
    <row r="3507" spans="1:10" ht="15.75" hidden="1" thickBot="1" x14ac:dyDescent="0.3">
      <c r="A3507" s="220" t="s">
        <v>1037</v>
      </c>
      <c r="B3507" s="222" t="e">
        <f>INDEX(Orçamentária!A:B,MATCH(Composições!A3507,Orçamentária!A:A,0),2)</f>
        <v>#N/A</v>
      </c>
      <c r="C3507" s="35"/>
      <c r="D3507" s="20" t="s">
        <v>95</v>
      </c>
      <c r="E3507" s="21"/>
      <c r="F3507" s="43" t="s">
        <v>521</v>
      </c>
      <c r="G3507" s="22" t="str">
        <f t="shared" si="59"/>
        <v/>
      </c>
      <c r="H3507" s="23"/>
      <c r="I3507" s="24"/>
      <c r="J3507" s="138">
        <v>0</v>
      </c>
    </row>
    <row r="3508" spans="1:10" ht="15.75" hidden="1" thickBot="1" x14ac:dyDescent="0.3">
      <c r="A3508" s="221"/>
      <c r="B3508" s="223"/>
      <c r="C3508" s="26"/>
      <c r="D3508" s="26"/>
      <c r="E3508" s="27"/>
      <c r="F3508" s="48" t="s">
        <v>521</v>
      </c>
      <c r="G3508" s="48" t="str">
        <f t="shared" si="59"/>
        <v/>
      </c>
      <c r="H3508" s="67"/>
      <c r="I3508" s="68"/>
      <c r="J3508" s="138">
        <v>0</v>
      </c>
    </row>
    <row r="3509" spans="1:10" ht="15.75" hidden="1" thickBot="1" x14ac:dyDescent="0.3">
      <c r="A3509" s="221"/>
      <c r="B3509" s="223"/>
      <c r="C3509" s="30" t="s">
        <v>1038</v>
      </c>
      <c r="D3509" s="30" t="s">
        <v>95</v>
      </c>
      <c r="E3509" s="31">
        <v>1.05</v>
      </c>
      <c r="F3509" s="48" t="s">
        <v>521</v>
      </c>
      <c r="G3509" s="48" t="str">
        <f t="shared" ref="G3509:G3572" si="60">IF(ISNUMBER(F3509),E3509*F3509,"")</f>
        <v/>
      </c>
      <c r="H3509" s="33">
        <f>SUM(G3509:G3513)</f>
        <v>52.668000000000006</v>
      </c>
      <c r="I3509" s="34"/>
      <c r="J3509" s="138">
        <v>0</v>
      </c>
    </row>
    <row r="3510" spans="1:10" ht="15.75" hidden="1" thickBot="1" x14ac:dyDescent="0.3">
      <c r="A3510" s="221"/>
      <c r="B3510" s="223"/>
      <c r="C3510" s="30" t="s">
        <v>54</v>
      </c>
      <c r="D3510" s="30" t="s">
        <v>12</v>
      </c>
      <c r="E3510" s="31">
        <v>1.35</v>
      </c>
      <c r="F3510" s="48">
        <v>24.795000000000002</v>
      </c>
      <c r="G3510" s="48">
        <f t="shared" si="60"/>
        <v>33.473250000000007</v>
      </c>
      <c r="H3510" s="67"/>
      <c r="I3510" s="68"/>
      <c r="J3510" s="138">
        <v>0</v>
      </c>
    </row>
    <row r="3511" spans="1:10" ht="15.75" hidden="1" thickBot="1" x14ac:dyDescent="0.3">
      <c r="A3511" s="221"/>
      <c r="B3511" s="223"/>
      <c r="C3511" s="30" t="s">
        <v>23</v>
      </c>
      <c r="D3511" s="30" t="s">
        <v>12</v>
      </c>
      <c r="E3511" s="31">
        <v>0.6</v>
      </c>
      <c r="F3511" s="48">
        <v>18.420500000000001</v>
      </c>
      <c r="G3511" s="48">
        <f t="shared" si="60"/>
        <v>11.052300000000001</v>
      </c>
      <c r="H3511" s="67"/>
      <c r="I3511" s="68"/>
      <c r="J3511" s="138">
        <v>0</v>
      </c>
    </row>
    <row r="3512" spans="1:10" ht="15.75" hidden="1" thickBot="1" x14ac:dyDescent="0.3">
      <c r="A3512" s="221"/>
      <c r="B3512" s="223"/>
      <c r="C3512" s="30" t="s">
        <v>1831</v>
      </c>
      <c r="D3512" s="30" t="s">
        <v>42</v>
      </c>
      <c r="E3512" s="31">
        <v>4.5</v>
      </c>
      <c r="F3512" s="48">
        <v>1.6054999999999999</v>
      </c>
      <c r="G3512" s="48">
        <f t="shared" si="60"/>
        <v>7.2247499999999993</v>
      </c>
      <c r="H3512" s="67"/>
      <c r="I3512" s="68"/>
      <c r="J3512" s="138">
        <v>0</v>
      </c>
    </row>
    <row r="3513" spans="1:10" ht="15.75" hidden="1" thickBot="1" x14ac:dyDescent="0.3">
      <c r="A3513" s="221"/>
      <c r="B3513" s="223"/>
      <c r="C3513" s="30" t="s">
        <v>1830</v>
      </c>
      <c r="D3513" s="30" t="s">
        <v>42</v>
      </c>
      <c r="E3513" s="31">
        <v>0.3</v>
      </c>
      <c r="F3513" s="48">
        <v>3.0590000000000002</v>
      </c>
      <c r="G3513" s="48">
        <f t="shared" si="60"/>
        <v>0.91769999999999996</v>
      </c>
      <c r="H3513" s="67"/>
      <c r="I3513" s="68"/>
      <c r="J3513" s="138">
        <v>0</v>
      </c>
    </row>
    <row r="3514" spans="1:10" ht="15.75" hidden="1" thickBot="1" x14ac:dyDescent="0.3">
      <c r="A3514" s="227"/>
      <c r="B3514" s="224"/>
      <c r="C3514" s="30"/>
      <c r="D3514" s="30"/>
      <c r="E3514" s="31"/>
      <c r="F3514" s="48" t="s">
        <v>521</v>
      </c>
      <c r="G3514" s="48" t="str">
        <f t="shared" si="60"/>
        <v/>
      </c>
      <c r="H3514" s="67"/>
      <c r="I3514" s="68"/>
      <c r="J3514" s="138">
        <v>0</v>
      </c>
    </row>
    <row r="3515" spans="1:10" ht="15.75" hidden="1" thickBot="1" x14ac:dyDescent="0.3">
      <c r="A3515" s="220" t="s">
        <v>1039</v>
      </c>
      <c r="B3515" s="222" t="e">
        <f>INDEX(Orçamentária!A:B,MATCH(Composições!A3515,Orçamentária!A:A,0),2)</f>
        <v>#N/A</v>
      </c>
      <c r="C3515" s="35"/>
      <c r="D3515" s="20" t="s">
        <v>95</v>
      </c>
      <c r="E3515" s="21"/>
      <c r="F3515" s="43" t="s">
        <v>521</v>
      </c>
      <c r="G3515" s="22" t="str">
        <f t="shared" si="60"/>
        <v/>
      </c>
      <c r="H3515" s="23"/>
      <c r="I3515" s="24"/>
      <c r="J3515" s="138">
        <v>0</v>
      </c>
    </row>
    <row r="3516" spans="1:10" ht="15.75" hidden="1" thickBot="1" x14ac:dyDescent="0.3">
      <c r="A3516" s="221"/>
      <c r="B3516" s="223"/>
      <c r="C3516" s="26"/>
      <c r="D3516" s="26"/>
      <c r="E3516" s="27"/>
      <c r="F3516" s="48" t="s">
        <v>521</v>
      </c>
      <c r="G3516" s="48" t="str">
        <f t="shared" si="60"/>
        <v/>
      </c>
      <c r="H3516" s="67"/>
      <c r="I3516" s="68"/>
      <c r="J3516" s="138">
        <v>0</v>
      </c>
    </row>
    <row r="3517" spans="1:10" ht="15.75" hidden="1" thickBot="1" x14ac:dyDescent="0.3">
      <c r="A3517" s="221"/>
      <c r="B3517" s="223"/>
      <c r="C3517" s="30" t="s">
        <v>1038</v>
      </c>
      <c r="D3517" s="30" t="s">
        <v>95</v>
      </c>
      <c r="E3517" s="31">
        <v>1.05</v>
      </c>
      <c r="F3517" s="48" t="s">
        <v>521</v>
      </c>
      <c r="G3517" s="48" t="str">
        <f t="shared" si="60"/>
        <v/>
      </c>
      <c r="H3517" s="33">
        <f>SUM(G3517:G3527)</f>
        <v>72.033335033828649</v>
      </c>
      <c r="I3517" s="34"/>
      <c r="J3517" s="138">
        <v>0</v>
      </c>
    </row>
    <row r="3518" spans="1:10" ht="15.75" hidden="1" thickBot="1" x14ac:dyDescent="0.3">
      <c r="A3518" s="221"/>
      <c r="B3518" s="223"/>
      <c r="C3518" s="30" t="s">
        <v>54</v>
      </c>
      <c r="D3518" s="30" t="s">
        <v>12</v>
      </c>
      <c r="E3518" s="31">
        <f>1.35</f>
        <v>1.35</v>
      </c>
      <c r="F3518" s="48">
        <v>24.795000000000002</v>
      </c>
      <c r="G3518" s="48">
        <f t="shared" si="60"/>
        <v>33.473250000000007</v>
      </c>
      <c r="H3518" s="67"/>
      <c r="I3518" s="68"/>
      <c r="J3518" s="138">
        <v>0</v>
      </c>
    </row>
    <row r="3519" spans="1:10" ht="15.75" hidden="1" thickBot="1" x14ac:dyDescent="0.3">
      <c r="A3519" s="221"/>
      <c r="B3519" s="223"/>
      <c r="C3519" s="30" t="s">
        <v>22</v>
      </c>
      <c r="D3519" s="30" t="s">
        <v>12</v>
      </c>
      <c r="E3519" s="31">
        <v>0.1</v>
      </c>
      <c r="F3519" s="48">
        <v>24.889999999999997</v>
      </c>
      <c r="G3519" s="48">
        <f t="shared" si="60"/>
        <v>2.4889999999999999</v>
      </c>
      <c r="H3519" s="67"/>
      <c r="I3519" s="68"/>
      <c r="J3519" s="138">
        <v>0</v>
      </c>
    </row>
    <row r="3520" spans="1:10" ht="15.75" hidden="1" thickBot="1" x14ac:dyDescent="0.3">
      <c r="A3520" s="221"/>
      <c r="B3520" s="223"/>
      <c r="C3520" s="30" t="s">
        <v>23</v>
      </c>
      <c r="D3520" s="30" t="s">
        <v>12</v>
      </c>
      <c r="E3520" s="31">
        <f>0.6+0.1+0.1</f>
        <v>0.79999999999999993</v>
      </c>
      <c r="F3520" s="48">
        <v>18.420500000000001</v>
      </c>
      <c r="G3520" s="48">
        <f t="shared" si="60"/>
        <v>14.7364</v>
      </c>
      <c r="H3520" s="67"/>
      <c r="I3520" s="68"/>
      <c r="J3520" s="138">
        <v>0</v>
      </c>
    </row>
    <row r="3521" spans="1:10" ht="15.75" hidden="1" thickBot="1" x14ac:dyDescent="0.3">
      <c r="A3521" s="221"/>
      <c r="B3521" s="223"/>
      <c r="C3521" s="30" t="s">
        <v>1831</v>
      </c>
      <c r="D3521" s="30" t="s">
        <v>42</v>
      </c>
      <c r="E3521" s="31">
        <v>4.5</v>
      </c>
      <c r="F3521" s="48">
        <v>1.6054999999999999</v>
      </c>
      <c r="G3521" s="48">
        <f t="shared" si="60"/>
        <v>7.2247499999999993</v>
      </c>
      <c r="H3521" s="67"/>
      <c r="I3521" s="68"/>
      <c r="J3521" s="138">
        <v>0</v>
      </c>
    </row>
    <row r="3522" spans="1:10" ht="15.75" hidden="1" thickBot="1" x14ac:dyDescent="0.3">
      <c r="A3522" s="221"/>
      <c r="B3522" s="223"/>
      <c r="C3522" s="30" t="s">
        <v>1830</v>
      </c>
      <c r="D3522" s="30" t="s">
        <v>42</v>
      </c>
      <c r="E3522" s="31">
        <v>0.3</v>
      </c>
      <c r="F3522" s="48">
        <v>3.0590000000000002</v>
      </c>
      <c r="G3522" s="48">
        <f t="shared" si="60"/>
        <v>0.91769999999999996</v>
      </c>
      <c r="H3522" s="67"/>
      <c r="I3522" s="68"/>
      <c r="J3522" s="138">
        <v>0</v>
      </c>
    </row>
    <row r="3523" spans="1:10" ht="26.25" hidden="1" thickBot="1" x14ac:dyDescent="0.3">
      <c r="A3523" s="221"/>
      <c r="B3523" s="223"/>
      <c r="C3523" s="30" t="s">
        <v>1033</v>
      </c>
      <c r="D3523" s="30" t="s">
        <v>279</v>
      </c>
      <c r="E3523" s="31">
        <f>2/(0.4*0.8)</f>
        <v>6.2499999999999991</v>
      </c>
      <c r="F3523" s="48">
        <v>2.0994999999999999</v>
      </c>
      <c r="G3523" s="48">
        <f t="shared" si="60"/>
        <v>13.121874999999998</v>
      </c>
      <c r="H3523" s="67"/>
      <c r="I3523" s="68"/>
      <c r="J3523" s="138">
        <v>0</v>
      </c>
    </row>
    <row r="3524" spans="1:10" ht="15.75" hidden="1" thickBot="1" x14ac:dyDescent="0.3">
      <c r="A3524" s="221"/>
      <c r="B3524" s="223"/>
      <c r="C3524" s="30" t="s">
        <v>1023</v>
      </c>
      <c r="D3524" s="30" t="s">
        <v>144</v>
      </c>
      <c r="E3524" s="31">
        <f>(2/(0.4*0.8))*(0.016)*1.5</f>
        <v>0.15</v>
      </c>
      <c r="F3524" s="48">
        <v>0</v>
      </c>
      <c r="G3524" s="48">
        <f t="shared" si="60"/>
        <v>0</v>
      </c>
      <c r="H3524" s="67"/>
      <c r="I3524" s="68"/>
      <c r="J3524" s="138">
        <v>0</v>
      </c>
    </row>
    <row r="3525" spans="1:10" ht="15.75" hidden="1" thickBot="1" x14ac:dyDescent="0.3">
      <c r="A3525" s="221"/>
      <c r="B3525" s="223"/>
      <c r="C3525" s="30" t="s">
        <v>1024</v>
      </c>
      <c r="D3525" s="30" t="s">
        <v>1025</v>
      </c>
      <c r="E3525" s="31">
        <f>(2/(0.4*0.8))*0.1*1.5</f>
        <v>0.9375</v>
      </c>
      <c r="F3525" s="48">
        <v>0</v>
      </c>
      <c r="G3525" s="48">
        <f t="shared" si="60"/>
        <v>0</v>
      </c>
      <c r="H3525" s="67"/>
      <c r="I3525" s="68"/>
      <c r="J3525" s="138">
        <v>0</v>
      </c>
    </row>
    <row r="3526" spans="1:10" ht="15.75" hidden="1" thickBot="1" x14ac:dyDescent="0.3">
      <c r="A3526" s="221"/>
      <c r="B3526" s="223"/>
      <c r="C3526" s="30" t="s">
        <v>1034</v>
      </c>
      <c r="D3526" s="30" t="s">
        <v>144</v>
      </c>
      <c r="E3526" s="31">
        <f>2/(0.4*0.8)</f>
        <v>6.2499999999999991</v>
      </c>
      <c r="F3526" s="48" t="s">
        <v>521</v>
      </c>
      <c r="G3526" s="48" t="str">
        <f t="shared" si="60"/>
        <v/>
      </c>
      <c r="H3526" s="67"/>
      <c r="I3526" s="68"/>
      <c r="J3526" s="138">
        <v>0</v>
      </c>
    </row>
    <row r="3527" spans="1:10" ht="39" hidden="1" thickBot="1" x14ac:dyDescent="0.3">
      <c r="A3527" s="221"/>
      <c r="B3527" s="223"/>
      <c r="C3527" s="30" t="s">
        <v>1026</v>
      </c>
      <c r="D3527" s="30" t="s">
        <v>109</v>
      </c>
      <c r="E3527" s="31">
        <v>1E-4</v>
      </c>
      <c r="F3527" s="48">
        <v>703.60033828648</v>
      </c>
      <c r="G3527" s="48">
        <f t="shared" si="60"/>
        <v>7.0360033828648E-2</v>
      </c>
      <c r="H3527" s="67"/>
      <c r="I3527" s="68"/>
      <c r="J3527" s="138">
        <v>0</v>
      </c>
    </row>
    <row r="3528" spans="1:10" ht="15.75" hidden="1" thickBot="1" x14ac:dyDescent="0.3">
      <c r="A3528" s="221"/>
      <c r="B3528" s="223"/>
      <c r="C3528" s="30"/>
      <c r="D3528" s="30"/>
      <c r="E3528" s="31"/>
      <c r="F3528" s="48" t="s">
        <v>521</v>
      </c>
      <c r="G3528" s="48" t="str">
        <f t="shared" si="60"/>
        <v/>
      </c>
      <c r="H3528" s="67"/>
      <c r="I3528" s="68"/>
      <c r="J3528" s="138">
        <v>0</v>
      </c>
    </row>
    <row r="3529" spans="1:10" ht="15.75" hidden="1" thickBot="1" x14ac:dyDescent="0.3">
      <c r="A3529" s="221"/>
      <c r="B3529" s="223"/>
      <c r="C3529" s="135" t="s">
        <v>1035</v>
      </c>
      <c r="D3529" s="30"/>
      <c r="E3529" s="31"/>
      <c r="F3529" s="48" t="s">
        <v>521</v>
      </c>
      <c r="G3529" s="48" t="str">
        <f t="shared" si="60"/>
        <v/>
      </c>
      <c r="H3529" s="67"/>
      <c r="I3529" s="68"/>
      <c r="J3529" s="138">
        <v>0</v>
      </c>
    </row>
    <row r="3530" spans="1:10" ht="26.25" hidden="1" thickBot="1" x14ac:dyDescent="0.3">
      <c r="A3530" s="221"/>
      <c r="B3530" s="223"/>
      <c r="C3530" s="135" t="s">
        <v>1036</v>
      </c>
      <c r="D3530" s="30"/>
      <c r="E3530" s="31"/>
      <c r="F3530" s="48" t="s">
        <v>521</v>
      </c>
      <c r="G3530" s="48" t="str">
        <f t="shared" si="60"/>
        <v/>
      </c>
      <c r="H3530" s="67"/>
      <c r="I3530" s="68"/>
      <c r="J3530" s="138">
        <v>0</v>
      </c>
    </row>
    <row r="3531" spans="1:10" ht="15.75" hidden="1" thickBot="1" x14ac:dyDescent="0.3">
      <c r="A3531" s="227"/>
      <c r="B3531" s="224"/>
      <c r="C3531" s="30"/>
      <c r="D3531" s="30"/>
      <c r="E3531" s="31"/>
      <c r="F3531" s="48" t="s">
        <v>521</v>
      </c>
      <c r="G3531" s="48" t="str">
        <f t="shared" si="60"/>
        <v/>
      </c>
      <c r="H3531" s="67"/>
      <c r="I3531" s="68"/>
      <c r="J3531" s="138">
        <v>0</v>
      </c>
    </row>
    <row r="3532" spans="1:10" ht="15.75" hidden="1" thickBot="1" x14ac:dyDescent="0.3">
      <c r="A3532" s="220" t="s">
        <v>1040</v>
      </c>
      <c r="B3532" s="222" t="e">
        <f>INDEX(Orçamentária!A:B,MATCH(Composições!A3532,Orçamentária!A:A,0),2)</f>
        <v>#N/A</v>
      </c>
      <c r="C3532" s="35"/>
      <c r="D3532" s="20" t="s">
        <v>95</v>
      </c>
      <c r="E3532" s="21"/>
      <c r="F3532" s="43" t="s">
        <v>521</v>
      </c>
      <c r="G3532" s="22" t="str">
        <f t="shared" si="60"/>
        <v/>
      </c>
      <c r="H3532" s="23"/>
      <c r="I3532" s="24"/>
      <c r="J3532" s="138">
        <v>0</v>
      </c>
    </row>
    <row r="3533" spans="1:10" ht="15.75" hidden="1" thickBot="1" x14ac:dyDescent="0.3">
      <c r="A3533" s="221"/>
      <c r="B3533" s="223"/>
      <c r="C3533" s="26"/>
      <c r="D3533" s="26"/>
      <c r="E3533" s="27"/>
      <c r="F3533" s="48" t="s">
        <v>521</v>
      </c>
      <c r="G3533" s="48" t="str">
        <f t="shared" si="60"/>
        <v/>
      </c>
      <c r="H3533" s="67"/>
      <c r="I3533" s="68"/>
      <c r="J3533" s="138">
        <v>0</v>
      </c>
    </row>
    <row r="3534" spans="1:10" ht="15.75" hidden="1" thickBot="1" x14ac:dyDescent="0.3">
      <c r="A3534" s="221"/>
      <c r="B3534" s="223"/>
      <c r="C3534" s="30" t="s">
        <v>1038</v>
      </c>
      <c r="D3534" s="30" t="s">
        <v>95</v>
      </c>
      <c r="E3534" s="31">
        <v>1.05</v>
      </c>
      <c r="F3534" s="48" t="s">
        <v>521</v>
      </c>
      <c r="G3534" s="48" t="str">
        <f t="shared" si="60"/>
        <v/>
      </c>
      <c r="H3534" s="33">
        <f>SUM(G3534:G3538)</f>
        <v>8.0408000000000008</v>
      </c>
      <c r="I3534" s="34"/>
      <c r="J3534" s="138">
        <v>0</v>
      </c>
    </row>
    <row r="3535" spans="1:10" ht="15.75" hidden="1" thickBot="1" x14ac:dyDescent="0.3">
      <c r="A3535" s="221"/>
      <c r="B3535" s="223"/>
      <c r="C3535" s="30" t="s">
        <v>54</v>
      </c>
      <c r="D3535" s="30" t="s">
        <v>12</v>
      </c>
      <c r="E3535" s="31">
        <v>0.25</v>
      </c>
      <c r="F3535" s="48">
        <v>24.795000000000002</v>
      </c>
      <c r="G3535" s="48">
        <f t="shared" si="60"/>
        <v>6.1987500000000004</v>
      </c>
      <c r="H3535" s="67"/>
      <c r="I3535" s="68"/>
      <c r="J3535" s="138">
        <v>0</v>
      </c>
    </row>
    <row r="3536" spans="1:10" ht="15.75" hidden="1" thickBot="1" x14ac:dyDescent="0.3">
      <c r="A3536" s="221"/>
      <c r="B3536" s="223"/>
      <c r="C3536" s="30" t="s">
        <v>23</v>
      </c>
      <c r="D3536" s="30" t="s">
        <v>12</v>
      </c>
      <c r="E3536" s="31">
        <v>0.1</v>
      </c>
      <c r="F3536" s="48">
        <v>18.420500000000001</v>
      </c>
      <c r="G3536" s="48">
        <f t="shared" si="60"/>
        <v>1.8420500000000002</v>
      </c>
      <c r="H3536" s="67"/>
      <c r="I3536" s="68"/>
      <c r="J3536" s="138">
        <v>0</v>
      </c>
    </row>
    <row r="3537" spans="1:10" ht="15.75" hidden="1" thickBot="1" x14ac:dyDescent="0.3">
      <c r="A3537" s="221"/>
      <c r="B3537" s="223"/>
      <c r="C3537" s="30" t="s">
        <v>1023</v>
      </c>
      <c r="D3537" s="30" t="s">
        <v>144</v>
      </c>
      <c r="E3537" s="31">
        <f>(2/(0.4*0.8))*0.016/2</f>
        <v>4.9999999999999996E-2</v>
      </c>
      <c r="F3537" s="48">
        <v>0</v>
      </c>
      <c r="G3537" s="48">
        <f t="shared" si="60"/>
        <v>0</v>
      </c>
      <c r="H3537" s="67"/>
      <c r="I3537" s="68"/>
      <c r="J3537" s="138">
        <v>0</v>
      </c>
    </row>
    <row r="3538" spans="1:10" ht="15.75" hidden="1" thickBot="1" x14ac:dyDescent="0.3">
      <c r="A3538" s="221"/>
      <c r="B3538" s="223"/>
      <c r="C3538" s="30" t="s">
        <v>1024</v>
      </c>
      <c r="D3538" s="30" t="s">
        <v>1025</v>
      </c>
      <c r="E3538" s="31">
        <f>(2/(0.4*0.8))*0.1/2</f>
        <v>0.3125</v>
      </c>
      <c r="F3538" s="48">
        <v>0</v>
      </c>
      <c r="G3538" s="48">
        <f t="shared" si="60"/>
        <v>0</v>
      </c>
      <c r="H3538" s="67"/>
      <c r="I3538" s="68"/>
      <c r="J3538" s="138">
        <v>0</v>
      </c>
    </row>
    <row r="3539" spans="1:10" ht="15.75" hidden="1" thickBot="1" x14ac:dyDescent="0.3">
      <c r="A3539" s="221"/>
      <c r="B3539" s="223"/>
      <c r="C3539" s="30"/>
      <c r="D3539" s="30"/>
      <c r="E3539" s="31"/>
      <c r="F3539" s="48" t="s">
        <v>521</v>
      </c>
      <c r="G3539" s="48" t="str">
        <f t="shared" si="60"/>
        <v/>
      </c>
      <c r="H3539" s="67"/>
      <c r="I3539" s="68"/>
      <c r="J3539" s="138">
        <v>0</v>
      </c>
    </row>
    <row r="3540" spans="1:10" ht="15.75" hidden="1" thickBot="1" x14ac:dyDescent="0.3">
      <c r="A3540" s="221"/>
      <c r="B3540" s="223"/>
      <c r="C3540" s="135" t="s">
        <v>1041</v>
      </c>
      <c r="D3540" s="30"/>
      <c r="E3540" s="31"/>
      <c r="F3540" s="48" t="s">
        <v>521</v>
      </c>
      <c r="G3540" s="48" t="str">
        <f t="shared" si="60"/>
        <v/>
      </c>
      <c r="H3540" s="67"/>
      <c r="I3540" s="68"/>
      <c r="J3540" s="138">
        <v>0</v>
      </c>
    </row>
    <row r="3541" spans="1:10" ht="15.75" hidden="1" thickBot="1" x14ac:dyDescent="0.3">
      <c r="A3541" s="227"/>
      <c r="B3541" s="224"/>
      <c r="C3541" s="30"/>
      <c r="D3541" s="30"/>
      <c r="E3541" s="31"/>
      <c r="F3541" s="48" t="s">
        <v>521</v>
      </c>
      <c r="G3541" s="48" t="str">
        <f t="shared" si="60"/>
        <v/>
      </c>
      <c r="H3541" s="67"/>
      <c r="I3541" s="68"/>
      <c r="J3541" s="138">
        <v>0</v>
      </c>
    </row>
    <row r="3542" spans="1:10" ht="15.75" hidden="1" thickBot="1" x14ac:dyDescent="0.3">
      <c r="A3542" s="220" t="s">
        <v>1524</v>
      </c>
      <c r="B3542" s="222" t="e">
        <f>INDEX(Orçamentária!A:B,MATCH(Composições!A3542,Orçamentária!A:A,0),2)</f>
        <v>#N/A</v>
      </c>
      <c r="C3542" s="35"/>
      <c r="D3542" s="20" t="s">
        <v>95</v>
      </c>
      <c r="E3542" s="21"/>
      <c r="F3542" s="43" t="s">
        <v>521</v>
      </c>
      <c r="G3542" s="22" t="str">
        <f t="shared" si="60"/>
        <v/>
      </c>
      <c r="H3542" s="23"/>
      <c r="I3542" s="24"/>
      <c r="J3542" s="138">
        <v>0</v>
      </c>
    </row>
    <row r="3543" spans="1:10" ht="15.75" hidden="1" thickBot="1" x14ac:dyDescent="0.3">
      <c r="A3543" s="221"/>
      <c r="B3543" s="223"/>
      <c r="C3543" s="26"/>
      <c r="D3543" s="26"/>
      <c r="E3543" s="27"/>
      <c r="F3543" s="48" t="s">
        <v>521</v>
      </c>
      <c r="G3543" s="48" t="str">
        <f t="shared" si="60"/>
        <v/>
      </c>
      <c r="H3543" s="67"/>
      <c r="I3543" s="68"/>
      <c r="J3543" s="138">
        <v>0</v>
      </c>
    </row>
    <row r="3544" spans="1:10" ht="15.75" hidden="1" thickBot="1" x14ac:dyDescent="0.3">
      <c r="A3544" s="221"/>
      <c r="B3544" s="223"/>
      <c r="C3544" s="30" t="s">
        <v>54</v>
      </c>
      <c r="D3544" s="30" t="s">
        <v>12</v>
      </c>
      <c r="E3544" s="31">
        <v>0.25</v>
      </c>
      <c r="F3544" s="48">
        <v>24.795000000000002</v>
      </c>
      <c r="G3544" s="48">
        <f t="shared" si="60"/>
        <v>6.1987500000000004</v>
      </c>
      <c r="H3544" s="33">
        <f>SUM(G3544:G3547)</f>
        <v>8.0408000000000008</v>
      </c>
      <c r="I3544" s="34"/>
      <c r="J3544" s="138">
        <v>0</v>
      </c>
    </row>
    <row r="3545" spans="1:10" ht="15.75" hidden="1" thickBot="1" x14ac:dyDescent="0.3">
      <c r="A3545" s="221"/>
      <c r="B3545" s="223"/>
      <c r="C3545" s="30" t="s">
        <v>23</v>
      </c>
      <c r="D3545" s="30" t="s">
        <v>12</v>
      </c>
      <c r="E3545" s="31">
        <v>0.1</v>
      </c>
      <c r="F3545" s="48">
        <v>18.420500000000001</v>
      </c>
      <c r="G3545" s="48">
        <f t="shared" si="60"/>
        <v>1.8420500000000002</v>
      </c>
      <c r="H3545" s="67"/>
      <c r="I3545" s="68"/>
      <c r="J3545" s="138">
        <v>0</v>
      </c>
    </row>
    <row r="3546" spans="1:10" ht="15.75" hidden="1" thickBot="1" x14ac:dyDescent="0.3">
      <c r="A3546" s="221"/>
      <c r="B3546" s="223"/>
      <c r="C3546" s="30" t="s">
        <v>1023</v>
      </c>
      <c r="D3546" s="30" t="s">
        <v>144</v>
      </c>
      <c r="E3546" s="31">
        <f>(2/(0.4*0.8))*0.016/2</f>
        <v>4.9999999999999996E-2</v>
      </c>
      <c r="F3546" s="48">
        <v>0</v>
      </c>
      <c r="G3546" s="48">
        <f t="shared" si="60"/>
        <v>0</v>
      </c>
      <c r="H3546" s="67"/>
      <c r="I3546" s="68"/>
      <c r="J3546" s="138">
        <v>0</v>
      </c>
    </row>
    <row r="3547" spans="1:10" ht="15.75" hidden="1" thickBot="1" x14ac:dyDescent="0.3">
      <c r="A3547" s="221"/>
      <c r="B3547" s="223"/>
      <c r="C3547" s="30" t="s">
        <v>1024</v>
      </c>
      <c r="D3547" s="30" t="s">
        <v>1025</v>
      </c>
      <c r="E3547" s="31">
        <f>(2/(0.4*0.8))*0.1/2</f>
        <v>0.3125</v>
      </c>
      <c r="F3547" s="48">
        <v>0</v>
      </c>
      <c r="G3547" s="48">
        <f t="shared" si="60"/>
        <v>0</v>
      </c>
      <c r="H3547" s="67"/>
      <c r="I3547" s="68"/>
      <c r="J3547" s="138">
        <v>0</v>
      </c>
    </row>
    <row r="3548" spans="1:10" ht="15.75" hidden="1" thickBot="1" x14ac:dyDescent="0.3">
      <c r="A3548" s="221"/>
      <c r="B3548" s="223"/>
      <c r="C3548" s="30"/>
      <c r="D3548" s="30"/>
      <c r="E3548" s="31"/>
      <c r="F3548" s="48" t="s">
        <v>521</v>
      </c>
      <c r="G3548" s="48" t="str">
        <f t="shared" si="60"/>
        <v/>
      </c>
      <c r="H3548" s="67"/>
      <c r="I3548" s="68"/>
      <c r="J3548" s="138">
        <v>0</v>
      </c>
    </row>
    <row r="3549" spans="1:10" ht="15.75" hidden="1" thickBot="1" x14ac:dyDescent="0.3">
      <c r="A3549" s="221"/>
      <c r="B3549" s="223"/>
      <c r="C3549" s="135" t="s">
        <v>1041</v>
      </c>
      <c r="D3549" s="30"/>
      <c r="E3549" s="31"/>
      <c r="F3549" s="48" t="s">
        <v>521</v>
      </c>
      <c r="G3549" s="48" t="str">
        <f t="shared" si="60"/>
        <v/>
      </c>
      <c r="H3549" s="67"/>
      <c r="I3549" s="68"/>
      <c r="J3549" s="138">
        <v>0</v>
      </c>
    </row>
    <row r="3550" spans="1:10" ht="15.75" hidden="1" thickBot="1" x14ac:dyDescent="0.3">
      <c r="A3550" s="227"/>
      <c r="B3550" s="224"/>
      <c r="C3550" s="30"/>
      <c r="D3550" s="30"/>
      <c r="E3550" s="31"/>
      <c r="F3550" s="48" t="s">
        <v>521</v>
      </c>
      <c r="G3550" s="48" t="str">
        <f t="shared" si="60"/>
        <v/>
      </c>
      <c r="H3550" s="67"/>
      <c r="I3550" s="68"/>
      <c r="J3550" s="138">
        <v>0</v>
      </c>
    </row>
    <row r="3551" spans="1:10" ht="15.75" hidden="1" thickBot="1" x14ac:dyDescent="0.3">
      <c r="A3551" s="220" t="s">
        <v>1042</v>
      </c>
      <c r="B3551" s="222" t="e">
        <f>INDEX(Orçamentária!A:B,MATCH(Composições!A3551,Orçamentária!A:A,0),2)</f>
        <v>#N/A</v>
      </c>
      <c r="C3551" s="35"/>
      <c r="D3551" s="20" t="s">
        <v>95</v>
      </c>
      <c r="E3551" s="21"/>
      <c r="F3551" s="43" t="s">
        <v>521</v>
      </c>
      <c r="G3551" s="22" t="str">
        <f t="shared" si="60"/>
        <v/>
      </c>
      <c r="H3551" s="23"/>
      <c r="I3551" s="24"/>
      <c r="J3551" s="138">
        <v>0</v>
      </c>
    </row>
    <row r="3552" spans="1:10" ht="15.75" hidden="1" thickBot="1" x14ac:dyDescent="0.3">
      <c r="A3552" s="221"/>
      <c r="B3552" s="223"/>
      <c r="C3552" s="26"/>
      <c r="D3552" s="26"/>
      <c r="E3552" s="27"/>
      <c r="F3552" s="48" t="s">
        <v>521</v>
      </c>
      <c r="G3552" s="48" t="str">
        <f t="shared" si="60"/>
        <v/>
      </c>
      <c r="H3552" s="67"/>
      <c r="I3552" s="68"/>
      <c r="J3552" s="138">
        <v>0</v>
      </c>
    </row>
    <row r="3553" spans="1:10" ht="15.75" hidden="1" thickBot="1" x14ac:dyDescent="0.3">
      <c r="A3553" s="221"/>
      <c r="B3553" s="223"/>
      <c r="C3553" s="30" t="s">
        <v>54</v>
      </c>
      <c r="D3553" s="30" t="s">
        <v>12</v>
      </c>
      <c r="E3553" s="31">
        <v>1.35</v>
      </c>
      <c r="F3553" s="48">
        <v>24.795000000000002</v>
      </c>
      <c r="G3553" s="48">
        <f t="shared" si="60"/>
        <v>33.473250000000007</v>
      </c>
      <c r="H3553" s="33">
        <f>SUM(G3553:G3556)</f>
        <v>52.668000000000006</v>
      </c>
      <c r="I3553" s="34"/>
      <c r="J3553" s="138">
        <v>0</v>
      </c>
    </row>
    <row r="3554" spans="1:10" ht="15.75" hidden="1" thickBot="1" x14ac:dyDescent="0.3">
      <c r="A3554" s="221"/>
      <c r="B3554" s="223"/>
      <c r="C3554" s="30" t="s">
        <v>23</v>
      </c>
      <c r="D3554" s="30" t="s">
        <v>12</v>
      </c>
      <c r="E3554" s="31">
        <v>0.6</v>
      </c>
      <c r="F3554" s="48">
        <v>18.420500000000001</v>
      </c>
      <c r="G3554" s="48">
        <f t="shared" si="60"/>
        <v>11.052300000000001</v>
      </c>
      <c r="H3554" s="67"/>
      <c r="I3554" s="68"/>
      <c r="J3554" s="138">
        <v>0</v>
      </c>
    </row>
    <row r="3555" spans="1:10" ht="15.75" hidden="1" thickBot="1" x14ac:dyDescent="0.3">
      <c r="A3555" s="221"/>
      <c r="B3555" s="223"/>
      <c r="C3555" s="30" t="s">
        <v>1831</v>
      </c>
      <c r="D3555" s="30" t="s">
        <v>42</v>
      </c>
      <c r="E3555" s="31">
        <v>4.5</v>
      </c>
      <c r="F3555" s="48">
        <v>1.6054999999999999</v>
      </c>
      <c r="G3555" s="48">
        <f t="shared" si="60"/>
        <v>7.2247499999999993</v>
      </c>
      <c r="H3555" s="67"/>
      <c r="I3555" s="68"/>
      <c r="J3555" s="138">
        <v>0</v>
      </c>
    </row>
    <row r="3556" spans="1:10" ht="15.75" hidden="1" thickBot="1" x14ac:dyDescent="0.3">
      <c r="A3556" s="221"/>
      <c r="B3556" s="223"/>
      <c r="C3556" s="30" t="s">
        <v>1830</v>
      </c>
      <c r="D3556" s="30" t="s">
        <v>42</v>
      </c>
      <c r="E3556" s="31">
        <v>0.3</v>
      </c>
      <c r="F3556" s="48">
        <v>3.0590000000000002</v>
      </c>
      <c r="G3556" s="48">
        <f t="shared" si="60"/>
        <v>0.91769999999999996</v>
      </c>
      <c r="H3556" s="67"/>
      <c r="I3556" s="68"/>
      <c r="J3556" s="138">
        <v>0</v>
      </c>
    </row>
    <row r="3557" spans="1:10" ht="15.75" hidden="1" thickBot="1" x14ac:dyDescent="0.3">
      <c r="A3557" s="227"/>
      <c r="B3557" s="224"/>
      <c r="C3557" s="30"/>
      <c r="D3557" s="30"/>
      <c r="E3557" s="31"/>
      <c r="F3557" s="48" t="s">
        <v>521</v>
      </c>
      <c r="G3557" s="48" t="str">
        <f t="shared" si="60"/>
        <v/>
      </c>
      <c r="H3557" s="67"/>
      <c r="I3557" s="68"/>
      <c r="J3557" s="138">
        <v>0</v>
      </c>
    </row>
    <row r="3558" spans="1:10" ht="15.75" hidden="1" thickBot="1" x14ac:dyDescent="0.3">
      <c r="A3558" s="220" t="s">
        <v>1043</v>
      </c>
      <c r="B3558" s="222" t="e">
        <f>INDEX(Orçamentária!A:B,MATCH(Composições!A3558,Orçamentária!A:A,0),2)</f>
        <v>#N/A</v>
      </c>
      <c r="C3558" s="35"/>
      <c r="D3558" s="20" t="s">
        <v>95</v>
      </c>
      <c r="E3558" s="21"/>
      <c r="F3558" s="43" t="s">
        <v>521</v>
      </c>
      <c r="G3558" s="22" t="str">
        <f t="shared" si="60"/>
        <v/>
      </c>
      <c r="H3558" s="23"/>
      <c r="I3558" s="24"/>
      <c r="J3558" s="138">
        <v>0</v>
      </c>
    </row>
    <row r="3559" spans="1:10" ht="15.75" hidden="1" thickBot="1" x14ac:dyDescent="0.3">
      <c r="A3559" s="221"/>
      <c r="B3559" s="223"/>
      <c r="C3559" s="26"/>
      <c r="D3559" s="26"/>
      <c r="E3559" s="27"/>
      <c r="F3559" s="48" t="s">
        <v>521</v>
      </c>
      <c r="G3559" s="48" t="str">
        <f t="shared" si="60"/>
        <v/>
      </c>
      <c r="H3559" s="67"/>
      <c r="I3559" s="68"/>
      <c r="J3559" s="138">
        <v>0</v>
      </c>
    </row>
    <row r="3560" spans="1:10" ht="15.75" hidden="1" thickBot="1" x14ac:dyDescent="0.3">
      <c r="A3560" s="221"/>
      <c r="B3560" s="223"/>
      <c r="C3560" s="30" t="s">
        <v>54</v>
      </c>
      <c r="D3560" s="30" t="s">
        <v>12</v>
      </c>
      <c r="E3560" s="31">
        <f>1.35</f>
        <v>1.35</v>
      </c>
      <c r="F3560" s="48">
        <v>24.795000000000002</v>
      </c>
      <c r="G3560" s="48">
        <f t="shared" si="60"/>
        <v>33.473250000000007</v>
      </c>
      <c r="H3560" s="33">
        <f>SUM(G3560:G3569)</f>
        <v>72.033335033828649</v>
      </c>
      <c r="I3560" s="34"/>
      <c r="J3560" s="138">
        <v>0</v>
      </c>
    </row>
    <row r="3561" spans="1:10" ht="15.75" hidden="1" thickBot="1" x14ac:dyDescent="0.3">
      <c r="A3561" s="221"/>
      <c r="B3561" s="223"/>
      <c r="C3561" s="30" t="s">
        <v>22</v>
      </c>
      <c r="D3561" s="30" t="s">
        <v>12</v>
      </c>
      <c r="E3561" s="31">
        <v>0.1</v>
      </c>
      <c r="F3561" s="48">
        <v>24.889999999999997</v>
      </c>
      <c r="G3561" s="48">
        <f t="shared" si="60"/>
        <v>2.4889999999999999</v>
      </c>
      <c r="H3561" s="67"/>
      <c r="I3561" s="68"/>
      <c r="J3561" s="138">
        <v>0</v>
      </c>
    </row>
    <row r="3562" spans="1:10" ht="15.75" hidden="1" thickBot="1" x14ac:dyDescent="0.3">
      <c r="A3562" s="221"/>
      <c r="B3562" s="223"/>
      <c r="C3562" s="30" t="s">
        <v>23</v>
      </c>
      <c r="D3562" s="30" t="s">
        <v>12</v>
      </c>
      <c r="E3562" s="31">
        <f>0.6+0.1+0.1</f>
        <v>0.79999999999999993</v>
      </c>
      <c r="F3562" s="48">
        <v>18.420500000000001</v>
      </c>
      <c r="G3562" s="48">
        <f t="shared" si="60"/>
        <v>14.7364</v>
      </c>
      <c r="H3562" s="67"/>
      <c r="I3562" s="68"/>
      <c r="J3562" s="138">
        <v>0</v>
      </c>
    </row>
    <row r="3563" spans="1:10" ht="15.75" hidden="1" thickBot="1" x14ac:dyDescent="0.3">
      <c r="A3563" s="221"/>
      <c r="B3563" s="223"/>
      <c r="C3563" s="30" t="s">
        <v>1831</v>
      </c>
      <c r="D3563" s="30" t="s">
        <v>42</v>
      </c>
      <c r="E3563" s="31">
        <v>4.5</v>
      </c>
      <c r="F3563" s="48">
        <v>1.6054999999999999</v>
      </c>
      <c r="G3563" s="48">
        <f t="shared" si="60"/>
        <v>7.2247499999999993</v>
      </c>
      <c r="H3563" s="67"/>
      <c r="I3563" s="68"/>
      <c r="J3563" s="138">
        <v>0</v>
      </c>
    </row>
    <row r="3564" spans="1:10" ht="15.75" hidden="1" thickBot="1" x14ac:dyDescent="0.3">
      <c r="A3564" s="221"/>
      <c r="B3564" s="223"/>
      <c r="C3564" s="30" t="s">
        <v>1830</v>
      </c>
      <c r="D3564" s="30" t="s">
        <v>42</v>
      </c>
      <c r="E3564" s="31">
        <v>0.3</v>
      </c>
      <c r="F3564" s="48">
        <v>3.0590000000000002</v>
      </c>
      <c r="G3564" s="48">
        <f t="shared" si="60"/>
        <v>0.91769999999999996</v>
      </c>
      <c r="H3564" s="67"/>
      <c r="I3564" s="68"/>
      <c r="J3564" s="138">
        <v>0</v>
      </c>
    </row>
    <row r="3565" spans="1:10" ht="26.25" hidden="1" thickBot="1" x14ac:dyDescent="0.3">
      <c r="A3565" s="221"/>
      <c r="B3565" s="223"/>
      <c r="C3565" s="30" t="s">
        <v>1033</v>
      </c>
      <c r="D3565" s="30" t="s">
        <v>279</v>
      </c>
      <c r="E3565" s="31">
        <f>2/(0.4*0.8)</f>
        <v>6.2499999999999991</v>
      </c>
      <c r="F3565" s="48">
        <v>2.0994999999999999</v>
      </c>
      <c r="G3565" s="48">
        <f t="shared" si="60"/>
        <v>13.121874999999998</v>
      </c>
      <c r="H3565" s="67"/>
      <c r="I3565" s="68"/>
      <c r="J3565" s="138">
        <v>0</v>
      </c>
    </row>
    <row r="3566" spans="1:10" ht="15.75" hidden="1" thickBot="1" x14ac:dyDescent="0.3">
      <c r="A3566" s="221"/>
      <c r="B3566" s="223"/>
      <c r="C3566" s="30" t="s">
        <v>1023</v>
      </c>
      <c r="D3566" s="30" t="s">
        <v>144</v>
      </c>
      <c r="E3566" s="31">
        <f>(2/(0.4*0.8))*(0.016)*1.5</f>
        <v>0.15</v>
      </c>
      <c r="F3566" s="48">
        <v>0</v>
      </c>
      <c r="G3566" s="48">
        <f t="shared" si="60"/>
        <v>0</v>
      </c>
      <c r="H3566" s="67"/>
      <c r="I3566" s="68"/>
      <c r="J3566" s="138">
        <v>0</v>
      </c>
    </row>
    <row r="3567" spans="1:10" ht="15.75" hidden="1" thickBot="1" x14ac:dyDescent="0.3">
      <c r="A3567" s="221"/>
      <c r="B3567" s="223"/>
      <c r="C3567" s="30" t="s">
        <v>1024</v>
      </c>
      <c r="D3567" s="30" t="s">
        <v>1025</v>
      </c>
      <c r="E3567" s="31">
        <f>(2/(0.4*0.8))*0.1*1.5</f>
        <v>0.9375</v>
      </c>
      <c r="F3567" s="48">
        <v>0</v>
      </c>
      <c r="G3567" s="48">
        <f t="shared" si="60"/>
        <v>0</v>
      </c>
      <c r="H3567" s="67"/>
      <c r="I3567" s="68"/>
      <c r="J3567" s="138">
        <v>0</v>
      </c>
    </row>
    <row r="3568" spans="1:10" ht="15.75" hidden="1" thickBot="1" x14ac:dyDescent="0.3">
      <c r="A3568" s="221"/>
      <c r="B3568" s="223"/>
      <c r="C3568" s="30" t="s">
        <v>1034</v>
      </c>
      <c r="D3568" s="30" t="s">
        <v>144</v>
      </c>
      <c r="E3568" s="31">
        <f>2/(0.4*0.8)</f>
        <v>6.2499999999999991</v>
      </c>
      <c r="F3568" s="48" t="s">
        <v>521</v>
      </c>
      <c r="G3568" s="48" t="str">
        <f t="shared" si="60"/>
        <v/>
      </c>
      <c r="H3568" s="67"/>
      <c r="I3568" s="68"/>
      <c r="J3568" s="138">
        <v>0</v>
      </c>
    </row>
    <row r="3569" spans="1:10" ht="39" hidden="1" thickBot="1" x14ac:dyDescent="0.3">
      <c r="A3569" s="221"/>
      <c r="B3569" s="223"/>
      <c r="C3569" s="30" t="s">
        <v>1026</v>
      </c>
      <c r="D3569" s="30" t="s">
        <v>109</v>
      </c>
      <c r="E3569" s="31">
        <v>1E-4</v>
      </c>
      <c r="F3569" s="48">
        <v>703.60033828648</v>
      </c>
      <c r="G3569" s="48">
        <f t="shared" si="60"/>
        <v>7.0360033828648E-2</v>
      </c>
      <c r="H3569" s="67"/>
      <c r="I3569" s="68"/>
      <c r="J3569" s="138">
        <v>0</v>
      </c>
    </row>
    <row r="3570" spans="1:10" ht="15.75" hidden="1" thickBot="1" x14ac:dyDescent="0.3">
      <c r="A3570" s="221"/>
      <c r="B3570" s="223"/>
      <c r="C3570" s="30"/>
      <c r="D3570" s="30"/>
      <c r="E3570" s="31"/>
      <c r="F3570" s="48" t="s">
        <v>521</v>
      </c>
      <c r="G3570" s="48" t="str">
        <f t="shared" si="60"/>
        <v/>
      </c>
      <c r="H3570" s="67"/>
      <c r="I3570" s="68"/>
      <c r="J3570" s="138">
        <v>0</v>
      </c>
    </row>
    <row r="3571" spans="1:10" ht="15.75" hidden="1" thickBot="1" x14ac:dyDescent="0.3">
      <c r="A3571" s="221"/>
      <c r="B3571" s="223"/>
      <c r="C3571" s="135" t="s">
        <v>1035</v>
      </c>
      <c r="D3571" s="30"/>
      <c r="E3571" s="31"/>
      <c r="F3571" s="48" t="s">
        <v>521</v>
      </c>
      <c r="G3571" s="48" t="str">
        <f t="shared" si="60"/>
        <v/>
      </c>
      <c r="H3571" s="67"/>
      <c r="I3571" s="68"/>
      <c r="J3571" s="138">
        <v>0</v>
      </c>
    </row>
    <row r="3572" spans="1:10" ht="26.25" hidden="1" thickBot="1" x14ac:dyDescent="0.3">
      <c r="A3572" s="221"/>
      <c r="B3572" s="223"/>
      <c r="C3572" s="135" t="s">
        <v>1036</v>
      </c>
      <c r="D3572" s="30"/>
      <c r="E3572" s="31"/>
      <c r="F3572" s="48" t="s">
        <v>521</v>
      </c>
      <c r="G3572" s="48" t="str">
        <f t="shared" si="60"/>
        <v/>
      </c>
      <c r="H3572" s="67"/>
      <c r="I3572" s="68"/>
      <c r="J3572" s="138">
        <v>0</v>
      </c>
    </row>
    <row r="3573" spans="1:10" ht="15.75" hidden="1" thickBot="1" x14ac:dyDescent="0.3">
      <c r="A3573" s="227"/>
      <c r="B3573" s="224"/>
      <c r="C3573" s="30"/>
      <c r="D3573" s="30"/>
      <c r="E3573" s="31"/>
      <c r="F3573" s="48" t="s">
        <v>521</v>
      </c>
      <c r="G3573" s="48" t="str">
        <f t="shared" ref="G3573:G3636" si="61">IF(ISNUMBER(F3573),E3573*F3573,"")</f>
        <v/>
      </c>
      <c r="H3573" s="67"/>
      <c r="I3573" s="68"/>
      <c r="J3573" s="138">
        <v>0</v>
      </c>
    </row>
    <row r="3574" spans="1:10" ht="15.75" hidden="1" thickBot="1" x14ac:dyDescent="0.3">
      <c r="A3574" s="220" t="s">
        <v>1044</v>
      </c>
      <c r="B3574" s="222" t="e">
        <f>INDEX(Orçamentária!A:B,MATCH(Composições!A3574,Orçamentária!A:A,0),2)</f>
        <v>#N/A</v>
      </c>
      <c r="C3574" s="35"/>
      <c r="D3574" s="20" t="s">
        <v>95</v>
      </c>
      <c r="E3574" s="21"/>
      <c r="F3574" s="43" t="s">
        <v>521</v>
      </c>
      <c r="G3574" s="22" t="str">
        <f t="shared" si="61"/>
        <v/>
      </c>
      <c r="H3574" s="23"/>
      <c r="I3574" s="24"/>
      <c r="J3574" s="138">
        <v>0</v>
      </c>
    </row>
    <row r="3575" spans="1:10" ht="15.75" hidden="1" thickBot="1" x14ac:dyDescent="0.3">
      <c r="A3575" s="225"/>
      <c r="B3575" s="223"/>
      <c r="C3575" s="26"/>
      <c r="D3575" s="26"/>
      <c r="E3575" s="27"/>
      <c r="F3575" s="48" t="s">
        <v>521</v>
      </c>
      <c r="G3575" s="48" t="str">
        <f t="shared" si="61"/>
        <v/>
      </c>
      <c r="H3575" s="67"/>
      <c r="I3575" s="68"/>
      <c r="J3575" s="138">
        <v>0</v>
      </c>
    </row>
    <row r="3576" spans="1:10" ht="15.75" hidden="1" thickBot="1" x14ac:dyDescent="0.3">
      <c r="A3576" s="225"/>
      <c r="B3576" s="223"/>
      <c r="C3576" s="30" t="s">
        <v>100</v>
      </c>
      <c r="D3576" s="30" t="s">
        <v>12</v>
      </c>
      <c r="E3576" s="31">
        <v>0.4</v>
      </c>
      <c r="F3576" s="48">
        <v>25.887499999999999</v>
      </c>
      <c r="G3576" s="48">
        <f t="shared" si="61"/>
        <v>10.355</v>
      </c>
      <c r="H3576" s="33">
        <f>SUM(G3576:G3578)</f>
        <v>12.425050000000001</v>
      </c>
      <c r="I3576" s="34"/>
      <c r="J3576" s="138">
        <v>0</v>
      </c>
    </row>
    <row r="3577" spans="1:10" ht="15.75" hidden="1" thickBot="1" x14ac:dyDescent="0.3">
      <c r="A3577" s="225"/>
      <c r="B3577" s="223"/>
      <c r="C3577" s="30" t="s">
        <v>1045</v>
      </c>
      <c r="D3577" s="30" t="s">
        <v>702</v>
      </c>
      <c r="E3577" s="31">
        <v>0.1</v>
      </c>
      <c r="F3577" s="48">
        <v>20.700499999999998</v>
      </c>
      <c r="G3577" s="48">
        <f t="shared" si="61"/>
        <v>2.0700499999999997</v>
      </c>
      <c r="H3577" s="67"/>
      <c r="I3577" s="68"/>
      <c r="J3577" s="138">
        <v>0</v>
      </c>
    </row>
    <row r="3578" spans="1:10" ht="15.75" hidden="1" thickBot="1" x14ac:dyDescent="0.3">
      <c r="A3578" s="225"/>
      <c r="B3578" s="223"/>
      <c r="C3578" s="30" t="s">
        <v>1046</v>
      </c>
      <c r="D3578" s="44" t="s">
        <v>102</v>
      </c>
      <c r="E3578" s="31">
        <v>0.33</v>
      </c>
      <c r="F3578" s="48">
        <v>0</v>
      </c>
      <c r="G3578" s="48">
        <f t="shared" si="61"/>
        <v>0</v>
      </c>
      <c r="H3578" s="67"/>
      <c r="I3578" s="68"/>
      <c r="J3578" s="138">
        <v>0</v>
      </c>
    </row>
    <row r="3579" spans="1:10" ht="15.75" hidden="1" thickBot="1" x14ac:dyDescent="0.3">
      <c r="A3579" s="226"/>
      <c r="B3579" s="224"/>
      <c r="C3579" s="30"/>
      <c r="D3579" s="30"/>
      <c r="E3579" s="31"/>
      <c r="F3579" s="48" t="s">
        <v>521</v>
      </c>
      <c r="G3579" s="48" t="str">
        <f t="shared" si="61"/>
        <v/>
      </c>
      <c r="H3579" s="67"/>
      <c r="I3579" s="68"/>
      <c r="J3579" s="138">
        <v>0</v>
      </c>
    </row>
    <row r="3580" spans="1:10" ht="15.75" hidden="1" thickBot="1" x14ac:dyDescent="0.3">
      <c r="A3580" s="220" t="s">
        <v>1047</v>
      </c>
      <c r="B3580" s="222" t="e">
        <f>INDEX(Orçamentária!A:B,MATCH(Composições!A3580,Orçamentária!A:A,0),2)</f>
        <v>#N/A</v>
      </c>
      <c r="C3580" s="35"/>
      <c r="D3580" s="20" t="s">
        <v>93</v>
      </c>
      <c r="E3580" s="21"/>
      <c r="F3580" s="43" t="s">
        <v>521</v>
      </c>
      <c r="G3580" s="22" t="str">
        <f t="shared" si="61"/>
        <v/>
      </c>
      <c r="H3580" s="23"/>
      <c r="I3580" s="24"/>
      <c r="J3580" s="138">
        <v>0</v>
      </c>
    </row>
    <row r="3581" spans="1:10" ht="15.75" hidden="1" thickBot="1" x14ac:dyDescent="0.3">
      <c r="A3581" s="225"/>
      <c r="B3581" s="223"/>
      <c r="C3581" s="26"/>
      <c r="D3581" s="26"/>
      <c r="E3581" s="27"/>
      <c r="F3581" s="48" t="s">
        <v>521</v>
      </c>
      <c r="G3581" s="48" t="str">
        <f t="shared" si="61"/>
        <v/>
      </c>
      <c r="H3581" s="67"/>
      <c r="I3581" s="68"/>
      <c r="J3581" s="138">
        <v>0</v>
      </c>
    </row>
    <row r="3582" spans="1:10" ht="15.75" hidden="1" thickBot="1" x14ac:dyDescent="0.3">
      <c r="A3582" s="225"/>
      <c r="B3582" s="223"/>
      <c r="C3582" s="30" t="s">
        <v>54</v>
      </c>
      <c r="D3582" s="30" t="s">
        <v>12</v>
      </c>
      <c r="E3582" s="31">
        <v>0.6</v>
      </c>
      <c r="F3582" s="48">
        <v>24.795000000000002</v>
      </c>
      <c r="G3582" s="48">
        <f t="shared" si="61"/>
        <v>14.877000000000001</v>
      </c>
      <c r="H3582" s="33">
        <f>SUM(G3582:G3584)</f>
        <v>22.245200000000001</v>
      </c>
      <c r="I3582" s="34"/>
      <c r="J3582" s="138">
        <v>0</v>
      </c>
    </row>
    <row r="3583" spans="1:10" ht="15.75" hidden="1" thickBot="1" x14ac:dyDescent="0.3">
      <c r="A3583" s="225"/>
      <c r="B3583" s="223"/>
      <c r="C3583" s="30" t="s">
        <v>23</v>
      </c>
      <c r="D3583" s="30" t="s">
        <v>12</v>
      </c>
      <c r="E3583" s="31">
        <v>0.4</v>
      </c>
      <c r="F3583" s="48">
        <v>18.420500000000001</v>
      </c>
      <c r="G3583" s="48">
        <f t="shared" si="61"/>
        <v>7.3682000000000007</v>
      </c>
      <c r="H3583" s="67"/>
      <c r="I3583" s="68"/>
      <c r="J3583" s="138">
        <v>0</v>
      </c>
    </row>
    <row r="3584" spans="1:10" ht="26.25" hidden="1" thickBot="1" x14ac:dyDescent="0.3">
      <c r="A3584" s="225"/>
      <c r="B3584" s="223"/>
      <c r="C3584" s="30" t="s">
        <v>1048</v>
      </c>
      <c r="D3584" s="41" t="s">
        <v>93</v>
      </c>
      <c r="E3584" s="31">
        <v>1</v>
      </c>
      <c r="F3584" s="48" t="s">
        <v>521</v>
      </c>
      <c r="G3584" s="48" t="str">
        <f t="shared" si="61"/>
        <v/>
      </c>
      <c r="H3584" s="67"/>
      <c r="I3584" s="68"/>
      <c r="J3584" s="138">
        <v>0</v>
      </c>
    </row>
    <row r="3585" spans="1:10" ht="15.75" hidden="1" thickBot="1" x14ac:dyDescent="0.3">
      <c r="A3585" s="226"/>
      <c r="B3585" s="224"/>
      <c r="C3585" s="30"/>
      <c r="D3585" s="30"/>
      <c r="E3585" s="31"/>
      <c r="F3585" s="48" t="s">
        <v>521</v>
      </c>
      <c r="G3585" s="48" t="str">
        <f t="shared" si="61"/>
        <v/>
      </c>
      <c r="H3585" s="67"/>
      <c r="I3585" s="68"/>
      <c r="J3585" s="138">
        <v>0</v>
      </c>
    </row>
    <row r="3586" spans="1:10" ht="15.75" hidden="1" thickBot="1" x14ac:dyDescent="0.3">
      <c r="A3586" s="220" t="s">
        <v>1049</v>
      </c>
      <c r="B3586" s="222" t="e">
        <f>INDEX(Orçamentária!A:B,MATCH(Composições!A3586,Orçamentária!A:A,0),2)</f>
        <v>#N/A</v>
      </c>
      <c r="C3586" s="35"/>
      <c r="D3586" s="20" t="s">
        <v>95</v>
      </c>
      <c r="E3586" s="21"/>
      <c r="F3586" s="43" t="s">
        <v>521</v>
      </c>
      <c r="G3586" s="22" t="str">
        <f t="shared" si="61"/>
        <v/>
      </c>
      <c r="H3586" s="23"/>
      <c r="I3586" s="24"/>
      <c r="J3586" s="138">
        <v>0</v>
      </c>
    </row>
    <row r="3587" spans="1:10" ht="15.75" hidden="1" thickBot="1" x14ac:dyDescent="0.3">
      <c r="A3587" s="225"/>
      <c r="B3587" s="223"/>
      <c r="C3587" s="26"/>
      <c r="D3587" s="26"/>
      <c r="E3587" s="27"/>
      <c r="F3587" s="48" t="s">
        <v>521</v>
      </c>
      <c r="G3587" s="48" t="str">
        <f t="shared" si="61"/>
        <v/>
      </c>
      <c r="H3587" s="67"/>
      <c r="I3587" s="68"/>
      <c r="J3587" s="138">
        <v>0</v>
      </c>
    </row>
    <row r="3588" spans="1:10" ht="15.75" hidden="1" thickBot="1" x14ac:dyDescent="0.3">
      <c r="A3588" s="225"/>
      <c r="B3588" s="223"/>
      <c r="C3588" s="30" t="s">
        <v>1050</v>
      </c>
      <c r="D3588" s="30" t="s">
        <v>95</v>
      </c>
      <c r="E3588" s="31">
        <v>1.05</v>
      </c>
      <c r="F3588" s="48" t="s">
        <v>521</v>
      </c>
      <c r="G3588" s="48" t="str">
        <f t="shared" si="61"/>
        <v/>
      </c>
      <c r="H3588" s="33">
        <f>SUM(G3588:G3592)</f>
        <v>119.26837699999999</v>
      </c>
      <c r="I3588" s="34"/>
      <c r="J3588" s="138">
        <v>0</v>
      </c>
    </row>
    <row r="3589" spans="1:10" ht="15.75" hidden="1" thickBot="1" x14ac:dyDescent="0.3">
      <c r="A3589" s="225"/>
      <c r="B3589" s="223"/>
      <c r="C3589" s="30" t="s">
        <v>1831</v>
      </c>
      <c r="D3589" s="30" t="s">
        <v>42</v>
      </c>
      <c r="E3589" s="31">
        <f>0.8614/0.1</f>
        <v>8.6140000000000008</v>
      </c>
      <c r="F3589" s="48">
        <v>1.6054999999999999</v>
      </c>
      <c r="G3589" s="48">
        <f t="shared" si="61"/>
        <v>13.829777</v>
      </c>
      <c r="H3589" s="67"/>
      <c r="I3589" s="68"/>
      <c r="J3589" s="138">
        <v>0</v>
      </c>
    </row>
    <row r="3590" spans="1:10" ht="15.75" hidden="1" thickBot="1" x14ac:dyDescent="0.3">
      <c r="A3590" s="225"/>
      <c r="B3590" s="223"/>
      <c r="C3590" s="30" t="s">
        <v>54</v>
      </c>
      <c r="D3590" s="30" t="s">
        <v>12</v>
      </c>
      <c r="E3590" s="31">
        <f>0.299/0.1</f>
        <v>2.9899999999999998</v>
      </c>
      <c r="F3590" s="48">
        <v>24.795000000000002</v>
      </c>
      <c r="G3590" s="48">
        <f t="shared" si="61"/>
        <v>74.137050000000002</v>
      </c>
      <c r="H3590" s="67"/>
      <c r="I3590" s="68"/>
      <c r="J3590" s="138">
        <v>0</v>
      </c>
    </row>
    <row r="3591" spans="1:10" ht="15.75" hidden="1" thickBot="1" x14ac:dyDescent="0.3">
      <c r="A3591" s="225"/>
      <c r="B3591" s="223"/>
      <c r="C3591" s="30" t="s">
        <v>23</v>
      </c>
      <c r="D3591" s="30" t="s">
        <v>12</v>
      </c>
      <c r="E3591" s="31">
        <f>0.15/0.1</f>
        <v>1.4999999999999998</v>
      </c>
      <c r="F3591" s="48">
        <v>18.420500000000001</v>
      </c>
      <c r="G3591" s="48">
        <f t="shared" si="61"/>
        <v>27.630749999999995</v>
      </c>
      <c r="H3591" s="67"/>
      <c r="I3591" s="68"/>
      <c r="J3591" s="138">
        <v>0</v>
      </c>
    </row>
    <row r="3592" spans="1:10" ht="15.75" hidden="1" thickBot="1" x14ac:dyDescent="0.3">
      <c r="A3592" s="225"/>
      <c r="B3592" s="223"/>
      <c r="C3592" s="30" t="s">
        <v>1830</v>
      </c>
      <c r="D3592" s="30" t="s">
        <v>42</v>
      </c>
      <c r="E3592" s="31">
        <f>0.12/0.1</f>
        <v>1.2</v>
      </c>
      <c r="F3592" s="48">
        <v>3.0590000000000002</v>
      </c>
      <c r="G3592" s="48">
        <f t="shared" si="61"/>
        <v>3.6707999999999998</v>
      </c>
      <c r="H3592" s="67"/>
      <c r="I3592" s="68"/>
      <c r="J3592" s="138">
        <v>0</v>
      </c>
    </row>
    <row r="3593" spans="1:10" ht="15.75" hidden="1" thickBot="1" x14ac:dyDescent="0.3">
      <c r="A3593" s="225"/>
      <c r="B3593" s="223"/>
      <c r="C3593" s="30"/>
      <c r="D3593" s="30"/>
      <c r="E3593" s="31"/>
      <c r="F3593" s="48" t="s">
        <v>521</v>
      </c>
      <c r="G3593" s="48" t="str">
        <f t="shared" si="61"/>
        <v/>
      </c>
      <c r="H3593" s="67"/>
      <c r="I3593" s="68"/>
      <c r="J3593" s="138">
        <v>0</v>
      </c>
    </row>
    <row r="3594" spans="1:10" ht="15.75" hidden="1" thickBot="1" x14ac:dyDescent="0.3">
      <c r="A3594" s="220" t="s">
        <v>1051</v>
      </c>
      <c r="B3594" s="222" t="e">
        <f>INDEX(Orçamentária!A:B,MATCH(Composições!A3594,Orçamentária!A:A,0),2)</f>
        <v>#N/A</v>
      </c>
      <c r="C3594" s="35"/>
      <c r="D3594" s="20" t="s">
        <v>20</v>
      </c>
      <c r="E3594" s="21"/>
      <c r="F3594" s="43" t="s">
        <v>521</v>
      </c>
      <c r="G3594" s="22" t="str">
        <f t="shared" si="61"/>
        <v/>
      </c>
      <c r="H3594" s="23"/>
      <c r="I3594" s="24"/>
      <c r="J3594" s="138">
        <v>0</v>
      </c>
    </row>
    <row r="3595" spans="1:10" ht="15.75" hidden="1" thickBot="1" x14ac:dyDescent="0.3">
      <c r="A3595" s="225"/>
      <c r="B3595" s="223"/>
      <c r="C3595" s="26"/>
      <c r="D3595" s="26"/>
      <c r="E3595" s="27"/>
      <c r="F3595" s="48" t="s">
        <v>521</v>
      </c>
      <c r="G3595" s="48" t="str">
        <f t="shared" si="61"/>
        <v/>
      </c>
      <c r="H3595" s="67"/>
      <c r="I3595" s="68"/>
      <c r="J3595" s="138">
        <v>0</v>
      </c>
    </row>
    <row r="3596" spans="1:10" ht="15.75" hidden="1" thickBot="1" x14ac:dyDescent="0.3">
      <c r="A3596" s="225"/>
      <c r="B3596" s="223"/>
      <c r="C3596" s="30" t="s">
        <v>23</v>
      </c>
      <c r="D3596" s="30" t="s">
        <v>12</v>
      </c>
      <c r="E3596" s="31">
        <v>0.05</v>
      </c>
      <c r="F3596" s="48">
        <v>18.420500000000001</v>
      </c>
      <c r="G3596" s="48">
        <f t="shared" si="61"/>
        <v>0.92102500000000009</v>
      </c>
      <c r="H3596" s="33">
        <f>SUM(G3596:G3599)</f>
        <v>1.0739750000000001</v>
      </c>
      <c r="I3596" s="34"/>
      <c r="J3596" s="138">
        <v>0</v>
      </c>
    </row>
    <row r="3597" spans="1:10" ht="15.75" hidden="1" thickBot="1" x14ac:dyDescent="0.3">
      <c r="A3597" s="225"/>
      <c r="B3597" s="223"/>
      <c r="C3597" s="30" t="s">
        <v>1052</v>
      </c>
      <c r="D3597" s="30" t="s">
        <v>1053</v>
      </c>
      <c r="E3597" s="31">
        <f>0.25/10</f>
        <v>2.5000000000000001E-2</v>
      </c>
      <c r="F3597" s="48">
        <v>0</v>
      </c>
      <c r="G3597" s="48">
        <f t="shared" si="61"/>
        <v>0</v>
      </c>
      <c r="H3597" s="67"/>
      <c r="I3597" s="68"/>
      <c r="J3597" s="138">
        <v>0</v>
      </c>
    </row>
    <row r="3598" spans="1:10" ht="15.75" hidden="1" thickBot="1" x14ac:dyDescent="0.3">
      <c r="A3598" s="225"/>
      <c r="B3598" s="223"/>
      <c r="C3598" s="30" t="s">
        <v>1054</v>
      </c>
      <c r="D3598" s="30" t="s">
        <v>20</v>
      </c>
      <c r="E3598" s="31">
        <v>0.25</v>
      </c>
      <c r="F3598" s="48" t="s">
        <v>521</v>
      </c>
      <c r="G3598" s="48" t="str">
        <f t="shared" si="61"/>
        <v/>
      </c>
      <c r="H3598" s="67"/>
      <c r="I3598" s="68"/>
      <c r="J3598" s="138">
        <v>0</v>
      </c>
    </row>
    <row r="3599" spans="1:10" ht="15.75" hidden="1" thickBot="1" x14ac:dyDescent="0.3">
      <c r="A3599" s="225"/>
      <c r="B3599" s="223"/>
      <c r="C3599" s="30" t="s">
        <v>1830</v>
      </c>
      <c r="D3599" s="41" t="s">
        <v>42</v>
      </c>
      <c r="E3599" s="31">
        <v>0.05</v>
      </c>
      <c r="F3599" s="48">
        <v>3.0590000000000002</v>
      </c>
      <c r="G3599" s="48">
        <f t="shared" si="61"/>
        <v>0.15295000000000003</v>
      </c>
      <c r="H3599" s="67"/>
      <c r="I3599" s="68"/>
      <c r="J3599" s="138">
        <v>0</v>
      </c>
    </row>
    <row r="3600" spans="1:10" ht="15.75" hidden="1" thickBot="1" x14ac:dyDescent="0.3">
      <c r="A3600" s="226"/>
      <c r="B3600" s="224"/>
      <c r="C3600" s="30"/>
      <c r="D3600" s="30"/>
      <c r="E3600" s="31"/>
      <c r="F3600" s="48" t="s">
        <v>521</v>
      </c>
      <c r="G3600" s="48" t="str">
        <f t="shared" si="61"/>
        <v/>
      </c>
      <c r="H3600" s="67"/>
      <c r="I3600" s="68"/>
      <c r="J3600" s="138">
        <v>0</v>
      </c>
    </row>
    <row r="3601" spans="1:10" ht="15.75" hidden="1" thickBot="1" x14ac:dyDescent="0.3">
      <c r="A3601" s="220" t="s">
        <v>1055</v>
      </c>
      <c r="B3601" s="222" t="e">
        <f>INDEX(Orçamentária!A:B,MATCH(Composições!A3601,Orçamentária!A:A,0),2)</f>
        <v>#N/A</v>
      </c>
      <c r="C3601" s="35"/>
      <c r="D3601" s="20" t="s">
        <v>95</v>
      </c>
      <c r="E3601" s="21"/>
      <c r="F3601" s="43" t="s">
        <v>521</v>
      </c>
      <c r="G3601" s="22" t="str">
        <f t="shared" si="61"/>
        <v/>
      </c>
      <c r="H3601" s="23"/>
      <c r="I3601" s="24"/>
      <c r="J3601" s="138">
        <v>0</v>
      </c>
    </row>
    <row r="3602" spans="1:10" ht="15.75" hidden="1" thickBot="1" x14ac:dyDescent="0.3">
      <c r="A3602" s="225"/>
      <c r="B3602" s="223"/>
      <c r="C3602" s="26"/>
      <c r="D3602" s="26"/>
      <c r="E3602" s="27"/>
      <c r="F3602" s="48" t="s">
        <v>521</v>
      </c>
      <c r="G3602" s="48" t="str">
        <f t="shared" si="61"/>
        <v/>
      </c>
      <c r="H3602" s="67"/>
      <c r="I3602" s="68"/>
      <c r="J3602" s="138">
        <v>0</v>
      </c>
    </row>
    <row r="3603" spans="1:10" ht="15.75" hidden="1" thickBot="1" x14ac:dyDescent="0.3">
      <c r="A3603" s="225"/>
      <c r="B3603" s="223"/>
      <c r="C3603" s="30" t="s">
        <v>23</v>
      </c>
      <c r="D3603" s="30" t="s">
        <v>12</v>
      </c>
      <c r="E3603" s="31">
        <v>0.25</v>
      </c>
      <c r="F3603" s="48">
        <v>18.420500000000001</v>
      </c>
      <c r="G3603" s="48">
        <f t="shared" si="61"/>
        <v>4.6051250000000001</v>
      </c>
      <c r="H3603" s="33">
        <f>SUM(G3603:G3604)</f>
        <v>6.2233359999999998</v>
      </c>
      <c r="I3603" s="34"/>
      <c r="J3603" s="138">
        <v>0</v>
      </c>
    </row>
    <row r="3604" spans="1:10" ht="15.75" hidden="1" thickBot="1" x14ac:dyDescent="0.3">
      <c r="A3604" s="225"/>
      <c r="B3604" s="223"/>
      <c r="C3604" s="30" t="s">
        <v>1830</v>
      </c>
      <c r="D3604" s="41" t="s">
        <v>42</v>
      </c>
      <c r="E3604" s="31">
        <v>0.52900000000000003</v>
      </c>
      <c r="F3604" s="48">
        <v>3.0590000000000002</v>
      </c>
      <c r="G3604" s="48">
        <f t="shared" si="61"/>
        <v>1.6182110000000001</v>
      </c>
      <c r="H3604" s="67"/>
      <c r="I3604" s="68"/>
      <c r="J3604" s="138">
        <v>0</v>
      </c>
    </row>
    <row r="3605" spans="1:10" ht="15.75" hidden="1" thickBot="1" x14ac:dyDescent="0.3">
      <c r="A3605" s="226"/>
      <c r="B3605" s="224"/>
      <c r="C3605" s="30"/>
      <c r="D3605" s="30"/>
      <c r="E3605" s="31"/>
      <c r="F3605" s="48" t="s">
        <v>521</v>
      </c>
      <c r="G3605" s="48" t="str">
        <f t="shared" si="61"/>
        <v/>
      </c>
      <c r="H3605" s="67"/>
      <c r="I3605" s="68"/>
      <c r="J3605" s="138">
        <v>0</v>
      </c>
    </row>
    <row r="3606" spans="1:10" ht="15.75" hidden="1" thickBot="1" x14ac:dyDescent="0.3">
      <c r="A3606" s="220" t="s">
        <v>1056</v>
      </c>
      <c r="B3606" s="222" t="e">
        <f>INDEX(Orçamentária!A:B,MATCH(Composições!A3606,Orçamentária!A:A,0),2)</f>
        <v>#N/A</v>
      </c>
      <c r="C3606" s="35"/>
      <c r="D3606" s="20" t="s">
        <v>93</v>
      </c>
      <c r="E3606" s="21"/>
      <c r="F3606" s="43" t="s">
        <v>521</v>
      </c>
      <c r="G3606" s="22" t="str">
        <f t="shared" si="61"/>
        <v/>
      </c>
      <c r="H3606" s="23"/>
      <c r="I3606" s="24"/>
      <c r="J3606" s="138">
        <v>0</v>
      </c>
    </row>
    <row r="3607" spans="1:10" ht="15.75" hidden="1" thickBot="1" x14ac:dyDescent="0.3">
      <c r="A3607" s="225"/>
      <c r="B3607" s="223"/>
      <c r="C3607" s="26"/>
      <c r="D3607" s="26"/>
      <c r="E3607" s="27"/>
      <c r="F3607" s="48" t="s">
        <v>521</v>
      </c>
      <c r="G3607" s="48" t="str">
        <f t="shared" si="61"/>
        <v/>
      </c>
      <c r="H3607" s="67"/>
      <c r="I3607" s="68"/>
      <c r="J3607" s="138">
        <v>0</v>
      </c>
    </row>
    <row r="3608" spans="1:10" ht="15.75" hidden="1" thickBot="1" x14ac:dyDescent="0.3">
      <c r="A3608" s="225"/>
      <c r="B3608" s="223"/>
      <c r="C3608" s="30" t="s">
        <v>22</v>
      </c>
      <c r="D3608" s="30" t="s">
        <v>12</v>
      </c>
      <c r="E3608" s="31">
        <v>0.33</v>
      </c>
      <c r="F3608" s="48">
        <v>24.889999999999997</v>
      </c>
      <c r="G3608" s="48">
        <f t="shared" si="61"/>
        <v>8.2136999999999993</v>
      </c>
      <c r="H3608" s="33">
        <f>SUM(G3608:G3612)</f>
        <v>27.207343549999997</v>
      </c>
      <c r="I3608" s="34"/>
      <c r="J3608" s="138">
        <v>0</v>
      </c>
    </row>
    <row r="3609" spans="1:10" ht="15.75" hidden="1" thickBot="1" x14ac:dyDescent="0.3">
      <c r="A3609" s="225"/>
      <c r="B3609" s="223"/>
      <c r="C3609" s="30" t="s">
        <v>23</v>
      </c>
      <c r="D3609" s="30" t="s">
        <v>12</v>
      </c>
      <c r="E3609" s="31">
        <v>0.1</v>
      </c>
      <c r="F3609" s="48">
        <v>18.420500000000001</v>
      </c>
      <c r="G3609" s="48">
        <f t="shared" si="61"/>
        <v>1.8420500000000002</v>
      </c>
      <c r="H3609" s="67"/>
      <c r="I3609" s="68"/>
      <c r="J3609" s="138">
        <v>0</v>
      </c>
    </row>
    <row r="3610" spans="1:10" ht="15.75" hidden="1" thickBot="1" x14ac:dyDescent="0.3">
      <c r="A3610" s="225"/>
      <c r="B3610" s="223"/>
      <c r="C3610" s="30" t="s">
        <v>1057</v>
      </c>
      <c r="D3610" s="44" t="s">
        <v>102</v>
      </c>
      <c r="E3610" s="31">
        <v>0.15</v>
      </c>
      <c r="F3610" s="48">
        <v>0</v>
      </c>
      <c r="G3610" s="48">
        <f t="shared" si="61"/>
        <v>0</v>
      </c>
      <c r="H3610" s="67"/>
      <c r="I3610" s="68"/>
      <c r="J3610" s="138">
        <v>0</v>
      </c>
    </row>
    <row r="3611" spans="1:10" ht="15.75" hidden="1" thickBot="1" x14ac:dyDescent="0.3">
      <c r="A3611" s="225"/>
      <c r="B3611" s="223"/>
      <c r="C3611" s="30" t="s">
        <v>1058</v>
      </c>
      <c r="D3611" s="41" t="s">
        <v>93</v>
      </c>
      <c r="E3611" s="31">
        <v>1</v>
      </c>
      <c r="F3611" s="48">
        <v>0</v>
      </c>
      <c r="G3611" s="48">
        <f t="shared" si="61"/>
        <v>0</v>
      </c>
      <c r="H3611" s="67"/>
      <c r="I3611" s="68"/>
      <c r="J3611" s="138">
        <v>0</v>
      </c>
    </row>
    <row r="3612" spans="1:10" ht="26.25" hidden="1" thickBot="1" x14ac:dyDescent="0.3">
      <c r="A3612" s="225"/>
      <c r="B3612" s="223"/>
      <c r="C3612" s="30" t="s">
        <v>1059</v>
      </c>
      <c r="D3612" s="41" t="s">
        <v>1060</v>
      </c>
      <c r="E3612" s="31">
        <f>ROUND(0.15/0.31,4)</f>
        <v>0.4839</v>
      </c>
      <c r="F3612" s="48">
        <v>35.444499999999998</v>
      </c>
      <c r="G3612" s="48">
        <f t="shared" si="61"/>
        <v>17.151593549999998</v>
      </c>
      <c r="H3612" s="67"/>
      <c r="I3612" s="68"/>
      <c r="J3612" s="138">
        <v>0</v>
      </c>
    </row>
    <row r="3613" spans="1:10" ht="15.75" hidden="1" thickBot="1" x14ac:dyDescent="0.3">
      <c r="A3613" s="226"/>
      <c r="B3613" s="224"/>
      <c r="C3613" s="30"/>
      <c r="D3613" s="30"/>
      <c r="E3613" s="31"/>
      <c r="F3613" s="48" t="s">
        <v>521</v>
      </c>
      <c r="G3613" s="48" t="str">
        <f t="shared" si="61"/>
        <v/>
      </c>
      <c r="H3613" s="67"/>
      <c r="I3613" s="68"/>
      <c r="J3613" s="138">
        <v>0</v>
      </c>
    </row>
    <row r="3614" spans="1:10" ht="15.75" hidden="1" thickBot="1" x14ac:dyDescent="0.3">
      <c r="A3614" s="220" t="s">
        <v>1061</v>
      </c>
      <c r="B3614" s="222" t="e">
        <f>INDEX(Orçamentária!A:B,MATCH(Composições!A3614,Orçamentária!A:A,0),2)</f>
        <v>#N/A</v>
      </c>
      <c r="C3614" s="35"/>
      <c r="D3614" s="20" t="s">
        <v>93</v>
      </c>
      <c r="E3614" s="21"/>
      <c r="F3614" s="43" t="s">
        <v>521</v>
      </c>
      <c r="G3614" s="22" t="str">
        <f t="shared" si="61"/>
        <v/>
      </c>
      <c r="H3614" s="23"/>
      <c r="I3614" s="24"/>
      <c r="J3614" s="138">
        <v>0</v>
      </c>
    </row>
    <row r="3615" spans="1:10" ht="15.75" hidden="1" thickBot="1" x14ac:dyDescent="0.3">
      <c r="A3615" s="225"/>
      <c r="B3615" s="223"/>
      <c r="C3615" s="26"/>
      <c r="D3615" s="26"/>
      <c r="E3615" s="27"/>
      <c r="F3615" s="48" t="s">
        <v>521</v>
      </c>
      <c r="G3615" s="48" t="str">
        <f t="shared" si="61"/>
        <v/>
      </c>
      <c r="H3615" s="67"/>
      <c r="I3615" s="68"/>
      <c r="J3615" s="138">
        <v>0</v>
      </c>
    </row>
    <row r="3616" spans="1:10" ht="15.75" hidden="1" thickBot="1" x14ac:dyDescent="0.3">
      <c r="A3616" s="225"/>
      <c r="B3616" s="223"/>
      <c r="C3616" s="30" t="s">
        <v>22</v>
      </c>
      <c r="D3616" s="30" t="s">
        <v>12</v>
      </c>
      <c r="E3616" s="31">
        <v>0.16500000000000001</v>
      </c>
      <c r="F3616" s="48">
        <v>24.889999999999997</v>
      </c>
      <c r="G3616" s="48">
        <f t="shared" si="61"/>
        <v>4.1068499999999997</v>
      </c>
      <c r="H3616" s="33">
        <f>SUM(G3616:G3618)</f>
        <v>17.759007400000002</v>
      </c>
      <c r="I3616" s="34"/>
      <c r="J3616" s="138">
        <v>0</v>
      </c>
    </row>
    <row r="3617" spans="1:10" ht="15.75" hidden="1" thickBot="1" x14ac:dyDescent="0.3">
      <c r="A3617" s="225"/>
      <c r="B3617" s="223"/>
      <c r="C3617" s="30" t="s">
        <v>23</v>
      </c>
      <c r="D3617" s="30" t="s">
        <v>12</v>
      </c>
      <c r="E3617" s="31">
        <v>0.1</v>
      </c>
      <c r="F3617" s="48">
        <v>18.420500000000001</v>
      </c>
      <c r="G3617" s="48">
        <f t="shared" si="61"/>
        <v>1.8420500000000002</v>
      </c>
      <c r="H3617" s="67"/>
      <c r="I3617" s="68"/>
      <c r="J3617" s="138">
        <v>0</v>
      </c>
    </row>
    <row r="3618" spans="1:10" ht="26.25" hidden="1" thickBot="1" x14ac:dyDescent="0.3">
      <c r="A3618" s="225"/>
      <c r="B3618" s="223"/>
      <c r="C3618" s="30" t="s">
        <v>1059</v>
      </c>
      <c r="D3618" s="41" t="s">
        <v>1060</v>
      </c>
      <c r="E3618" s="31">
        <f>ROUND(0.1033/0.31,4)</f>
        <v>0.3332</v>
      </c>
      <c r="F3618" s="48">
        <v>35.444499999999998</v>
      </c>
      <c r="G3618" s="48">
        <f t="shared" si="61"/>
        <v>11.8101074</v>
      </c>
      <c r="H3618" s="67"/>
      <c r="I3618" s="68"/>
      <c r="J3618" s="138">
        <v>0</v>
      </c>
    </row>
    <row r="3619" spans="1:10" ht="15.75" hidden="1" thickBot="1" x14ac:dyDescent="0.3">
      <c r="A3619" s="226"/>
      <c r="B3619" s="224"/>
      <c r="C3619" s="30"/>
      <c r="D3619" s="30"/>
      <c r="E3619" s="31"/>
      <c r="F3619" s="48" t="s">
        <v>521</v>
      </c>
      <c r="G3619" s="48" t="str">
        <f t="shared" si="61"/>
        <v/>
      </c>
      <c r="H3619" s="67"/>
      <c r="I3619" s="68"/>
      <c r="J3619" s="138">
        <v>0</v>
      </c>
    </row>
    <row r="3620" spans="1:10" ht="15.75" hidden="1" thickBot="1" x14ac:dyDescent="0.3">
      <c r="A3620" s="220" t="s">
        <v>1062</v>
      </c>
      <c r="B3620" s="222" t="e">
        <f>INDEX(Orçamentária!A:B,MATCH(Composições!A3620,Orçamentária!A:A,0),2)</f>
        <v>#N/A</v>
      </c>
      <c r="C3620" s="35"/>
      <c r="D3620" s="20" t="s">
        <v>20</v>
      </c>
      <c r="E3620" s="21"/>
      <c r="F3620" s="43" t="s">
        <v>521</v>
      </c>
      <c r="G3620" s="22" t="str">
        <f t="shared" si="61"/>
        <v/>
      </c>
      <c r="H3620" s="23"/>
      <c r="I3620" s="24"/>
      <c r="J3620" s="138">
        <v>0</v>
      </c>
    </row>
    <row r="3621" spans="1:10" ht="15.75" hidden="1" thickBot="1" x14ac:dyDescent="0.3">
      <c r="A3621" s="225"/>
      <c r="B3621" s="223"/>
      <c r="C3621" s="26"/>
      <c r="D3621" s="26"/>
      <c r="E3621" s="27"/>
      <c r="F3621" s="48" t="s">
        <v>521</v>
      </c>
      <c r="G3621" s="48" t="str">
        <f t="shared" si="61"/>
        <v/>
      </c>
      <c r="H3621" s="67"/>
      <c r="I3621" s="68"/>
      <c r="J3621" s="138">
        <v>0</v>
      </c>
    </row>
    <row r="3622" spans="1:10" ht="26.25" hidden="1" thickBot="1" x14ac:dyDescent="0.3">
      <c r="A3622" s="225"/>
      <c r="B3622" s="223"/>
      <c r="C3622" s="30" t="s">
        <v>1063</v>
      </c>
      <c r="D3622" s="30" t="s">
        <v>279</v>
      </c>
      <c r="E3622" s="31">
        <v>1</v>
      </c>
      <c r="F3622" s="48">
        <v>67.069999999999993</v>
      </c>
      <c r="G3622" s="48">
        <f t="shared" si="61"/>
        <v>67.069999999999993</v>
      </c>
      <c r="H3622" s="33">
        <f>SUM(G3622:G3625)</f>
        <v>80.604801049999992</v>
      </c>
      <c r="I3622" s="34"/>
      <c r="J3622" s="138">
        <v>0</v>
      </c>
    </row>
    <row r="3623" spans="1:10" ht="15.75" hidden="1" thickBot="1" x14ac:dyDescent="0.3">
      <c r="A3623" s="225"/>
      <c r="B3623" s="223"/>
      <c r="C3623" s="30" t="s">
        <v>1064</v>
      </c>
      <c r="D3623" s="30" t="s">
        <v>279</v>
      </c>
      <c r="E3623" s="31">
        <v>2.1000000000000001E-2</v>
      </c>
      <c r="F3623" s="48">
        <v>4.18</v>
      </c>
      <c r="G3623" s="48">
        <f t="shared" si="61"/>
        <v>8.7779999999999997E-2</v>
      </c>
      <c r="H3623" s="67"/>
      <c r="I3623" s="68"/>
      <c r="J3623" s="138">
        <v>0</v>
      </c>
    </row>
    <row r="3624" spans="1:10" ht="26.25" hidden="1" thickBot="1" x14ac:dyDescent="0.3">
      <c r="A3624" s="225"/>
      <c r="B3624" s="223"/>
      <c r="C3624" s="30" t="s">
        <v>950</v>
      </c>
      <c r="D3624" s="30" t="s">
        <v>702</v>
      </c>
      <c r="E3624" s="31">
        <v>0.44669999999999999</v>
      </c>
      <c r="F3624" s="48">
        <v>24.300999999999998</v>
      </c>
      <c r="G3624" s="48">
        <f t="shared" si="61"/>
        <v>10.855256699999998</v>
      </c>
      <c r="H3624" s="67"/>
      <c r="I3624" s="68"/>
      <c r="J3624" s="138">
        <v>0</v>
      </c>
    </row>
    <row r="3625" spans="1:10" ht="15.75" hidden="1" thickBot="1" x14ac:dyDescent="0.3">
      <c r="A3625" s="225"/>
      <c r="B3625" s="223"/>
      <c r="C3625" s="30" t="s">
        <v>703</v>
      </c>
      <c r="D3625" s="30" t="s">
        <v>702</v>
      </c>
      <c r="E3625" s="31">
        <v>0.14069999999999999</v>
      </c>
      <c r="F3625" s="48">
        <v>18.420500000000001</v>
      </c>
      <c r="G3625" s="48">
        <f t="shared" si="61"/>
        <v>2.5917643500000001</v>
      </c>
      <c r="H3625" s="67"/>
      <c r="I3625" s="68"/>
      <c r="J3625" s="138">
        <v>0</v>
      </c>
    </row>
    <row r="3626" spans="1:10" ht="15.75" hidden="1" thickBot="1" x14ac:dyDescent="0.3">
      <c r="A3626" s="226"/>
      <c r="B3626" s="224"/>
      <c r="C3626" s="30"/>
      <c r="D3626" s="30"/>
      <c r="E3626" s="31"/>
      <c r="F3626" s="48" t="s">
        <v>521</v>
      </c>
      <c r="G3626" s="48" t="str">
        <f t="shared" si="61"/>
        <v/>
      </c>
      <c r="H3626" s="67"/>
      <c r="I3626" s="68"/>
      <c r="J3626" s="138">
        <v>0</v>
      </c>
    </row>
    <row r="3627" spans="1:10" ht="15.75" thickBot="1" x14ac:dyDescent="0.3">
      <c r="A3627" s="220" t="s">
        <v>1065</v>
      </c>
      <c r="B3627" s="222" t="str">
        <f>INDEX(Orçamentária!A:B,MATCH(Composições!A3627,Orçamentária!A:A,0),2)</f>
        <v>Lastro em concreto magro</v>
      </c>
      <c r="C3627" s="35"/>
      <c r="D3627" s="20" t="s">
        <v>109</v>
      </c>
      <c r="E3627" s="21"/>
      <c r="F3627" s="43" t="s">
        <v>521</v>
      </c>
      <c r="G3627" s="22" t="str">
        <f t="shared" si="61"/>
        <v/>
      </c>
      <c r="H3627" s="23"/>
      <c r="I3627" s="24"/>
      <c r="J3627" s="138">
        <v>16.329999999999998</v>
      </c>
    </row>
    <row r="3628" spans="1:10" x14ac:dyDescent="0.25">
      <c r="A3628" s="225"/>
      <c r="B3628" s="223"/>
      <c r="C3628" s="26"/>
      <c r="D3628" s="26"/>
      <c r="E3628" s="27"/>
      <c r="F3628" s="48" t="s">
        <v>521</v>
      </c>
      <c r="G3628" s="48" t="str">
        <f t="shared" si="61"/>
        <v/>
      </c>
      <c r="H3628" s="67"/>
      <c r="I3628" s="68"/>
      <c r="J3628" s="138">
        <v>16.329999999999998</v>
      </c>
    </row>
    <row r="3629" spans="1:10" x14ac:dyDescent="0.25">
      <c r="A3629" s="225"/>
      <c r="B3629" s="223"/>
      <c r="C3629" s="30" t="s">
        <v>22</v>
      </c>
      <c r="D3629" s="30" t="s">
        <v>702</v>
      </c>
      <c r="E3629" s="31">
        <v>5.4370000000000003</v>
      </c>
      <c r="F3629" s="48">
        <v>24.889999999999997</v>
      </c>
      <c r="G3629" s="48">
        <f t="shared" si="61"/>
        <v>135.32693</v>
      </c>
      <c r="H3629" s="33">
        <f>SUM(G3629:G3631)</f>
        <v>768.04486683222262</v>
      </c>
      <c r="I3629" s="34"/>
      <c r="J3629" s="138">
        <v>16.329999999999998</v>
      </c>
    </row>
    <row r="3630" spans="1:10" x14ac:dyDescent="0.25">
      <c r="A3630" s="225"/>
      <c r="B3630" s="223"/>
      <c r="C3630" s="30" t="s">
        <v>23</v>
      </c>
      <c r="D3630" s="30" t="s">
        <v>702</v>
      </c>
      <c r="E3630" s="31">
        <v>1.4830000000000001</v>
      </c>
      <c r="F3630" s="48">
        <v>18.420500000000001</v>
      </c>
      <c r="G3630" s="48">
        <f t="shared" si="61"/>
        <v>27.317601500000002</v>
      </c>
      <c r="H3630" s="67"/>
      <c r="I3630" s="68"/>
      <c r="J3630" s="138">
        <v>16.329999999999998</v>
      </c>
    </row>
    <row r="3631" spans="1:10" ht="38.25" x14ac:dyDescent="0.25">
      <c r="A3631" s="225"/>
      <c r="B3631" s="223"/>
      <c r="C3631" s="30" t="s">
        <v>1066</v>
      </c>
      <c r="D3631" s="41" t="s">
        <v>120</v>
      </c>
      <c r="E3631" s="31">
        <v>1.1299999999999999</v>
      </c>
      <c r="F3631" s="48">
        <v>535.75250914355991</v>
      </c>
      <c r="G3631" s="48">
        <f t="shared" si="61"/>
        <v>605.40033533222265</v>
      </c>
      <c r="H3631" s="67"/>
      <c r="I3631" s="68"/>
      <c r="J3631" s="138">
        <v>16.329999999999998</v>
      </c>
    </row>
    <row r="3632" spans="1:10" ht="15.75" thickBot="1" x14ac:dyDescent="0.3">
      <c r="A3632" s="226"/>
      <c r="B3632" s="224"/>
      <c r="C3632" s="30"/>
      <c r="D3632" s="30"/>
      <c r="E3632" s="31"/>
      <c r="F3632" s="48" t="s">
        <v>521</v>
      </c>
      <c r="G3632" s="48" t="str">
        <f t="shared" si="61"/>
        <v/>
      </c>
      <c r="H3632" s="67"/>
      <c r="I3632" s="68"/>
      <c r="J3632" s="138">
        <v>16.329999999999998</v>
      </c>
    </row>
    <row r="3633" spans="1:10" ht="15.75" hidden="1" thickBot="1" x14ac:dyDescent="0.3">
      <c r="A3633" s="220" t="s">
        <v>1067</v>
      </c>
      <c r="B3633" s="222" t="e">
        <f>INDEX(Orçamentária!A:B,MATCH(Composições!A3633,Orçamentária!A:A,0),2)</f>
        <v>#N/A</v>
      </c>
      <c r="C3633" s="35"/>
      <c r="D3633" s="20" t="s">
        <v>95</v>
      </c>
      <c r="E3633" s="21"/>
      <c r="F3633" s="43" t="s">
        <v>521</v>
      </c>
      <c r="G3633" s="22" t="str">
        <f t="shared" si="61"/>
        <v/>
      </c>
      <c r="H3633" s="23"/>
      <c r="I3633" s="24"/>
      <c r="J3633" s="138">
        <v>0</v>
      </c>
    </row>
    <row r="3634" spans="1:10" ht="15.75" hidden="1" thickBot="1" x14ac:dyDescent="0.3">
      <c r="A3634" s="221"/>
      <c r="B3634" s="223"/>
      <c r="C3634" s="26"/>
      <c r="D3634" s="26"/>
      <c r="E3634" s="27"/>
      <c r="F3634" s="48" t="s">
        <v>521</v>
      </c>
      <c r="G3634" s="48" t="str">
        <f t="shared" si="61"/>
        <v/>
      </c>
      <c r="H3634" s="67"/>
      <c r="I3634" s="68"/>
      <c r="J3634" s="138">
        <v>0</v>
      </c>
    </row>
    <row r="3635" spans="1:10" ht="39" hidden="1" thickBot="1" x14ac:dyDescent="0.3">
      <c r="A3635" s="221"/>
      <c r="B3635" s="223"/>
      <c r="C3635" s="30" t="s">
        <v>1637</v>
      </c>
      <c r="D3635" s="30" t="s">
        <v>120</v>
      </c>
      <c r="E3635" s="31">
        <v>8.14E-2</v>
      </c>
      <c r="F3635" s="48">
        <v>425.125</v>
      </c>
      <c r="G3635" s="48">
        <f t="shared" si="61"/>
        <v>34.605175000000003</v>
      </c>
      <c r="H3635" s="33">
        <f>SUM(G3635:G3641)</f>
        <v>117.7717755</v>
      </c>
      <c r="I3635" s="34"/>
      <c r="J3635" s="138">
        <v>0</v>
      </c>
    </row>
    <row r="3636" spans="1:10" ht="26.25" hidden="1" thickBot="1" x14ac:dyDescent="0.3">
      <c r="A3636" s="221"/>
      <c r="B3636" s="223"/>
      <c r="C3636" s="30" t="s">
        <v>1690</v>
      </c>
      <c r="D3636" s="30" t="s">
        <v>897</v>
      </c>
      <c r="E3636" s="31">
        <v>4</v>
      </c>
      <c r="F3636" s="48">
        <v>9.0914999999999999</v>
      </c>
      <c r="G3636" s="48">
        <f t="shared" si="61"/>
        <v>36.366</v>
      </c>
      <c r="H3636" s="67"/>
      <c r="I3636" s="68"/>
      <c r="J3636" s="138">
        <v>0</v>
      </c>
    </row>
    <row r="3637" spans="1:10" ht="15.75" hidden="1" thickBot="1" x14ac:dyDescent="0.3">
      <c r="A3637" s="221"/>
      <c r="B3637" s="223"/>
      <c r="C3637" s="30" t="s">
        <v>710</v>
      </c>
      <c r="D3637" s="30" t="s">
        <v>702</v>
      </c>
      <c r="E3637" s="31">
        <v>0.1119</v>
      </c>
      <c r="F3637" s="48">
        <v>24.889999999999997</v>
      </c>
      <c r="G3637" s="48">
        <f t="shared" ref="G3637:G3700" si="62">IF(ISNUMBER(F3637),E3637*F3637,"")</f>
        <v>2.7851909999999998</v>
      </c>
      <c r="H3637" s="67"/>
      <c r="I3637" s="68"/>
      <c r="J3637" s="138">
        <v>0</v>
      </c>
    </row>
    <row r="3638" spans="1:10" ht="15.75" hidden="1" thickBot="1" x14ac:dyDescent="0.3">
      <c r="A3638" s="221"/>
      <c r="B3638" s="223"/>
      <c r="C3638" s="30" t="s">
        <v>703</v>
      </c>
      <c r="D3638" s="41" t="s">
        <v>702</v>
      </c>
      <c r="E3638" s="31">
        <v>4.6600000000000003E-2</v>
      </c>
      <c r="F3638" s="48">
        <v>18.420500000000001</v>
      </c>
      <c r="G3638" s="48">
        <f t="shared" si="62"/>
        <v>0.85839530000000008</v>
      </c>
      <c r="H3638" s="67"/>
      <c r="I3638" s="68"/>
      <c r="J3638" s="138">
        <v>0</v>
      </c>
    </row>
    <row r="3639" spans="1:10" ht="26.25" hidden="1" thickBot="1" x14ac:dyDescent="0.3">
      <c r="A3639" s="221"/>
      <c r="B3639" s="223"/>
      <c r="C3639" s="30" t="s">
        <v>1571</v>
      </c>
      <c r="D3639" s="41" t="s">
        <v>938</v>
      </c>
      <c r="E3639" s="31">
        <v>7.0000000000000001E-3</v>
      </c>
      <c r="F3639" s="48">
        <v>9.1769999999999996</v>
      </c>
      <c r="G3639" s="48">
        <f t="shared" si="62"/>
        <v>6.4239000000000004E-2</v>
      </c>
      <c r="H3639" s="67"/>
      <c r="I3639" s="68"/>
      <c r="J3639" s="138">
        <v>0</v>
      </c>
    </row>
    <row r="3640" spans="1:10" ht="39" hidden="1" thickBot="1" x14ac:dyDescent="0.3">
      <c r="A3640" s="221"/>
      <c r="B3640" s="223"/>
      <c r="C3640" s="30" t="s">
        <v>1068</v>
      </c>
      <c r="D3640" s="41" t="s">
        <v>988</v>
      </c>
      <c r="E3640" s="31">
        <v>1.1224000000000001</v>
      </c>
      <c r="F3640" s="48">
        <v>35.235500000000002</v>
      </c>
      <c r="G3640" s="48">
        <f t="shared" si="62"/>
        <v>39.548325200000008</v>
      </c>
      <c r="H3640" s="67"/>
      <c r="I3640" s="68"/>
      <c r="J3640" s="138">
        <v>0</v>
      </c>
    </row>
    <row r="3641" spans="1:10" ht="26.25" hidden="1" thickBot="1" x14ac:dyDescent="0.3">
      <c r="A3641" s="221"/>
      <c r="B3641" s="223"/>
      <c r="C3641" s="30" t="s">
        <v>1059</v>
      </c>
      <c r="D3641" s="41" t="s">
        <v>1070</v>
      </c>
      <c r="E3641" s="31">
        <v>0.1</v>
      </c>
      <c r="F3641" s="48">
        <v>35.444499999999998</v>
      </c>
      <c r="G3641" s="48">
        <f t="shared" si="62"/>
        <v>3.5444499999999999</v>
      </c>
      <c r="H3641" s="67"/>
      <c r="I3641" s="68"/>
      <c r="J3641" s="138">
        <v>0</v>
      </c>
    </row>
    <row r="3642" spans="1:10" ht="15.75" hidden="1" thickBot="1" x14ac:dyDescent="0.3">
      <c r="A3642" s="227"/>
      <c r="B3642" s="224"/>
      <c r="C3642" s="30"/>
      <c r="D3642" s="30"/>
      <c r="E3642" s="31"/>
      <c r="F3642" s="48" t="s">
        <v>521</v>
      </c>
      <c r="G3642" s="48" t="str">
        <f t="shared" si="62"/>
        <v/>
      </c>
      <c r="H3642" s="67"/>
      <c r="I3642" s="68"/>
      <c r="J3642" s="138">
        <v>0</v>
      </c>
    </row>
    <row r="3643" spans="1:10" ht="15.75" hidden="1" thickBot="1" x14ac:dyDescent="0.3">
      <c r="A3643" s="220" t="s">
        <v>1071</v>
      </c>
      <c r="B3643" s="222" t="e">
        <f>INDEX(Orçamentária!A:B,MATCH(Composições!A3643,Orçamentária!A:A,0),2)</f>
        <v>#N/A</v>
      </c>
      <c r="C3643" s="35"/>
      <c r="D3643" s="20" t="s">
        <v>20</v>
      </c>
      <c r="E3643" s="21"/>
      <c r="F3643" s="43" t="s">
        <v>521</v>
      </c>
      <c r="G3643" s="22" t="str">
        <f t="shared" si="62"/>
        <v/>
      </c>
      <c r="H3643" s="23"/>
      <c r="I3643" s="24"/>
      <c r="J3643" s="138">
        <v>0</v>
      </c>
    </row>
    <row r="3644" spans="1:10" ht="15.75" hidden="1" thickBot="1" x14ac:dyDescent="0.3">
      <c r="A3644" s="225"/>
      <c r="B3644" s="223"/>
      <c r="C3644" s="26"/>
      <c r="D3644" s="26"/>
      <c r="E3644" s="27"/>
      <c r="F3644" s="48" t="s">
        <v>521</v>
      </c>
      <c r="G3644" s="48" t="str">
        <f t="shared" si="62"/>
        <v/>
      </c>
      <c r="H3644" s="67"/>
      <c r="I3644" s="68"/>
      <c r="J3644" s="138">
        <v>0</v>
      </c>
    </row>
    <row r="3645" spans="1:10" ht="15.75" hidden="1" thickBot="1" x14ac:dyDescent="0.3">
      <c r="A3645" s="225"/>
      <c r="B3645" s="223"/>
      <c r="C3645" s="30" t="s">
        <v>39</v>
      </c>
      <c r="D3645" s="44" t="s">
        <v>12</v>
      </c>
      <c r="E3645" s="31">
        <v>4</v>
      </c>
      <c r="F3645" s="48">
        <v>24.300999999999998</v>
      </c>
      <c r="G3645" s="48">
        <f t="shared" si="62"/>
        <v>97.203999999999994</v>
      </c>
      <c r="H3645" s="33">
        <f>SUM(G3645:G3646)</f>
        <v>170.886</v>
      </c>
      <c r="I3645" s="34"/>
      <c r="J3645" s="138">
        <v>0</v>
      </c>
    </row>
    <row r="3646" spans="1:10" ht="15.75" hidden="1" thickBot="1" x14ac:dyDescent="0.3">
      <c r="A3646" s="225"/>
      <c r="B3646" s="223"/>
      <c r="C3646" s="30" t="s">
        <v>23</v>
      </c>
      <c r="D3646" s="30" t="s">
        <v>12</v>
      </c>
      <c r="E3646" s="31">
        <v>4</v>
      </c>
      <c r="F3646" s="48">
        <v>18.420500000000001</v>
      </c>
      <c r="G3646" s="48">
        <f t="shared" si="62"/>
        <v>73.682000000000002</v>
      </c>
      <c r="H3646" s="67"/>
      <c r="I3646" s="68"/>
      <c r="J3646" s="138">
        <v>0</v>
      </c>
    </row>
    <row r="3647" spans="1:10" ht="15.75" hidden="1" thickBot="1" x14ac:dyDescent="0.3">
      <c r="A3647" s="226"/>
      <c r="B3647" s="224"/>
      <c r="C3647" s="30"/>
      <c r="D3647" s="30"/>
      <c r="E3647" s="31"/>
      <c r="F3647" s="48" t="s">
        <v>521</v>
      </c>
      <c r="G3647" s="48" t="str">
        <f t="shared" si="62"/>
        <v/>
      </c>
      <c r="H3647" s="67"/>
      <c r="I3647" s="68"/>
      <c r="J3647" s="138">
        <v>0</v>
      </c>
    </row>
    <row r="3648" spans="1:10" ht="15.75" hidden="1" thickBot="1" x14ac:dyDescent="0.3">
      <c r="A3648" s="220" t="s">
        <v>1072</v>
      </c>
      <c r="B3648" s="222" t="e">
        <f>INDEX(Orçamentária!A:B,MATCH(Composições!A3648,Orçamentária!A:A,0),2)</f>
        <v>#N/A</v>
      </c>
      <c r="C3648" s="35"/>
      <c r="D3648" s="20" t="s">
        <v>1525</v>
      </c>
      <c r="E3648" s="21"/>
      <c r="F3648" s="43" t="s">
        <v>521</v>
      </c>
      <c r="G3648" s="22" t="str">
        <f t="shared" si="62"/>
        <v/>
      </c>
      <c r="H3648" s="23"/>
      <c r="I3648" s="24"/>
      <c r="J3648" s="138">
        <v>0</v>
      </c>
    </row>
    <row r="3649" spans="1:10" ht="15.75" hidden="1" thickBot="1" x14ac:dyDescent="0.3">
      <c r="A3649" s="225"/>
      <c r="B3649" s="223"/>
      <c r="C3649" s="26"/>
      <c r="D3649" s="26"/>
      <c r="E3649" s="27"/>
      <c r="F3649" s="48" t="s">
        <v>521</v>
      </c>
      <c r="G3649" s="48" t="str">
        <f t="shared" si="62"/>
        <v/>
      </c>
      <c r="H3649" s="67"/>
      <c r="I3649" s="68"/>
      <c r="J3649" s="138">
        <v>0</v>
      </c>
    </row>
    <row r="3650" spans="1:10" ht="51.75" hidden="1" thickBot="1" x14ac:dyDescent="0.3">
      <c r="A3650" s="225"/>
      <c r="B3650" s="223"/>
      <c r="C3650" s="30" t="s">
        <v>1073</v>
      </c>
      <c r="D3650" s="30" t="s">
        <v>938</v>
      </c>
      <c r="E3650" s="31">
        <v>1.3899999999999999E-2</v>
      </c>
      <c r="F3650" s="48">
        <v>174.20150000000001</v>
      </c>
      <c r="G3650" s="48">
        <f t="shared" si="62"/>
        <v>2.4214008499999999</v>
      </c>
      <c r="H3650" s="33">
        <f>SUM(G3650:G3651)</f>
        <v>2.68827485</v>
      </c>
      <c r="I3650" s="34"/>
      <c r="J3650" s="138">
        <v>0</v>
      </c>
    </row>
    <row r="3651" spans="1:10" ht="51.75" hidden="1" thickBot="1" x14ac:dyDescent="0.3">
      <c r="A3651" s="225"/>
      <c r="B3651" s="223"/>
      <c r="C3651" s="30" t="s">
        <v>1074</v>
      </c>
      <c r="D3651" s="30" t="s">
        <v>940</v>
      </c>
      <c r="E3651" s="31">
        <v>6.0000000000000001E-3</v>
      </c>
      <c r="F3651" s="48">
        <v>44.478999999999999</v>
      </c>
      <c r="G3651" s="48">
        <f t="shared" si="62"/>
        <v>0.266874</v>
      </c>
      <c r="H3651" s="67"/>
      <c r="I3651" s="68"/>
      <c r="J3651" s="138">
        <v>0</v>
      </c>
    </row>
    <row r="3652" spans="1:10" ht="15.75" hidden="1" thickBot="1" x14ac:dyDescent="0.3">
      <c r="A3652" s="226"/>
      <c r="B3652" s="224"/>
      <c r="C3652" s="30"/>
      <c r="D3652" s="30"/>
      <c r="E3652" s="31"/>
      <c r="F3652" s="48" t="s">
        <v>521</v>
      </c>
      <c r="G3652" s="48" t="str">
        <f t="shared" si="62"/>
        <v/>
      </c>
      <c r="H3652" s="67"/>
      <c r="I3652" s="68"/>
      <c r="J3652" s="138">
        <v>0</v>
      </c>
    </row>
    <row r="3653" spans="1:10" ht="15.75" hidden="1" thickBot="1" x14ac:dyDescent="0.3">
      <c r="A3653" s="220" t="s">
        <v>1075</v>
      </c>
      <c r="B3653" s="222" t="e">
        <f>INDEX(Orçamentária!A:B,MATCH(Composições!A3653,Orçamentária!A:A,0),2)</f>
        <v>#N/A</v>
      </c>
      <c r="C3653" s="35"/>
      <c r="D3653" s="20" t="s">
        <v>42</v>
      </c>
      <c r="E3653" s="21"/>
      <c r="F3653" s="43" t="s">
        <v>521</v>
      </c>
      <c r="G3653" s="22" t="str">
        <f t="shared" si="62"/>
        <v/>
      </c>
      <c r="H3653" s="23"/>
      <c r="I3653" s="24"/>
      <c r="J3653" s="138">
        <v>0</v>
      </c>
    </row>
    <row r="3654" spans="1:10" ht="15.75" hidden="1" thickBot="1" x14ac:dyDescent="0.3">
      <c r="A3654" s="225"/>
      <c r="B3654" s="223"/>
      <c r="C3654" s="26"/>
      <c r="D3654" s="26"/>
      <c r="E3654" s="27"/>
      <c r="F3654" s="48" t="s">
        <v>521</v>
      </c>
      <c r="G3654" s="48" t="str">
        <f t="shared" si="62"/>
        <v/>
      </c>
      <c r="H3654" s="67"/>
      <c r="I3654" s="68"/>
      <c r="J3654" s="138">
        <v>0</v>
      </c>
    </row>
    <row r="3655" spans="1:10" ht="26.25" hidden="1" thickBot="1" x14ac:dyDescent="0.3">
      <c r="A3655" s="225"/>
      <c r="B3655" s="223"/>
      <c r="C3655" s="30" t="s">
        <v>133</v>
      </c>
      <c r="D3655" s="30" t="s">
        <v>109</v>
      </c>
      <c r="E3655" s="31">
        <v>2.1999999999999999E-2</v>
      </c>
      <c r="F3655" s="48">
        <v>12.748999999999999</v>
      </c>
      <c r="G3655" s="48">
        <f t="shared" si="62"/>
        <v>0.28047799999999995</v>
      </c>
      <c r="H3655" s="33">
        <f>SUM(G3655:G3659)</f>
        <v>3.5425594999999999</v>
      </c>
      <c r="I3655" s="34"/>
      <c r="J3655" s="138">
        <v>0</v>
      </c>
    </row>
    <row r="3656" spans="1:10" ht="39" hidden="1" thickBot="1" x14ac:dyDescent="0.3">
      <c r="A3656" s="225"/>
      <c r="B3656" s="223"/>
      <c r="C3656" s="30" t="s">
        <v>2706</v>
      </c>
      <c r="D3656" s="30" t="s">
        <v>42</v>
      </c>
      <c r="E3656" s="31">
        <v>5.0000000000000001E-3</v>
      </c>
      <c r="F3656" s="48">
        <v>58.1875</v>
      </c>
      <c r="G3656" s="48">
        <f t="shared" si="62"/>
        <v>0.29093750000000002</v>
      </c>
      <c r="H3656" s="67"/>
      <c r="I3656" s="68"/>
      <c r="J3656" s="138">
        <v>0</v>
      </c>
    </row>
    <row r="3657" spans="1:10" ht="26.25" hidden="1" thickBot="1" x14ac:dyDescent="0.3">
      <c r="A3657" s="225"/>
      <c r="B3657" s="223"/>
      <c r="C3657" s="30" t="s">
        <v>1076</v>
      </c>
      <c r="D3657" s="30" t="s">
        <v>938</v>
      </c>
      <c r="E3657" s="31">
        <f>E3658</f>
        <v>4.3999999999999997E-2</v>
      </c>
      <c r="F3657" s="48">
        <v>23.579000000000001</v>
      </c>
      <c r="G3657" s="48">
        <f t="shared" si="62"/>
        <v>1.0374760000000001</v>
      </c>
      <c r="H3657" s="67"/>
      <c r="I3657" s="68"/>
      <c r="J3657" s="138">
        <v>0</v>
      </c>
    </row>
    <row r="3658" spans="1:10" ht="15.75" hidden="1" thickBot="1" x14ac:dyDescent="0.3">
      <c r="A3658" s="225"/>
      <c r="B3658" s="223"/>
      <c r="C3658" s="30" t="s">
        <v>1077</v>
      </c>
      <c r="D3658" s="30" t="s">
        <v>12</v>
      </c>
      <c r="E3658" s="31">
        <v>4.3999999999999997E-2</v>
      </c>
      <c r="F3658" s="48">
        <v>25.526499999999999</v>
      </c>
      <c r="G3658" s="48">
        <f t="shared" si="62"/>
        <v>1.1231659999999999</v>
      </c>
      <c r="H3658" s="67"/>
      <c r="I3658" s="68"/>
      <c r="J3658" s="138">
        <v>0</v>
      </c>
    </row>
    <row r="3659" spans="1:10" ht="15.75" hidden="1" thickBot="1" x14ac:dyDescent="0.3">
      <c r="A3659" s="225"/>
      <c r="B3659" s="223"/>
      <c r="C3659" s="30" t="s">
        <v>23</v>
      </c>
      <c r="D3659" s="30" t="s">
        <v>12</v>
      </c>
      <c r="E3659" s="31">
        <v>4.3999999999999997E-2</v>
      </c>
      <c r="F3659" s="48">
        <v>18.420500000000001</v>
      </c>
      <c r="G3659" s="48">
        <f t="shared" si="62"/>
        <v>0.81050199999999994</v>
      </c>
      <c r="H3659" s="67"/>
      <c r="I3659" s="68"/>
      <c r="J3659" s="138">
        <v>0</v>
      </c>
    </row>
    <row r="3660" spans="1:10" ht="15.75" hidden="1" thickBot="1" x14ac:dyDescent="0.3">
      <c r="A3660" s="226"/>
      <c r="B3660" s="224"/>
      <c r="C3660" s="30"/>
      <c r="D3660" s="30"/>
      <c r="E3660" s="31"/>
      <c r="F3660" s="48" t="s">
        <v>521</v>
      </c>
      <c r="G3660" s="48" t="str">
        <f t="shared" si="62"/>
        <v/>
      </c>
      <c r="H3660" s="67"/>
      <c r="I3660" s="68"/>
      <c r="J3660" s="138">
        <v>0</v>
      </c>
    </row>
    <row r="3661" spans="1:10" ht="15.75" hidden="1" thickBot="1" x14ac:dyDescent="0.3">
      <c r="A3661" s="220" t="s">
        <v>1078</v>
      </c>
      <c r="B3661" s="222" t="e">
        <f>INDEX(Orçamentária!A:B,MATCH(Composições!A3661,Orçamentária!A:A,0),2)</f>
        <v>#N/A</v>
      </c>
      <c r="C3661" s="35"/>
      <c r="D3661" s="20" t="s">
        <v>109</v>
      </c>
      <c r="E3661" s="21"/>
      <c r="F3661" s="43" t="s">
        <v>521</v>
      </c>
      <c r="G3661" s="22" t="str">
        <f t="shared" si="62"/>
        <v/>
      </c>
      <c r="H3661" s="23"/>
      <c r="I3661" s="24"/>
      <c r="J3661" s="138">
        <v>0</v>
      </c>
    </row>
    <row r="3662" spans="1:10" ht="15.75" hidden="1" thickBot="1" x14ac:dyDescent="0.3">
      <c r="A3662" s="225"/>
      <c r="B3662" s="223"/>
      <c r="C3662" s="26"/>
      <c r="D3662" s="26"/>
      <c r="E3662" s="27"/>
      <c r="F3662" s="48" t="s">
        <v>521</v>
      </c>
      <c r="G3662" s="48" t="str">
        <f t="shared" si="62"/>
        <v/>
      </c>
      <c r="H3662" s="67"/>
      <c r="I3662" s="68"/>
      <c r="J3662" s="138">
        <v>0</v>
      </c>
    </row>
    <row r="3663" spans="1:10" ht="15.75" hidden="1" thickBot="1" x14ac:dyDescent="0.3">
      <c r="A3663" s="225"/>
      <c r="B3663" s="223"/>
      <c r="C3663" s="30" t="s">
        <v>23</v>
      </c>
      <c r="D3663" s="30" t="s">
        <v>12</v>
      </c>
      <c r="E3663" s="31">
        <v>4.3</v>
      </c>
      <c r="F3663" s="48">
        <v>18.420500000000001</v>
      </c>
      <c r="G3663" s="48">
        <f t="shared" si="62"/>
        <v>79.208150000000003</v>
      </c>
      <c r="H3663" s="33">
        <f>SUM(G3663:G3663)</f>
        <v>79.208150000000003</v>
      </c>
      <c r="I3663" s="34"/>
      <c r="J3663" s="138">
        <v>0</v>
      </c>
    </row>
    <row r="3664" spans="1:10" ht="15.75" hidden="1" thickBot="1" x14ac:dyDescent="0.3">
      <c r="A3664" s="226"/>
      <c r="B3664" s="224"/>
      <c r="C3664" s="30"/>
      <c r="D3664" s="30"/>
      <c r="E3664" s="31"/>
      <c r="F3664" s="48" t="s">
        <v>521</v>
      </c>
      <c r="G3664" s="48" t="str">
        <f t="shared" si="62"/>
        <v/>
      </c>
      <c r="H3664" s="67"/>
      <c r="I3664" s="68"/>
      <c r="J3664" s="138">
        <v>0</v>
      </c>
    </row>
    <row r="3665" spans="1:10" ht="15.75" hidden="1" thickBot="1" x14ac:dyDescent="0.3">
      <c r="A3665" s="220" t="s">
        <v>1079</v>
      </c>
      <c r="B3665" s="222" t="e">
        <f>INDEX(Orçamentária!A:B,MATCH(Composições!A3665,Orçamentária!A:A,0),2)</f>
        <v>#N/A</v>
      </c>
      <c r="C3665" s="35"/>
      <c r="D3665" s="20" t="s">
        <v>109</v>
      </c>
      <c r="E3665" s="21"/>
      <c r="F3665" s="43" t="s">
        <v>521</v>
      </c>
      <c r="G3665" s="22" t="str">
        <f t="shared" si="62"/>
        <v/>
      </c>
      <c r="H3665" s="23"/>
      <c r="I3665" s="24"/>
      <c r="J3665" s="138">
        <v>0</v>
      </c>
    </row>
    <row r="3666" spans="1:10" ht="15.75" hidden="1" thickBot="1" x14ac:dyDescent="0.3">
      <c r="A3666" s="225"/>
      <c r="B3666" s="223"/>
      <c r="C3666" s="26"/>
      <c r="D3666" s="26"/>
      <c r="E3666" s="27"/>
      <c r="F3666" s="48" t="s">
        <v>521</v>
      </c>
      <c r="G3666" s="48" t="str">
        <f t="shared" si="62"/>
        <v/>
      </c>
      <c r="H3666" s="67"/>
      <c r="I3666" s="68"/>
      <c r="J3666" s="138">
        <v>0</v>
      </c>
    </row>
    <row r="3667" spans="1:10" ht="51.75" hidden="1" thickBot="1" x14ac:dyDescent="0.3">
      <c r="A3667" s="225"/>
      <c r="B3667" s="223"/>
      <c r="C3667" s="30" t="s">
        <v>1567</v>
      </c>
      <c r="D3667" s="30" t="s">
        <v>938</v>
      </c>
      <c r="E3667" s="31">
        <v>2.4799999999999999E-2</v>
      </c>
      <c r="F3667" s="48">
        <v>139.09899999999999</v>
      </c>
      <c r="G3667" s="48">
        <f t="shared" si="62"/>
        <v>3.4496551999999996</v>
      </c>
      <c r="H3667" s="33">
        <f>SUM(G3667:G3669)</f>
        <v>5.9485190499999998</v>
      </c>
      <c r="I3667" s="34"/>
      <c r="J3667" s="138">
        <v>0</v>
      </c>
    </row>
    <row r="3668" spans="1:10" ht="51.75" hidden="1" thickBot="1" x14ac:dyDescent="0.3">
      <c r="A3668" s="225"/>
      <c r="B3668" s="223"/>
      <c r="C3668" s="30" t="s">
        <v>1573</v>
      </c>
      <c r="D3668" s="30" t="s">
        <v>940</v>
      </c>
      <c r="E3668" s="31">
        <v>2.9899999999999999E-2</v>
      </c>
      <c r="F3668" s="48">
        <v>49.875</v>
      </c>
      <c r="G3668" s="48">
        <f t="shared" si="62"/>
        <v>1.4912624999999999</v>
      </c>
      <c r="H3668" s="67"/>
      <c r="I3668" s="68"/>
      <c r="J3668" s="138">
        <v>0</v>
      </c>
    </row>
    <row r="3669" spans="1:10" ht="15.75" hidden="1" thickBot="1" x14ac:dyDescent="0.3">
      <c r="A3669" s="225"/>
      <c r="B3669" s="223"/>
      <c r="C3669" s="30" t="s">
        <v>703</v>
      </c>
      <c r="D3669" s="30" t="s">
        <v>702</v>
      </c>
      <c r="E3669" s="31">
        <v>5.4699999999999999E-2</v>
      </c>
      <c r="F3669" s="48">
        <v>18.420500000000001</v>
      </c>
      <c r="G3669" s="48">
        <f t="shared" si="62"/>
        <v>1.0076013500000001</v>
      </c>
      <c r="H3669" s="67"/>
      <c r="I3669" s="68"/>
      <c r="J3669" s="138">
        <v>0</v>
      </c>
    </row>
    <row r="3670" spans="1:10" ht="15.75" hidden="1" thickBot="1" x14ac:dyDescent="0.3">
      <c r="A3670" s="226"/>
      <c r="B3670" s="224"/>
      <c r="C3670" s="69"/>
      <c r="D3670" s="30"/>
      <c r="E3670" s="31"/>
      <c r="F3670" s="48" t="s">
        <v>521</v>
      </c>
      <c r="G3670" s="48" t="str">
        <f t="shared" si="62"/>
        <v/>
      </c>
      <c r="H3670" s="67"/>
      <c r="I3670" s="68"/>
      <c r="J3670" s="138">
        <v>0</v>
      </c>
    </row>
    <row r="3671" spans="1:10" ht="15.75" thickBot="1" x14ac:dyDescent="0.3">
      <c r="A3671" s="220" t="s">
        <v>1080</v>
      </c>
      <c r="B3671" s="222" t="str">
        <f>INDEX(Orçamentária!A:B,MATCH(Composições!A3671,Orçamentária!A:A,0),2)</f>
        <v>Grama Batatais em placas de 40 x 40 cm</v>
      </c>
      <c r="C3671" s="35"/>
      <c r="D3671" s="20" t="s">
        <v>95</v>
      </c>
      <c r="E3671" s="21"/>
      <c r="F3671" s="43" t="s">
        <v>521</v>
      </c>
      <c r="G3671" s="22" t="str">
        <f t="shared" si="62"/>
        <v/>
      </c>
      <c r="H3671" s="23"/>
      <c r="I3671" s="24"/>
      <c r="J3671" s="138">
        <v>680</v>
      </c>
    </row>
    <row r="3672" spans="1:10" x14ac:dyDescent="0.25">
      <c r="A3672" s="221"/>
      <c r="B3672" s="223"/>
      <c r="C3672" s="26"/>
      <c r="D3672" s="26"/>
      <c r="E3672" s="27"/>
      <c r="F3672" s="48" t="s">
        <v>521</v>
      </c>
      <c r="G3672" s="48" t="str">
        <f t="shared" si="62"/>
        <v/>
      </c>
      <c r="H3672" s="67"/>
      <c r="I3672" s="68"/>
      <c r="J3672" s="138">
        <v>680</v>
      </c>
    </row>
    <row r="3673" spans="1:10" x14ac:dyDescent="0.25">
      <c r="A3673" s="221"/>
      <c r="B3673" s="223"/>
      <c r="C3673" s="30" t="s">
        <v>1081</v>
      </c>
      <c r="D3673" s="44" t="s">
        <v>95</v>
      </c>
      <c r="E3673" s="31">
        <v>1</v>
      </c>
      <c r="F3673" s="48">
        <v>9.3574999999999999</v>
      </c>
      <c r="G3673" s="48">
        <f t="shared" si="62"/>
        <v>9.3574999999999999</v>
      </c>
      <c r="H3673" s="33">
        <f>SUM(G3673:G3683)</f>
        <v>51.391646194137998</v>
      </c>
      <c r="I3673" s="34"/>
      <c r="J3673" s="138">
        <v>680</v>
      </c>
    </row>
    <row r="3674" spans="1:10" x14ac:dyDescent="0.25">
      <c r="A3674" s="221"/>
      <c r="B3674" s="223"/>
      <c r="C3674" s="30" t="s">
        <v>23</v>
      </c>
      <c r="D3674" s="30" t="s">
        <v>12</v>
      </c>
      <c r="E3674" s="31">
        <v>0.15640000000000001</v>
      </c>
      <c r="F3674" s="48">
        <v>18.420500000000001</v>
      </c>
      <c r="G3674" s="48">
        <f t="shared" si="62"/>
        <v>2.8809662000000005</v>
      </c>
      <c r="H3674" s="67"/>
      <c r="I3674" s="68"/>
      <c r="J3674" s="138">
        <v>680</v>
      </c>
    </row>
    <row r="3675" spans="1:10" x14ac:dyDescent="0.25">
      <c r="A3675" s="221"/>
      <c r="B3675" s="223"/>
      <c r="C3675" s="30" t="s">
        <v>1082</v>
      </c>
      <c r="D3675" s="30" t="s">
        <v>12</v>
      </c>
      <c r="E3675" s="31">
        <v>3.9100000000000003E-2</v>
      </c>
      <c r="F3675" s="48">
        <v>19.522500000000001</v>
      </c>
      <c r="G3675" s="48">
        <f t="shared" si="62"/>
        <v>0.76332975000000014</v>
      </c>
      <c r="H3675" s="67"/>
      <c r="I3675" s="68"/>
      <c r="J3675" s="138">
        <v>680</v>
      </c>
    </row>
    <row r="3676" spans="1:10" x14ac:dyDescent="0.25">
      <c r="A3676" s="221"/>
      <c r="B3676" s="223"/>
      <c r="C3676" s="30" t="s">
        <v>23</v>
      </c>
      <c r="D3676" s="30" t="s">
        <v>12</v>
      </c>
      <c r="E3676" s="31">
        <f>1.6*0.25</f>
        <v>0.4</v>
      </c>
      <c r="F3676" s="48">
        <v>18.420500000000001</v>
      </c>
      <c r="G3676" s="48">
        <f t="shared" si="62"/>
        <v>7.3682000000000007</v>
      </c>
      <c r="H3676" s="67"/>
      <c r="I3676" s="68"/>
      <c r="J3676" s="138">
        <v>680</v>
      </c>
    </row>
    <row r="3677" spans="1:10" ht="25.5" x14ac:dyDescent="0.25">
      <c r="A3677" s="221"/>
      <c r="B3677" s="223"/>
      <c r="C3677" s="30" t="s">
        <v>1083</v>
      </c>
      <c r="D3677" s="30" t="s">
        <v>42</v>
      </c>
      <c r="E3677" s="31">
        <f>1*0.25</f>
        <v>0.25</v>
      </c>
      <c r="F3677" s="48">
        <v>0.22799999999999998</v>
      </c>
      <c r="G3677" s="48">
        <f t="shared" si="62"/>
        <v>5.6999999999999995E-2</v>
      </c>
      <c r="H3677" s="67"/>
      <c r="I3677" s="68"/>
      <c r="J3677" s="138">
        <v>680</v>
      </c>
    </row>
    <row r="3678" spans="1:10" x14ac:dyDescent="0.25">
      <c r="A3678" s="221"/>
      <c r="B3678" s="223"/>
      <c r="C3678" s="30" t="s">
        <v>1084</v>
      </c>
      <c r="D3678" s="30" t="s">
        <v>109</v>
      </c>
      <c r="E3678" s="31">
        <f>0.9*0.25</f>
        <v>0.22500000000000001</v>
      </c>
      <c r="F3678" s="48">
        <v>132.316</v>
      </c>
      <c r="G3678" s="48">
        <f t="shared" si="62"/>
        <v>29.771100000000001</v>
      </c>
      <c r="H3678" s="67"/>
      <c r="I3678" s="68"/>
      <c r="J3678" s="138">
        <v>680</v>
      </c>
    </row>
    <row r="3679" spans="1:10" x14ac:dyDescent="0.25">
      <c r="A3679" s="221"/>
      <c r="B3679" s="223"/>
      <c r="C3679" s="30" t="s">
        <v>1085</v>
      </c>
      <c r="D3679" s="41" t="s">
        <v>42</v>
      </c>
      <c r="E3679" s="31">
        <f>1*0.25</f>
        <v>0.25</v>
      </c>
      <c r="F3679" s="48">
        <v>4.6265000000000001</v>
      </c>
      <c r="G3679" s="48">
        <f t="shared" si="62"/>
        <v>1.156625</v>
      </c>
      <c r="H3679" s="67"/>
      <c r="I3679" s="68"/>
      <c r="J3679" s="138">
        <v>680</v>
      </c>
    </row>
    <row r="3680" spans="1:10" x14ac:dyDescent="0.25">
      <c r="A3680" s="221"/>
      <c r="B3680" s="223"/>
      <c r="C3680" s="30" t="s">
        <v>1086</v>
      </c>
      <c r="D3680" s="41" t="s">
        <v>42</v>
      </c>
      <c r="E3680" s="31">
        <f>0.1*0.25</f>
        <v>2.5000000000000001E-2</v>
      </c>
      <c r="F3680" s="48">
        <v>1.0545</v>
      </c>
      <c r="G3680" s="48">
        <f t="shared" si="62"/>
        <v>2.6362500000000001E-2</v>
      </c>
      <c r="H3680" s="67"/>
      <c r="I3680" s="68"/>
      <c r="J3680" s="138">
        <v>680</v>
      </c>
    </row>
    <row r="3681" spans="1:10" ht="25.5" x14ac:dyDescent="0.25">
      <c r="A3681" s="221"/>
      <c r="B3681" s="223"/>
      <c r="C3681" s="30" t="s">
        <v>119</v>
      </c>
      <c r="D3681" s="30" t="s">
        <v>1087</v>
      </c>
      <c r="E3681" s="31">
        <f>ROUND(1*E3677/1000,4)</f>
        <v>2.9999999999999997E-4</v>
      </c>
      <c r="F3681" s="28">
        <v>5.2426479599999993</v>
      </c>
      <c r="G3681" s="28">
        <f t="shared" si="62"/>
        <v>1.5727943879999997E-3</v>
      </c>
      <c r="H3681" s="29"/>
      <c r="I3681" s="25"/>
      <c r="J3681" s="138">
        <v>680</v>
      </c>
    </row>
    <row r="3682" spans="1:10" ht="38.25" x14ac:dyDescent="0.25">
      <c r="A3682" s="221"/>
      <c r="B3682" s="223"/>
      <c r="C3682" s="30" t="s">
        <v>752</v>
      </c>
      <c r="D3682" s="30" t="s">
        <v>753</v>
      </c>
      <c r="E3682" s="31">
        <f>20*E3677*1/1000</f>
        <v>5.0000000000000001E-3</v>
      </c>
      <c r="F3682" s="48">
        <v>1.7979899500000001</v>
      </c>
      <c r="G3682" s="48">
        <f t="shared" si="62"/>
        <v>8.9899497500000002E-3</v>
      </c>
      <c r="H3682" s="67"/>
      <c r="I3682" s="68"/>
      <c r="J3682" s="138">
        <v>680</v>
      </c>
    </row>
    <row r="3683" spans="1:10" x14ac:dyDescent="0.25">
      <c r="A3683" s="221"/>
      <c r="B3683" s="223"/>
      <c r="C3683" s="30"/>
      <c r="D3683" s="30"/>
      <c r="E3683" s="31"/>
      <c r="F3683" s="48" t="s">
        <v>521</v>
      </c>
      <c r="G3683" s="48" t="str">
        <f t="shared" si="62"/>
        <v/>
      </c>
      <c r="H3683" s="67"/>
      <c r="I3683" s="68"/>
      <c r="J3683" s="138">
        <v>680</v>
      </c>
    </row>
    <row r="3684" spans="1:10" ht="25.5" x14ac:dyDescent="0.25">
      <c r="A3684" s="221"/>
      <c r="B3684" s="223"/>
      <c r="C3684" s="42" t="s">
        <v>1088</v>
      </c>
      <c r="D3684" s="30"/>
      <c r="E3684" s="31"/>
      <c r="F3684" s="48" t="s">
        <v>521</v>
      </c>
      <c r="G3684" s="48" t="str">
        <f t="shared" si="62"/>
        <v/>
      </c>
      <c r="H3684" s="67"/>
      <c r="I3684" s="68"/>
      <c r="J3684" s="138">
        <v>680</v>
      </c>
    </row>
    <row r="3685" spans="1:10" ht="15.75" thickBot="1" x14ac:dyDescent="0.3">
      <c r="A3685" s="227"/>
      <c r="B3685" s="224"/>
      <c r="C3685" s="30"/>
      <c r="D3685" s="30"/>
      <c r="E3685" s="31"/>
      <c r="F3685" s="48" t="s">
        <v>521</v>
      </c>
      <c r="G3685" s="48" t="str">
        <f t="shared" si="62"/>
        <v/>
      </c>
      <c r="H3685" s="67"/>
      <c r="I3685" s="68"/>
      <c r="J3685" s="138">
        <v>680</v>
      </c>
    </row>
    <row r="3686" spans="1:10" ht="15.75" hidden="1" thickBot="1" x14ac:dyDescent="0.3">
      <c r="A3686" s="220" t="s">
        <v>1089</v>
      </c>
      <c r="B3686" s="222" t="e">
        <f>INDEX(Orçamentária!A:B,MATCH(Composições!A3686,Orçamentária!A:A,0),2)</f>
        <v>#N/A</v>
      </c>
      <c r="C3686" s="35"/>
      <c r="D3686" s="20" t="s">
        <v>93</v>
      </c>
      <c r="E3686" s="21"/>
      <c r="F3686" s="43" t="s">
        <v>521</v>
      </c>
      <c r="G3686" s="22" t="str">
        <f t="shared" si="62"/>
        <v/>
      </c>
      <c r="H3686" s="23"/>
      <c r="I3686" s="24"/>
      <c r="J3686" s="138">
        <v>0</v>
      </c>
    </row>
    <row r="3687" spans="1:10" ht="15.75" hidden="1" thickBot="1" x14ac:dyDescent="0.3">
      <c r="A3687" s="225"/>
      <c r="B3687" s="223"/>
      <c r="C3687" s="26"/>
      <c r="D3687" s="26"/>
      <c r="E3687" s="27"/>
      <c r="F3687" s="48" t="s">
        <v>521</v>
      </c>
      <c r="G3687" s="48" t="str">
        <f t="shared" si="62"/>
        <v/>
      </c>
      <c r="H3687" s="67"/>
      <c r="I3687" s="68"/>
      <c r="J3687" s="138">
        <v>0</v>
      </c>
    </row>
    <row r="3688" spans="1:10" ht="15.75" hidden="1" thickBot="1" x14ac:dyDescent="0.3">
      <c r="A3688" s="225"/>
      <c r="B3688" s="223"/>
      <c r="C3688" s="30" t="s">
        <v>1090</v>
      </c>
      <c r="D3688" s="44" t="s">
        <v>102</v>
      </c>
      <c r="E3688" s="31">
        <f>ROUND(0.427/2*(0.25+0.13+0.25),4)</f>
        <v>0.13450000000000001</v>
      </c>
      <c r="F3688" s="48">
        <v>15.2285</v>
      </c>
      <c r="G3688" s="48">
        <f t="shared" si="62"/>
        <v>2.04823325</v>
      </c>
      <c r="H3688" s="33">
        <f>SUM(G3688:G3690)</f>
        <v>4.9580205500000005</v>
      </c>
      <c r="I3688" s="34"/>
      <c r="J3688" s="138">
        <v>0</v>
      </c>
    </row>
    <row r="3689" spans="1:10" ht="15.75" hidden="1" thickBot="1" x14ac:dyDescent="0.3">
      <c r="A3689" s="225"/>
      <c r="B3689" s="223"/>
      <c r="C3689" s="30" t="s">
        <v>1091</v>
      </c>
      <c r="D3689" s="30" t="s">
        <v>702</v>
      </c>
      <c r="E3689" s="31">
        <f>0.275*(0.25+0.13+0.25)/2</f>
        <v>8.6625000000000008E-2</v>
      </c>
      <c r="F3689" s="48">
        <v>25.887499999999999</v>
      </c>
      <c r="G3689" s="48">
        <f t="shared" si="62"/>
        <v>2.2425046875000003</v>
      </c>
      <c r="H3689" s="67"/>
      <c r="I3689" s="68"/>
      <c r="J3689" s="138">
        <v>0</v>
      </c>
    </row>
    <row r="3690" spans="1:10" ht="15.75" hidden="1" thickBot="1" x14ac:dyDescent="0.3">
      <c r="A3690" s="225"/>
      <c r="B3690" s="223"/>
      <c r="C3690" s="30" t="s">
        <v>23</v>
      </c>
      <c r="D3690" s="30" t="s">
        <v>702</v>
      </c>
      <c r="E3690" s="31">
        <f>0.115*(0.25+0.13+0.25)/2</f>
        <v>3.6225E-2</v>
      </c>
      <c r="F3690" s="48">
        <v>18.420500000000001</v>
      </c>
      <c r="G3690" s="48">
        <f t="shared" si="62"/>
        <v>0.66728261249999998</v>
      </c>
      <c r="H3690" s="67"/>
      <c r="I3690" s="68"/>
      <c r="J3690" s="138">
        <v>0</v>
      </c>
    </row>
    <row r="3691" spans="1:10" ht="15.75" hidden="1" thickBot="1" x14ac:dyDescent="0.3">
      <c r="A3691" s="225"/>
      <c r="B3691" s="223"/>
      <c r="C3691" s="30"/>
      <c r="D3691" s="30"/>
      <c r="E3691" s="31"/>
      <c r="F3691" s="48" t="s">
        <v>521</v>
      </c>
      <c r="G3691" s="48" t="str">
        <f t="shared" si="62"/>
        <v/>
      </c>
      <c r="H3691" s="67"/>
      <c r="I3691" s="68"/>
      <c r="J3691" s="138">
        <v>0</v>
      </c>
    </row>
    <row r="3692" spans="1:10" ht="26.25" hidden="1" thickBot="1" x14ac:dyDescent="0.3">
      <c r="A3692" s="225"/>
      <c r="B3692" s="223"/>
      <c r="C3692" s="42" t="s">
        <v>1092</v>
      </c>
      <c r="D3692" s="30"/>
      <c r="E3692" s="31"/>
      <c r="F3692" s="48" t="s">
        <v>521</v>
      </c>
      <c r="G3692" s="48" t="str">
        <f t="shared" si="62"/>
        <v/>
      </c>
      <c r="H3692" s="67"/>
      <c r="I3692" s="68"/>
      <c r="J3692" s="138">
        <v>0</v>
      </c>
    </row>
    <row r="3693" spans="1:10" ht="15.75" hidden="1" thickBot="1" x14ac:dyDescent="0.3">
      <c r="A3693" s="226"/>
      <c r="B3693" s="224"/>
      <c r="C3693" s="30"/>
      <c r="D3693" s="30"/>
      <c r="E3693" s="31"/>
      <c r="F3693" s="48" t="s">
        <v>521</v>
      </c>
      <c r="G3693" s="48" t="str">
        <f t="shared" si="62"/>
        <v/>
      </c>
      <c r="H3693" s="67"/>
      <c r="I3693" s="68"/>
      <c r="J3693" s="138">
        <v>0</v>
      </c>
    </row>
    <row r="3694" spans="1:10" ht="15.75" hidden="1" thickBot="1" x14ac:dyDescent="0.3">
      <c r="A3694" s="220" t="s">
        <v>1093</v>
      </c>
      <c r="B3694" s="222" t="e">
        <f>INDEX(Orçamentária!A:B,MATCH(Composições!A3694,Orçamentária!A:A,0),2)</f>
        <v>#N/A</v>
      </c>
      <c r="C3694" s="35"/>
      <c r="D3694" s="20" t="s">
        <v>93</v>
      </c>
      <c r="E3694" s="21"/>
      <c r="F3694" s="43" t="s">
        <v>521</v>
      </c>
      <c r="G3694" s="22" t="str">
        <f t="shared" si="62"/>
        <v/>
      </c>
      <c r="H3694" s="23"/>
      <c r="I3694" s="24"/>
      <c r="J3694" s="138">
        <v>0</v>
      </c>
    </row>
    <row r="3695" spans="1:10" ht="15.75" hidden="1" thickBot="1" x14ac:dyDescent="0.3">
      <c r="A3695" s="221"/>
      <c r="B3695" s="223"/>
      <c r="C3695" s="26"/>
      <c r="D3695" s="26"/>
      <c r="E3695" s="27"/>
      <c r="F3695" s="48" t="s">
        <v>521</v>
      </c>
      <c r="G3695" s="48" t="str">
        <f t="shared" si="62"/>
        <v/>
      </c>
      <c r="H3695" s="67"/>
      <c r="I3695" s="68"/>
      <c r="J3695" s="138">
        <v>0</v>
      </c>
    </row>
    <row r="3696" spans="1:10" ht="26.25" hidden="1" thickBot="1" x14ac:dyDescent="0.3">
      <c r="A3696" s="221"/>
      <c r="B3696" s="223"/>
      <c r="C3696" s="30" t="s">
        <v>751</v>
      </c>
      <c r="D3696" s="30" t="s">
        <v>109</v>
      </c>
      <c r="E3696" s="31">
        <v>7.0000000000000001E-3</v>
      </c>
      <c r="F3696" s="48">
        <v>186.16200000000001</v>
      </c>
      <c r="G3696" s="48">
        <f t="shared" si="62"/>
        <v>1.303134</v>
      </c>
      <c r="H3696" s="33">
        <f>SUM(G3696:G3704)</f>
        <v>51.766435018803996</v>
      </c>
      <c r="I3696" s="34"/>
      <c r="J3696" s="138">
        <v>0</v>
      </c>
    </row>
    <row r="3697" spans="1:10" ht="26.25" hidden="1" thickBot="1" x14ac:dyDescent="0.3">
      <c r="A3697" s="221"/>
      <c r="B3697" s="223"/>
      <c r="C3697" s="30" t="s">
        <v>1925</v>
      </c>
      <c r="D3697" s="30" t="s">
        <v>93</v>
      </c>
      <c r="E3697" s="31">
        <v>1.0049999999999999</v>
      </c>
      <c r="F3697" s="48">
        <v>31.340499999999999</v>
      </c>
      <c r="G3697" s="48">
        <f t="shared" si="62"/>
        <v>31.497202499999997</v>
      </c>
      <c r="H3697" s="67"/>
      <c r="I3697" s="68"/>
      <c r="J3697" s="138">
        <v>0</v>
      </c>
    </row>
    <row r="3698" spans="1:10" ht="15.75" hidden="1" thickBot="1" x14ac:dyDescent="0.3">
      <c r="A3698" s="221"/>
      <c r="B3698" s="223"/>
      <c r="C3698" s="30" t="s">
        <v>22</v>
      </c>
      <c r="D3698" s="30" t="s">
        <v>12</v>
      </c>
      <c r="E3698" s="31">
        <v>0.39400000000000002</v>
      </c>
      <c r="F3698" s="48">
        <v>24.889999999999997</v>
      </c>
      <c r="G3698" s="48">
        <f t="shared" si="62"/>
        <v>9.806659999999999</v>
      </c>
      <c r="H3698" s="67"/>
      <c r="I3698" s="68"/>
      <c r="J3698" s="138">
        <v>0</v>
      </c>
    </row>
    <row r="3699" spans="1:10" ht="15.75" hidden="1" thickBot="1" x14ac:dyDescent="0.3">
      <c r="A3699" s="221"/>
      <c r="B3699" s="223"/>
      <c r="C3699" s="30" t="s">
        <v>23</v>
      </c>
      <c r="D3699" s="30" t="s">
        <v>12</v>
      </c>
      <c r="E3699" s="31">
        <v>0.39400000000000002</v>
      </c>
      <c r="F3699" s="48">
        <v>18.420500000000001</v>
      </c>
      <c r="G3699" s="48">
        <f t="shared" si="62"/>
        <v>7.2576770000000002</v>
      </c>
      <c r="H3699" s="67"/>
      <c r="I3699" s="68"/>
      <c r="J3699" s="138">
        <v>0</v>
      </c>
    </row>
    <row r="3700" spans="1:10" ht="26.25" hidden="1" thickBot="1" x14ac:dyDescent="0.3">
      <c r="A3700" s="221"/>
      <c r="B3700" s="223"/>
      <c r="C3700" s="30" t="s">
        <v>108</v>
      </c>
      <c r="D3700" s="30" t="s">
        <v>109</v>
      </c>
      <c r="E3700" s="31">
        <v>2E-3</v>
      </c>
      <c r="F3700" s="48">
        <v>735.20400930200003</v>
      </c>
      <c r="G3700" s="48">
        <f t="shared" si="62"/>
        <v>1.4704080186040001</v>
      </c>
      <c r="H3700" s="67"/>
      <c r="I3700" s="68"/>
      <c r="J3700" s="138">
        <v>0</v>
      </c>
    </row>
    <row r="3701" spans="1:10" ht="51.75" hidden="1" thickBot="1" x14ac:dyDescent="0.3">
      <c r="A3701" s="221"/>
      <c r="B3701" s="223"/>
      <c r="C3701" s="30" t="s">
        <v>1826</v>
      </c>
      <c r="D3701" s="30" t="s">
        <v>109</v>
      </c>
      <c r="E3701" s="31">
        <f>1*E3696</f>
        <v>7.0000000000000001E-3</v>
      </c>
      <c r="F3701" s="28">
        <v>7.8564315999999996</v>
      </c>
      <c r="G3701" s="28">
        <f t="shared" ref="G3701:G3764" si="63">IF(ISNUMBER(F3701),E3701*F3701,"")</f>
        <v>5.4995021200000001E-2</v>
      </c>
      <c r="H3701" s="29"/>
      <c r="I3701" s="25"/>
      <c r="J3701" s="138">
        <v>0</v>
      </c>
    </row>
    <row r="3702" spans="1:10" ht="39" hidden="1" thickBot="1" x14ac:dyDescent="0.3">
      <c r="A3702" s="221"/>
      <c r="B3702" s="223"/>
      <c r="C3702" s="30" t="s">
        <v>121</v>
      </c>
      <c r="D3702" s="30" t="s">
        <v>122</v>
      </c>
      <c r="E3702" s="31">
        <f>0.007*20</f>
        <v>0.14000000000000001</v>
      </c>
      <c r="F3702" s="48">
        <v>2.6882748499999995</v>
      </c>
      <c r="G3702" s="48">
        <f t="shared" si="63"/>
        <v>0.37635847899999997</v>
      </c>
      <c r="H3702" s="67"/>
      <c r="I3702" s="68"/>
      <c r="J3702" s="138">
        <v>0</v>
      </c>
    </row>
    <row r="3703" spans="1:10" ht="15.75" hidden="1" thickBot="1" x14ac:dyDescent="0.3">
      <c r="A3703" s="221"/>
      <c r="B3703" s="223"/>
      <c r="C3703" s="30"/>
      <c r="D3703" s="30"/>
      <c r="E3703" s="31"/>
      <c r="F3703" s="48" t="s">
        <v>521</v>
      </c>
      <c r="G3703" s="48" t="str">
        <f t="shared" si="63"/>
        <v/>
      </c>
      <c r="H3703" s="67"/>
      <c r="I3703" s="68"/>
      <c r="J3703" s="138">
        <v>0</v>
      </c>
    </row>
    <row r="3704" spans="1:10" ht="15.75" hidden="1" thickBot="1" x14ac:dyDescent="0.3">
      <c r="A3704" s="221"/>
      <c r="B3704" s="223"/>
      <c r="C3704" s="42" t="s">
        <v>1094</v>
      </c>
      <c r="D3704" s="30"/>
      <c r="E3704" s="31"/>
      <c r="F3704" s="48" t="s">
        <v>521</v>
      </c>
      <c r="G3704" s="48" t="str">
        <f t="shared" si="63"/>
        <v/>
      </c>
      <c r="H3704" s="67"/>
      <c r="I3704" s="68"/>
      <c r="J3704" s="138">
        <v>0</v>
      </c>
    </row>
    <row r="3705" spans="1:10" ht="15.75" hidden="1" thickBot="1" x14ac:dyDescent="0.3">
      <c r="A3705" s="227"/>
      <c r="B3705" s="224"/>
      <c r="C3705" s="30"/>
      <c r="D3705" s="30"/>
      <c r="E3705" s="31"/>
      <c r="F3705" s="48" t="s">
        <v>521</v>
      </c>
      <c r="G3705" s="48" t="str">
        <f t="shared" si="63"/>
        <v/>
      </c>
      <c r="H3705" s="67"/>
      <c r="I3705" s="68"/>
      <c r="J3705" s="138">
        <v>0</v>
      </c>
    </row>
    <row r="3706" spans="1:10" ht="15.75" hidden="1" thickBot="1" x14ac:dyDescent="0.3">
      <c r="A3706" s="220" t="s">
        <v>1095</v>
      </c>
      <c r="B3706" s="222" t="e">
        <f>INDEX(Orçamentária!A:B,MATCH(Composições!A3706,Orçamentária!A:A,0),2)</f>
        <v>#N/A</v>
      </c>
      <c r="C3706" s="35"/>
      <c r="D3706" s="20" t="s">
        <v>93</v>
      </c>
      <c r="E3706" s="21"/>
      <c r="F3706" s="43" t="s">
        <v>521</v>
      </c>
      <c r="G3706" s="22" t="str">
        <f t="shared" si="63"/>
        <v/>
      </c>
      <c r="H3706" s="23"/>
      <c r="I3706" s="24"/>
      <c r="J3706" s="138">
        <v>0</v>
      </c>
    </row>
    <row r="3707" spans="1:10" ht="15.75" hidden="1" thickBot="1" x14ac:dyDescent="0.3">
      <c r="A3707" s="221"/>
      <c r="B3707" s="223"/>
      <c r="C3707" s="26"/>
      <c r="D3707" s="26"/>
      <c r="E3707" s="27"/>
      <c r="F3707" s="48" t="s">
        <v>521</v>
      </c>
      <c r="G3707" s="48" t="str">
        <f t="shared" si="63"/>
        <v/>
      </c>
      <c r="H3707" s="67"/>
      <c r="I3707" s="68"/>
      <c r="J3707" s="138">
        <v>0</v>
      </c>
    </row>
    <row r="3708" spans="1:10" ht="26.25" hidden="1" thickBot="1" x14ac:dyDescent="0.3">
      <c r="A3708" s="221"/>
      <c r="B3708" s="223"/>
      <c r="C3708" s="30" t="s">
        <v>1096</v>
      </c>
      <c r="D3708" s="30" t="s">
        <v>120</v>
      </c>
      <c r="E3708" s="31">
        <v>0.23</v>
      </c>
      <c r="F3708" s="48">
        <v>152</v>
      </c>
      <c r="G3708" s="48">
        <f t="shared" si="63"/>
        <v>34.96</v>
      </c>
      <c r="H3708" s="33">
        <f>SUM(G3708:G3718)</f>
        <v>139.19370857799998</v>
      </c>
      <c r="I3708" s="34"/>
      <c r="J3708" s="138">
        <v>0</v>
      </c>
    </row>
    <row r="3709" spans="1:10" ht="39" hidden="1" thickBot="1" x14ac:dyDescent="0.3">
      <c r="A3709" s="221"/>
      <c r="B3709" s="223"/>
      <c r="C3709" s="30" t="s">
        <v>1098</v>
      </c>
      <c r="D3709" s="30" t="s">
        <v>479</v>
      </c>
      <c r="E3709" s="31">
        <v>1.01</v>
      </c>
      <c r="F3709" s="48">
        <v>10.801499999999999</v>
      </c>
      <c r="G3709" s="48">
        <f t="shared" si="63"/>
        <v>10.909514999999999</v>
      </c>
      <c r="H3709" s="67"/>
      <c r="I3709" s="68"/>
      <c r="J3709" s="138">
        <v>0</v>
      </c>
    </row>
    <row r="3710" spans="1:10" ht="26.25" hidden="1" thickBot="1" x14ac:dyDescent="0.3">
      <c r="A3710" s="221"/>
      <c r="B3710" s="223"/>
      <c r="C3710" s="30" t="s">
        <v>950</v>
      </c>
      <c r="D3710" s="30" t="s">
        <v>702</v>
      </c>
      <c r="E3710" s="31">
        <v>0.5</v>
      </c>
      <c r="F3710" s="48">
        <v>24.300999999999998</v>
      </c>
      <c r="G3710" s="48">
        <f t="shared" si="63"/>
        <v>12.150499999999999</v>
      </c>
      <c r="H3710" s="67"/>
      <c r="I3710" s="68"/>
      <c r="J3710" s="138">
        <v>0</v>
      </c>
    </row>
    <row r="3711" spans="1:10" ht="15.75" hidden="1" thickBot="1" x14ac:dyDescent="0.3">
      <c r="A3711" s="221"/>
      <c r="B3711" s="223"/>
      <c r="C3711" s="30" t="s">
        <v>703</v>
      </c>
      <c r="D3711" s="30" t="s">
        <v>702</v>
      </c>
      <c r="E3711" s="31">
        <v>0.7</v>
      </c>
      <c r="F3711" s="48">
        <v>18.420500000000001</v>
      </c>
      <c r="G3711" s="48">
        <f t="shared" si="63"/>
        <v>12.894349999999999</v>
      </c>
      <c r="H3711" s="67"/>
      <c r="I3711" s="68"/>
      <c r="J3711" s="138">
        <v>0</v>
      </c>
    </row>
    <row r="3712" spans="1:10" ht="26.25" hidden="1" thickBot="1" x14ac:dyDescent="0.3">
      <c r="A3712" s="221"/>
      <c r="B3712" s="223"/>
      <c r="C3712" s="30" t="s">
        <v>1694</v>
      </c>
      <c r="D3712" s="30" t="s">
        <v>988</v>
      </c>
      <c r="E3712" s="31">
        <v>2.2000000000000002</v>
      </c>
      <c r="F3712" s="48">
        <v>20.253999999999998</v>
      </c>
      <c r="G3712" s="48">
        <f t="shared" si="63"/>
        <v>44.558799999999998</v>
      </c>
      <c r="H3712" s="67"/>
      <c r="I3712" s="68"/>
      <c r="J3712" s="138">
        <v>0</v>
      </c>
    </row>
    <row r="3713" spans="1:10" ht="26.25" hidden="1" thickBot="1" x14ac:dyDescent="0.3">
      <c r="A3713" s="221"/>
      <c r="B3713" s="223"/>
      <c r="C3713" s="30" t="s">
        <v>107</v>
      </c>
      <c r="D3713" s="30" t="s">
        <v>702</v>
      </c>
      <c r="E3713" s="31">
        <v>0.5</v>
      </c>
      <c r="F3713" s="48">
        <v>19.094999999999999</v>
      </c>
      <c r="G3713" s="48">
        <f t="shared" si="63"/>
        <v>9.5474999999999994</v>
      </c>
      <c r="H3713" s="67"/>
      <c r="I3713" s="68"/>
      <c r="J3713" s="138">
        <v>0</v>
      </c>
    </row>
    <row r="3714" spans="1:10" ht="51.75" hidden="1" thickBot="1" x14ac:dyDescent="0.3">
      <c r="A3714" s="221"/>
      <c r="B3714" s="223"/>
      <c r="C3714" s="30" t="s">
        <v>1826</v>
      </c>
      <c r="D3714" s="30" t="s">
        <v>109</v>
      </c>
      <c r="E3714" s="31">
        <f>1*E3708</f>
        <v>0.23</v>
      </c>
      <c r="F3714" s="28">
        <v>7.8564315999999996</v>
      </c>
      <c r="G3714" s="28">
        <f t="shared" si="63"/>
        <v>1.8069792680000001</v>
      </c>
      <c r="H3714" s="29"/>
      <c r="I3714" s="25"/>
      <c r="J3714" s="138">
        <v>0</v>
      </c>
    </row>
    <row r="3715" spans="1:10" ht="39" hidden="1" thickBot="1" x14ac:dyDescent="0.3">
      <c r="A3715" s="221"/>
      <c r="B3715" s="223"/>
      <c r="C3715" s="30" t="s">
        <v>121</v>
      </c>
      <c r="D3715" s="30" t="s">
        <v>122</v>
      </c>
      <c r="E3715" s="31">
        <f>E3708*20</f>
        <v>4.6000000000000005</v>
      </c>
      <c r="F3715" s="48">
        <v>2.6882748499999995</v>
      </c>
      <c r="G3715" s="48">
        <f t="shared" si="63"/>
        <v>12.366064309999999</v>
      </c>
      <c r="H3715" s="67"/>
      <c r="I3715" s="68"/>
      <c r="J3715" s="138">
        <v>0</v>
      </c>
    </row>
    <row r="3716" spans="1:10" ht="15.75" hidden="1" thickBot="1" x14ac:dyDescent="0.3">
      <c r="A3716" s="221"/>
      <c r="B3716" s="223"/>
      <c r="C3716" s="30"/>
      <c r="D3716" s="30"/>
      <c r="E3716" s="31"/>
      <c r="F3716" s="48" t="s">
        <v>521</v>
      </c>
      <c r="G3716" s="48" t="str">
        <f t="shared" si="63"/>
        <v/>
      </c>
      <c r="H3716" s="67"/>
      <c r="I3716" s="68"/>
      <c r="J3716" s="138">
        <v>0</v>
      </c>
    </row>
    <row r="3717" spans="1:10" ht="15.75" hidden="1" thickBot="1" x14ac:dyDescent="0.3">
      <c r="A3717" s="221"/>
      <c r="B3717" s="223"/>
      <c r="C3717" s="42" t="s">
        <v>1100</v>
      </c>
      <c r="D3717" s="30"/>
      <c r="E3717" s="31"/>
      <c r="F3717" s="48" t="s">
        <v>521</v>
      </c>
      <c r="G3717" s="48" t="str">
        <f t="shared" si="63"/>
        <v/>
      </c>
      <c r="H3717" s="67"/>
      <c r="I3717" s="68"/>
      <c r="J3717" s="138">
        <v>0</v>
      </c>
    </row>
    <row r="3718" spans="1:10" ht="15.75" hidden="1" thickBot="1" x14ac:dyDescent="0.3">
      <c r="A3718" s="221"/>
      <c r="B3718" s="223"/>
      <c r="C3718" s="30"/>
      <c r="D3718" s="30"/>
      <c r="E3718" s="31"/>
      <c r="F3718" s="48" t="s">
        <v>521</v>
      </c>
      <c r="G3718" s="48" t="str">
        <f t="shared" si="63"/>
        <v/>
      </c>
      <c r="H3718" s="67"/>
      <c r="I3718" s="68"/>
      <c r="J3718" s="138">
        <v>0</v>
      </c>
    </row>
    <row r="3719" spans="1:10" ht="15.75" hidden="1" thickBot="1" x14ac:dyDescent="0.3">
      <c r="A3719" s="220" t="s">
        <v>1101</v>
      </c>
      <c r="B3719" s="222" t="e">
        <f>INDEX(Orçamentária!A:B,MATCH(Composições!A3719,Orçamentária!A:A,0),2)</f>
        <v>#N/A</v>
      </c>
      <c r="C3719" s="35"/>
      <c r="D3719" s="20" t="s">
        <v>20</v>
      </c>
      <c r="E3719" s="21"/>
      <c r="F3719" s="43" t="s">
        <v>521</v>
      </c>
      <c r="G3719" s="22" t="str">
        <f t="shared" si="63"/>
        <v/>
      </c>
      <c r="H3719" s="23"/>
      <c r="I3719" s="24"/>
      <c r="J3719" s="138">
        <v>0</v>
      </c>
    </row>
    <row r="3720" spans="1:10" ht="15.75" hidden="1" thickBot="1" x14ac:dyDescent="0.3">
      <c r="A3720" s="221"/>
      <c r="B3720" s="223"/>
      <c r="C3720" s="26"/>
      <c r="D3720" s="26"/>
      <c r="E3720" s="27"/>
      <c r="F3720" s="48" t="s">
        <v>521</v>
      </c>
      <c r="G3720" s="48" t="str">
        <f t="shared" si="63"/>
        <v/>
      </c>
      <c r="H3720" s="67"/>
      <c r="I3720" s="68"/>
      <c r="J3720" s="138">
        <v>0</v>
      </c>
    </row>
    <row r="3721" spans="1:10" ht="15.75" hidden="1" thickBot="1" x14ac:dyDescent="0.3">
      <c r="A3721" s="221"/>
      <c r="B3721" s="223"/>
      <c r="C3721" s="30" t="s">
        <v>22</v>
      </c>
      <c r="D3721" s="30" t="s">
        <v>12</v>
      </c>
      <c r="E3721" s="31">
        <f>0.1+0.1</f>
        <v>0.2</v>
      </c>
      <c r="F3721" s="48">
        <v>24.889999999999997</v>
      </c>
      <c r="G3721" s="48">
        <f t="shared" si="63"/>
        <v>4.9779999999999998</v>
      </c>
      <c r="H3721" s="33">
        <f>SUM(G3721:G3726)</f>
        <v>8.943540135314592</v>
      </c>
      <c r="I3721" s="34"/>
      <c r="J3721" s="138">
        <v>0</v>
      </c>
    </row>
    <row r="3722" spans="1:10" ht="15.75" hidden="1" thickBot="1" x14ac:dyDescent="0.3">
      <c r="A3722" s="221"/>
      <c r="B3722" s="223"/>
      <c r="C3722" s="30" t="s">
        <v>23</v>
      </c>
      <c r="D3722" s="30" t="s">
        <v>12</v>
      </c>
      <c r="E3722" s="31">
        <f>0.1+0.1</f>
        <v>0.2</v>
      </c>
      <c r="F3722" s="48">
        <v>18.420500000000001</v>
      </c>
      <c r="G3722" s="48">
        <f t="shared" si="63"/>
        <v>3.6841000000000004</v>
      </c>
      <c r="H3722" s="67"/>
      <c r="I3722" s="68"/>
      <c r="J3722" s="138">
        <v>0</v>
      </c>
    </row>
    <row r="3723" spans="1:10" ht="15.75" hidden="1" thickBot="1" x14ac:dyDescent="0.3">
      <c r="A3723" s="221"/>
      <c r="B3723" s="223"/>
      <c r="C3723" s="30" t="s">
        <v>1023</v>
      </c>
      <c r="D3723" s="30" t="s">
        <v>144</v>
      </c>
      <c r="E3723" s="31">
        <f>0.016*2</f>
        <v>3.2000000000000001E-2</v>
      </c>
      <c r="F3723" s="48">
        <v>0</v>
      </c>
      <c r="G3723" s="48">
        <f t="shared" si="63"/>
        <v>0</v>
      </c>
      <c r="H3723" s="67"/>
      <c r="I3723" s="68"/>
      <c r="J3723" s="138">
        <v>0</v>
      </c>
    </row>
    <row r="3724" spans="1:10" ht="15.75" hidden="1" thickBot="1" x14ac:dyDescent="0.3">
      <c r="A3724" s="221"/>
      <c r="B3724" s="223"/>
      <c r="C3724" s="30" t="s">
        <v>1024</v>
      </c>
      <c r="D3724" s="30" t="s">
        <v>1025</v>
      </c>
      <c r="E3724" s="31">
        <f>0.1*2</f>
        <v>0.2</v>
      </c>
      <c r="F3724" s="48">
        <v>0</v>
      </c>
      <c r="G3724" s="48">
        <f t="shared" si="63"/>
        <v>0</v>
      </c>
      <c r="H3724" s="67"/>
      <c r="I3724" s="68"/>
      <c r="J3724" s="138">
        <v>0</v>
      </c>
    </row>
    <row r="3725" spans="1:10" ht="15.75" hidden="1" thickBot="1" x14ac:dyDescent="0.3">
      <c r="A3725" s="221"/>
      <c r="B3725" s="223"/>
      <c r="C3725" s="30" t="s">
        <v>1102</v>
      </c>
      <c r="D3725" s="30" t="s">
        <v>144</v>
      </c>
      <c r="E3725" s="31">
        <v>1</v>
      </c>
      <c r="F3725" s="48" t="s">
        <v>521</v>
      </c>
      <c r="G3725" s="48" t="str">
        <f t="shared" si="63"/>
        <v/>
      </c>
      <c r="H3725" s="67"/>
      <c r="I3725" s="68"/>
      <c r="J3725" s="138">
        <v>0</v>
      </c>
    </row>
    <row r="3726" spans="1:10" ht="39" hidden="1" thickBot="1" x14ac:dyDescent="0.3">
      <c r="A3726" s="221"/>
      <c r="B3726" s="223"/>
      <c r="C3726" s="30" t="s">
        <v>1026</v>
      </c>
      <c r="D3726" s="30" t="s">
        <v>109</v>
      </c>
      <c r="E3726" s="31">
        <f>ROUND(0.15*0.05*0.05,4)</f>
        <v>4.0000000000000002E-4</v>
      </c>
      <c r="F3726" s="48">
        <v>703.60033828648</v>
      </c>
      <c r="G3726" s="48">
        <f t="shared" si="63"/>
        <v>0.281440135314592</v>
      </c>
      <c r="H3726" s="67"/>
      <c r="I3726" s="68"/>
      <c r="J3726" s="138">
        <v>0</v>
      </c>
    </row>
    <row r="3727" spans="1:10" ht="15.75" hidden="1" thickBot="1" x14ac:dyDescent="0.3">
      <c r="A3727" s="221"/>
      <c r="B3727" s="223"/>
      <c r="C3727" s="30"/>
      <c r="D3727" s="30"/>
      <c r="E3727" s="31"/>
      <c r="F3727" s="48" t="s">
        <v>521</v>
      </c>
      <c r="G3727" s="48" t="str">
        <f t="shared" si="63"/>
        <v/>
      </c>
      <c r="H3727" s="67"/>
      <c r="I3727" s="68"/>
      <c r="J3727" s="138">
        <v>0</v>
      </c>
    </row>
    <row r="3728" spans="1:10" ht="15.75" hidden="1" thickBot="1" x14ac:dyDescent="0.3">
      <c r="A3728" s="221"/>
      <c r="B3728" s="223"/>
      <c r="C3728" s="135" t="s">
        <v>1027</v>
      </c>
      <c r="D3728" s="30"/>
      <c r="E3728" s="31"/>
      <c r="F3728" s="48" t="s">
        <v>521</v>
      </c>
      <c r="G3728" s="48" t="str">
        <f t="shared" si="63"/>
        <v/>
      </c>
      <c r="H3728" s="67"/>
      <c r="I3728" s="68"/>
      <c r="J3728" s="138">
        <v>0</v>
      </c>
    </row>
    <row r="3729" spans="1:10" ht="15.75" hidden="1" thickBot="1" x14ac:dyDescent="0.3">
      <c r="A3729" s="227"/>
      <c r="B3729" s="224"/>
      <c r="C3729" s="49"/>
      <c r="D3729" s="49"/>
      <c r="E3729" s="60"/>
      <c r="F3729" s="70" t="s">
        <v>521</v>
      </c>
      <c r="G3729" s="70" t="str">
        <f t="shared" si="63"/>
        <v/>
      </c>
      <c r="H3729" s="71"/>
      <c r="I3729" s="68"/>
      <c r="J3729" s="138">
        <v>0</v>
      </c>
    </row>
    <row r="3730" spans="1:10" ht="15.75" hidden="1" thickBot="1" x14ac:dyDescent="0.3">
      <c r="A3730" s="220" t="s">
        <v>1103</v>
      </c>
      <c r="B3730" s="222" t="e">
        <f>INDEX(Orçamentária!A:B,MATCH(Composições!A3730,Orçamentária!A:A,0),2)</f>
        <v>#N/A</v>
      </c>
      <c r="C3730" s="35"/>
      <c r="D3730" s="20" t="s">
        <v>1995</v>
      </c>
      <c r="E3730" s="21"/>
      <c r="F3730" s="43" t="s">
        <v>521</v>
      </c>
      <c r="G3730" s="22" t="str">
        <f t="shared" si="63"/>
        <v/>
      </c>
      <c r="H3730" s="23"/>
      <c r="I3730" s="24"/>
      <c r="J3730" s="138">
        <v>0</v>
      </c>
    </row>
    <row r="3731" spans="1:10" ht="15.75" hidden="1" thickBot="1" x14ac:dyDescent="0.3">
      <c r="A3731" s="225"/>
      <c r="B3731" s="223"/>
      <c r="C3731" s="26"/>
      <c r="D3731" s="26"/>
      <c r="E3731" s="27"/>
      <c r="F3731" s="48" t="s">
        <v>521</v>
      </c>
      <c r="G3731" s="48" t="str">
        <f t="shared" si="63"/>
        <v/>
      </c>
      <c r="H3731" s="67"/>
      <c r="I3731" s="68"/>
      <c r="J3731" s="138">
        <v>0</v>
      </c>
    </row>
    <row r="3732" spans="1:10" ht="39" hidden="1" thickBot="1" x14ac:dyDescent="0.3">
      <c r="A3732" s="225"/>
      <c r="B3732" s="223"/>
      <c r="C3732" s="30" t="s">
        <v>2707</v>
      </c>
      <c r="D3732" s="44" t="s">
        <v>127</v>
      </c>
      <c r="E3732" s="31">
        <v>1</v>
      </c>
      <c r="F3732" s="48">
        <v>1035.5</v>
      </c>
      <c r="G3732" s="48">
        <f t="shared" si="63"/>
        <v>1035.5</v>
      </c>
      <c r="H3732" s="33">
        <f>SUM(G3732:G3732)</f>
        <v>1035.5</v>
      </c>
      <c r="I3732" s="34"/>
      <c r="J3732" s="138">
        <v>0</v>
      </c>
    </row>
    <row r="3733" spans="1:10" ht="15.75" hidden="1" thickBot="1" x14ac:dyDescent="0.3">
      <c r="A3733" s="226"/>
      <c r="B3733" s="224"/>
      <c r="C3733" s="30"/>
      <c r="D3733" s="30"/>
      <c r="E3733" s="31"/>
      <c r="F3733" s="48" t="s">
        <v>521</v>
      </c>
      <c r="G3733" s="48" t="str">
        <f t="shared" si="63"/>
        <v/>
      </c>
      <c r="H3733" s="67"/>
      <c r="I3733" s="68"/>
      <c r="J3733" s="138">
        <v>0</v>
      </c>
    </row>
    <row r="3734" spans="1:10" ht="15.75" hidden="1" thickBot="1" x14ac:dyDescent="0.3">
      <c r="A3734" s="220" t="s">
        <v>1104</v>
      </c>
      <c r="B3734" s="222" t="e">
        <f>INDEX(Orçamentária!A:B,MATCH(Composições!A3734,Orçamentária!A:A,0),2)</f>
        <v>#N/A</v>
      </c>
      <c r="C3734" s="35"/>
      <c r="D3734" s="20" t="s">
        <v>93</v>
      </c>
      <c r="E3734" s="21"/>
      <c r="F3734" s="36" t="s">
        <v>521</v>
      </c>
      <c r="G3734" s="22" t="str">
        <f t="shared" si="63"/>
        <v/>
      </c>
      <c r="H3734" s="23"/>
      <c r="I3734" s="24"/>
      <c r="J3734" s="138">
        <v>0</v>
      </c>
    </row>
    <row r="3735" spans="1:10" ht="15.75" hidden="1" thickBot="1" x14ac:dyDescent="0.3">
      <c r="A3735" s="221"/>
      <c r="B3735" s="223"/>
      <c r="C3735" s="26"/>
      <c r="D3735" s="26"/>
      <c r="E3735" s="27"/>
      <c r="F3735" s="37" t="s">
        <v>521</v>
      </c>
      <c r="G3735" s="25" t="str">
        <f t="shared" si="63"/>
        <v/>
      </c>
      <c r="H3735" s="29"/>
      <c r="I3735" s="25"/>
      <c r="J3735" s="138">
        <v>0</v>
      </c>
    </row>
    <row r="3736" spans="1:10" ht="26.25" hidden="1" thickBot="1" x14ac:dyDescent="0.3">
      <c r="A3736" s="221"/>
      <c r="B3736" s="223"/>
      <c r="C3736" s="30" t="s">
        <v>1105</v>
      </c>
      <c r="D3736" s="30" t="s">
        <v>938</v>
      </c>
      <c r="E3736" s="31">
        <v>0.183</v>
      </c>
      <c r="F3736" s="25">
        <v>22.001999999999999</v>
      </c>
      <c r="G3736" s="25">
        <f t="shared" si="63"/>
        <v>4.0263659999999994</v>
      </c>
      <c r="H3736" s="33">
        <f>SUM(G3736:G3742)</f>
        <v>41.487603574415999</v>
      </c>
      <c r="I3736" s="34"/>
      <c r="J3736" s="138">
        <v>0</v>
      </c>
    </row>
    <row r="3737" spans="1:10" ht="26.25" hidden="1" thickBot="1" x14ac:dyDescent="0.3">
      <c r="A3737" s="221"/>
      <c r="B3737" s="223"/>
      <c r="C3737" s="30" t="s">
        <v>1106</v>
      </c>
      <c r="D3737" s="30" t="s">
        <v>940</v>
      </c>
      <c r="E3737" s="31">
        <v>0.40100000000000002</v>
      </c>
      <c r="F3737" s="25">
        <v>20.795500000000001</v>
      </c>
      <c r="G3737" s="25">
        <f t="shared" si="63"/>
        <v>8.3389955000000011</v>
      </c>
      <c r="H3737" s="29"/>
      <c r="I3737" s="25"/>
      <c r="J3737" s="138">
        <v>0</v>
      </c>
    </row>
    <row r="3738" spans="1:10" ht="26.25" hidden="1" thickBot="1" x14ac:dyDescent="0.3">
      <c r="A3738" s="221"/>
      <c r="B3738" s="223"/>
      <c r="C3738" s="30" t="s">
        <v>107</v>
      </c>
      <c r="D3738" s="30" t="s">
        <v>12</v>
      </c>
      <c r="E3738" s="31">
        <v>9.0999999999999998E-2</v>
      </c>
      <c r="F3738" s="25">
        <v>19.094999999999999</v>
      </c>
      <c r="G3738" s="25">
        <f t="shared" si="63"/>
        <v>1.7376449999999999</v>
      </c>
      <c r="H3738" s="29"/>
      <c r="I3738" s="25"/>
      <c r="J3738" s="138">
        <v>0</v>
      </c>
    </row>
    <row r="3739" spans="1:10" ht="15.75" hidden="1" thickBot="1" x14ac:dyDescent="0.3">
      <c r="A3739" s="221"/>
      <c r="B3739" s="223"/>
      <c r="C3739" s="30" t="s">
        <v>39</v>
      </c>
      <c r="D3739" s="41" t="s">
        <v>12</v>
      </c>
      <c r="E3739" s="31">
        <v>0.58299999999999996</v>
      </c>
      <c r="F3739" s="25">
        <v>24.300999999999998</v>
      </c>
      <c r="G3739" s="25">
        <f t="shared" si="63"/>
        <v>14.167482999999999</v>
      </c>
      <c r="H3739" s="29"/>
      <c r="I3739" s="25"/>
      <c r="J3739" s="138">
        <v>0</v>
      </c>
    </row>
    <row r="3740" spans="1:10" ht="26.25" hidden="1" thickBot="1" x14ac:dyDescent="0.3">
      <c r="A3740" s="221"/>
      <c r="B3740" s="223"/>
      <c r="C3740" s="30" t="s">
        <v>107</v>
      </c>
      <c r="D3740" s="30" t="s">
        <v>12</v>
      </c>
      <c r="E3740" s="31">
        <v>3.7999999999999999E-2</v>
      </c>
      <c r="F3740" s="25">
        <v>19.094999999999999</v>
      </c>
      <c r="G3740" s="25">
        <f t="shared" si="63"/>
        <v>0.72560999999999998</v>
      </c>
      <c r="H3740" s="29"/>
      <c r="I3740" s="25"/>
      <c r="J3740" s="138">
        <v>0</v>
      </c>
    </row>
    <row r="3741" spans="1:10" ht="15.75" hidden="1" thickBot="1" x14ac:dyDescent="0.3">
      <c r="A3741" s="221"/>
      <c r="B3741" s="223"/>
      <c r="C3741" s="30" t="s">
        <v>39</v>
      </c>
      <c r="D3741" s="41" t="s">
        <v>12</v>
      </c>
      <c r="E3741" s="31">
        <v>0.27200000000000002</v>
      </c>
      <c r="F3741" s="25">
        <v>24.300999999999998</v>
      </c>
      <c r="G3741" s="25">
        <f t="shared" si="63"/>
        <v>6.6098720000000002</v>
      </c>
      <c r="H3741" s="29"/>
      <c r="I3741" s="25"/>
      <c r="J3741" s="138">
        <v>0</v>
      </c>
    </row>
    <row r="3742" spans="1:10" ht="26.25" hidden="1" thickBot="1" x14ac:dyDescent="0.3">
      <c r="A3742" s="221"/>
      <c r="B3742" s="223"/>
      <c r="C3742" s="30" t="s">
        <v>108</v>
      </c>
      <c r="D3742" s="30" t="s">
        <v>109</v>
      </c>
      <c r="E3742" s="31">
        <v>8.0000000000000002E-3</v>
      </c>
      <c r="F3742" s="28">
        <v>735.20400930200003</v>
      </c>
      <c r="G3742" s="28">
        <f t="shared" si="63"/>
        <v>5.8816320744160002</v>
      </c>
      <c r="H3742" s="29"/>
      <c r="I3742" s="25"/>
      <c r="J3742" s="138">
        <v>0</v>
      </c>
    </row>
    <row r="3743" spans="1:10" ht="15.75" hidden="1" thickBot="1" x14ac:dyDescent="0.3">
      <c r="A3743" s="227"/>
      <c r="B3743" s="224"/>
      <c r="C3743" s="30"/>
      <c r="D3743" s="30"/>
      <c r="E3743" s="31"/>
      <c r="F3743" s="25" t="s">
        <v>521</v>
      </c>
      <c r="G3743" s="25" t="str">
        <f t="shared" si="63"/>
        <v/>
      </c>
      <c r="H3743" s="29"/>
      <c r="I3743" s="25"/>
      <c r="J3743" s="138">
        <v>0</v>
      </c>
    </row>
    <row r="3744" spans="1:10" ht="15.75" hidden="1" thickBot="1" x14ac:dyDescent="0.3">
      <c r="A3744" s="220" t="s">
        <v>1107</v>
      </c>
      <c r="B3744" s="222" t="e">
        <f>INDEX(Orçamentária!A:B,MATCH(Composições!A3744,Orçamentária!A:A,0),2)</f>
        <v>#N/A</v>
      </c>
      <c r="C3744" s="35"/>
      <c r="D3744" s="20" t="s">
        <v>95</v>
      </c>
      <c r="E3744" s="21"/>
      <c r="F3744" s="43" t="s">
        <v>521</v>
      </c>
      <c r="G3744" s="22" t="str">
        <f t="shared" si="63"/>
        <v/>
      </c>
      <c r="H3744" s="23"/>
      <c r="I3744" s="24"/>
      <c r="J3744" s="138">
        <v>0</v>
      </c>
    </row>
    <row r="3745" spans="1:10" ht="15.75" hidden="1" thickBot="1" x14ac:dyDescent="0.3">
      <c r="A3745" s="225"/>
      <c r="B3745" s="223"/>
      <c r="C3745" s="26"/>
      <c r="D3745" s="26"/>
      <c r="E3745" s="27"/>
      <c r="F3745" s="48" t="s">
        <v>521</v>
      </c>
      <c r="G3745" s="48" t="str">
        <f t="shared" si="63"/>
        <v/>
      </c>
      <c r="H3745" s="67"/>
      <c r="I3745" s="68"/>
      <c r="J3745" s="138">
        <v>0</v>
      </c>
    </row>
    <row r="3746" spans="1:10" ht="15.75" hidden="1" thickBot="1" x14ac:dyDescent="0.3">
      <c r="A3746" s="225"/>
      <c r="B3746" s="223"/>
      <c r="C3746" s="30" t="s">
        <v>1830</v>
      </c>
      <c r="D3746" s="44" t="s">
        <v>42</v>
      </c>
      <c r="E3746" s="31">
        <v>0.25900000000000001</v>
      </c>
      <c r="F3746" s="48">
        <v>3.0590000000000002</v>
      </c>
      <c r="G3746" s="48">
        <f t="shared" si="63"/>
        <v>0.79228100000000001</v>
      </c>
      <c r="H3746" s="33">
        <f>SUM(G3746:G3747)</f>
        <v>10.002531000000001</v>
      </c>
      <c r="I3746" s="34"/>
      <c r="J3746" s="138">
        <v>0</v>
      </c>
    </row>
    <row r="3747" spans="1:10" ht="15.75" hidden="1" thickBot="1" x14ac:dyDescent="0.3">
      <c r="A3747" s="225"/>
      <c r="B3747" s="223"/>
      <c r="C3747" s="30" t="s">
        <v>23</v>
      </c>
      <c r="D3747" s="30" t="s">
        <v>12</v>
      </c>
      <c r="E3747" s="31">
        <f>0.25*2</f>
        <v>0.5</v>
      </c>
      <c r="F3747" s="48">
        <v>18.420500000000001</v>
      </c>
      <c r="G3747" s="48">
        <f t="shared" si="63"/>
        <v>9.2102500000000003</v>
      </c>
      <c r="H3747" s="67"/>
      <c r="I3747" s="68"/>
      <c r="J3747" s="138">
        <v>0</v>
      </c>
    </row>
    <row r="3748" spans="1:10" ht="15.75" hidden="1" thickBot="1" x14ac:dyDescent="0.3">
      <c r="A3748" s="226"/>
      <c r="B3748" s="224"/>
      <c r="C3748" s="30"/>
      <c r="D3748" s="30"/>
      <c r="E3748" s="31"/>
      <c r="F3748" s="48" t="s">
        <v>521</v>
      </c>
      <c r="G3748" s="48" t="str">
        <f t="shared" si="63"/>
        <v/>
      </c>
      <c r="H3748" s="67"/>
      <c r="I3748" s="68"/>
      <c r="J3748" s="138">
        <v>0</v>
      </c>
    </row>
    <row r="3749" spans="1:10" ht="15.75" hidden="1" thickBot="1" x14ac:dyDescent="0.3">
      <c r="A3749" s="220" t="s">
        <v>1108</v>
      </c>
      <c r="B3749" s="222" t="e">
        <f>INDEX(Orçamentária!A:B,MATCH(Composições!A3749,Orçamentária!A:A,0),2)</f>
        <v>#N/A</v>
      </c>
      <c r="C3749" s="35"/>
      <c r="D3749" s="20" t="s">
        <v>95</v>
      </c>
      <c r="E3749" s="21"/>
      <c r="F3749" s="43" t="s">
        <v>521</v>
      </c>
      <c r="G3749" s="22" t="str">
        <f t="shared" si="63"/>
        <v/>
      </c>
      <c r="H3749" s="23"/>
      <c r="I3749" s="24"/>
      <c r="J3749" s="138">
        <v>0</v>
      </c>
    </row>
    <row r="3750" spans="1:10" ht="15.75" hidden="1" thickBot="1" x14ac:dyDescent="0.3">
      <c r="A3750" s="225"/>
      <c r="B3750" s="223"/>
      <c r="C3750" s="26"/>
      <c r="D3750" s="26"/>
      <c r="E3750" s="27"/>
      <c r="F3750" s="48" t="s">
        <v>521</v>
      </c>
      <c r="G3750" s="48" t="str">
        <f t="shared" si="63"/>
        <v/>
      </c>
      <c r="H3750" s="67"/>
      <c r="I3750" s="68"/>
      <c r="J3750" s="138">
        <v>0</v>
      </c>
    </row>
    <row r="3751" spans="1:10" ht="15.75" hidden="1" thickBot="1" x14ac:dyDescent="0.3">
      <c r="A3751" s="225"/>
      <c r="B3751" s="223"/>
      <c r="C3751" s="30" t="s">
        <v>1109</v>
      </c>
      <c r="D3751" s="44" t="s">
        <v>102</v>
      </c>
      <c r="E3751" s="31">
        <f>ROUND(1/12,4)</f>
        <v>8.3299999999999999E-2</v>
      </c>
      <c r="F3751" s="48" t="s">
        <v>521</v>
      </c>
      <c r="G3751" s="48" t="str">
        <f t="shared" si="63"/>
        <v/>
      </c>
      <c r="H3751" s="33">
        <f>SUM(G3751:G3753)</f>
        <v>20.460149999999999</v>
      </c>
      <c r="I3751" s="34"/>
      <c r="J3751" s="138">
        <v>0</v>
      </c>
    </row>
    <row r="3752" spans="1:10" ht="15.75" hidden="1" thickBot="1" x14ac:dyDescent="0.3">
      <c r="A3752" s="225"/>
      <c r="B3752" s="223"/>
      <c r="C3752" s="30" t="s">
        <v>1010</v>
      </c>
      <c r="D3752" s="30" t="s">
        <v>702</v>
      </c>
      <c r="E3752" s="31">
        <f>1.2/2</f>
        <v>0.6</v>
      </c>
      <c r="F3752" s="48">
        <v>24.889999999999997</v>
      </c>
      <c r="G3752" s="48">
        <f t="shared" si="63"/>
        <v>14.933999999999997</v>
      </c>
      <c r="H3752" s="67"/>
      <c r="I3752" s="68"/>
      <c r="J3752" s="138">
        <v>0</v>
      </c>
    </row>
    <row r="3753" spans="1:10" ht="15.75" hidden="1" thickBot="1" x14ac:dyDescent="0.3">
      <c r="A3753" s="225"/>
      <c r="B3753" s="223"/>
      <c r="C3753" s="30" t="s">
        <v>23</v>
      </c>
      <c r="D3753" s="30" t="s">
        <v>702</v>
      </c>
      <c r="E3753" s="31">
        <f>0.6/2</f>
        <v>0.3</v>
      </c>
      <c r="F3753" s="48">
        <v>18.420500000000001</v>
      </c>
      <c r="G3753" s="48">
        <f t="shared" si="63"/>
        <v>5.5261500000000003</v>
      </c>
      <c r="H3753" s="67"/>
      <c r="I3753" s="68"/>
      <c r="J3753" s="138">
        <v>0</v>
      </c>
    </row>
    <row r="3754" spans="1:10" ht="15.75" hidden="1" thickBot="1" x14ac:dyDescent="0.3">
      <c r="A3754" s="225"/>
      <c r="B3754" s="223"/>
      <c r="C3754" s="30"/>
      <c r="D3754" s="30"/>
      <c r="E3754" s="31"/>
      <c r="F3754" s="48" t="s">
        <v>521</v>
      </c>
      <c r="G3754" s="48" t="str">
        <f t="shared" si="63"/>
        <v/>
      </c>
      <c r="H3754" s="67"/>
      <c r="I3754" s="68"/>
      <c r="J3754" s="138">
        <v>0</v>
      </c>
    </row>
    <row r="3755" spans="1:10" ht="26.25" hidden="1" thickBot="1" x14ac:dyDescent="0.3">
      <c r="A3755" s="225"/>
      <c r="B3755" s="223"/>
      <c r="C3755" s="42" t="s">
        <v>1110</v>
      </c>
      <c r="D3755" s="30"/>
      <c r="E3755" s="31"/>
      <c r="F3755" s="48" t="s">
        <v>521</v>
      </c>
      <c r="G3755" s="48" t="str">
        <f t="shared" si="63"/>
        <v/>
      </c>
      <c r="H3755" s="67"/>
      <c r="I3755" s="68"/>
      <c r="J3755" s="138">
        <v>0</v>
      </c>
    </row>
    <row r="3756" spans="1:10" ht="15.75" hidden="1" thickBot="1" x14ac:dyDescent="0.3">
      <c r="A3756" s="225"/>
      <c r="B3756" s="223"/>
      <c r="C3756" s="42" t="s">
        <v>1111</v>
      </c>
      <c r="D3756" s="30"/>
      <c r="E3756" s="31"/>
      <c r="F3756" s="48" t="s">
        <v>521</v>
      </c>
      <c r="G3756" s="48" t="str">
        <f t="shared" si="63"/>
        <v/>
      </c>
      <c r="H3756" s="67"/>
      <c r="I3756" s="68"/>
      <c r="J3756" s="138">
        <v>0</v>
      </c>
    </row>
    <row r="3757" spans="1:10" ht="15.75" hidden="1" thickBot="1" x14ac:dyDescent="0.3">
      <c r="A3757" s="226"/>
      <c r="B3757" s="224"/>
      <c r="C3757" s="30"/>
      <c r="D3757" s="30"/>
      <c r="E3757" s="31"/>
      <c r="F3757" s="48" t="s">
        <v>521</v>
      </c>
      <c r="G3757" s="48" t="str">
        <f t="shared" si="63"/>
        <v/>
      </c>
      <c r="H3757" s="67"/>
      <c r="I3757" s="68"/>
      <c r="J3757" s="138">
        <v>0</v>
      </c>
    </row>
    <row r="3758" spans="1:10" ht="15.75" hidden="1" thickBot="1" x14ac:dyDescent="0.3">
      <c r="A3758" s="220" t="s">
        <v>1112</v>
      </c>
      <c r="B3758" s="222" t="e">
        <f>INDEX(Orçamentária!A:B,MATCH(Composições!A3758,Orçamentária!A:A,0),2)</f>
        <v>#N/A</v>
      </c>
      <c r="C3758" s="35"/>
      <c r="D3758" s="20" t="s">
        <v>95</v>
      </c>
      <c r="E3758" s="21"/>
      <c r="F3758" s="43" t="s">
        <v>521</v>
      </c>
      <c r="G3758" s="22" t="str">
        <f t="shared" si="63"/>
        <v/>
      </c>
      <c r="H3758" s="23"/>
      <c r="I3758" s="24"/>
      <c r="J3758" s="138">
        <v>0</v>
      </c>
    </row>
    <row r="3759" spans="1:10" ht="15.75" hidden="1" thickBot="1" x14ac:dyDescent="0.3">
      <c r="A3759" s="221"/>
      <c r="B3759" s="223"/>
      <c r="C3759" s="26"/>
      <c r="D3759" s="26"/>
      <c r="E3759" s="27"/>
      <c r="F3759" s="48" t="s">
        <v>521</v>
      </c>
      <c r="G3759" s="48" t="str">
        <f t="shared" si="63"/>
        <v/>
      </c>
      <c r="H3759" s="67"/>
      <c r="I3759" s="68"/>
      <c r="J3759" s="138">
        <v>0</v>
      </c>
    </row>
    <row r="3760" spans="1:10" ht="15.75" hidden="1" thickBot="1" x14ac:dyDescent="0.3">
      <c r="A3760" s="221"/>
      <c r="B3760" s="223"/>
      <c r="C3760" s="30" t="s">
        <v>2259</v>
      </c>
      <c r="D3760" s="30" t="s">
        <v>897</v>
      </c>
      <c r="E3760" s="31">
        <v>9.5000000000000001E-2</v>
      </c>
      <c r="F3760" s="48">
        <v>43.462499999999999</v>
      </c>
      <c r="G3760" s="48">
        <f t="shared" si="63"/>
        <v>4.1289375000000001</v>
      </c>
      <c r="H3760" s="33">
        <f>SUM(G3760:G3763)</f>
        <v>124.04777000000001</v>
      </c>
      <c r="I3760" s="34"/>
      <c r="J3760" s="138">
        <v>0</v>
      </c>
    </row>
    <row r="3761" spans="1:10" ht="26.25" hidden="1" thickBot="1" x14ac:dyDescent="0.3">
      <c r="A3761" s="221"/>
      <c r="B3761" s="223"/>
      <c r="C3761" s="30" t="s">
        <v>1113</v>
      </c>
      <c r="D3761" s="30" t="s">
        <v>988</v>
      </c>
      <c r="E3761" s="31">
        <v>1.1100000000000001</v>
      </c>
      <c r="F3761" s="48">
        <v>102.78999999999999</v>
      </c>
      <c r="G3761" s="48">
        <f t="shared" si="63"/>
        <v>114.09690000000001</v>
      </c>
      <c r="H3761" s="67"/>
      <c r="I3761" s="68"/>
      <c r="J3761" s="138">
        <v>0</v>
      </c>
    </row>
    <row r="3762" spans="1:10" ht="15.75" hidden="1" thickBot="1" x14ac:dyDescent="0.3">
      <c r="A3762" s="221"/>
      <c r="B3762" s="223"/>
      <c r="C3762" s="30" t="s">
        <v>710</v>
      </c>
      <c r="D3762" s="30" t="s">
        <v>702</v>
      </c>
      <c r="E3762" s="31">
        <v>0.17100000000000001</v>
      </c>
      <c r="F3762" s="48">
        <v>24.889999999999997</v>
      </c>
      <c r="G3762" s="48">
        <f t="shared" si="63"/>
        <v>4.2561900000000001</v>
      </c>
      <c r="H3762" s="67"/>
      <c r="I3762" s="68"/>
      <c r="J3762" s="138">
        <v>0</v>
      </c>
    </row>
    <row r="3763" spans="1:10" ht="15.75" hidden="1" thickBot="1" x14ac:dyDescent="0.3">
      <c r="A3763" s="221"/>
      <c r="B3763" s="223"/>
      <c r="C3763" s="30" t="s">
        <v>703</v>
      </c>
      <c r="D3763" s="30" t="s">
        <v>702</v>
      </c>
      <c r="E3763" s="31">
        <v>8.5000000000000006E-2</v>
      </c>
      <c r="F3763" s="48">
        <v>18.420500000000001</v>
      </c>
      <c r="G3763" s="48">
        <f t="shared" si="63"/>
        <v>1.5657425000000003</v>
      </c>
      <c r="H3763" s="67"/>
      <c r="I3763" s="68"/>
      <c r="J3763" s="138">
        <v>0</v>
      </c>
    </row>
    <row r="3764" spans="1:10" ht="15.75" hidden="1" thickBot="1" x14ac:dyDescent="0.3">
      <c r="A3764" s="221"/>
      <c r="B3764" s="223"/>
      <c r="C3764" s="30"/>
      <c r="D3764" s="30"/>
      <c r="E3764" s="31"/>
      <c r="F3764" s="48" t="s">
        <v>521</v>
      </c>
      <c r="G3764" s="48" t="str">
        <f t="shared" si="63"/>
        <v/>
      </c>
      <c r="H3764" s="67"/>
      <c r="I3764" s="68"/>
      <c r="J3764" s="138">
        <v>0</v>
      </c>
    </row>
    <row r="3765" spans="1:10" ht="15.75" hidden="1" thickBot="1" x14ac:dyDescent="0.3">
      <c r="A3765" s="220" t="s">
        <v>1114</v>
      </c>
      <c r="B3765" s="222" t="e">
        <f>INDEX(Orçamentária!A:B,MATCH(Composições!A3765,Orçamentária!A:A,0),2)</f>
        <v>#N/A</v>
      </c>
      <c r="C3765" s="35"/>
      <c r="D3765" s="20" t="s">
        <v>1995</v>
      </c>
      <c r="E3765" s="21"/>
      <c r="F3765" s="43" t="s">
        <v>521</v>
      </c>
      <c r="G3765" s="22" t="str">
        <f t="shared" ref="G3765:G3828" si="64">IF(ISNUMBER(F3765),E3765*F3765,"")</f>
        <v/>
      </c>
      <c r="H3765" s="23"/>
      <c r="I3765" s="24"/>
      <c r="J3765" s="138">
        <v>0</v>
      </c>
    </row>
    <row r="3766" spans="1:10" ht="15.75" hidden="1" thickBot="1" x14ac:dyDescent="0.3">
      <c r="A3766" s="225"/>
      <c r="B3766" s="223"/>
      <c r="C3766" s="26"/>
      <c r="D3766" s="26"/>
      <c r="E3766" s="27"/>
      <c r="F3766" s="48" t="s">
        <v>521</v>
      </c>
      <c r="G3766" s="48" t="str">
        <f t="shared" si="64"/>
        <v/>
      </c>
      <c r="H3766" s="67"/>
      <c r="I3766" s="68"/>
      <c r="J3766" s="138">
        <v>0</v>
      </c>
    </row>
    <row r="3767" spans="1:10" ht="39" hidden="1" thickBot="1" x14ac:dyDescent="0.3">
      <c r="A3767" s="225"/>
      <c r="B3767" s="223"/>
      <c r="C3767" s="30" t="s">
        <v>2709</v>
      </c>
      <c r="D3767" s="44" t="s">
        <v>127</v>
      </c>
      <c r="E3767" s="31">
        <v>1</v>
      </c>
      <c r="F3767" s="48">
        <v>1294.375</v>
      </c>
      <c r="G3767" s="48">
        <f t="shared" si="64"/>
        <v>1294.375</v>
      </c>
      <c r="H3767" s="33">
        <f>SUM(G3767:G3767)</f>
        <v>1294.375</v>
      </c>
      <c r="I3767" s="34"/>
      <c r="J3767" s="138">
        <v>0</v>
      </c>
    </row>
    <row r="3768" spans="1:10" ht="15.75" hidden="1" thickBot="1" x14ac:dyDescent="0.3">
      <c r="A3768" s="226"/>
      <c r="B3768" s="224"/>
      <c r="C3768" s="30"/>
      <c r="D3768" s="30"/>
      <c r="E3768" s="31"/>
      <c r="F3768" s="48" t="s">
        <v>521</v>
      </c>
      <c r="G3768" s="48" t="str">
        <f t="shared" si="64"/>
        <v/>
      </c>
      <c r="H3768" s="67"/>
      <c r="I3768" s="68"/>
      <c r="J3768" s="138">
        <v>0</v>
      </c>
    </row>
    <row r="3769" spans="1:10" ht="15.75" hidden="1" thickBot="1" x14ac:dyDescent="0.3">
      <c r="A3769" s="220" t="s">
        <v>1115</v>
      </c>
      <c r="B3769" s="222" t="e">
        <f>INDEX(Orçamentária!A:B,MATCH(Composições!A3769,Orçamentária!A:A,0),2)</f>
        <v>#N/A</v>
      </c>
      <c r="C3769" s="35"/>
      <c r="D3769" s="20" t="s">
        <v>1995</v>
      </c>
      <c r="E3769" s="21"/>
      <c r="F3769" s="43" t="s">
        <v>521</v>
      </c>
      <c r="G3769" s="22" t="str">
        <f t="shared" si="64"/>
        <v/>
      </c>
      <c r="H3769" s="23"/>
      <c r="I3769" s="24"/>
      <c r="J3769" s="138">
        <v>0</v>
      </c>
    </row>
    <row r="3770" spans="1:10" ht="15.75" hidden="1" thickBot="1" x14ac:dyDescent="0.3">
      <c r="A3770" s="225"/>
      <c r="B3770" s="223"/>
      <c r="C3770" s="26"/>
      <c r="D3770" s="26"/>
      <c r="E3770" s="27"/>
      <c r="F3770" s="48" t="s">
        <v>521</v>
      </c>
      <c r="G3770" s="48" t="str">
        <f t="shared" si="64"/>
        <v/>
      </c>
      <c r="H3770" s="67"/>
      <c r="I3770" s="68"/>
      <c r="J3770" s="138">
        <v>0</v>
      </c>
    </row>
    <row r="3771" spans="1:10" ht="39" hidden="1" thickBot="1" x14ac:dyDescent="0.3">
      <c r="A3771" s="225"/>
      <c r="B3771" s="223"/>
      <c r="C3771" s="30" t="s">
        <v>2708</v>
      </c>
      <c r="D3771" s="44" t="s">
        <v>127</v>
      </c>
      <c r="E3771" s="31">
        <v>1</v>
      </c>
      <c r="F3771" s="48">
        <v>808.98199999999986</v>
      </c>
      <c r="G3771" s="48">
        <f t="shared" si="64"/>
        <v>808.98199999999986</v>
      </c>
      <c r="H3771" s="33">
        <f>SUM(G3771:G3771)</f>
        <v>808.98199999999986</v>
      </c>
      <c r="I3771" s="34"/>
      <c r="J3771" s="138">
        <v>0</v>
      </c>
    </row>
    <row r="3772" spans="1:10" ht="15.75" hidden="1" thickBot="1" x14ac:dyDescent="0.3">
      <c r="A3772" s="226"/>
      <c r="B3772" s="224"/>
      <c r="C3772" s="30"/>
      <c r="D3772" s="30"/>
      <c r="E3772" s="31"/>
      <c r="F3772" s="48" t="s">
        <v>521</v>
      </c>
      <c r="G3772" s="48" t="str">
        <f t="shared" si="64"/>
        <v/>
      </c>
      <c r="H3772" s="67"/>
      <c r="I3772" s="68"/>
      <c r="J3772" s="138">
        <v>0</v>
      </c>
    </row>
    <row r="3773" spans="1:10" ht="15.75" hidden="1" thickBot="1" x14ac:dyDescent="0.3">
      <c r="A3773" s="220" t="s">
        <v>1116</v>
      </c>
      <c r="B3773" s="222" t="e">
        <f>INDEX(Orçamentária!A:B,MATCH(Composições!A3773,Orçamentária!A:A,0),2)</f>
        <v>#N/A</v>
      </c>
      <c r="C3773" s="35"/>
      <c r="D3773" s="20" t="s">
        <v>95</v>
      </c>
      <c r="E3773" s="21"/>
      <c r="F3773" s="43" t="s">
        <v>521</v>
      </c>
      <c r="G3773" s="22" t="str">
        <f t="shared" si="64"/>
        <v/>
      </c>
      <c r="H3773" s="23"/>
      <c r="I3773" s="24"/>
      <c r="J3773" s="138">
        <v>0</v>
      </c>
    </row>
    <row r="3774" spans="1:10" ht="15.75" hidden="1" thickBot="1" x14ac:dyDescent="0.3">
      <c r="A3774" s="221"/>
      <c r="B3774" s="223"/>
      <c r="C3774" s="26"/>
      <c r="D3774" s="26"/>
      <c r="E3774" s="27"/>
      <c r="F3774" s="48" t="s">
        <v>521</v>
      </c>
      <c r="G3774" s="48" t="str">
        <f t="shared" si="64"/>
        <v/>
      </c>
      <c r="H3774" s="67"/>
      <c r="I3774" s="68"/>
      <c r="J3774" s="138">
        <v>0</v>
      </c>
    </row>
    <row r="3775" spans="1:10" ht="39" hidden="1" thickBot="1" x14ac:dyDescent="0.3">
      <c r="A3775" s="221"/>
      <c r="B3775" s="223"/>
      <c r="C3775" s="30" t="s">
        <v>2371</v>
      </c>
      <c r="D3775" s="30" t="s">
        <v>988</v>
      </c>
      <c r="E3775" s="31">
        <v>1</v>
      </c>
      <c r="F3775" s="48">
        <v>422.75</v>
      </c>
      <c r="G3775" s="48">
        <f t="shared" si="64"/>
        <v>422.75</v>
      </c>
      <c r="H3775" s="33">
        <f>SUM(G3775:G3776)</f>
        <v>422.75</v>
      </c>
      <c r="I3775" s="34"/>
      <c r="J3775" s="138">
        <v>0</v>
      </c>
    </row>
    <row r="3776" spans="1:10" ht="15.75" hidden="1" thickBot="1" x14ac:dyDescent="0.3">
      <c r="A3776" s="227"/>
      <c r="B3776" s="224"/>
      <c r="C3776" s="49"/>
      <c r="D3776" s="49"/>
      <c r="E3776" s="60"/>
      <c r="F3776" s="70" t="s">
        <v>521</v>
      </c>
      <c r="G3776" s="70" t="str">
        <f t="shared" si="64"/>
        <v/>
      </c>
      <c r="H3776" s="71"/>
      <c r="I3776" s="68"/>
      <c r="J3776" s="138">
        <v>0</v>
      </c>
    </row>
    <row r="3777" spans="1:10" ht="15.75" hidden="1" thickBot="1" x14ac:dyDescent="0.3">
      <c r="A3777" s="220" t="s">
        <v>1527</v>
      </c>
      <c r="B3777" s="222" t="e">
        <f>INDEX(Orçamentária!A:B,MATCH(Composições!A3777,Orçamentária!A:A,0),2)</f>
        <v>#N/A</v>
      </c>
      <c r="C3777" s="35"/>
      <c r="D3777" s="20" t="s">
        <v>1503</v>
      </c>
      <c r="E3777" s="21"/>
      <c r="F3777" s="43" t="s">
        <v>521</v>
      </c>
      <c r="G3777" s="22" t="str">
        <f t="shared" si="64"/>
        <v/>
      </c>
      <c r="H3777" s="23"/>
      <c r="I3777" s="24"/>
      <c r="J3777" s="138">
        <v>0</v>
      </c>
    </row>
    <row r="3778" spans="1:10" ht="15.75" hidden="1" thickBot="1" x14ac:dyDescent="0.3">
      <c r="A3778" s="221"/>
      <c r="B3778" s="223"/>
      <c r="C3778" s="26"/>
      <c r="D3778" s="26"/>
      <c r="E3778" s="27"/>
      <c r="F3778" s="48" t="s">
        <v>521</v>
      </c>
      <c r="G3778" s="48" t="str">
        <f t="shared" si="64"/>
        <v/>
      </c>
      <c r="H3778" s="67"/>
      <c r="I3778" s="68"/>
      <c r="J3778" s="138">
        <v>0</v>
      </c>
    </row>
    <row r="3779" spans="1:10" ht="15.75" hidden="1" thickBot="1" x14ac:dyDescent="0.3">
      <c r="A3779" s="221"/>
      <c r="B3779" s="223"/>
      <c r="C3779" s="30" t="s">
        <v>1209</v>
      </c>
      <c r="D3779" s="30" t="s">
        <v>127</v>
      </c>
      <c r="E3779" s="31">
        <f>ROUND(1/(1+70.03%),4)</f>
        <v>0.58809999999999996</v>
      </c>
      <c r="F3779" s="48">
        <v>2852.1849999999999</v>
      </c>
      <c r="G3779" s="48">
        <f t="shared" si="64"/>
        <v>1677.3699984999998</v>
      </c>
      <c r="H3779" s="33">
        <f>SUM(G3779:G3782)</f>
        <v>1677.3699984999998</v>
      </c>
      <c r="I3779" s="34"/>
      <c r="J3779" s="138">
        <v>0</v>
      </c>
    </row>
    <row r="3780" spans="1:10" ht="15.75" hidden="1" thickBot="1" x14ac:dyDescent="0.3">
      <c r="A3780" s="221"/>
      <c r="B3780" s="223"/>
      <c r="C3780" s="30"/>
      <c r="D3780" s="30"/>
      <c r="E3780" s="31"/>
      <c r="F3780" s="48" t="s">
        <v>521</v>
      </c>
      <c r="G3780" s="48" t="str">
        <f t="shared" si="64"/>
        <v/>
      </c>
      <c r="H3780" s="67"/>
      <c r="I3780" s="68"/>
      <c r="J3780" s="138">
        <v>0</v>
      </c>
    </row>
    <row r="3781" spans="1:10" ht="26.25" hidden="1" thickBot="1" x14ac:dyDescent="0.3">
      <c r="A3781" s="221"/>
      <c r="B3781" s="223"/>
      <c r="C3781" s="42" t="s">
        <v>780</v>
      </c>
      <c r="D3781" s="30"/>
      <c r="E3781" s="31"/>
      <c r="F3781" s="48" t="s">
        <v>521</v>
      </c>
      <c r="G3781" s="48" t="str">
        <f t="shared" si="64"/>
        <v/>
      </c>
      <c r="H3781" s="67"/>
      <c r="I3781" s="68"/>
      <c r="J3781" s="138">
        <v>0</v>
      </c>
    </row>
    <row r="3782" spans="1:10" ht="15.75" hidden="1" thickBot="1" x14ac:dyDescent="0.3">
      <c r="A3782" s="227"/>
      <c r="B3782" s="224"/>
      <c r="C3782" s="49"/>
      <c r="D3782" s="49"/>
      <c r="E3782" s="60"/>
      <c r="F3782" s="70" t="s">
        <v>521</v>
      </c>
      <c r="G3782" s="70" t="str">
        <f t="shared" si="64"/>
        <v/>
      </c>
      <c r="H3782" s="71"/>
      <c r="I3782" s="68"/>
      <c r="J3782" s="138">
        <v>0</v>
      </c>
    </row>
    <row r="3783" spans="1:10" ht="15.75" hidden="1" thickBot="1" x14ac:dyDescent="0.3">
      <c r="A3783" s="220" t="s">
        <v>1528</v>
      </c>
      <c r="B3783" s="222" t="e">
        <f>INDEX(Orçamentária!A:B,MATCH(Composições!A3783,Orçamentária!A:A,0),2)</f>
        <v>#N/A</v>
      </c>
      <c r="C3783" s="35"/>
      <c r="D3783" s="20" t="s">
        <v>1503</v>
      </c>
      <c r="E3783" s="21"/>
      <c r="F3783" s="43" t="s">
        <v>521</v>
      </c>
      <c r="G3783" s="22" t="str">
        <f t="shared" si="64"/>
        <v/>
      </c>
      <c r="H3783" s="23"/>
      <c r="I3783" s="24"/>
      <c r="J3783" s="138">
        <v>0</v>
      </c>
    </row>
    <row r="3784" spans="1:10" ht="15.75" hidden="1" thickBot="1" x14ac:dyDescent="0.3">
      <c r="A3784" s="221"/>
      <c r="B3784" s="223"/>
      <c r="C3784" s="26"/>
      <c r="D3784" s="26"/>
      <c r="E3784" s="27"/>
      <c r="F3784" s="48" t="s">
        <v>521</v>
      </c>
      <c r="G3784" s="48" t="str">
        <f t="shared" si="64"/>
        <v/>
      </c>
      <c r="H3784" s="67"/>
      <c r="I3784" s="68"/>
      <c r="J3784" s="138">
        <v>0</v>
      </c>
    </row>
    <row r="3785" spans="1:10" ht="15.75" hidden="1" thickBot="1" x14ac:dyDescent="0.3">
      <c r="A3785" s="221"/>
      <c r="B3785" s="223"/>
      <c r="C3785" s="30" t="s">
        <v>1209</v>
      </c>
      <c r="D3785" s="30" t="s">
        <v>127</v>
      </c>
      <c r="E3785" s="31">
        <f t="shared" ref="E3785" si="65">ROUND(1/(1+70.03%),4)</f>
        <v>0.58809999999999996</v>
      </c>
      <c r="F3785" s="48">
        <v>2852.1849999999999</v>
      </c>
      <c r="G3785" s="48">
        <f t="shared" si="64"/>
        <v>1677.3699984999998</v>
      </c>
      <c r="H3785" s="33">
        <f>SUM(G3785:G3788)</f>
        <v>1677.3699984999998</v>
      </c>
      <c r="I3785" s="34"/>
      <c r="J3785" s="138">
        <v>0</v>
      </c>
    </row>
    <row r="3786" spans="1:10" ht="15.75" hidden="1" thickBot="1" x14ac:dyDescent="0.3">
      <c r="A3786" s="221"/>
      <c r="B3786" s="223"/>
      <c r="C3786" s="30"/>
      <c r="D3786" s="30"/>
      <c r="E3786" s="31"/>
      <c r="F3786" s="48" t="s">
        <v>521</v>
      </c>
      <c r="G3786" s="48" t="str">
        <f t="shared" si="64"/>
        <v/>
      </c>
      <c r="H3786" s="67"/>
      <c r="I3786" s="68"/>
      <c r="J3786" s="138">
        <v>0</v>
      </c>
    </row>
    <row r="3787" spans="1:10" ht="26.25" hidden="1" thickBot="1" x14ac:dyDescent="0.3">
      <c r="A3787" s="221"/>
      <c r="B3787" s="223"/>
      <c r="C3787" s="42" t="s">
        <v>780</v>
      </c>
      <c r="D3787" s="30"/>
      <c r="E3787" s="31"/>
      <c r="F3787" s="48" t="s">
        <v>521</v>
      </c>
      <c r="G3787" s="48" t="str">
        <f t="shared" si="64"/>
        <v/>
      </c>
      <c r="H3787" s="67"/>
      <c r="I3787" s="68"/>
      <c r="J3787" s="138">
        <v>0</v>
      </c>
    </row>
    <row r="3788" spans="1:10" ht="15.75" hidden="1" thickBot="1" x14ac:dyDescent="0.3">
      <c r="A3788" s="227"/>
      <c r="B3788" s="224"/>
      <c r="C3788" s="49"/>
      <c r="D3788" s="49"/>
      <c r="E3788" s="60"/>
      <c r="F3788" s="70" t="s">
        <v>521</v>
      </c>
      <c r="G3788" s="70" t="str">
        <f t="shared" si="64"/>
        <v/>
      </c>
      <c r="H3788" s="71"/>
      <c r="I3788" s="68"/>
      <c r="J3788" s="138">
        <v>0</v>
      </c>
    </row>
    <row r="3789" spans="1:10" ht="15.75" hidden="1" thickBot="1" x14ac:dyDescent="0.3">
      <c r="A3789" s="220" t="s">
        <v>1529</v>
      </c>
      <c r="B3789" s="222" t="e">
        <f>INDEX(Orçamentária!A:B,MATCH(Composições!A3789,Orçamentária!A:A,0),2)</f>
        <v>#N/A</v>
      </c>
      <c r="C3789" s="35"/>
      <c r="D3789" s="20" t="s">
        <v>1503</v>
      </c>
      <c r="E3789" s="21"/>
      <c r="F3789" s="43" t="s">
        <v>521</v>
      </c>
      <c r="G3789" s="22" t="str">
        <f t="shared" si="64"/>
        <v/>
      </c>
      <c r="H3789" s="23"/>
      <c r="I3789" s="24"/>
      <c r="J3789" s="138">
        <v>0</v>
      </c>
    </row>
    <row r="3790" spans="1:10" ht="15.75" hidden="1" thickBot="1" x14ac:dyDescent="0.3">
      <c r="A3790" s="221"/>
      <c r="B3790" s="223"/>
      <c r="C3790" s="26"/>
      <c r="D3790" s="26"/>
      <c r="E3790" s="27"/>
      <c r="F3790" s="48" t="s">
        <v>521</v>
      </c>
      <c r="G3790" s="48" t="str">
        <f t="shared" si="64"/>
        <v/>
      </c>
      <c r="H3790" s="67"/>
      <c r="I3790" s="68"/>
      <c r="J3790" s="138">
        <v>0</v>
      </c>
    </row>
    <row r="3791" spans="1:10" ht="15.75" hidden="1" thickBot="1" x14ac:dyDescent="0.3">
      <c r="A3791" s="221"/>
      <c r="B3791" s="223"/>
      <c r="C3791" s="30" t="s">
        <v>1209</v>
      </c>
      <c r="D3791" s="30" t="s">
        <v>127</v>
      </c>
      <c r="E3791" s="31">
        <f t="shared" ref="E3791" si="66">ROUND(1/(1+70.03%),4)</f>
        <v>0.58809999999999996</v>
      </c>
      <c r="F3791" s="48">
        <v>2852.1849999999999</v>
      </c>
      <c r="G3791" s="48">
        <f t="shared" si="64"/>
        <v>1677.3699984999998</v>
      </c>
      <c r="H3791" s="33">
        <f>SUM(G3791:G3794)</f>
        <v>1677.3699984999998</v>
      </c>
      <c r="I3791" s="34"/>
      <c r="J3791" s="138">
        <v>0</v>
      </c>
    </row>
    <row r="3792" spans="1:10" ht="15.75" hidden="1" thickBot="1" x14ac:dyDescent="0.3">
      <c r="A3792" s="221"/>
      <c r="B3792" s="223"/>
      <c r="C3792" s="30"/>
      <c r="D3792" s="30"/>
      <c r="E3792" s="31"/>
      <c r="F3792" s="48" t="s">
        <v>521</v>
      </c>
      <c r="G3792" s="48" t="str">
        <f t="shared" si="64"/>
        <v/>
      </c>
      <c r="H3792" s="67"/>
      <c r="I3792" s="68"/>
      <c r="J3792" s="138">
        <v>0</v>
      </c>
    </row>
    <row r="3793" spans="1:10" ht="26.25" hidden="1" thickBot="1" x14ac:dyDescent="0.3">
      <c r="A3793" s="221"/>
      <c r="B3793" s="223"/>
      <c r="C3793" s="42" t="s">
        <v>780</v>
      </c>
      <c r="D3793" s="30"/>
      <c r="E3793" s="31"/>
      <c r="F3793" s="48" t="s">
        <v>521</v>
      </c>
      <c r="G3793" s="48" t="str">
        <f t="shared" si="64"/>
        <v/>
      </c>
      <c r="H3793" s="67"/>
      <c r="I3793" s="68"/>
      <c r="J3793" s="138">
        <v>0</v>
      </c>
    </row>
    <row r="3794" spans="1:10" ht="15.75" hidden="1" thickBot="1" x14ac:dyDescent="0.3">
      <c r="A3794" s="227"/>
      <c r="B3794" s="224"/>
      <c r="C3794" s="49"/>
      <c r="D3794" s="49"/>
      <c r="E3794" s="60"/>
      <c r="F3794" s="70" t="s">
        <v>521</v>
      </c>
      <c r="G3794" s="70" t="str">
        <f t="shared" si="64"/>
        <v/>
      </c>
      <c r="H3794" s="71"/>
      <c r="I3794" s="68"/>
      <c r="J3794" s="138">
        <v>0</v>
      </c>
    </row>
    <row r="3795" spans="1:10" ht="15.75" hidden="1" thickBot="1" x14ac:dyDescent="0.3">
      <c r="A3795" s="220" t="s">
        <v>1530</v>
      </c>
      <c r="B3795" s="222" t="e">
        <f>INDEX(Orçamentária!A:B,MATCH(Composições!A3795,Orçamentária!A:A,0),2)</f>
        <v>#N/A</v>
      </c>
      <c r="C3795" s="35"/>
      <c r="D3795" s="20" t="s">
        <v>1503</v>
      </c>
      <c r="E3795" s="21"/>
      <c r="F3795" s="43" t="s">
        <v>521</v>
      </c>
      <c r="G3795" s="22" t="str">
        <f t="shared" si="64"/>
        <v/>
      </c>
      <c r="H3795" s="23"/>
      <c r="I3795" s="24"/>
      <c r="J3795" s="138">
        <v>0</v>
      </c>
    </row>
    <row r="3796" spans="1:10" ht="15.75" hidden="1" thickBot="1" x14ac:dyDescent="0.3">
      <c r="A3796" s="221"/>
      <c r="B3796" s="223"/>
      <c r="C3796" s="26"/>
      <c r="D3796" s="26"/>
      <c r="E3796" s="27"/>
      <c r="F3796" s="48" t="s">
        <v>521</v>
      </c>
      <c r="G3796" s="48" t="str">
        <f t="shared" si="64"/>
        <v/>
      </c>
      <c r="H3796" s="67"/>
      <c r="I3796" s="68"/>
      <c r="J3796" s="138">
        <v>0</v>
      </c>
    </row>
    <row r="3797" spans="1:10" ht="15.75" hidden="1" thickBot="1" x14ac:dyDescent="0.3">
      <c r="A3797" s="221"/>
      <c r="B3797" s="223"/>
      <c r="C3797" s="30" t="s">
        <v>1209</v>
      </c>
      <c r="D3797" s="30" t="s">
        <v>127</v>
      </c>
      <c r="E3797" s="31">
        <f t="shared" ref="E3797" si="67">ROUND(1/(1+70.03%),4)</f>
        <v>0.58809999999999996</v>
      </c>
      <c r="F3797" s="48">
        <v>2852.1849999999999</v>
      </c>
      <c r="G3797" s="48">
        <f t="shared" si="64"/>
        <v>1677.3699984999998</v>
      </c>
      <c r="H3797" s="33">
        <f>SUM(G3797:G3800)</f>
        <v>1677.3699984999998</v>
      </c>
      <c r="I3797" s="34"/>
      <c r="J3797" s="138">
        <v>0</v>
      </c>
    </row>
    <row r="3798" spans="1:10" ht="15.75" hidden="1" thickBot="1" x14ac:dyDescent="0.3">
      <c r="A3798" s="221"/>
      <c r="B3798" s="223"/>
      <c r="C3798" s="30"/>
      <c r="D3798" s="30"/>
      <c r="E3798" s="31"/>
      <c r="F3798" s="48" t="s">
        <v>521</v>
      </c>
      <c r="G3798" s="48" t="str">
        <f t="shared" si="64"/>
        <v/>
      </c>
      <c r="H3798" s="67"/>
      <c r="I3798" s="68"/>
      <c r="J3798" s="138">
        <v>0</v>
      </c>
    </row>
    <row r="3799" spans="1:10" ht="26.25" hidden="1" thickBot="1" x14ac:dyDescent="0.3">
      <c r="A3799" s="221"/>
      <c r="B3799" s="223"/>
      <c r="C3799" s="42" t="s">
        <v>780</v>
      </c>
      <c r="D3799" s="30"/>
      <c r="E3799" s="31"/>
      <c r="F3799" s="48" t="s">
        <v>521</v>
      </c>
      <c r="G3799" s="48" t="str">
        <f t="shared" si="64"/>
        <v/>
      </c>
      <c r="H3799" s="67"/>
      <c r="I3799" s="68"/>
      <c r="J3799" s="138">
        <v>0</v>
      </c>
    </row>
    <row r="3800" spans="1:10" ht="15.75" hidden="1" thickBot="1" x14ac:dyDescent="0.3">
      <c r="A3800" s="227"/>
      <c r="B3800" s="224"/>
      <c r="C3800" s="49"/>
      <c r="D3800" s="49"/>
      <c r="E3800" s="60"/>
      <c r="F3800" s="70" t="s">
        <v>521</v>
      </c>
      <c r="G3800" s="70" t="str">
        <f t="shared" si="64"/>
        <v/>
      </c>
      <c r="H3800" s="71"/>
      <c r="I3800" s="68"/>
      <c r="J3800" s="138">
        <v>0</v>
      </c>
    </row>
    <row r="3801" spans="1:10" ht="15.75" hidden="1" thickBot="1" x14ac:dyDescent="0.3">
      <c r="A3801" s="220" t="s">
        <v>1531</v>
      </c>
      <c r="B3801" s="222" t="e">
        <f>INDEX(Orçamentária!A:B,MATCH(Composições!A3801,Orçamentária!A:A,0),2)</f>
        <v>#N/A</v>
      </c>
      <c r="C3801" s="35"/>
      <c r="D3801" s="20" t="s">
        <v>1503</v>
      </c>
      <c r="E3801" s="21"/>
      <c r="F3801" s="43" t="s">
        <v>521</v>
      </c>
      <c r="G3801" s="22" t="str">
        <f t="shared" si="64"/>
        <v/>
      </c>
      <c r="H3801" s="23"/>
      <c r="I3801" s="24"/>
      <c r="J3801" s="138">
        <v>0</v>
      </c>
    </row>
    <row r="3802" spans="1:10" ht="15.75" hidden="1" thickBot="1" x14ac:dyDescent="0.3">
      <c r="A3802" s="221"/>
      <c r="B3802" s="223"/>
      <c r="C3802" s="26"/>
      <c r="D3802" s="26"/>
      <c r="E3802" s="27"/>
      <c r="F3802" s="48" t="s">
        <v>521</v>
      </c>
      <c r="G3802" s="48" t="str">
        <f t="shared" si="64"/>
        <v/>
      </c>
      <c r="H3802" s="67"/>
      <c r="I3802" s="68"/>
      <c r="J3802" s="138">
        <v>0</v>
      </c>
    </row>
    <row r="3803" spans="1:10" ht="15.75" hidden="1" thickBot="1" x14ac:dyDescent="0.3">
      <c r="A3803" s="221"/>
      <c r="B3803" s="223"/>
      <c r="C3803" s="30" t="s">
        <v>1209</v>
      </c>
      <c r="D3803" s="30" t="s">
        <v>127</v>
      </c>
      <c r="E3803" s="31">
        <f t="shared" ref="E3803" si="68">ROUND(1/(1+70.03%),4)</f>
        <v>0.58809999999999996</v>
      </c>
      <c r="F3803" s="48">
        <v>2852.1849999999999</v>
      </c>
      <c r="G3803" s="48">
        <f t="shared" si="64"/>
        <v>1677.3699984999998</v>
      </c>
      <c r="H3803" s="33">
        <f>SUM(G3803:G3806)</f>
        <v>1677.3699984999998</v>
      </c>
      <c r="I3803" s="34"/>
      <c r="J3803" s="138">
        <v>0</v>
      </c>
    </row>
    <row r="3804" spans="1:10" ht="15.75" hidden="1" thickBot="1" x14ac:dyDescent="0.3">
      <c r="A3804" s="221"/>
      <c r="B3804" s="223"/>
      <c r="C3804" s="30"/>
      <c r="D3804" s="30"/>
      <c r="E3804" s="31"/>
      <c r="F3804" s="48" t="s">
        <v>521</v>
      </c>
      <c r="G3804" s="48" t="str">
        <f t="shared" si="64"/>
        <v/>
      </c>
      <c r="H3804" s="67"/>
      <c r="I3804" s="68"/>
      <c r="J3804" s="138">
        <v>0</v>
      </c>
    </row>
    <row r="3805" spans="1:10" ht="26.25" hidden="1" thickBot="1" x14ac:dyDescent="0.3">
      <c r="A3805" s="221"/>
      <c r="B3805" s="223"/>
      <c r="C3805" s="42" t="s">
        <v>780</v>
      </c>
      <c r="D3805" s="30"/>
      <c r="E3805" s="31"/>
      <c r="F3805" s="48" t="s">
        <v>521</v>
      </c>
      <c r="G3805" s="48" t="str">
        <f t="shared" si="64"/>
        <v/>
      </c>
      <c r="H3805" s="67"/>
      <c r="I3805" s="68"/>
      <c r="J3805" s="138">
        <v>0</v>
      </c>
    </row>
    <row r="3806" spans="1:10" ht="15.75" hidden="1" thickBot="1" x14ac:dyDescent="0.3">
      <c r="A3806" s="227"/>
      <c r="B3806" s="224"/>
      <c r="C3806" s="49"/>
      <c r="D3806" s="49"/>
      <c r="E3806" s="60"/>
      <c r="F3806" s="70" t="s">
        <v>521</v>
      </c>
      <c r="G3806" s="70" t="str">
        <f t="shared" si="64"/>
        <v/>
      </c>
      <c r="H3806" s="71"/>
      <c r="I3806" s="68"/>
      <c r="J3806" s="138">
        <v>0</v>
      </c>
    </row>
    <row r="3807" spans="1:10" ht="15.75" hidden="1" thickBot="1" x14ac:dyDescent="0.3">
      <c r="A3807" s="220" t="s">
        <v>1532</v>
      </c>
      <c r="B3807" s="222" t="e">
        <f>INDEX(Orçamentária!A:B,MATCH(Composições!A3807,Orçamentária!A:A,0),2)</f>
        <v>#N/A</v>
      </c>
      <c r="C3807" s="35"/>
      <c r="D3807" s="20" t="s">
        <v>1503</v>
      </c>
      <c r="E3807" s="21"/>
      <c r="F3807" s="43" t="s">
        <v>521</v>
      </c>
      <c r="G3807" s="22" t="str">
        <f t="shared" si="64"/>
        <v/>
      </c>
      <c r="H3807" s="23"/>
      <c r="I3807" s="24"/>
      <c r="J3807" s="138">
        <v>0</v>
      </c>
    </row>
    <row r="3808" spans="1:10" ht="15.75" hidden="1" thickBot="1" x14ac:dyDescent="0.3">
      <c r="A3808" s="221"/>
      <c r="B3808" s="223"/>
      <c r="C3808" s="26"/>
      <c r="D3808" s="26"/>
      <c r="E3808" s="27"/>
      <c r="F3808" s="48" t="s">
        <v>521</v>
      </c>
      <c r="G3808" s="48" t="str">
        <f t="shared" si="64"/>
        <v/>
      </c>
      <c r="H3808" s="67"/>
      <c r="I3808" s="68"/>
      <c r="J3808" s="138">
        <v>0</v>
      </c>
    </row>
    <row r="3809" spans="1:10" ht="15.75" hidden="1" thickBot="1" x14ac:dyDescent="0.3">
      <c r="A3809" s="221"/>
      <c r="B3809" s="223"/>
      <c r="C3809" s="30" t="s">
        <v>1209</v>
      </c>
      <c r="D3809" s="30" t="s">
        <v>127</v>
      </c>
      <c r="E3809" s="31">
        <f t="shared" ref="E3809" si="69">ROUND(1/(1+70.03%),4)</f>
        <v>0.58809999999999996</v>
      </c>
      <c r="F3809" s="48">
        <v>2852.1849999999999</v>
      </c>
      <c r="G3809" s="48">
        <f t="shared" si="64"/>
        <v>1677.3699984999998</v>
      </c>
      <c r="H3809" s="33">
        <f>SUM(G3809:G3812)</f>
        <v>1677.3699984999998</v>
      </c>
      <c r="I3809" s="34"/>
      <c r="J3809" s="138">
        <v>0</v>
      </c>
    </row>
    <row r="3810" spans="1:10" ht="15.75" hidden="1" thickBot="1" x14ac:dyDescent="0.3">
      <c r="A3810" s="221"/>
      <c r="B3810" s="223"/>
      <c r="C3810" s="30"/>
      <c r="D3810" s="30"/>
      <c r="E3810" s="31"/>
      <c r="F3810" s="48" t="s">
        <v>521</v>
      </c>
      <c r="G3810" s="48" t="str">
        <f t="shared" si="64"/>
        <v/>
      </c>
      <c r="H3810" s="67"/>
      <c r="I3810" s="68"/>
      <c r="J3810" s="138">
        <v>0</v>
      </c>
    </row>
    <row r="3811" spans="1:10" ht="26.25" hidden="1" thickBot="1" x14ac:dyDescent="0.3">
      <c r="A3811" s="221"/>
      <c r="B3811" s="223"/>
      <c r="C3811" s="42" t="s">
        <v>780</v>
      </c>
      <c r="D3811" s="30"/>
      <c r="E3811" s="31"/>
      <c r="F3811" s="48" t="s">
        <v>521</v>
      </c>
      <c r="G3811" s="48" t="str">
        <f t="shared" si="64"/>
        <v/>
      </c>
      <c r="H3811" s="67"/>
      <c r="I3811" s="68"/>
      <c r="J3811" s="138">
        <v>0</v>
      </c>
    </row>
    <row r="3812" spans="1:10" ht="15.75" hidden="1" thickBot="1" x14ac:dyDescent="0.3">
      <c r="A3812" s="227"/>
      <c r="B3812" s="224"/>
      <c r="C3812" s="49"/>
      <c r="D3812" s="49"/>
      <c r="E3812" s="60"/>
      <c r="F3812" s="70" t="s">
        <v>521</v>
      </c>
      <c r="G3812" s="70" t="str">
        <f t="shared" si="64"/>
        <v/>
      </c>
      <c r="H3812" s="71"/>
      <c r="I3812" s="68"/>
      <c r="J3812" s="138">
        <v>0</v>
      </c>
    </row>
    <row r="3813" spans="1:10" ht="15.75" hidden="1" thickBot="1" x14ac:dyDescent="0.3">
      <c r="A3813" s="220" t="s">
        <v>1533</v>
      </c>
      <c r="B3813" s="222" t="e">
        <f>INDEX(Orçamentária!A:B,MATCH(Composições!A3813,Orçamentária!A:A,0),2)</f>
        <v>#N/A</v>
      </c>
      <c r="C3813" s="35"/>
      <c r="D3813" s="20" t="s">
        <v>1503</v>
      </c>
      <c r="E3813" s="21"/>
      <c r="F3813" s="43" t="s">
        <v>521</v>
      </c>
      <c r="G3813" s="22" t="str">
        <f t="shared" si="64"/>
        <v/>
      </c>
      <c r="H3813" s="23"/>
      <c r="I3813" s="24"/>
      <c r="J3813" s="138">
        <v>0</v>
      </c>
    </row>
    <row r="3814" spans="1:10" ht="15.75" hidden="1" thickBot="1" x14ac:dyDescent="0.3">
      <c r="A3814" s="221"/>
      <c r="B3814" s="223"/>
      <c r="C3814" s="26"/>
      <c r="D3814" s="26"/>
      <c r="E3814" s="27"/>
      <c r="F3814" s="48" t="s">
        <v>521</v>
      </c>
      <c r="G3814" s="48" t="str">
        <f t="shared" si="64"/>
        <v/>
      </c>
      <c r="H3814" s="67"/>
      <c r="I3814" s="68"/>
      <c r="J3814" s="138">
        <v>0</v>
      </c>
    </row>
    <row r="3815" spans="1:10" ht="15.75" hidden="1" thickBot="1" x14ac:dyDescent="0.3">
      <c r="A3815" s="221"/>
      <c r="B3815" s="223"/>
      <c r="C3815" s="30" t="s">
        <v>1209</v>
      </c>
      <c r="D3815" s="30" t="s">
        <v>127</v>
      </c>
      <c r="E3815" s="31">
        <f t="shared" ref="E3815" si="70">ROUND(1/(1+70.03%),4)</f>
        <v>0.58809999999999996</v>
      </c>
      <c r="F3815" s="48">
        <v>2852.1849999999999</v>
      </c>
      <c r="G3815" s="48">
        <f t="shared" si="64"/>
        <v>1677.3699984999998</v>
      </c>
      <c r="H3815" s="33">
        <f>SUM(G3815:G3818)</f>
        <v>1677.3699984999998</v>
      </c>
      <c r="I3815" s="34"/>
      <c r="J3815" s="138">
        <v>0</v>
      </c>
    </row>
    <row r="3816" spans="1:10" ht="15.75" hidden="1" thickBot="1" x14ac:dyDescent="0.3">
      <c r="A3816" s="221"/>
      <c r="B3816" s="223"/>
      <c r="C3816" s="30"/>
      <c r="D3816" s="30"/>
      <c r="E3816" s="31"/>
      <c r="F3816" s="48" t="s">
        <v>521</v>
      </c>
      <c r="G3816" s="48" t="str">
        <f t="shared" si="64"/>
        <v/>
      </c>
      <c r="H3816" s="67"/>
      <c r="I3816" s="68"/>
      <c r="J3816" s="138">
        <v>0</v>
      </c>
    </row>
    <row r="3817" spans="1:10" ht="26.25" hidden="1" thickBot="1" x14ac:dyDescent="0.3">
      <c r="A3817" s="221"/>
      <c r="B3817" s="223"/>
      <c r="C3817" s="42" t="s">
        <v>780</v>
      </c>
      <c r="D3817" s="30"/>
      <c r="E3817" s="31"/>
      <c r="F3817" s="48" t="s">
        <v>521</v>
      </c>
      <c r="G3817" s="48" t="str">
        <f t="shared" si="64"/>
        <v/>
      </c>
      <c r="H3817" s="67"/>
      <c r="I3817" s="68"/>
      <c r="J3817" s="138">
        <v>0</v>
      </c>
    </row>
    <row r="3818" spans="1:10" ht="15.75" hidden="1" thickBot="1" x14ac:dyDescent="0.3">
      <c r="A3818" s="227"/>
      <c r="B3818" s="224"/>
      <c r="C3818" s="49"/>
      <c r="D3818" s="49"/>
      <c r="E3818" s="60"/>
      <c r="F3818" s="70" t="s">
        <v>521</v>
      </c>
      <c r="G3818" s="70" t="str">
        <f t="shared" si="64"/>
        <v/>
      </c>
      <c r="H3818" s="71"/>
      <c r="I3818" s="68"/>
      <c r="J3818" s="138">
        <v>0</v>
      </c>
    </row>
    <row r="3819" spans="1:10" ht="15.75" hidden="1" thickBot="1" x14ac:dyDescent="0.3">
      <c r="A3819" s="220" t="s">
        <v>1534</v>
      </c>
      <c r="B3819" s="222" t="e">
        <f>INDEX(Orçamentária!A:B,MATCH(Composições!A3819,Orçamentária!A:A,0),2)</f>
        <v>#N/A</v>
      </c>
      <c r="C3819" s="35"/>
      <c r="D3819" s="20" t="s">
        <v>1503</v>
      </c>
      <c r="E3819" s="21"/>
      <c r="F3819" s="43" t="s">
        <v>521</v>
      </c>
      <c r="G3819" s="22" t="str">
        <f t="shared" si="64"/>
        <v/>
      </c>
      <c r="H3819" s="23"/>
      <c r="I3819" s="24"/>
      <c r="J3819" s="138">
        <v>0</v>
      </c>
    </row>
    <row r="3820" spans="1:10" ht="15.75" hidden="1" thickBot="1" x14ac:dyDescent="0.3">
      <c r="A3820" s="221"/>
      <c r="B3820" s="223"/>
      <c r="C3820" s="26"/>
      <c r="D3820" s="26"/>
      <c r="E3820" s="27"/>
      <c r="F3820" s="48" t="s">
        <v>521</v>
      </c>
      <c r="G3820" s="48" t="str">
        <f t="shared" si="64"/>
        <v/>
      </c>
      <c r="H3820" s="67"/>
      <c r="I3820" s="68"/>
      <c r="J3820" s="138">
        <v>0</v>
      </c>
    </row>
    <row r="3821" spans="1:10" ht="15.75" hidden="1" thickBot="1" x14ac:dyDescent="0.3">
      <c r="A3821" s="221"/>
      <c r="B3821" s="223"/>
      <c r="C3821" s="30" t="s">
        <v>1209</v>
      </c>
      <c r="D3821" s="30" t="s">
        <v>127</v>
      </c>
      <c r="E3821" s="31">
        <f t="shared" ref="E3821" si="71">ROUND(1/(1+70.03%),4)</f>
        <v>0.58809999999999996</v>
      </c>
      <c r="F3821" s="48">
        <v>2852.1849999999999</v>
      </c>
      <c r="G3821" s="48">
        <f t="shared" si="64"/>
        <v>1677.3699984999998</v>
      </c>
      <c r="H3821" s="33">
        <f>SUM(G3821:G3824)</f>
        <v>1677.3699984999998</v>
      </c>
      <c r="I3821" s="34"/>
      <c r="J3821" s="138">
        <v>0</v>
      </c>
    </row>
    <row r="3822" spans="1:10" ht="15.75" hidden="1" thickBot="1" x14ac:dyDescent="0.3">
      <c r="A3822" s="221"/>
      <c r="B3822" s="223"/>
      <c r="C3822" s="30"/>
      <c r="D3822" s="30"/>
      <c r="E3822" s="31"/>
      <c r="F3822" s="48" t="s">
        <v>521</v>
      </c>
      <c r="G3822" s="48" t="str">
        <f t="shared" si="64"/>
        <v/>
      </c>
      <c r="H3822" s="67"/>
      <c r="I3822" s="68"/>
      <c r="J3822" s="138">
        <v>0</v>
      </c>
    </row>
    <row r="3823" spans="1:10" ht="26.25" hidden="1" thickBot="1" x14ac:dyDescent="0.3">
      <c r="A3823" s="221"/>
      <c r="B3823" s="223"/>
      <c r="C3823" s="42" t="s">
        <v>780</v>
      </c>
      <c r="D3823" s="30"/>
      <c r="E3823" s="31"/>
      <c r="F3823" s="48" t="s">
        <v>521</v>
      </c>
      <c r="G3823" s="48" t="str">
        <f t="shared" si="64"/>
        <v/>
      </c>
      <c r="H3823" s="67"/>
      <c r="I3823" s="68"/>
      <c r="J3823" s="138">
        <v>0</v>
      </c>
    </row>
    <row r="3824" spans="1:10" ht="15.75" hidden="1" thickBot="1" x14ac:dyDescent="0.3">
      <c r="A3824" s="227"/>
      <c r="B3824" s="224"/>
      <c r="C3824" s="49"/>
      <c r="D3824" s="49"/>
      <c r="E3824" s="60"/>
      <c r="F3824" s="70" t="s">
        <v>521</v>
      </c>
      <c r="G3824" s="70" t="str">
        <f t="shared" si="64"/>
        <v/>
      </c>
      <c r="H3824" s="71"/>
      <c r="I3824" s="68"/>
      <c r="J3824" s="138">
        <v>0</v>
      </c>
    </row>
    <row r="3825" spans="1:10" ht="15.75" hidden="1" thickBot="1" x14ac:dyDescent="0.3">
      <c r="A3825" s="220" t="s">
        <v>1535</v>
      </c>
      <c r="B3825" s="222" t="e">
        <f>INDEX(Orçamentária!A:B,MATCH(Composições!A3825,Orçamentária!A:A,0),2)</f>
        <v>#N/A</v>
      </c>
      <c r="C3825" s="35"/>
      <c r="D3825" s="20" t="s">
        <v>1503</v>
      </c>
      <c r="E3825" s="21"/>
      <c r="F3825" s="43" t="s">
        <v>521</v>
      </c>
      <c r="G3825" s="22" t="str">
        <f t="shared" si="64"/>
        <v/>
      </c>
      <c r="H3825" s="23"/>
      <c r="I3825" s="24"/>
      <c r="J3825" s="138">
        <v>0</v>
      </c>
    </row>
    <row r="3826" spans="1:10" ht="15.75" hidden="1" thickBot="1" x14ac:dyDescent="0.3">
      <c r="A3826" s="221"/>
      <c r="B3826" s="223"/>
      <c r="C3826" s="26"/>
      <c r="D3826" s="26"/>
      <c r="E3826" s="27"/>
      <c r="F3826" s="48" t="s">
        <v>521</v>
      </c>
      <c r="G3826" s="48" t="str">
        <f t="shared" si="64"/>
        <v/>
      </c>
      <c r="H3826" s="67"/>
      <c r="I3826" s="68"/>
      <c r="J3826" s="138">
        <v>0</v>
      </c>
    </row>
    <row r="3827" spans="1:10" ht="15.75" hidden="1" thickBot="1" x14ac:dyDescent="0.3">
      <c r="A3827" s="221"/>
      <c r="B3827" s="223"/>
      <c r="C3827" s="30" t="s">
        <v>1209</v>
      </c>
      <c r="D3827" s="30" t="s">
        <v>127</v>
      </c>
      <c r="E3827" s="31">
        <f t="shared" ref="E3827" si="72">ROUND(1/(1+70.03%),4)</f>
        <v>0.58809999999999996</v>
      </c>
      <c r="F3827" s="48">
        <v>2852.1849999999999</v>
      </c>
      <c r="G3827" s="48">
        <f t="shared" si="64"/>
        <v>1677.3699984999998</v>
      </c>
      <c r="H3827" s="33">
        <f>SUM(G3827:G3830)</f>
        <v>1677.3699984999998</v>
      </c>
      <c r="I3827" s="34"/>
      <c r="J3827" s="138">
        <v>0</v>
      </c>
    </row>
    <row r="3828" spans="1:10" ht="15.75" hidden="1" thickBot="1" x14ac:dyDescent="0.3">
      <c r="A3828" s="221"/>
      <c r="B3828" s="223"/>
      <c r="C3828" s="30"/>
      <c r="D3828" s="30"/>
      <c r="E3828" s="31"/>
      <c r="F3828" s="48" t="s">
        <v>521</v>
      </c>
      <c r="G3828" s="48" t="str">
        <f t="shared" si="64"/>
        <v/>
      </c>
      <c r="H3828" s="67"/>
      <c r="I3828" s="68"/>
      <c r="J3828" s="138">
        <v>0</v>
      </c>
    </row>
    <row r="3829" spans="1:10" ht="26.25" hidden="1" thickBot="1" x14ac:dyDescent="0.3">
      <c r="A3829" s="221"/>
      <c r="B3829" s="223"/>
      <c r="C3829" s="42" t="s">
        <v>780</v>
      </c>
      <c r="D3829" s="30"/>
      <c r="E3829" s="31"/>
      <c r="F3829" s="48" t="s">
        <v>521</v>
      </c>
      <c r="G3829" s="48" t="str">
        <f t="shared" ref="G3829:G3892" si="73">IF(ISNUMBER(F3829),E3829*F3829,"")</f>
        <v/>
      </c>
      <c r="H3829" s="67"/>
      <c r="I3829" s="68"/>
      <c r="J3829" s="138">
        <v>0</v>
      </c>
    </row>
    <row r="3830" spans="1:10" ht="15.75" hidden="1" thickBot="1" x14ac:dyDescent="0.3">
      <c r="A3830" s="227"/>
      <c r="B3830" s="224"/>
      <c r="C3830" s="49"/>
      <c r="D3830" s="49"/>
      <c r="E3830" s="60"/>
      <c r="F3830" s="70" t="s">
        <v>521</v>
      </c>
      <c r="G3830" s="70" t="str">
        <f t="shared" si="73"/>
        <v/>
      </c>
      <c r="H3830" s="71"/>
      <c r="I3830" s="68"/>
      <c r="J3830" s="138">
        <v>0</v>
      </c>
    </row>
    <row r="3831" spans="1:10" ht="15.75" hidden="1" thickBot="1" x14ac:dyDescent="0.3">
      <c r="A3831" s="220" t="s">
        <v>1117</v>
      </c>
      <c r="B3831" s="222" t="e">
        <f>INDEX(Orçamentária!A:B,MATCH(Composições!A3831,Orçamentária!A:A,0),2)</f>
        <v>#N/A</v>
      </c>
      <c r="C3831" s="35"/>
      <c r="D3831" s="20" t="s">
        <v>1503</v>
      </c>
      <c r="E3831" s="21"/>
      <c r="F3831" s="43" t="s">
        <v>521</v>
      </c>
      <c r="G3831" s="22" t="str">
        <f t="shared" si="73"/>
        <v/>
      </c>
      <c r="H3831" s="23"/>
      <c r="I3831" s="24"/>
      <c r="J3831" s="138">
        <v>0</v>
      </c>
    </row>
    <row r="3832" spans="1:10" ht="15.75" hidden="1" thickBot="1" x14ac:dyDescent="0.3">
      <c r="A3832" s="221"/>
      <c r="B3832" s="223"/>
      <c r="C3832" s="26"/>
      <c r="D3832" s="26"/>
      <c r="E3832" s="27"/>
      <c r="F3832" s="48" t="s">
        <v>521</v>
      </c>
      <c r="G3832" s="48" t="str">
        <f t="shared" si="73"/>
        <v/>
      </c>
      <c r="H3832" s="67"/>
      <c r="I3832" s="68"/>
      <c r="J3832" s="138">
        <v>0</v>
      </c>
    </row>
    <row r="3833" spans="1:10" ht="26.25" hidden="1" thickBot="1" x14ac:dyDescent="0.3">
      <c r="A3833" s="221"/>
      <c r="B3833" s="223"/>
      <c r="C3833" s="30" t="s">
        <v>1118</v>
      </c>
      <c r="D3833" s="30" t="s">
        <v>127</v>
      </c>
      <c r="E3833" s="31">
        <f>ROUND(1/(1+72.54%),4)</f>
        <v>0.5796</v>
      </c>
      <c r="F3833" s="48">
        <v>6736.8964999999998</v>
      </c>
      <c r="G3833" s="48">
        <f t="shared" si="73"/>
        <v>3904.7052113999998</v>
      </c>
      <c r="H3833" s="33">
        <f>SUM(G3833:G3836)</f>
        <v>3904.7052113999998</v>
      </c>
      <c r="I3833" s="34"/>
      <c r="J3833" s="138">
        <v>0</v>
      </c>
    </row>
    <row r="3834" spans="1:10" ht="15.75" hidden="1" thickBot="1" x14ac:dyDescent="0.3">
      <c r="A3834" s="221"/>
      <c r="B3834" s="223"/>
      <c r="C3834" s="30"/>
      <c r="D3834" s="30"/>
      <c r="E3834" s="31"/>
      <c r="F3834" s="48" t="s">
        <v>521</v>
      </c>
      <c r="G3834" s="48" t="str">
        <f t="shared" si="73"/>
        <v/>
      </c>
      <c r="H3834" s="67"/>
      <c r="I3834" s="68"/>
      <c r="J3834" s="138">
        <v>0</v>
      </c>
    </row>
    <row r="3835" spans="1:10" ht="26.25" hidden="1" thickBot="1" x14ac:dyDescent="0.3">
      <c r="A3835" s="221"/>
      <c r="B3835" s="223"/>
      <c r="C3835" s="42" t="s">
        <v>780</v>
      </c>
      <c r="D3835" s="30"/>
      <c r="E3835" s="31"/>
      <c r="F3835" s="48" t="s">
        <v>521</v>
      </c>
      <c r="G3835" s="48" t="str">
        <f t="shared" si="73"/>
        <v/>
      </c>
      <c r="H3835" s="67"/>
      <c r="I3835" s="68"/>
      <c r="J3835" s="138">
        <v>0</v>
      </c>
    </row>
    <row r="3836" spans="1:10" ht="15.75" hidden="1" thickBot="1" x14ac:dyDescent="0.3">
      <c r="A3836" s="227"/>
      <c r="B3836" s="224"/>
      <c r="C3836" s="49"/>
      <c r="D3836" s="49"/>
      <c r="E3836" s="60"/>
      <c r="F3836" s="70" t="s">
        <v>521</v>
      </c>
      <c r="G3836" s="70" t="str">
        <f t="shared" si="73"/>
        <v/>
      </c>
      <c r="H3836" s="71"/>
      <c r="I3836" s="68"/>
      <c r="J3836" s="138">
        <v>0</v>
      </c>
    </row>
    <row r="3837" spans="1:10" ht="15.75" hidden="1" thickBot="1" x14ac:dyDescent="0.3">
      <c r="A3837" s="220" t="s">
        <v>1119</v>
      </c>
      <c r="B3837" s="222" t="e">
        <f>INDEX(Orçamentária!A:B,MATCH(Composições!A3837,Orçamentária!A:A,0),2)</f>
        <v>#N/A</v>
      </c>
      <c r="C3837" s="35"/>
      <c r="D3837" s="20" t="s">
        <v>2183</v>
      </c>
      <c r="E3837" s="21"/>
      <c r="F3837" s="43" t="s">
        <v>521</v>
      </c>
      <c r="G3837" s="22" t="str">
        <f t="shared" si="73"/>
        <v/>
      </c>
      <c r="H3837" s="23"/>
      <c r="I3837" s="24"/>
      <c r="J3837" s="138">
        <v>0</v>
      </c>
    </row>
    <row r="3838" spans="1:10" ht="15.75" hidden="1" thickBot="1" x14ac:dyDescent="0.3">
      <c r="A3838" s="225"/>
      <c r="B3838" s="223"/>
      <c r="C3838" s="26"/>
      <c r="D3838" s="26"/>
      <c r="E3838" s="27"/>
      <c r="F3838" s="48" t="s">
        <v>521</v>
      </c>
      <c r="G3838" s="48" t="str">
        <f t="shared" si="73"/>
        <v/>
      </c>
      <c r="H3838" s="67"/>
      <c r="I3838" s="68"/>
      <c r="J3838" s="138">
        <v>0</v>
      </c>
    </row>
    <row r="3839" spans="1:10" ht="15.75" hidden="1" thickBot="1" x14ac:dyDescent="0.3">
      <c r="A3839" s="225"/>
      <c r="B3839" s="223"/>
      <c r="C3839" s="30" t="s">
        <v>54</v>
      </c>
      <c r="D3839" s="30" t="s">
        <v>12</v>
      </c>
      <c r="E3839" s="31">
        <f>0.5/50</f>
        <v>0.01</v>
      </c>
      <c r="F3839" s="48">
        <v>24.795000000000002</v>
      </c>
      <c r="G3839" s="48">
        <f t="shared" si="73"/>
        <v>0.24795000000000003</v>
      </c>
      <c r="H3839" s="33">
        <f>SUM(G3839:G3840)</f>
        <v>0.24795000000000003</v>
      </c>
      <c r="I3839" s="34"/>
      <c r="J3839" s="138">
        <v>0</v>
      </c>
    </row>
    <row r="3840" spans="1:10" ht="15.75" hidden="1" thickBot="1" x14ac:dyDescent="0.3">
      <c r="A3840" s="225"/>
      <c r="B3840" s="223"/>
      <c r="C3840" s="30" t="s">
        <v>1120</v>
      </c>
      <c r="D3840" s="30" t="s">
        <v>144</v>
      </c>
      <c r="E3840" s="31">
        <f>1/50</f>
        <v>0.02</v>
      </c>
      <c r="F3840" s="48" t="s">
        <v>521</v>
      </c>
      <c r="G3840" s="48" t="str">
        <f t="shared" si="73"/>
        <v/>
      </c>
      <c r="H3840" s="67"/>
      <c r="I3840" s="68"/>
      <c r="J3840" s="138">
        <v>0</v>
      </c>
    </row>
    <row r="3841" spans="1:10" ht="15.75" hidden="1" thickBot="1" x14ac:dyDescent="0.3">
      <c r="A3841" s="226"/>
      <c r="B3841" s="224"/>
      <c r="C3841" s="30"/>
      <c r="D3841" s="30"/>
      <c r="E3841" s="31"/>
      <c r="F3841" s="48" t="s">
        <v>521</v>
      </c>
      <c r="G3841" s="48" t="str">
        <f t="shared" si="73"/>
        <v/>
      </c>
      <c r="H3841" s="67"/>
      <c r="I3841" s="68"/>
      <c r="J3841" s="138">
        <v>0</v>
      </c>
    </row>
    <row r="3842" spans="1:10" ht="15.75" hidden="1" thickBot="1" x14ac:dyDescent="0.3">
      <c r="A3842" s="220" t="s">
        <v>1121</v>
      </c>
      <c r="B3842" s="222" t="e">
        <f>INDEX(Orçamentária!A:B,MATCH(Composições!A3842,Orçamentária!A:A,0),2)</f>
        <v>#N/A</v>
      </c>
      <c r="C3842" s="35"/>
      <c r="D3842" s="20" t="s">
        <v>93</v>
      </c>
      <c r="E3842" s="21"/>
      <c r="F3842" s="43" t="s">
        <v>521</v>
      </c>
      <c r="G3842" s="22" t="str">
        <f t="shared" si="73"/>
        <v/>
      </c>
      <c r="H3842" s="23"/>
      <c r="I3842" s="24"/>
      <c r="J3842" s="138">
        <v>0</v>
      </c>
    </row>
    <row r="3843" spans="1:10" ht="15.75" hidden="1" thickBot="1" x14ac:dyDescent="0.3">
      <c r="A3843" s="225"/>
      <c r="B3843" s="223"/>
      <c r="C3843" s="26"/>
      <c r="D3843" s="26"/>
      <c r="E3843" s="27"/>
      <c r="F3843" s="48" t="s">
        <v>521</v>
      </c>
      <c r="G3843" s="48" t="str">
        <f t="shared" si="73"/>
        <v/>
      </c>
      <c r="H3843" s="67"/>
      <c r="I3843" s="68"/>
      <c r="J3843" s="138">
        <v>0</v>
      </c>
    </row>
    <row r="3844" spans="1:10" ht="15.75" hidden="1" thickBot="1" x14ac:dyDescent="0.3">
      <c r="A3844" s="225"/>
      <c r="B3844" s="223"/>
      <c r="C3844" s="30" t="s">
        <v>22</v>
      </c>
      <c r="D3844" s="30" t="s">
        <v>12</v>
      </c>
      <c r="E3844" s="31">
        <v>0.5</v>
      </c>
      <c r="F3844" s="48">
        <v>24.889999999999997</v>
      </c>
      <c r="G3844" s="48">
        <f t="shared" si="73"/>
        <v>12.444999999999999</v>
      </c>
      <c r="H3844" s="33">
        <f>SUM(G3844:G3849)</f>
        <v>35.170285824080402</v>
      </c>
      <c r="I3844" s="34"/>
      <c r="J3844" s="138">
        <v>0</v>
      </c>
    </row>
    <row r="3845" spans="1:10" ht="15.75" hidden="1" thickBot="1" x14ac:dyDescent="0.3">
      <c r="A3845" s="225"/>
      <c r="B3845" s="223"/>
      <c r="C3845" s="30" t="s">
        <v>23</v>
      </c>
      <c r="D3845" s="30" t="s">
        <v>12</v>
      </c>
      <c r="E3845" s="31">
        <v>0.51</v>
      </c>
      <c r="F3845" s="48">
        <v>18.420500000000001</v>
      </c>
      <c r="G3845" s="48">
        <f t="shared" si="73"/>
        <v>9.3944550000000007</v>
      </c>
      <c r="H3845" s="67"/>
      <c r="I3845" s="68"/>
      <c r="J3845" s="138">
        <v>0</v>
      </c>
    </row>
    <row r="3846" spans="1:10" ht="39" hidden="1" thickBot="1" x14ac:dyDescent="0.3">
      <c r="A3846" s="225"/>
      <c r="B3846" s="223"/>
      <c r="C3846" s="30" t="s">
        <v>177</v>
      </c>
      <c r="D3846" s="41" t="s">
        <v>109</v>
      </c>
      <c r="E3846" s="31">
        <v>3.0999999999999999E-3</v>
      </c>
      <c r="F3846" s="48">
        <v>711.408572284</v>
      </c>
      <c r="G3846" s="48">
        <f t="shared" si="73"/>
        <v>2.2053665740803998</v>
      </c>
      <c r="H3846" s="67"/>
      <c r="I3846" s="68"/>
      <c r="J3846" s="138">
        <v>0</v>
      </c>
    </row>
    <row r="3847" spans="1:10" ht="15.75" hidden="1" thickBot="1" x14ac:dyDescent="0.3">
      <c r="A3847" s="225"/>
      <c r="B3847" s="223"/>
      <c r="C3847" s="30" t="s">
        <v>1122</v>
      </c>
      <c r="D3847" s="41" t="s">
        <v>93</v>
      </c>
      <c r="E3847" s="31">
        <v>1</v>
      </c>
      <c r="F3847" s="48" t="s">
        <v>521</v>
      </c>
      <c r="G3847" s="48" t="str">
        <f t="shared" si="73"/>
        <v/>
      </c>
      <c r="H3847" s="67"/>
      <c r="I3847" s="68"/>
      <c r="J3847" s="138">
        <v>0</v>
      </c>
    </row>
    <row r="3848" spans="1:10" ht="15.75" hidden="1" thickBot="1" x14ac:dyDescent="0.3">
      <c r="A3848" s="225"/>
      <c r="B3848" s="223"/>
      <c r="C3848" s="30" t="s">
        <v>23</v>
      </c>
      <c r="D3848" s="30" t="s">
        <v>12</v>
      </c>
      <c r="E3848" s="31">
        <v>0.15</v>
      </c>
      <c r="F3848" s="48">
        <v>18.420500000000001</v>
      </c>
      <c r="G3848" s="48">
        <f t="shared" si="73"/>
        <v>2.7630750000000002</v>
      </c>
      <c r="H3848" s="67"/>
      <c r="I3848" s="68"/>
      <c r="J3848" s="138">
        <v>0</v>
      </c>
    </row>
    <row r="3849" spans="1:10" ht="15.75" hidden="1" thickBot="1" x14ac:dyDescent="0.3">
      <c r="A3849" s="225"/>
      <c r="B3849" s="223"/>
      <c r="C3849" s="30" t="s">
        <v>1123</v>
      </c>
      <c r="D3849" s="30" t="s">
        <v>279</v>
      </c>
      <c r="E3849" s="31">
        <f>ROUND(0.1/0.28,4)</f>
        <v>0.35709999999999997</v>
      </c>
      <c r="F3849" s="48">
        <v>23.417499999999997</v>
      </c>
      <c r="G3849" s="48">
        <f t="shared" si="73"/>
        <v>8.3623892499999979</v>
      </c>
      <c r="H3849" s="67"/>
      <c r="I3849" s="68"/>
      <c r="J3849" s="138">
        <v>0</v>
      </c>
    </row>
    <row r="3850" spans="1:10" ht="15.75" hidden="1" thickBot="1" x14ac:dyDescent="0.3">
      <c r="A3850" s="225"/>
      <c r="B3850" s="223"/>
      <c r="C3850" s="30"/>
      <c r="D3850" s="41"/>
      <c r="E3850" s="31"/>
      <c r="F3850" s="48" t="s">
        <v>521</v>
      </c>
      <c r="G3850" s="48" t="str">
        <f t="shared" si="73"/>
        <v/>
      </c>
      <c r="H3850" s="67"/>
      <c r="I3850" s="68"/>
      <c r="J3850" s="138">
        <v>0</v>
      </c>
    </row>
    <row r="3851" spans="1:10" ht="15.75" hidden="1" thickBot="1" x14ac:dyDescent="0.3">
      <c r="A3851" s="225"/>
      <c r="B3851" s="223"/>
      <c r="C3851" s="135" t="s">
        <v>1124</v>
      </c>
      <c r="D3851" s="41"/>
      <c r="E3851" s="31"/>
      <c r="F3851" s="48" t="s">
        <v>521</v>
      </c>
      <c r="G3851" s="48" t="str">
        <f t="shared" si="73"/>
        <v/>
      </c>
      <c r="H3851" s="67"/>
      <c r="I3851" s="68"/>
      <c r="J3851" s="138">
        <v>0</v>
      </c>
    </row>
    <row r="3852" spans="1:10" ht="15.75" hidden="1" thickBot="1" x14ac:dyDescent="0.3">
      <c r="A3852" s="225"/>
      <c r="B3852" s="223"/>
      <c r="C3852" s="49"/>
      <c r="D3852" s="49"/>
      <c r="E3852" s="60"/>
      <c r="F3852" s="70" t="s">
        <v>521</v>
      </c>
      <c r="G3852" s="70" t="str">
        <f t="shared" si="73"/>
        <v/>
      </c>
      <c r="H3852" s="71"/>
      <c r="I3852" s="68"/>
      <c r="J3852" s="138">
        <v>0</v>
      </c>
    </row>
    <row r="3853" spans="1:10" ht="15.75" hidden="1" thickBot="1" x14ac:dyDescent="0.3">
      <c r="A3853" s="220" t="s">
        <v>1125</v>
      </c>
      <c r="B3853" s="222" t="e">
        <f>INDEX(Orçamentária!A:B,MATCH(Composições!A3853,Orçamentária!A:A,0),2)</f>
        <v>#N/A</v>
      </c>
      <c r="C3853" s="35"/>
      <c r="D3853" s="20" t="s">
        <v>95</v>
      </c>
      <c r="E3853" s="21"/>
      <c r="F3853" s="43" t="s">
        <v>521</v>
      </c>
      <c r="G3853" s="22" t="str">
        <f t="shared" si="73"/>
        <v/>
      </c>
      <c r="H3853" s="23"/>
      <c r="I3853" s="24"/>
      <c r="J3853" s="138">
        <v>0</v>
      </c>
    </row>
    <row r="3854" spans="1:10" ht="15.75" hidden="1" thickBot="1" x14ac:dyDescent="0.3">
      <c r="A3854" s="225"/>
      <c r="B3854" s="223"/>
      <c r="C3854" s="26"/>
      <c r="D3854" s="26"/>
      <c r="E3854" s="27"/>
      <c r="F3854" s="48" t="s">
        <v>521</v>
      </c>
      <c r="G3854" s="48" t="str">
        <f t="shared" si="73"/>
        <v/>
      </c>
      <c r="H3854" s="67"/>
      <c r="I3854" s="68"/>
      <c r="J3854" s="138">
        <v>0</v>
      </c>
    </row>
    <row r="3855" spans="1:10" ht="15.75" hidden="1" thickBot="1" x14ac:dyDescent="0.3">
      <c r="A3855" s="225"/>
      <c r="B3855" s="223"/>
      <c r="C3855" s="30" t="s">
        <v>1714</v>
      </c>
      <c r="D3855" s="30" t="s">
        <v>897</v>
      </c>
      <c r="E3855" s="31">
        <f>ROUND(0.5228/(1.5*0.6),4)</f>
        <v>0.58089999999999997</v>
      </c>
      <c r="F3855" s="48">
        <v>39.909499999999994</v>
      </c>
      <c r="G3855" s="48">
        <f t="shared" si="73"/>
        <v>23.183428549999995</v>
      </c>
      <c r="H3855" s="33">
        <f>SUM(G3855:G3861)</f>
        <v>169.04361465000002</v>
      </c>
      <c r="I3855" s="34"/>
      <c r="J3855" s="138">
        <v>0</v>
      </c>
    </row>
    <row r="3856" spans="1:10" ht="39" hidden="1" thickBot="1" x14ac:dyDescent="0.3">
      <c r="A3856" s="225"/>
      <c r="B3856" s="223"/>
      <c r="C3856" s="30" t="s">
        <v>1128</v>
      </c>
      <c r="D3856" s="30" t="s">
        <v>279</v>
      </c>
      <c r="E3856" s="31">
        <f>ROUND(6/(1.5*0.6),4)</f>
        <v>6.6666999999999996</v>
      </c>
      <c r="F3856" s="48">
        <v>1.2255</v>
      </c>
      <c r="G3856" s="48">
        <f t="shared" si="73"/>
        <v>8.1700408499999995</v>
      </c>
      <c r="H3856" s="67"/>
      <c r="I3856" s="68"/>
      <c r="J3856" s="138">
        <v>0</v>
      </c>
    </row>
    <row r="3857" spans="1:10" ht="26.25" hidden="1" thickBot="1" x14ac:dyDescent="0.3">
      <c r="A3857" s="225"/>
      <c r="B3857" s="223"/>
      <c r="C3857" s="30" t="s">
        <v>1126</v>
      </c>
      <c r="D3857" s="30" t="s">
        <v>988</v>
      </c>
      <c r="E3857" s="31">
        <f>ROUND(1.005/(1.5*0.6),4)</f>
        <v>1.1167</v>
      </c>
      <c r="F3857" s="48" t="s">
        <v>521</v>
      </c>
      <c r="G3857" s="48" t="str">
        <f t="shared" si="73"/>
        <v/>
      </c>
      <c r="H3857" s="67"/>
      <c r="I3857" s="68"/>
      <c r="J3857" s="138">
        <v>0</v>
      </c>
    </row>
    <row r="3858" spans="1:10" ht="15.75" hidden="1" thickBot="1" x14ac:dyDescent="0.3">
      <c r="A3858" s="225"/>
      <c r="B3858" s="223"/>
      <c r="C3858" s="30" t="s">
        <v>1816</v>
      </c>
      <c r="D3858" s="30" t="s">
        <v>897</v>
      </c>
      <c r="E3858" s="31">
        <f>ROUND(0.0211/(1.5*0.6),4)</f>
        <v>2.3400000000000001E-2</v>
      </c>
      <c r="F3858" s="48">
        <v>64.619</v>
      </c>
      <c r="G3858" s="48">
        <f t="shared" si="73"/>
        <v>1.5120846000000001</v>
      </c>
      <c r="H3858" s="67"/>
      <c r="I3858" s="68"/>
      <c r="J3858" s="138">
        <v>0</v>
      </c>
    </row>
    <row r="3859" spans="1:10" ht="26.25" hidden="1" thickBot="1" x14ac:dyDescent="0.3">
      <c r="A3859" s="225"/>
      <c r="B3859" s="223"/>
      <c r="C3859" s="30" t="s">
        <v>1730</v>
      </c>
      <c r="D3859" s="30" t="s">
        <v>279</v>
      </c>
      <c r="E3859" s="31">
        <f>ROUND(2/(1.5*0.6),4)</f>
        <v>2.2222</v>
      </c>
      <c r="F3859" s="48">
        <v>33.6965</v>
      </c>
      <c r="G3859" s="48">
        <f t="shared" si="73"/>
        <v>74.880362300000002</v>
      </c>
      <c r="H3859" s="67"/>
      <c r="I3859" s="68"/>
      <c r="J3859" s="138">
        <v>0</v>
      </c>
    </row>
    <row r="3860" spans="1:10" ht="15.75" hidden="1" thickBot="1" x14ac:dyDescent="0.3">
      <c r="A3860" s="225"/>
      <c r="B3860" s="223"/>
      <c r="C3860" s="30" t="s">
        <v>1607</v>
      </c>
      <c r="D3860" s="30" t="s">
        <v>702</v>
      </c>
      <c r="E3860" s="31">
        <f>ROUND(1.4944/(1.5*0.6),4)</f>
        <v>1.6604000000000001</v>
      </c>
      <c r="F3860" s="48">
        <v>24.795000000000002</v>
      </c>
      <c r="G3860" s="48">
        <f t="shared" si="73"/>
        <v>41.169618000000007</v>
      </c>
      <c r="H3860" s="67"/>
      <c r="I3860" s="68"/>
      <c r="J3860" s="138">
        <v>0</v>
      </c>
    </row>
    <row r="3861" spans="1:10" ht="15.75" hidden="1" thickBot="1" x14ac:dyDescent="0.3">
      <c r="A3861" s="225"/>
      <c r="B3861" s="223"/>
      <c r="C3861" s="30" t="s">
        <v>703</v>
      </c>
      <c r="D3861" s="30" t="s">
        <v>702</v>
      </c>
      <c r="E3861" s="31">
        <f>ROUND(0.9834/(1.5*0.6),4)</f>
        <v>1.0927</v>
      </c>
      <c r="F3861" s="48">
        <v>18.420500000000001</v>
      </c>
      <c r="G3861" s="48">
        <f t="shared" si="73"/>
        <v>20.128080350000001</v>
      </c>
      <c r="H3861" s="67"/>
      <c r="I3861" s="68"/>
      <c r="J3861" s="138">
        <v>0</v>
      </c>
    </row>
    <row r="3862" spans="1:10" ht="15.75" hidden="1" thickBot="1" x14ac:dyDescent="0.3">
      <c r="A3862" s="225"/>
      <c r="B3862" s="223"/>
      <c r="C3862" s="30"/>
      <c r="D3862" s="30"/>
      <c r="E3862" s="31"/>
      <c r="F3862" s="48" t="s">
        <v>521</v>
      </c>
      <c r="G3862" s="48" t="str">
        <f t="shared" si="73"/>
        <v/>
      </c>
      <c r="H3862" s="67"/>
      <c r="I3862" s="68"/>
      <c r="J3862" s="138">
        <v>0</v>
      </c>
    </row>
    <row r="3863" spans="1:10" ht="15.75" hidden="1" thickBot="1" x14ac:dyDescent="0.3">
      <c r="A3863" s="220" t="s">
        <v>1127</v>
      </c>
      <c r="B3863" s="222" t="e">
        <f>INDEX(Orçamentária!A:B,MATCH(Composições!A3863,Orçamentária!A:A,0),2)</f>
        <v>#N/A</v>
      </c>
      <c r="C3863" s="35"/>
      <c r="D3863" s="20" t="s">
        <v>95</v>
      </c>
      <c r="E3863" s="21"/>
      <c r="F3863" s="43" t="s">
        <v>521</v>
      </c>
      <c r="G3863" s="22" t="str">
        <f t="shared" si="73"/>
        <v/>
      </c>
      <c r="H3863" s="23"/>
      <c r="I3863" s="24"/>
      <c r="J3863" s="138">
        <v>0</v>
      </c>
    </row>
    <row r="3864" spans="1:10" ht="15.75" hidden="1" thickBot="1" x14ac:dyDescent="0.3">
      <c r="A3864" s="225"/>
      <c r="B3864" s="223"/>
      <c r="C3864" s="26"/>
      <c r="D3864" s="26"/>
      <c r="E3864" s="27"/>
      <c r="F3864" s="48" t="s">
        <v>521</v>
      </c>
      <c r="G3864" s="48" t="str">
        <f t="shared" si="73"/>
        <v/>
      </c>
      <c r="H3864" s="67"/>
      <c r="I3864" s="68"/>
      <c r="J3864" s="138">
        <v>0</v>
      </c>
    </row>
    <row r="3865" spans="1:10" ht="26.25" hidden="1" thickBot="1" x14ac:dyDescent="0.3">
      <c r="A3865" s="225"/>
      <c r="B3865" s="223"/>
      <c r="C3865" s="30" t="s">
        <v>1059</v>
      </c>
      <c r="D3865" s="41" t="s">
        <v>1070</v>
      </c>
      <c r="E3865" s="31">
        <v>0.88290000000000002</v>
      </c>
      <c r="F3865" s="48">
        <v>35.444499999999998</v>
      </c>
      <c r="G3865" s="48">
        <f t="shared" si="73"/>
        <v>31.293949049999998</v>
      </c>
      <c r="H3865" s="33">
        <f>SUM(G3865:G3870)</f>
        <v>594.61154169999998</v>
      </c>
      <c r="I3865" s="34"/>
      <c r="J3865" s="138">
        <v>0</v>
      </c>
    </row>
    <row r="3866" spans="1:10" ht="39" hidden="1" thickBot="1" x14ac:dyDescent="0.3">
      <c r="A3866" s="225"/>
      <c r="B3866" s="223"/>
      <c r="C3866" s="30" t="s">
        <v>1128</v>
      </c>
      <c r="D3866" s="41" t="s">
        <v>279</v>
      </c>
      <c r="E3866" s="31">
        <v>4.8166000000000002</v>
      </c>
      <c r="F3866" s="48">
        <v>1.2255</v>
      </c>
      <c r="G3866" s="48">
        <f t="shared" si="73"/>
        <v>5.9027433</v>
      </c>
      <c r="H3866" s="67"/>
      <c r="I3866" s="68"/>
      <c r="J3866" s="138">
        <v>0</v>
      </c>
    </row>
    <row r="3867" spans="1:10" ht="39" hidden="1" thickBot="1" x14ac:dyDescent="0.3">
      <c r="A3867" s="225"/>
      <c r="B3867" s="223"/>
      <c r="C3867" s="30" t="s">
        <v>2361</v>
      </c>
      <c r="D3867" s="30" t="s">
        <v>479</v>
      </c>
      <c r="E3867" s="31">
        <v>6.8503999999999996</v>
      </c>
      <c r="F3867" s="48">
        <v>25.469499999999996</v>
      </c>
      <c r="G3867" s="48">
        <f t="shared" si="73"/>
        <v>174.47626279999997</v>
      </c>
      <c r="H3867" s="67"/>
      <c r="I3867" s="68"/>
      <c r="J3867" s="138">
        <v>0</v>
      </c>
    </row>
    <row r="3868" spans="1:10" ht="26.25" hidden="1" thickBot="1" x14ac:dyDescent="0.3">
      <c r="A3868" s="225"/>
      <c r="B3868" s="223"/>
      <c r="C3868" s="30" t="s">
        <v>1129</v>
      </c>
      <c r="D3868" s="30" t="s">
        <v>279</v>
      </c>
      <c r="E3868" s="31">
        <v>0.54730000000000001</v>
      </c>
      <c r="F3868" s="48">
        <v>675.85849999999994</v>
      </c>
      <c r="G3868" s="48">
        <f t="shared" si="73"/>
        <v>369.89735704999998</v>
      </c>
      <c r="H3868" s="67"/>
      <c r="I3868" s="68"/>
      <c r="J3868" s="138">
        <v>0</v>
      </c>
    </row>
    <row r="3869" spans="1:10" ht="15.75" hidden="1" thickBot="1" x14ac:dyDescent="0.3">
      <c r="A3869" s="225"/>
      <c r="B3869" s="223"/>
      <c r="C3869" s="30" t="s">
        <v>1130</v>
      </c>
      <c r="D3869" s="41" t="s">
        <v>702</v>
      </c>
      <c r="E3869" s="31">
        <v>0.3826</v>
      </c>
      <c r="F3869" s="48">
        <v>24.889999999999997</v>
      </c>
      <c r="G3869" s="48">
        <f t="shared" si="73"/>
        <v>9.5229139999999983</v>
      </c>
      <c r="H3869" s="67"/>
      <c r="I3869" s="68"/>
      <c r="J3869" s="138">
        <v>0</v>
      </c>
    </row>
    <row r="3870" spans="1:10" ht="15.75" hidden="1" thickBot="1" x14ac:dyDescent="0.3">
      <c r="A3870" s="225"/>
      <c r="B3870" s="223"/>
      <c r="C3870" s="30" t="s">
        <v>23</v>
      </c>
      <c r="D3870" s="41" t="s">
        <v>702</v>
      </c>
      <c r="E3870" s="31">
        <v>0.191</v>
      </c>
      <c r="F3870" s="48">
        <v>18.420500000000001</v>
      </c>
      <c r="G3870" s="48">
        <f t="shared" si="73"/>
        <v>3.5183155000000004</v>
      </c>
      <c r="H3870" s="67"/>
      <c r="I3870" s="68"/>
      <c r="J3870" s="138">
        <v>0</v>
      </c>
    </row>
    <row r="3871" spans="1:10" ht="15.75" hidden="1" thickBot="1" x14ac:dyDescent="0.3">
      <c r="A3871" s="225"/>
      <c r="B3871" s="223"/>
      <c r="C3871" s="30"/>
      <c r="D3871" s="41"/>
      <c r="E3871" s="31"/>
      <c r="F3871" s="48" t="s">
        <v>521</v>
      </c>
      <c r="G3871" s="48" t="str">
        <f t="shared" si="73"/>
        <v/>
      </c>
      <c r="H3871" s="67"/>
      <c r="I3871" s="68"/>
      <c r="J3871" s="138">
        <v>0</v>
      </c>
    </row>
    <row r="3872" spans="1:10" ht="15.75" hidden="1" thickBot="1" x14ac:dyDescent="0.3">
      <c r="A3872" s="220" t="s">
        <v>1131</v>
      </c>
      <c r="B3872" s="222" t="e">
        <f>INDEX(Orçamentária!A:B,MATCH(Composições!A3872,Orçamentária!A:A,0),2)</f>
        <v>#N/A</v>
      </c>
      <c r="C3872" s="35"/>
      <c r="D3872" s="20" t="s">
        <v>95</v>
      </c>
      <c r="E3872" s="21"/>
      <c r="F3872" s="43" t="s">
        <v>521</v>
      </c>
      <c r="G3872" s="22" t="str">
        <f t="shared" si="73"/>
        <v/>
      </c>
      <c r="H3872" s="23"/>
      <c r="I3872" s="24"/>
      <c r="J3872" s="138">
        <v>0</v>
      </c>
    </row>
    <row r="3873" spans="1:10" ht="15.75" hidden="1" thickBot="1" x14ac:dyDescent="0.3">
      <c r="A3873" s="225"/>
      <c r="B3873" s="223"/>
      <c r="C3873" s="26"/>
      <c r="D3873" s="26"/>
      <c r="E3873" s="27"/>
      <c r="F3873" s="48" t="s">
        <v>521</v>
      </c>
      <c r="G3873" s="48" t="str">
        <f t="shared" si="73"/>
        <v/>
      </c>
      <c r="H3873" s="67"/>
      <c r="I3873" s="68"/>
      <c r="J3873" s="138">
        <v>0</v>
      </c>
    </row>
    <row r="3874" spans="1:10" ht="39" hidden="1" thickBot="1" x14ac:dyDescent="0.3">
      <c r="A3874" s="225"/>
      <c r="B3874" s="223"/>
      <c r="C3874" s="30" t="s">
        <v>1132</v>
      </c>
      <c r="D3874" s="41" t="s">
        <v>279</v>
      </c>
      <c r="E3874" s="31">
        <v>24.4</v>
      </c>
      <c r="F3874" s="48">
        <v>0.1615</v>
      </c>
      <c r="G3874" s="48">
        <f t="shared" si="73"/>
        <v>3.9405999999999999</v>
      </c>
      <c r="H3874" s="33">
        <f>SUM(G3874:G3878)</f>
        <v>624.21721249999996</v>
      </c>
      <c r="I3874" s="34"/>
      <c r="J3874" s="138">
        <v>0</v>
      </c>
    </row>
    <row r="3875" spans="1:10" ht="39" hidden="1" thickBot="1" x14ac:dyDescent="0.3">
      <c r="A3875" s="225"/>
      <c r="B3875" s="223"/>
      <c r="C3875" s="30" t="s">
        <v>2362</v>
      </c>
      <c r="D3875" s="41" t="s">
        <v>279</v>
      </c>
      <c r="E3875" s="31">
        <v>2.0832999999999999</v>
      </c>
      <c r="F3875" s="48">
        <v>255.78749999999999</v>
      </c>
      <c r="G3875" s="48">
        <f t="shared" si="73"/>
        <v>532.88209874999995</v>
      </c>
      <c r="H3875" s="67"/>
      <c r="I3875" s="68"/>
      <c r="J3875" s="138">
        <v>0</v>
      </c>
    </row>
    <row r="3876" spans="1:10" ht="15.75" hidden="1" thickBot="1" x14ac:dyDescent="0.3">
      <c r="A3876" s="225"/>
      <c r="B3876" s="223"/>
      <c r="C3876" s="30" t="s">
        <v>1123</v>
      </c>
      <c r="D3876" s="30" t="s">
        <v>279</v>
      </c>
      <c r="E3876" s="31">
        <v>1.2466999999999999</v>
      </c>
      <c r="F3876" s="48">
        <v>23.417499999999997</v>
      </c>
      <c r="G3876" s="48">
        <f t="shared" si="73"/>
        <v>29.194597249999994</v>
      </c>
      <c r="H3876" s="67"/>
      <c r="I3876" s="68"/>
      <c r="J3876" s="138">
        <v>0</v>
      </c>
    </row>
    <row r="3877" spans="1:10" ht="15.75" hidden="1" thickBot="1" x14ac:dyDescent="0.3">
      <c r="A3877" s="225"/>
      <c r="B3877" s="223"/>
      <c r="C3877" s="30" t="s">
        <v>710</v>
      </c>
      <c r="D3877" s="30" t="s">
        <v>702</v>
      </c>
      <c r="E3877" s="31">
        <v>1.7070000000000001</v>
      </c>
      <c r="F3877" s="48">
        <v>24.889999999999997</v>
      </c>
      <c r="G3877" s="48">
        <f t="shared" si="73"/>
        <v>42.487229999999997</v>
      </c>
      <c r="H3877" s="67"/>
      <c r="I3877" s="68"/>
      <c r="J3877" s="138">
        <v>0</v>
      </c>
    </row>
    <row r="3878" spans="1:10" ht="15.75" hidden="1" thickBot="1" x14ac:dyDescent="0.3">
      <c r="A3878" s="225"/>
      <c r="B3878" s="223"/>
      <c r="C3878" s="30" t="s">
        <v>703</v>
      </c>
      <c r="D3878" s="41" t="s">
        <v>702</v>
      </c>
      <c r="E3878" s="31">
        <v>0.85299999999999998</v>
      </c>
      <c r="F3878" s="48">
        <v>18.420500000000001</v>
      </c>
      <c r="G3878" s="48">
        <f t="shared" si="73"/>
        <v>15.7126865</v>
      </c>
      <c r="H3878" s="67"/>
      <c r="I3878" s="68"/>
      <c r="J3878" s="138">
        <v>0</v>
      </c>
    </row>
    <row r="3879" spans="1:10" ht="15.75" hidden="1" thickBot="1" x14ac:dyDescent="0.3">
      <c r="A3879" s="225"/>
      <c r="B3879" s="223"/>
      <c r="C3879" s="30"/>
      <c r="D3879" s="41"/>
      <c r="E3879" s="31"/>
      <c r="F3879" s="48" t="s">
        <v>521</v>
      </c>
      <c r="G3879" s="48" t="str">
        <f t="shared" si="73"/>
        <v/>
      </c>
      <c r="H3879" s="67"/>
      <c r="I3879" s="68"/>
      <c r="J3879" s="138">
        <v>0</v>
      </c>
    </row>
    <row r="3880" spans="1:10" ht="15.75" hidden="1" thickBot="1" x14ac:dyDescent="0.3">
      <c r="A3880" s="220" t="s">
        <v>1133</v>
      </c>
      <c r="B3880" s="222" t="e">
        <f>INDEX(Orçamentária!A:B,MATCH(Composições!A3880,Orçamentária!A:A,0),2)</f>
        <v>#N/A</v>
      </c>
      <c r="C3880" s="35"/>
      <c r="D3880" s="20" t="s">
        <v>95</v>
      </c>
      <c r="E3880" s="21"/>
      <c r="F3880" s="43" t="s">
        <v>521</v>
      </c>
      <c r="G3880" s="22" t="str">
        <f t="shared" si="73"/>
        <v/>
      </c>
      <c r="H3880" s="23"/>
      <c r="I3880" s="24"/>
      <c r="J3880" s="138">
        <v>0</v>
      </c>
    </row>
    <row r="3881" spans="1:10" ht="15.75" hidden="1" thickBot="1" x14ac:dyDescent="0.3">
      <c r="A3881" s="225"/>
      <c r="B3881" s="223"/>
      <c r="C3881" s="26"/>
      <c r="D3881" s="26"/>
      <c r="E3881" s="27"/>
      <c r="F3881" s="48" t="s">
        <v>521</v>
      </c>
      <c r="G3881" s="48" t="str">
        <f t="shared" si="73"/>
        <v/>
      </c>
      <c r="H3881" s="67"/>
      <c r="I3881" s="68"/>
      <c r="J3881" s="138">
        <v>0</v>
      </c>
    </row>
    <row r="3882" spans="1:10" ht="39" hidden="1" thickBot="1" x14ac:dyDescent="0.3">
      <c r="A3882" s="225"/>
      <c r="B3882" s="223"/>
      <c r="C3882" s="30" t="s">
        <v>1134</v>
      </c>
      <c r="D3882" s="41" t="s">
        <v>988</v>
      </c>
      <c r="E3882" s="31">
        <v>1</v>
      </c>
      <c r="F3882" s="48">
        <v>396.34</v>
      </c>
      <c r="G3882" s="48">
        <f t="shared" si="73"/>
        <v>396.34</v>
      </c>
      <c r="H3882" s="33">
        <f>SUM(G3882:G3888)</f>
        <v>447.67242107179993</v>
      </c>
      <c r="I3882" s="34"/>
      <c r="J3882" s="138">
        <v>0</v>
      </c>
    </row>
    <row r="3883" spans="1:10" ht="15.75" hidden="1" thickBot="1" x14ac:dyDescent="0.3">
      <c r="A3883" s="225"/>
      <c r="B3883" s="223"/>
      <c r="C3883" s="30" t="s">
        <v>710</v>
      </c>
      <c r="D3883" s="41" t="s">
        <v>702</v>
      </c>
      <c r="E3883" s="31">
        <v>1</v>
      </c>
      <c r="F3883" s="48">
        <v>24.889999999999997</v>
      </c>
      <c r="G3883" s="48">
        <f t="shared" si="73"/>
        <v>24.889999999999997</v>
      </c>
      <c r="H3883" s="67"/>
      <c r="I3883" s="68"/>
      <c r="J3883" s="138">
        <v>0</v>
      </c>
    </row>
    <row r="3884" spans="1:10" ht="15.75" hidden="1" thickBot="1" x14ac:dyDescent="0.3">
      <c r="A3884" s="225"/>
      <c r="B3884" s="223"/>
      <c r="C3884" s="30" t="s">
        <v>703</v>
      </c>
      <c r="D3884" s="30" t="s">
        <v>702</v>
      </c>
      <c r="E3884" s="31">
        <v>1.1000000000000001</v>
      </c>
      <c r="F3884" s="48">
        <v>18.420500000000001</v>
      </c>
      <c r="G3884" s="48">
        <f t="shared" si="73"/>
        <v>20.262550000000001</v>
      </c>
      <c r="H3884" s="67"/>
      <c r="I3884" s="68"/>
      <c r="J3884" s="138">
        <v>0</v>
      </c>
    </row>
    <row r="3885" spans="1:10" ht="26.25" hidden="1" thickBot="1" x14ac:dyDescent="0.3">
      <c r="A3885" s="225"/>
      <c r="B3885" s="223"/>
      <c r="C3885" s="30" t="s">
        <v>751</v>
      </c>
      <c r="D3885" s="41" t="s">
        <v>120</v>
      </c>
      <c r="E3885" s="31">
        <v>1.2999999999999999E-2</v>
      </c>
      <c r="F3885" s="48">
        <v>186.16200000000001</v>
      </c>
      <c r="G3885" s="48">
        <f t="shared" si="73"/>
        <v>2.4201060000000001</v>
      </c>
      <c r="H3885" s="67"/>
      <c r="I3885" s="68"/>
      <c r="J3885" s="138">
        <v>0</v>
      </c>
    </row>
    <row r="3886" spans="1:10" ht="15.75" hidden="1" thickBot="1" x14ac:dyDescent="0.3">
      <c r="A3886" s="225"/>
      <c r="B3886" s="223"/>
      <c r="C3886" s="30" t="s">
        <v>747</v>
      </c>
      <c r="D3886" s="41" t="s">
        <v>897</v>
      </c>
      <c r="E3886" s="31">
        <v>4.58</v>
      </c>
      <c r="F3886" s="48">
        <v>0.64600000000000002</v>
      </c>
      <c r="G3886" s="48">
        <f t="shared" si="73"/>
        <v>2.9586800000000002</v>
      </c>
      <c r="H3886" s="67"/>
      <c r="I3886" s="68"/>
      <c r="J3886" s="138">
        <v>0</v>
      </c>
    </row>
    <row r="3887" spans="1:10" ht="51.75" hidden="1" thickBot="1" x14ac:dyDescent="0.3">
      <c r="A3887" s="225"/>
      <c r="B3887" s="223"/>
      <c r="C3887" s="30" t="s">
        <v>1826</v>
      </c>
      <c r="D3887" s="30" t="s">
        <v>109</v>
      </c>
      <c r="E3887" s="31">
        <f>1*E3885</f>
        <v>1.2999999999999999E-2</v>
      </c>
      <c r="F3887" s="28">
        <v>7.8564315999999996</v>
      </c>
      <c r="G3887" s="28">
        <f t="shared" si="73"/>
        <v>0.1021336108</v>
      </c>
      <c r="H3887" s="29"/>
      <c r="I3887" s="25"/>
      <c r="J3887" s="138">
        <v>0</v>
      </c>
    </row>
    <row r="3888" spans="1:10" ht="39" hidden="1" thickBot="1" x14ac:dyDescent="0.3">
      <c r="A3888" s="225"/>
      <c r="B3888" s="223"/>
      <c r="C3888" s="30" t="s">
        <v>121</v>
      </c>
      <c r="D3888" s="41" t="s">
        <v>122</v>
      </c>
      <c r="E3888" s="31">
        <f>E3885*20</f>
        <v>0.26</v>
      </c>
      <c r="F3888" s="48">
        <v>2.6882748499999995</v>
      </c>
      <c r="G3888" s="48">
        <f t="shared" si="73"/>
        <v>0.69895146099999994</v>
      </c>
      <c r="H3888" s="67"/>
      <c r="I3888" s="68"/>
      <c r="J3888" s="138">
        <v>0</v>
      </c>
    </row>
    <row r="3889" spans="1:10" ht="15.75" hidden="1" thickBot="1" x14ac:dyDescent="0.3">
      <c r="A3889" s="225"/>
      <c r="B3889" s="223"/>
      <c r="C3889" s="45"/>
      <c r="D3889" s="41"/>
      <c r="E3889" s="31"/>
      <c r="F3889" s="48" t="s">
        <v>521</v>
      </c>
      <c r="G3889" s="48" t="str">
        <f t="shared" si="73"/>
        <v/>
      </c>
      <c r="H3889" s="67"/>
      <c r="I3889" s="68"/>
      <c r="J3889" s="138">
        <v>0</v>
      </c>
    </row>
    <row r="3890" spans="1:10" ht="15.75" hidden="1" thickBot="1" x14ac:dyDescent="0.3">
      <c r="A3890" s="225"/>
      <c r="B3890" s="223"/>
      <c r="C3890" s="42" t="s">
        <v>754</v>
      </c>
      <c r="D3890" s="41"/>
      <c r="E3890" s="31"/>
      <c r="F3890" s="48" t="s">
        <v>521</v>
      </c>
      <c r="G3890" s="48" t="str">
        <f t="shared" si="73"/>
        <v/>
      </c>
      <c r="H3890" s="67"/>
      <c r="I3890" s="68"/>
      <c r="J3890" s="138">
        <v>0</v>
      </c>
    </row>
    <row r="3891" spans="1:10" ht="15.75" hidden="1" thickBot="1" x14ac:dyDescent="0.3">
      <c r="A3891" s="226"/>
      <c r="B3891" s="224"/>
      <c r="C3891" s="42"/>
      <c r="D3891" s="41"/>
      <c r="E3891" s="31"/>
      <c r="F3891" s="48" t="s">
        <v>521</v>
      </c>
      <c r="G3891" s="48" t="str">
        <f t="shared" si="73"/>
        <v/>
      </c>
      <c r="H3891" s="67"/>
      <c r="I3891" s="68"/>
      <c r="J3891" s="138">
        <v>0</v>
      </c>
    </row>
    <row r="3892" spans="1:10" ht="15.75" hidden="1" thickBot="1" x14ac:dyDescent="0.3">
      <c r="A3892" s="220" t="s">
        <v>1135</v>
      </c>
      <c r="B3892" s="222" t="e">
        <f>INDEX(Orçamentária!A:B,MATCH(Composições!A3892,Orçamentária!A:A,0),2)</f>
        <v>#N/A</v>
      </c>
      <c r="C3892" s="35"/>
      <c r="D3892" s="20" t="s">
        <v>20</v>
      </c>
      <c r="E3892" s="21"/>
      <c r="F3892" s="43" t="s">
        <v>521</v>
      </c>
      <c r="G3892" s="22" t="str">
        <f t="shared" si="73"/>
        <v/>
      </c>
      <c r="H3892" s="23"/>
      <c r="I3892" s="24"/>
      <c r="J3892" s="138">
        <v>0</v>
      </c>
    </row>
    <row r="3893" spans="1:10" ht="15.75" hidden="1" thickBot="1" x14ac:dyDescent="0.3">
      <c r="A3893" s="225"/>
      <c r="B3893" s="223"/>
      <c r="C3893" s="26"/>
      <c r="D3893" s="26"/>
      <c r="E3893" s="27"/>
      <c r="F3893" s="48" t="s">
        <v>521</v>
      </c>
      <c r="G3893" s="48" t="str">
        <f t="shared" ref="G3893:G3956" si="74">IF(ISNUMBER(F3893),E3893*F3893,"")</f>
        <v/>
      </c>
      <c r="H3893" s="67"/>
      <c r="I3893" s="68"/>
      <c r="J3893" s="138">
        <v>0</v>
      </c>
    </row>
    <row r="3894" spans="1:10" ht="15.75" hidden="1" thickBot="1" x14ac:dyDescent="0.3">
      <c r="A3894" s="225"/>
      <c r="B3894" s="223"/>
      <c r="C3894" s="30" t="s">
        <v>318</v>
      </c>
      <c r="D3894" s="41" t="s">
        <v>279</v>
      </c>
      <c r="E3894" s="31">
        <v>0.20519999999999999</v>
      </c>
      <c r="F3894" s="48">
        <v>15.408999999999999</v>
      </c>
      <c r="G3894" s="48">
        <f t="shared" si="74"/>
        <v>3.1619267999999998</v>
      </c>
      <c r="H3894" s="33">
        <f>SUM(G3894:G3905)</f>
        <v>689.66021969999997</v>
      </c>
      <c r="I3894" s="34"/>
      <c r="J3894" s="138">
        <v>0</v>
      </c>
    </row>
    <row r="3895" spans="1:10" ht="26.25" hidden="1" thickBot="1" x14ac:dyDescent="0.3">
      <c r="A3895" s="225"/>
      <c r="B3895" s="223"/>
      <c r="C3895" s="30" t="s">
        <v>1136</v>
      </c>
      <c r="D3895" s="41" t="s">
        <v>279</v>
      </c>
      <c r="E3895" s="31">
        <v>2</v>
      </c>
      <c r="F3895" s="48">
        <v>15.513499999999997</v>
      </c>
      <c r="G3895" s="48">
        <f t="shared" si="74"/>
        <v>31.026999999999994</v>
      </c>
      <c r="H3895" s="67"/>
      <c r="I3895" s="68"/>
      <c r="J3895" s="138">
        <v>0</v>
      </c>
    </row>
    <row r="3896" spans="1:10" ht="15.75" hidden="1" thickBot="1" x14ac:dyDescent="0.3">
      <c r="A3896" s="225"/>
      <c r="B3896" s="223"/>
      <c r="C3896" s="30" t="s">
        <v>1137</v>
      </c>
      <c r="D3896" s="41" t="s">
        <v>279</v>
      </c>
      <c r="E3896" s="31">
        <v>4</v>
      </c>
      <c r="F3896" s="48">
        <v>11.504499999999998</v>
      </c>
      <c r="G3896" s="48">
        <f t="shared" si="74"/>
        <v>46.017999999999994</v>
      </c>
      <c r="H3896" s="67"/>
      <c r="I3896" s="68"/>
      <c r="J3896" s="138">
        <v>0</v>
      </c>
    </row>
    <row r="3897" spans="1:10" ht="15.75" hidden="1" thickBot="1" x14ac:dyDescent="0.3">
      <c r="A3897" s="225"/>
      <c r="B3897" s="223"/>
      <c r="C3897" s="30" t="s">
        <v>1138</v>
      </c>
      <c r="D3897" s="41" t="s">
        <v>279</v>
      </c>
      <c r="E3897" s="31">
        <v>2</v>
      </c>
      <c r="F3897" s="48">
        <v>4.1040000000000001</v>
      </c>
      <c r="G3897" s="48">
        <f t="shared" si="74"/>
        <v>8.2080000000000002</v>
      </c>
      <c r="H3897" s="67"/>
      <c r="I3897" s="68"/>
      <c r="J3897" s="138">
        <v>0</v>
      </c>
    </row>
    <row r="3898" spans="1:10" ht="26.25" hidden="1" thickBot="1" x14ac:dyDescent="0.3">
      <c r="A3898" s="225"/>
      <c r="B3898" s="223"/>
      <c r="C3898" s="30" t="s">
        <v>1139</v>
      </c>
      <c r="D3898" s="41" t="s">
        <v>279</v>
      </c>
      <c r="E3898" s="31">
        <v>2</v>
      </c>
      <c r="F3898" s="48">
        <v>25.231999999999999</v>
      </c>
      <c r="G3898" s="48">
        <f t="shared" si="74"/>
        <v>50.463999999999999</v>
      </c>
      <c r="H3898" s="67"/>
      <c r="I3898" s="68"/>
      <c r="J3898" s="138">
        <v>0</v>
      </c>
    </row>
    <row r="3899" spans="1:10" ht="26.25" hidden="1" thickBot="1" x14ac:dyDescent="0.3">
      <c r="A3899" s="225"/>
      <c r="B3899" s="223"/>
      <c r="C3899" s="30" t="s">
        <v>1140</v>
      </c>
      <c r="D3899" s="41" t="s">
        <v>279</v>
      </c>
      <c r="E3899" s="31">
        <v>1</v>
      </c>
      <c r="F3899" s="48">
        <v>33.126499999999993</v>
      </c>
      <c r="G3899" s="48">
        <f t="shared" si="74"/>
        <v>33.126499999999993</v>
      </c>
      <c r="H3899" s="67"/>
      <c r="I3899" s="68"/>
      <c r="J3899" s="138">
        <v>0</v>
      </c>
    </row>
    <row r="3900" spans="1:10" ht="15.75" hidden="1" thickBot="1" x14ac:dyDescent="0.3">
      <c r="A3900" s="225"/>
      <c r="B3900" s="223"/>
      <c r="C3900" s="30" t="s">
        <v>1141</v>
      </c>
      <c r="D3900" s="41" t="s">
        <v>279</v>
      </c>
      <c r="E3900" s="31">
        <v>3</v>
      </c>
      <c r="F3900" s="48">
        <v>75.125999999999991</v>
      </c>
      <c r="G3900" s="48">
        <f t="shared" si="74"/>
        <v>225.37799999999999</v>
      </c>
      <c r="H3900" s="67"/>
      <c r="I3900" s="68"/>
      <c r="J3900" s="138">
        <v>0</v>
      </c>
    </row>
    <row r="3901" spans="1:10" ht="15.75" hidden="1" thickBot="1" x14ac:dyDescent="0.3">
      <c r="A3901" s="225"/>
      <c r="B3901" s="223"/>
      <c r="C3901" s="30" t="s">
        <v>1142</v>
      </c>
      <c r="D3901" s="41" t="s">
        <v>279</v>
      </c>
      <c r="E3901" s="31">
        <v>2</v>
      </c>
      <c r="F3901" s="48">
        <v>48.212499999999999</v>
      </c>
      <c r="G3901" s="48">
        <f t="shared" si="74"/>
        <v>96.424999999999997</v>
      </c>
      <c r="H3901" s="67"/>
      <c r="I3901" s="68"/>
      <c r="J3901" s="138">
        <v>0</v>
      </c>
    </row>
    <row r="3902" spans="1:10" ht="26.25" hidden="1" thickBot="1" x14ac:dyDescent="0.3">
      <c r="A3902" s="225"/>
      <c r="B3902" s="223"/>
      <c r="C3902" s="30" t="s">
        <v>1143</v>
      </c>
      <c r="D3902" s="41" t="s">
        <v>479</v>
      </c>
      <c r="E3902" s="31">
        <v>0.72729999999999995</v>
      </c>
      <c r="F3902" s="48">
        <v>44.555</v>
      </c>
      <c r="G3902" s="48">
        <f t="shared" si="74"/>
        <v>32.404851499999999</v>
      </c>
      <c r="H3902" s="67"/>
      <c r="I3902" s="68"/>
      <c r="J3902" s="138">
        <v>0</v>
      </c>
    </row>
    <row r="3903" spans="1:10" ht="26.25" hidden="1" thickBot="1" x14ac:dyDescent="0.3">
      <c r="A3903" s="225"/>
      <c r="B3903" s="223"/>
      <c r="C3903" s="30" t="s">
        <v>949</v>
      </c>
      <c r="D3903" s="41" t="s">
        <v>702</v>
      </c>
      <c r="E3903" s="31">
        <v>1.6462000000000001</v>
      </c>
      <c r="F3903" s="48">
        <v>19.094999999999999</v>
      </c>
      <c r="G3903" s="48">
        <f t="shared" si="74"/>
        <v>31.434189</v>
      </c>
      <c r="H3903" s="67"/>
      <c r="I3903" s="68"/>
      <c r="J3903" s="138">
        <v>0</v>
      </c>
    </row>
    <row r="3904" spans="1:10" ht="26.25" hidden="1" thickBot="1" x14ac:dyDescent="0.3">
      <c r="A3904" s="225"/>
      <c r="B3904" s="223"/>
      <c r="C3904" s="30" t="s">
        <v>950</v>
      </c>
      <c r="D3904" s="41" t="s">
        <v>702</v>
      </c>
      <c r="E3904" s="31">
        <v>5.4324000000000003</v>
      </c>
      <c r="F3904" s="48">
        <v>24.300999999999998</v>
      </c>
      <c r="G3904" s="48">
        <f t="shared" si="74"/>
        <v>132.01275240000001</v>
      </c>
      <c r="H3904" s="67"/>
      <c r="I3904" s="68"/>
      <c r="J3904" s="138">
        <v>0</v>
      </c>
    </row>
    <row r="3905" spans="1:10" ht="15.75" hidden="1" thickBot="1" x14ac:dyDescent="0.3">
      <c r="A3905" s="225"/>
      <c r="B3905" s="223"/>
      <c r="C3905" s="30" t="s">
        <v>1144</v>
      </c>
      <c r="D3905" s="41" t="s">
        <v>279</v>
      </c>
      <c r="E3905" s="31">
        <v>1</v>
      </c>
      <c r="F3905" s="48" t="s">
        <v>521</v>
      </c>
      <c r="G3905" s="48" t="str">
        <f t="shared" si="74"/>
        <v/>
      </c>
      <c r="H3905" s="67"/>
      <c r="I3905" s="68"/>
      <c r="J3905" s="138">
        <v>0</v>
      </c>
    </row>
    <row r="3906" spans="1:10" ht="15.75" hidden="1" thickBot="1" x14ac:dyDescent="0.3">
      <c r="A3906" s="225"/>
      <c r="B3906" s="223"/>
      <c r="C3906" s="49"/>
      <c r="D3906" s="49"/>
      <c r="E3906" s="60"/>
      <c r="F3906" s="70" t="s">
        <v>521</v>
      </c>
      <c r="G3906" s="70" t="str">
        <f t="shared" si="74"/>
        <v/>
      </c>
      <c r="H3906" s="71"/>
      <c r="I3906" s="68"/>
      <c r="J3906" s="138">
        <v>0</v>
      </c>
    </row>
    <row r="3907" spans="1:10" ht="15.75" hidden="1" thickBot="1" x14ac:dyDescent="0.3">
      <c r="A3907" s="220" t="s">
        <v>1145</v>
      </c>
      <c r="B3907" s="222" t="e">
        <f>INDEX(Orçamentária!A:B,MATCH(Composições!A3907,Orçamentária!A:A,0),2)</f>
        <v>#N/A</v>
      </c>
      <c r="C3907" s="35"/>
      <c r="D3907" s="20" t="s">
        <v>20</v>
      </c>
      <c r="E3907" s="21"/>
      <c r="F3907" s="43" t="s">
        <v>521</v>
      </c>
      <c r="G3907" s="22" t="str">
        <f t="shared" si="74"/>
        <v/>
      </c>
      <c r="H3907" s="23"/>
      <c r="I3907" s="24"/>
      <c r="J3907" s="138">
        <v>0</v>
      </c>
    </row>
    <row r="3908" spans="1:10" ht="15.75" hidden="1" thickBot="1" x14ac:dyDescent="0.3">
      <c r="A3908" s="225"/>
      <c r="B3908" s="223"/>
      <c r="C3908" s="26"/>
      <c r="D3908" s="26"/>
      <c r="E3908" s="27"/>
      <c r="F3908" s="48" t="s">
        <v>521</v>
      </c>
      <c r="G3908" s="48" t="str">
        <f t="shared" si="74"/>
        <v/>
      </c>
      <c r="H3908" s="67"/>
      <c r="I3908" s="68"/>
      <c r="J3908" s="138">
        <v>0</v>
      </c>
    </row>
    <row r="3909" spans="1:10" ht="15.75" hidden="1" thickBot="1" x14ac:dyDescent="0.3">
      <c r="A3909" s="225"/>
      <c r="B3909" s="223"/>
      <c r="C3909" s="30" t="s">
        <v>318</v>
      </c>
      <c r="D3909" s="30" t="s">
        <v>279</v>
      </c>
      <c r="E3909" s="31">
        <v>1.06E-2</v>
      </c>
      <c r="F3909" s="48">
        <v>15.408999999999999</v>
      </c>
      <c r="G3909" s="48">
        <f t="shared" si="74"/>
        <v>0.16333539999999999</v>
      </c>
      <c r="H3909" s="33">
        <f>SUM(G3909:G3912)</f>
        <v>4.9455745999999996</v>
      </c>
      <c r="I3909" s="34"/>
      <c r="J3909" s="138">
        <v>0</v>
      </c>
    </row>
    <row r="3910" spans="1:10" ht="15.75" hidden="1" thickBot="1" x14ac:dyDescent="0.3">
      <c r="A3910" s="225"/>
      <c r="B3910" s="223"/>
      <c r="C3910" s="30" t="s">
        <v>1146</v>
      </c>
      <c r="D3910" s="30" t="s">
        <v>279</v>
      </c>
      <c r="E3910" s="31">
        <v>1</v>
      </c>
      <c r="F3910" s="48" t="s">
        <v>521</v>
      </c>
      <c r="G3910" s="48" t="str">
        <f t="shared" si="74"/>
        <v/>
      </c>
      <c r="H3910" s="67"/>
      <c r="I3910" s="68"/>
      <c r="J3910" s="138">
        <v>0</v>
      </c>
    </row>
    <row r="3911" spans="1:10" ht="26.25" hidden="1" thickBot="1" x14ac:dyDescent="0.3">
      <c r="A3911" s="225"/>
      <c r="B3911" s="223"/>
      <c r="C3911" s="30" t="s">
        <v>949</v>
      </c>
      <c r="D3911" s="30" t="s">
        <v>702</v>
      </c>
      <c r="E3911" s="31">
        <v>0.11020000000000001</v>
      </c>
      <c r="F3911" s="48">
        <v>19.094999999999999</v>
      </c>
      <c r="G3911" s="48">
        <f t="shared" si="74"/>
        <v>2.1042689999999999</v>
      </c>
      <c r="H3911" s="67"/>
      <c r="I3911" s="68"/>
      <c r="J3911" s="138">
        <v>0</v>
      </c>
    </row>
    <row r="3912" spans="1:10" ht="26.25" hidden="1" thickBot="1" x14ac:dyDescent="0.3">
      <c r="A3912" s="225"/>
      <c r="B3912" s="223"/>
      <c r="C3912" s="30" t="s">
        <v>950</v>
      </c>
      <c r="D3912" s="30" t="s">
        <v>702</v>
      </c>
      <c r="E3912" s="31">
        <v>0.11020000000000001</v>
      </c>
      <c r="F3912" s="48">
        <v>24.300999999999998</v>
      </c>
      <c r="G3912" s="48">
        <f t="shared" si="74"/>
        <v>2.6779701999999999</v>
      </c>
      <c r="H3912" s="67"/>
      <c r="I3912" s="68"/>
      <c r="J3912" s="138">
        <v>0</v>
      </c>
    </row>
    <row r="3913" spans="1:10" ht="15.75" hidden="1" thickBot="1" x14ac:dyDescent="0.3">
      <c r="A3913" s="225"/>
      <c r="B3913" s="223"/>
      <c r="C3913" s="49"/>
      <c r="D3913" s="49"/>
      <c r="E3913" s="60"/>
      <c r="F3913" s="70" t="s">
        <v>521</v>
      </c>
      <c r="G3913" s="70" t="str">
        <f t="shared" si="74"/>
        <v/>
      </c>
      <c r="H3913" s="71"/>
      <c r="I3913" s="68"/>
      <c r="J3913" s="138">
        <v>0</v>
      </c>
    </row>
    <row r="3914" spans="1:10" ht="15.75" thickBot="1" x14ac:dyDescent="0.3">
      <c r="A3914" s="220" t="s">
        <v>1147</v>
      </c>
      <c r="B3914" s="222" t="str">
        <f>INDEX(Orçamentária!A:B,MATCH(Composições!A3914,Orçamentária!A:A,0),2)</f>
        <v>Placa de Concreto Pré-Moldado 15 Mpa</v>
      </c>
      <c r="C3914" s="35"/>
      <c r="D3914" s="20" t="s">
        <v>109</v>
      </c>
      <c r="E3914" s="21"/>
      <c r="F3914" s="43" t="s">
        <v>521</v>
      </c>
      <c r="G3914" s="22" t="str">
        <f t="shared" si="74"/>
        <v/>
      </c>
      <c r="H3914" s="23"/>
      <c r="I3914" s="24"/>
      <c r="J3914" s="138">
        <v>135.44999999999999</v>
      </c>
    </row>
    <row r="3915" spans="1:10" x14ac:dyDescent="0.25">
      <c r="A3915" s="225"/>
      <c r="B3915" s="223"/>
      <c r="C3915" s="26"/>
      <c r="D3915" s="26"/>
      <c r="E3915" s="27"/>
      <c r="F3915" s="48" t="s">
        <v>521</v>
      </c>
      <c r="G3915" s="48" t="str">
        <f t="shared" si="74"/>
        <v/>
      </c>
      <c r="H3915" s="67"/>
      <c r="I3915" s="68"/>
      <c r="J3915" s="138">
        <v>135.44999999999999</v>
      </c>
    </row>
    <row r="3916" spans="1:10" ht="38.25" x14ac:dyDescent="0.25">
      <c r="A3916" s="225"/>
      <c r="B3916" s="223"/>
      <c r="C3916" s="30" t="s">
        <v>2360</v>
      </c>
      <c r="D3916" s="30" t="s">
        <v>988</v>
      </c>
      <c r="E3916" s="31">
        <v>0.75829999999999997</v>
      </c>
      <c r="F3916" s="48">
        <v>57.911999999999999</v>
      </c>
      <c r="G3916" s="48">
        <f t="shared" si="74"/>
        <v>43.914669599999996</v>
      </c>
      <c r="H3916" s="33">
        <f>SUM(G3916:G3930)</f>
        <v>1598.1880546225088</v>
      </c>
      <c r="I3916" s="34"/>
      <c r="J3916" s="138">
        <v>135.44999999999999</v>
      </c>
    </row>
    <row r="3917" spans="1:10" ht="25.5" x14ac:dyDescent="0.25">
      <c r="A3917" s="225"/>
      <c r="B3917" s="223"/>
      <c r="C3917" s="30" t="s">
        <v>1148</v>
      </c>
      <c r="D3917" s="30" t="s">
        <v>102</v>
      </c>
      <c r="E3917" s="31">
        <v>3.3399999999999999E-2</v>
      </c>
      <c r="F3917" s="48">
        <v>7.0964999999999998</v>
      </c>
      <c r="G3917" s="48">
        <f t="shared" si="74"/>
        <v>0.23702309999999999</v>
      </c>
      <c r="H3917" s="67"/>
      <c r="I3917" s="68"/>
      <c r="J3917" s="138">
        <v>135.44999999999999</v>
      </c>
    </row>
    <row r="3918" spans="1:10" ht="25.5" x14ac:dyDescent="0.25">
      <c r="A3918" s="225"/>
      <c r="B3918" s="223"/>
      <c r="C3918" s="30" t="s">
        <v>1930</v>
      </c>
      <c r="D3918" s="30" t="s">
        <v>479</v>
      </c>
      <c r="E3918" s="31">
        <v>2.8315999999999999</v>
      </c>
      <c r="F3918" s="48">
        <v>2.8025000000000002</v>
      </c>
      <c r="G3918" s="48">
        <f t="shared" si="74"/>
        <v>7.9355590000000005</v>
      </c>
      <c r="H3918" s="67"/>
      <c r="I3918" s="68"/>
      <c r="J3918" s="138">
        <v>135.44999999999999</v>
      </c>
    </row>
    <row r="3919" spans="1:10" x14ac:dyDescent="0.25">
      <c r="A3919" s="225"/>
      <c r="B3919" s="223"/>
      <c r="C3919" s="30" t="s">
        <v>1149</v>
      </c>
      <c r="D3919" s="30" t="s">
        <v>897</v>
      </c>
      <c r="E3919" s="31">
        <v>6.0100000000000001E-2</v>
      </c>
      <c r="F3919" s="48">
        <v>24.291499999999999</v>
      </c>
      <c r="G3919" s="48">
        <f t="shared" si="74"/>
        <v>1.4599191499999999</v>
      </c>
      <c r="H3919" s="67"/>
      <c r="I3919" s="68"/>
      <c r="J3919" s="138">
        <v>135.44999999999999</v>
      </c>
    </row>
    <row r="3920" spans="1:10" x14ac:dyDescent="0.25">
      <c r="A3920" s="225"/>
      <c r="B3920" s="223"/>
      <c r="C3920" s="30" t="s">
        <v>2375</v>
      </c>
      <c r="D3920" s="30" t="s">
        <v>120</v>
      </c>
      <c r="E3920" s="31">
        <v>0.18540000000000001</v>
      </c>
      <c r="F3920" s="48">
        <v>324.71949999999998</v>
      </c>
      <c r="G3920" s="48">
        <f t="shared" si="74"/>
        <v>60.202995299999998</v>
      </c>
      <c r="H3920" s="67"/>
      <c r="I3920" s="68"/>
      <c r="J3920" s="138">
        <v>135.44999999999999</v>
      </c>
    </row>
    <row r="3921" spans="1:10" x14ac:dyDescent="0.25">
      <c r="A3921" s="225"/>
      <c r="B3921" s="223"/>
      <c r="C3921" s="30" t="s">
        <v>785</v>
      </c>
      <c r="D3921" s="30" t="s">
        <v>702</v>
      </c>
      <c r="E3921" s="31">
        <v>0.1865</v>
      </c>
      <c r="F3921" s="48">
        <v>19.494</v>
      </c>
      <c r="G3921" s="48">
        <f t="shared" si="74"/>
        <v>3.6356310000000001</v>
      </c>
      <c r="H3921" s="67"/>
      <c r="I3921" s="68"/>
      <c r="J3921" s="138">
        <v>135.44999999999999</v>
      </c>
    </row>
    <row r="3922" spans="1:10" x14ac:dyDescent="0.25">
      <c r="A3922" s="225"/>
      <c r="B3922" s="223"/>
      <c r="C3922" s="30" t="s">
        <v>701</v>
      </c>
      <c r="D3922" s="30" t="s">
        <v>702</v>
      </c>
      <c r="E3922" s="31">
        <v>0.93259999999999998</v>
      </c>
      <c r="F3922" s="48">
        <v>23.616999999999997</v>
      </c>
      <c r="G3922" s="48">
        <f t="shared" si="74"/>
        <v>22.025214199999997</v>
      </c>
      <c r="H3922" s="67"/>
      <c r="I3922" s="68"/>
      <c r="J3922" s="138">
        <v>135.44999999999999</v>
      </c>
    </row>
    <row r="3923" spans="1:10" x14ac:dyDescent="0.25">
      <c r="A3923" s="225"/>
      <c r="B3923" s="223"/>
      <c r="C3923" s="30" t="s">
        <v>710</v>
      </c>
      <c r="D3923" s="30" t="s">
        <v>702</v>
      </c>
      <c r="E3923" s="31">
        <v>6.7480000000000002</v>
      </c>
      <c r="F3923" s="48">
        <v>24.889999999999997</v>
      </c>
      <c r="G3923" s="48">
        <f t="shared" si="74"/>
        <v>167.95771999999999</v>
      </c>
      <c r="H3923" s="67"/>
      <c r="I3923" s="68"/>
      <c r="J3923" s="138">
        <v>135.44999999999999</v>
      </c>
    </row>
    <row r="3924" spans="1:10" x14ac:dyDescent="0.25">
      <c r="A3924" s="225"/>
      <c r="B3924" s="223"/>
      <c r="C3924" s="30" t="s">
        <v>703</v>
      </c>
      <c r="D3924" s="30" t="s">
        <v>702</v>
      </c>
      <c r="E3924" s="31">
        <v>6.7480000000000002</v>
      </c>
      <c r="F3924" s="48">
        <v>18.420500000000001</v>
      </c>
      <c r="G3924" s="48">
        <f t="shared" si="74"/>
        <v>124.301534</v>
      </c>
      <c r="H3924" s="67"/>
      <c r="I3924" s="68"/>
      <c r="J3924" s="138">
        <v>135.44999999999999</v>
      </c>
    </row>
    <row r="3925" spans="1:10" ht="25.5" x14ac:dyDescent="0.25">
      <c r="A3925" s="225"/>
      <c r="B3925" s="223"/>
      <c r="C3925" s="30" t="s">
        <v>1150</v>
      </c>
      <c r="D3925" s="30" t="s">
        <v>938</v>
      </c>
      <c r="E3925" s="31">
        <v>0.86770000000000003</v>
      </c>
      <c r="F3925" s="48">
        <v>1.1779999999999999</v>
      </c>
      <c r="G3925" s="48">
        <f t="shared" si="74"/>
        <v>1.0221506</v>
      </c>
      <c r="H3925" s="67"/>
      <c r="I3925" s="68"/>
      <c r="J3925" s="138">
        <v>135.44999999999999</v>
      </c>
    </row>
    <row r="3926" spans="1:10" ht="25.5" x14ac:dyDescent="0.25">
      <c r="A3926" s="225"/>
      <c r="B3926" s="223"/>
      <c r="C3926" s="30" t="s">
        <v>1151</v>
      </c>
      <c r="D3926" s="30" t="s">
        <v>940</v>
      </c>
      <c r="E3926" s="31">
        <v>2.3860000000000001</v>
      </c>
      <c r="F3926" s="48">
        <v>0.53200000000000003</v>
      </c>
      <c r="G3926" s="48">
        <f t="shared" si="74"/>
        <v>1.269352</v>
      </c>
      <c r="H3926" s="67"/>
      <c r="I3926" s="68"/>
      <c r="J3926" s="138">
        <v>135.44999999999999</v>
      </c>
    </row>
    <row r="3927" spans="1:10" ht="25.5" x14ac:dyDescent="0.25">
      <c r="A3927" s="225"/>
      <c r="B3927" s="223"/>
      <c r="C3927" s="30" t="s">
        <v>1152</v>
      </c>
      <c r="D3927" s="30" t="s">
        <v>938</v>
      </c>
      <c r="E3927" s="31">
        <v>8.9399999999999993E-2</v>
      </c>
      <c r="F3927" s="48">
        <v>20.234999999999999</v>
      </c>
      <c r="G3927" s="48">
        <f t="shared" si="74"/>
        <v>1.8090089999999999</v>
      </c>
      <c r="H3927" s="67"/>
      <c r="I3927" s="68"/>
      <c r="J3927" s="138">
        <v>135.44999999999999</v>
      </c>
    </row>
    <row r="3928" spans="1:10" ht="25.5" x14ac:dyDescent="0.25">
      <c r="A3928" s="225"/>
      <c r="B3928" s="223"/>
      <c r="C3928" s="30" t="s">
        <v>1153</v>
      </c>
      <c r="D3928" s="30" t="s">
        <v>940</v>
      </c>
      <c r="E3928" s="31">
        <v>9.7100000000000006E-2</v>
      </c>
      <c r="F3928" s="48">
        <v>19.456</v>
      </c>
      <c r="G3928" s="48">
        <f t="shared" si="74"/>
        <v>1.8891776</v>
      </c>
      <c r="H3928" s="67"/>
      <c r="I3928" s="68"/>
      <c r="J3928" s="138">
        <v>135.44999999999999</v>
      </c>
    </row>
    <row r="3929" spans="1:10" ht="38.25" x14ac:dyDescent="0.25">
      <c r="A3929" s="225"/>
      <c r="B3929" s="223"/>
      <c r="C3929" s="30" t="s">
        <v>1581</v>
      </c>
      <c r="D3929" s="30" t="s">
        <v>897</v>
      </c>
      <c r="E3929" s="31">
        <v>31.7318</v>
      </c>
      <c r="F3929" s="48">
        <v>15.080371250000001</v>
      </c>
      <c r="G3929" s="48">
        <f t="shared" si="74"/>
        <v>478.52732443075001</v>
      </c>
      <c r="H3929" s="67"/>
      <c r="I3929" s="68"/>
      <c r="J3929" s="138">
        <v>135.44999999999999</v>
      </c>
    </row>
    <row r="3930" spans="1:10" ht="38.25" x14ac:dyDescent="0.25">
      <c r="A3930" s="225"/>
      <c r="B3930" s="223"/>
      <c r="C3930" s="30" t="s">
        <v>2253</v>
      </c>
      <c r="D3930" s="30" t="s">
        <v>120</v>
      </c>
      <c r="E3930" s="31">
        <v>1.103</v>
      </c>
      <c r="F3930" s="48">
        <v>618.31439314756005</v>
      </c>
      <c r="G3930" s="48">
        <f t="shared" si="74"/>
        <v>682.00077564175876</v>
      </c>
      <c r="H3930" s="67"/>
      <c r="I3930" s="68"/>
      <c r="J3930" s="138">
        <v>135.44999999999999</v>
      </c>
    </row>
    <row r="3931" spans="1:10" ht="15.75" thickBot="1" x14ac:dyDescent="0.3">
      <c r="A3931" s="226"/>
      <c r="B3931" s="224"/>
      <c r="C3931" s="49"/>
      <c r="D3931" s="49"/>
      <c r="E3931" s="60"/>
      <c r="F3931" s="70" t="s">
        <v>521</v>
      </c>
      <c r="G3931" s="70" t="str">
        <f t="shared" si="74"/>
        <v/>
      </c>
      <c r="H3931" s="71"/>
      <c r="I3931" s="68"/>
      <c r="J3931" s="138">
        <v>135.44999999999999</v>
      </c>
    </row>
    <row r="3932" spans="1:10" ht="15.75" thickBot="1" x14ac:dyDescent="0.3">
      <c r="A3932" s="220" t="s">
        <v>1155</v>
      </c>
      <c r="B3932" s="222" t="str">
        <f>INDEX(Orçamentária!A:B,MATCH(Composições!A3932,Orçamentária!A:A,0),2)</f>
        <v>Eletroduto PEAD 3” (75mm) – fornecimento e instalação</v>
      </c>
      <c r="C3932" s="35"/>
      <c r="D3932" s="20" t="s">
        <v>93</v>
      </c>
      <c r="E3932" s="21"/>
      <c r="F3932" s="43" t="s">
        <v>521</v>
      </c>
      <c r="G3932" s="22" t="str">
        <f t="shared" si="74"/>
        <v/>
      </c>
      <c r="H3932" s="23"/>
      <c r="I3932" s="24"/>
      <c r="J3932" s="138">
        <v>515</v>
      </c>
    </row>
    <row r="3933" spans="1:10" x14ac:dyDescent="0.25">
      <c r="A3933" s="225"/>
      <c r="B3933" s="223"/>
      <c r="C3933" s="26"/>
      <c r="D3933" s="26"/>
      <c r="E3933" s="27"/>
      <c r="F3933" s="48" t="s">
        <v>521</v>
      </c>
      <c r="G3933" s="48" t="str">
        <f t="shared" si="74"/>
        <v/>
      </c>
      <c r="H3933" s="67"/>
      <c r="I3933" s="68"/>
      <c r="J3933" s="138">
        <v>515</v>
      </c>
    </row>
    <row r="3934" spans="1:10" ht="38.25" x14ac:dyDescent="0.25">
      <c r="A3934" s="225"/>
      <c r="B3934" s="223"/>
      <c r="C3934" s="30" t="s">
        <v>2276</v>
      </c>
      <c r="D3934" s="30" t="s">
        <v>479</v>
      </c>
      <c r="E3934" s="31">
        <v>1.1000000000000001</v>
      </c>
      <c r="F3934" s="48">
        <v>8.5404999999999998</v>
      </c>
      <c r="G3934" s="48">
        <f t="shared" si="74"/>
        <v>9.3945500000000006</v>
      </c>
      <c r="H3934" s="33">
        <f>SUM(G3934:G3936)</f>
        <v>16.126810499999998</v>
      </c>
      <c r="I3934" s="34"/>
      <c r="J3934" s="138">
        <v>515</v>
      </c>
    </row>
    <row r="3935" spans="1:10" x14ac:dyDescent="0.25">
      <c r="A3935" s="225"/>
      <c r="B3935" s="223"/>
      <c r="C3935" s="30" t="s">
        <v>1156</v>
      </c>
      <c r="D3935" s="30" t="s">
        <v>702</v>
      </c>
      <c r="E3935" s="31">
        <v>0.15110000000000001</v>
      </c>
      <c r="F3935" s="48">
        <v>19.4085</v>
      </c>
      <c r="G3935" s="48">
        <f t="shared" si="74"/>
        <v>2.9326243500000002</v>
      </c>
      <c r="H3935" s="67"/>
      <c r="I3935" s="68"/>
      <c r="J3935" s="138">
        <v>515</v>
      </c>
    </row>
    <row r="3936" spans="1:10" x14ac:dyDescent="0.25">
      <c r="A3936" s="225"/>
      <c r="B3936" s="223"/>
      <c r="C3936" s="30" t="s">
        <v>1157</v>
      </c>
      <c r="D3936" s="30" t="s">
        <v>702</v>
      </c>
      <c r="E3936" s="31">
        <v>0.15110000000000001</v>
      </c>
      <c r="F3936" s="48">
        <v>25.146499999999996</v>
      </c>
      <c r="G3936" s="48">
        <f t="shared" si="74"/>
        <v>3.7996361499999995</v>
      </c>
      <c r="H3936" s="67"/>
      <c r="I3936" s="68"/>
      <c r="J3936" s="138">
        <v>515</v>
      </c>
    </row>
    <row r="3937" spans="1:10" ht="15.75" thickBot="1" x14ac:dyDescent="0.3">
      <c r="A3937" s="225"/>
      <c r="B3937" s="223"/>
      <c r="C3937" s="49"/>
      <c r="D3937" s="49"/>
      <c r="E3937" s="60"/>
      <c r="F3937" s="70" t="s">
        <v>521</v>
      </c>
      <c r="G3937" s="70" t="str">
        <f t="shared" si="74"/>
        <v/>
      </c>
      <c r="H3937" s="71"/>
      <c r="I3937" s="68"/>
      <c r="J3937" s="138">
        <v>515</v>
      </c>
    </row>
    <row r="3938" spans="1:10" ht="15.75" hidden="1" thickBot="1" x14ac:dyDescent="0.3">
      <c r="A3938" s="220" t="s">
        <v>1158</v>
      </c>
      <c r="B3938" s="222" t="e">
        <f>INDEX(Orçamentária!A:B,MATCH(Composições!A3938,Orçamentária!A:A,0),2)</f>
        <v>#N/A</v>
      </c>
      <c r="C3938" s="35"/>
      <c r="D3938" s="20" t="s">
        <v>93</v>
      </c>
      <c r="E3938" s="21"/>
      <c r="F3938" s="43" t="s">
        <v>521</v>
      </c>
      <c r="G3938" s="22" t="str">
        <f t="shared" si="74"/>
        <v/>
      </c>
      <c r="H3938" s="23"/>
      <c r="I3938" s="24"/>
      <c r="J3938" s="138">
        <v>0</v>
      </c>
    </row>
    <row r="3939" spans="1:10" ht="15.75" hidden="1" thickBot="1" x14ac:dyDescent="0.3">
      <c r="A3939" s="225"/>
      <c r="B3939" s="223"/>
      <c r="C3939" s="26"/>
      <c r="D3939" s="26"/>
      <c r="E3939" s="27"/>
      <c r="F3939" s="48" t="s">
        <v>521</v>
      </c>
      <c r="G3939" s="48" t="str">
        <f t="shared" si="74"/>
        <v/>
      </c>
      <c r="H3939" s="67"/>
      <c r="I3939" s="68"/>
      <c r="J3939" s="138">
        <v>0</v>
      </c>
    </row>
    <row r="3940" spans="1:10" ht="15.75" hidden="1" thickBot="1" x14ac:dyDescent="0.3">
      <c r="A3940" s="225"/>
      <c r="B3940" s="223"/>
      <c r="C3940" s="30" t="s">
        <v>1159</v>
      </c>
      <c r="D3940" s="30" t="s">
        <v>93</v>
      </c>
      <c r="E3940" s="31">
        <v>1.05</v>
      </c>
      <c r="F3940" s="48">
        <v>0</v>
      </c>
      <c r="G3940" s="48">
        <f t="shared" si="74"/>
        <v>0</v>
      </c>
      <c r="H3940" s="33">
        <f>SUM(G3940:G3944)</f>
        <v>18.4467295</v>
      </c>
      <c r="I3940" s="34"/>
      <c r="J3940" s="138">
        <v>0</v>
      </c>
    </row>
    <row r="3941" spans="1:10" ht="15.75" hidden="1" thickBot="1" x14ac:dyDescent="0.3">
      <c r="A3941" s="225"/>
      <c r="B3941" s="223"/>
      <c r="C3941" s="30" t="s">
        <v>30</v>
      </c>
      <c r="D3941" s="30" t="s">
        <v>12</v>
      </c>
      <c r="E3941" s="31">
        <v>0.28210000000000002</v>
      </c>
      <c r="F3941" s="25">
        <v>25.146499999999996</v>
      </c>
      <c r="G3941" s="28">
        <f t="shared" si="74"/>
        <v>7.0938276499999997</v>
      </c>
      <c r="H3941" s="67"/>
      <c r="I3941" s="68"/>
      <c r="J3941" s="138">
        <v>0</v>
      </c>
    </row>
    <row r="3942" spans="1:10" ht="15.75" hidden="1" thickBot="1" x14ac:dyDescent="0.3">
      <c r="A3942" s="225"/>
      <c r="B3942" s="223"/>
      <c r="C3942" s="30" t="s">
        <v>74</v>
      </c>
      <c r="D3942" s="30" t="s">
        <v>12</v>
      </c>
      <c r="E3942" s="31">
        <v>0.28210000000000002</v>
      </c>
      <c r="F3942" s="25">
        <v>19.4085</v>
      </c>
      <c r="G3942" s="28">
        <f t="shared" si="74"/>
        <v>5.4751378500000003</v>
      </c>
      <c r="H3942" s="67"/>
      <c r="I3942" s="68"/>
      <c r="J3942" s="138">
        <v>0</v>
      </c>
    </row>
    <row r="3943" spans="1:10" ht="51.75" hidden="1" thickBot="1" x14ac:dyDescent="0.3">
      <c r="A3943" s="225"/>
      <c r="B3943" s="223"/>
      <c r="C3943" s="30" t="s">
        <v>1593</v>
      </c>
      <c r="D3943" s="30" t="s">
        <v>479</v>
      </c>
      <c r="E3943" s="31">
        <v>2</v>
      </c>
      <c r="F3943" s="28">
        <v>2.938882</v>
      </c>
      <c r="G3943" s="28">
        <f t="shared" si="74"/>
        <v>5.877764</v>
      </c>
      <c r="H3943" s="67"/>
      <c r="I3943" s="68"/>
      <c r="J3943" s="138">
        <v>0</v>
      </c>
    </row>
    <row r="3944" spans="1:10" ht="39" hidden="1" thickBot="1" x14ac:dyDescent="0.3">
      <c r="A3944" s="225"/>
      <c r="B3944" s="223"/>
      <c r="C3944" s="30" t="s">
        <v>1590</v>
      </c>
      <c r="D3944" s="30" t="s">
        <v>279</v>
      </c>
      <c r="E3944" s="31">
        <f>0.3333*1.5</f>
        <v>0.49995000000000001</v>
      </c>
      <c r="F3944" s="28" t="s">
        <v>521</v>
      </c>
      <c r="G3944" s="25" t="str">
        <f t="shared" si="74"/>
        <v/>
      </c>
      <c r="H3944" s="67"/>
      <c r="I3944" s="68"/>
      <c r="J3944" s="138">
        <v>0</v>
      </c>
    </row>
    <row r="3945" spans="1:10" ht="15.75" hidden="1" thickBot="1" x14ac:dyDescent="0.3">
      <c r="A3945" s="225"/>
      <c r="B3945" s="223"/>
      <c r="C3945" s="49"/>
      <c r="D3945" s="49"/>
      <c r="E3945" s="60"/>
      <c r="F3945" s="70" t="s">
        <v>521</v>
      </c>
      <c r="G3945" s="70" t="str">
        <f t="shared" si="74"/>
        <v/>
      </c>
      <c r="H3945" s="71"/>
      <c r="I3945" s="68"/>
      <c r="J3945" s="138">
        <v>0</v>
      </c>
    </row>
    <row r="3946" spans="1:10" ht="15.75" hidden="1" thickBot="1" x14ac:dyDescent="0.3">
      <c r="A3946" s="220" t="s">
        <v>1160</v>
      </c>
      <c r="B3946" s="222" t="e">
        <f>INDEX(Orçamentária!A:B,MATCH(Composições!A3946,Orçamentária!A:A,0),2)</f>
        <v>#N/A</v>
      </c>
      <c r="C3946" s="35"/>
      <c r="D3946" s="20" t="s">
        <v>93</v>
      </c>
      <c r="E3946" s="21"/>
      <c r="F3946" s="43" t="s">
        <v>521</v>
      </c>
      <c r="G3946" s="22" t="str">
        <f t="shared" si="74"/>
        <v/>
      </c>
      <c r="H3946" s="23"/>
      <c r="I3946" s="24"/>
      <c r="J3946" s="138">
        <v>0</v>
      </c>
    </row>
    <row r="3947" spans="1:10" ht="15.75" hidden="1" thickBot="1" x14ac:dyDescent="0.3">
      <c r="A3947" s="225"/>
      <c r="B3947" s="223"/>
      <c r="C3947" s="26"/>
      <c r="D3947" s="26"/>
      <c r="E3947" s="27"/>
      <c r="F3947" s="48" t="s">
        <v>521</v>
      </c>
      <c r="G3947" s="48" t="str">
        <f t="shared" si="74"/>
        <v/>
      </c>
      <c r="H3947" s="67"/>
      <c r="I3947" s="68"/>
      <c r="J3947" s="138">
        <v>0</v>
      </c>
    </row>
    <row r="3948" spans="1:10" ht="26.25" hidden="1" thickBot="1" x14ac:dyDescent="0.3">
      <c r="A3948" s="225"/>
      <c r="B3948" s="223"/>
      <c r="C3948" s="30" t="s">
        <v>1161</v>
      </c>
      <c r="D3948" s="30" t="s">
        <v>93</v>
      </c>
      <c r="E3948" s="31">
        <v>1</v>
      </c>
      <c r="F3948" s="48">
        <v>0</v>
      </c>
      <c r="G3948" s="48">
        <f t="shared" si="74"/>
        <v>0</v>
      </c>
      <c r="H3948" s="33">
        <f>SUM(G3948:G3950)</f>
        <v>29.018034999999998</v>
      </c>
      <c r="I3948" s="34"/>
      <c r="J3948" s="138">
        <v>0</v>
      </c>
    </row>
    <row r="3949" spans="1:10" ht="15.75" hidden="1" thickBot="1" x14ac:dyDescent="0.3">
      <c r="A3949" s="225"/>
      <c r="B3949" s="223"/>
      <c r="C3949" s="30" t="s">
        <v>710</v>
      </c>
      <c r="D3949" s="30" t="s">
        <v>702</v>
      </c>
      <c r="E3949" s="31">
        <v>0.67</v>
      </c>
      <c r="F3949" s="48">
        <v>24.889999999999997</v>
      </c>
      <c r="G3949" s="48">
        <f t="shared" si="74"/>
        <v>16.676299999999998</v>
      </c>
      <c r="H3949" s="67"/>
      <c r="I3949" s="68"/>
      <c r="J3949" s="138">
        <v>0</v>
      </c>
    </row>
    <row r="3950" spans="1:10" ht="15.75" hidden="1" thickBot="1" x14ac:dyDescent="0.3">
      <c r="A3950" s="225"/>
      <c r="B3950" s="223"/>
      <c r="C3950" s="30" t="s">
        <v>703</v>
      </c>
      <c r="D3950" s="30" t="s">
        <v>702</v>
      </c>
      <c r="E3950" s="31">
        <v>0.67</v>
      </c>
      <c r="F3950" s="48">
        <v>18.420500000000001</v>
      </c>
      <c r="G3950" s="48">
        <f t="shared" si="74"/>
        <v>12.341735000000002</v>
      </c>
      <c r="H3950" s="67"/>
      <c r="I3950" s="68"/>
      <c r="J3950" s="138">
        <v>0</v>
      </c>
    </row>
    <row r="3951" spans="1:10" ht="15.75" hidden="1" thickBot="1" x14ac:dyDescent="0.3">
      <c r="A3951" s="225"/>
      <c r="B3951" s="223"/>
      <c r="C3951" s="49"/>
      <c r="D3951" s="49"/>
      <c r="E3951" s="60"/>
      <c r="F3951" s="70" t="s">
        <v>521</v>
      </c>
      <c r="G3951" s="70" t="str">
        <f t="shared" si="74"/>
        <v/>
      </c>
      <c r="H3951" s="71"/>
      <c r="I3951" s="68"/>
      <c r="J3951" s="138">
        <v>0</v>
      </c>
    </row>
    <row r="3952" spans="1:10" ht="15.75" hidden="1" thickBot="1" x14ac:dyDescent="0.3">
      <c r="A3952" s="220" t="s">
        <v>1162</v>
      </c>
      <c r="B3952" s="222" t="e">
        <f>INDEX(Orçamentária!A:B,MATCH(Composições!A3952,Orçamentária!A:A,0),2)</f>
        <v>#N/A</v>
      </c>
      <c r="C3952" s="35"/>
      <c r="D3952" s="20" t="s">
        <v>95</v>
      </c>
      <c r="E3952" s="21"/>
      <c r="F3952" s="43" t="s">
        <v>521</v>
      </c>
      <c r="G3952" s="22" t="str">
        <f t="shared" si="74"/>
        <v/>
      </c>
      <c r="H3952" s="23"/>
      <c r="I3952" s="24"/>
      <c r="J3952" s="138">
        <v>0</v>
      </c>
    </row>
    <row r="3953" spans="1:10" ht="15.75" hidden="1" thickBot="1" x14ac:dyDescent="0.3">
      <c r="A3953" s="225"/>
      <c r="B3953" s="223"/>
      <c r="C3953" s="26"/>
      <c r="D3953" s="26"/>
      <c r="E3953" s="27"/>
      <c r="F3953" s="48" t="s">
        <v>521</v>
      </c>
      <c r="G3953" s="48" t="str">
        <f t="shared" si="74"/>
        <v/>
      </c>
      <c r="H3953" s="67"/>
      <c r="I3953" s="68"/>
      <c r="J3953" s="138">
        <v>0</v>
      </c>
    </row>
    <row r="3954" spans="1:10" ht="26.25" hidden="1" thickBot="1" x14ac:dyDescent="0.3">
      <c r="A3954" s="225"/>
      <c r="B3954" s="223"/>
      <c r="C3954" s="30" t="s">
        <v>1163</v>
      </c>
      <c r="D3954" s="30" t="s">
        <v>93</v>
      </c>
      <c r="E3954" s="31">
        <f>ROUND(1/0.15,4)</f>
        <v>6.6666999999999996</v>
      </c>
      <c r="F3954" s="48" t="s">
        <v>521</v>
      </c>
      <c r="G3954" s="48" t="str">
        <f t="shared" si="74"/>
        <v/>
      </c>
      <c r="H3954" s="33">
        <f>SUM(G3954:G3957)</f>
        <v>137.75253650000002</v>
      </c>
      <c r="I3954" s="34"/>
      <c r="J3954" s="138">
        <v>0</v>
      </c>
    </row>
    <row r="3955" spans="1:10" ht="15.75" hidden="1" thickBot="1" x14ac:dyDescent="0.3">
      <c r="A3955" s="225"/>
      <c r="B3955" s="223"/>
      <c r="C3955" s="30" t="s">
        <v>1831</v>
      </c>
      <c r="D3955" s="30" t="s">
        <v>42</v>
      </c>
      <c r="E3955" s="31">
        <f>1.29/0.15</f>
        <v>8.6000000000000014</v>
      </c>
      <c r="F3955" s="48">
        <v>1.6054999999999999</v>
      </c>
      <c r="G3955" s="48">
        <f t="shared" si="74"/>
        <v>13.807300000000001</v>
      </c>
      <c r="H3955" s="67"/>
      <c r="I3955" s="68"/>
      <c r="J3955" s="138">
        <v>0</v>
      </c>
    </row>
    <row r="3956" spans="1:10" ht="15.75" hidden="1" thickBot="1" x14ac:dyDescent="0.3">
      <c r="A3956" s="225"/>
      <c r="B3956" s="223"/>
      <c r="C3956" s="30" t="s">
        <v>54</v>
      </c>
      <c r="D3956" s="30" t="s">
        <v>12</v>
      </c>
      <c r="E3956" s="31">
        <f>ROUND(0.547/0.15,4)</f>
        <v>3.6467000000000001</v>
      </c>
      <c r="F3956" s="48">
        <v>24.795000000000002</v>
      </c>
      <c r="G3956" s="48">
        <f t="shared" si="74"/>
        <v>90.419926500000003</v>
      </c>
      <c r="H3956" s="67"/>
      <c r="I3956" s="68"/>
      <c r="J3956" s="138">
        <v>0</v>
      </c>
    </row>
    <row r="3957" spans="1:10" ht="15.75" hidden="1" thickBot="1" x14ac:dyDescent="0.3">
      <c r="A3957" s="225"/>
      <c r="B3957" s="223"/>
      <c r="C3957" s="30" t="s">
        <v>23</v>
      </c>
      <c r="D3957" s="30" t="s">
        <v>12</v>
      </c>
      <c r="E3957" s="31">
        <f>0.273/0.15</f>
        <v>1.8200000000000003</v>
      </c>
      <c r="F3957" s="48">
        <v>18.420500000000001</v>
      </c>
      <c r="G3957" s="48">
        <f t="shared" ref="G3957:G4020" si="75">IF(ISNUMBER(F3957),E3957*F3957,"")</f>
        <v>33.525310000000005</v>
      </c>
      <c r="H3957" s="67"/>
      <c r="I3957" s="68"/>
      <c r="J3957" s="138">
        <v>0</v>
      </c>
    </row>
    <row r="3958" spans="1:10" ht="15.75" hidden="1" thickBot="1" x14ac:dyDescent="0.3">
      <c r="A3958" s="225"/>
      <c r="B3958" s="223"/>
      <c r="C3958" s="30"/>
      <c r="D3958" s="30"/>
      <c r="E3958" s="31"/>
      <c r="F3958" s="48" t="s">
        <v>521</v>
      </c>
      <c r="G3958" s="48" t="str">
        <f t="shared" si="75"/>
        <v/>
      </c>
      <c r="H3958" s="67"/>
      <c r="I3958" s="68"/>
      <c r="J3958" s="138">
        <v>0</v>
      </c>
    </row>
    <row r="3959" spans="1:10" ht="15.75" hidden="1" thickBot="1" x14ac:dyDescent="0.3">
      <c r="A3959" s="220" t="s">
        <v>1164</v>
      </c>
      <c r="B3959" s="222" t="e">
        <f>INDEX(Orçamentária!A:B,MATCH(Composições!A3959,Orçamentária!A:A,0),2)</f>
        <v>#N/A</v>
      </c>
      <c r="C3959" s="35"/>
      <c r="D3959" s="20" t="s">
        <v>20</v>
      </c>
      <c r="E3959" s="21"/>
      <c r="F3959" s="43" t="s">
        <v>521</v>
      </c>
      <c r="G3959" s="22" t="str">
        <f t="shared" si="75"/>
        <v/>
      </c>
      <c r="H3959" s="23"/>
      <c r="I3959" s="24"/>
      <c r="J3959" s="138">
        <v>0</v>
      </c>
    </row>
    <row r="3960" spans="1:10" ht="15.75" hidden="1" thickBot="1" x14ac:dyDescent="0.3">
      <c r="A3960" s="225"/>
      <c r="B3960" s="223"/>
      <c r="C3960" s="26"/>
      <c r="D3960" s="26"/>
      <c r="E3960" s="27"/>
      <c r="F3960" s="48" t="s">
        <v>521</v>
      </c>
      <c r="G3960" s="48" t="str">
        <f t="shared" si="75"/>
        <v/>
      </c>
      <c r="H3960" s="67"/>
      <c r="I3960" s="68"/>
      <c r="J3960" s="138">
        <v>0</v>
      </c>
    </row>
    <row r="3961" spans="1:10" ht="39" hidden="1" thickBot="1" x14ac:dyDescent="0.3">
      <c r="A3961" s="225"/>
      <c r="B3961" s="223"/>
      <c r="C3961" s="30" t="s">
        <v>1165</v>
      </c>
      <c r="D3961" s="30" t="s">
        <v>144</v>
      </c>
      <c r="E3961" s="31">
        <v>1</v>
      </c>
      <c r="F3961" s="48" t="s">
        <v>521</v>
      </c>
      <c r="G3961" s="48" t="str">
        <f t="shared" si="75"/>
        <v/>
      </c>
      <c r="H3961" s="33">
        <f>SUM(G3961:G3966)</f>
        <v>11.801980149999999</v>
      </c>
      <c r="I3961" s="34"/>
      <c r="J3961" s="138">
        <v>0</v>
      </c>
    </row>
    <row r="3962" spans="1:10" ht="26.25" hidden="1" thickBot="1" x14ac:dyDescent="0.3">
      <c r="A3962" s="225"/>
      <c r="B3962" s="223"/>
      <c r="C3962" s="30" t="s">
        <v>538</v>
      </c>
      <c r="D3962" s="30" t="s">
        <v>93</v>
      </c>
      <c r="E3962" s="31">
        <v>1.5</v>
      </c>
      <c r="F3962" s="48" t="s">
        <v>521</v>
      </c>
      <c r="G3962" s="48" t="str">
        <f t="shared" si="75"/>
        <v/>
      </c>
      <c r="H3962" s="67"/>
      <c r="I3962" s="68"/>
      <c r="J3962" s="138">
        <v>0</v>
      </c>
    </row>
    <row r="3963" spans="1:10" ht="15.75" hidden="1" thickBot="1" x14ac:dyDescent="0.3">
      <c r="A3963" s="225"/>
      <c r="B3963" s="223"/>
      <c r="C3963" s="30" t="s">
        <v>539</v>
      </c>
      <c r="D3963" s="30" t="s">
        <v>144</v>
      </c>
      <c r="E3963" s="31">
        <v>1</v>
      </c>
      <c r="F3963" s="48" t="s">
        <v>521</v>
      </c>
      <c r="G3963" s="48" t="str">
        <f t="shared" si="75"/>
        <v/>
      </c>
      <c r="H3963" s="67"/>
      <c r="I3963" s="68"/>
      <c r="J3963" s="138">
        <v>0</v>
      </c>
    </row>
    <row r="3964" spans="1:10" ht="15.75" hidden="1" thickBot="1" x14ac:dyDescent="0.3">
      <c r="A3964" s="225"/>
      <c r="B3964" s="223"/>
      <c r="C3964" s="30" t="s">
        <v>540</v>
      </c>
      <c r="D3964" s="30" t="s">
        <v>144</v>
      </c>
      <c r="E3964" s="31">
        <v>1</v>
      </c>
      <c r="F3964" s="48" t="s">
        <v>521</v>
      </c>
      <c r="G3964" s="48" t="str">
        <f t="shared" si="75"/>
        <v/>
      </c>
      <c r="H3964" s="67"/>
      <c r="I3964" s="68"/>
      <c r="J3964" s="138">
        <v>0</v>
      </c>
    </row>
    <row r="3965" spans="1:10" ht="15.75" hidden="1" thickBot="1" x14ac:dyDescent="0.3">
      <c r="A3965" s="225"/>
      <c r="B3965" s="223"/>
      <c r="C3965" s="30" t="s">
        <v>74</v>
      </c>
      <c r="D3965" s="30" t="s">
        <v>12</v>
      </c>
      <c r="E3965" s="31">
        <v>0.14799999999999999</v>
      </c>
      <c r="F3965" s="48">
        <v>19.4085</v>
      </c>
      <c r="G3965" s="48">
        <f t="shared" si="75"/>
        <v>2.872458</v>
      </c>
      <c r="H3965" s="67"/>
      <c r="I3965" s="68"/>
      <c r="J3965" s="138">
        <v>0</v>
      </c>
    </row>
    <row r="3966" spans="1:10" ht="15.75" hidden="1" thickBot="1" x14ac:dyDescent="0.3">
      <c r="A3966" s="225"/>
      <c r="B3966" s="223"/>
      <c r="C3966" s="30" t="s">
        <v>30</v>
      </c>
      <c r="D3966" s="30" t="s">
        <v>12</v>
      </c>
      <c r="E3966" s="31">
        <v>0.35510000000000003</v>
      </c>
      <c r="F3966" s="48">
        <v>25.146499999999996</v>
      </c>
      <c r="G3966" s="48">
        <f t="shared" si="75"/>
        <v>8.9295221499999986</v>
      </c>
      <c r="H3966" s="67"/>
      <c r="I3966" s="68"/>
      <c r="J3966" s="138">
        <v>0</v>
      </c>
    </row>
    <row r="3967" spans="1:10" ht="15.75" hidden="1" thickBot="1" x14ac:dyDescent="0.3">
      <c r="A3967" s="225"/>
      <c r="B3967" s="223"/>
      <c r="C3967" s="30"/>
      <c r="D3967" s="41"/>
      <c r="E3967" s="31"/>
      <c r="F3967" s="48" t="s">
        <v>521</v>
      </c>
      <c r="G3967" s="48" t="str">
        <f t="shared" si="75"/>
        <v/>
      </c>
      <c r="H3967" s="67"/>
      <c r="I3967" s="68"/>
      <c r="J3967" s="138">
        <v>0</v>
      </c>
    </row>
    <row r="3968" spans="1:10" ht="15.75" hidden="1" thickBot="1" x14ac:dyDescent="0.3">
      <c r="A3968" s="220" t="s">
        <v>1166</v>
      </c>
      <c r="B3968" s="222" t="e">
        <f>INDEX(Orçamentária!A:B,MATCH(Composições!A3968,Orçamentária!A:A,0),2)</f>
        <v>#N/A</v>
      </c>
      <c r="C3968" s="35"/>
      <c r="D3968" s="20" t="s">
        <v>93</v>
      </c>
      <c r="E3968" s="21"/>
      <c r="F3968" s="43" t="s">
        <v>521</v>
      </c>
      <c r="G3968" s="22" t="str">
        <f t="shared" si="75"/>
        <v/>
      </c>
      <c r="H3968" s="23"/>
      <c r="I3968" s="24"/>
      <c r="J3968" s="138">
        <v>0</v>
      </c>
    </row>
    <row r="3969" spans="1:10" ht="15.75" hidden="1" thickBot="1" x14ac:dyDescent="0.3">
      <c r="A3969" s="225"/>
      <c r="B3969" s="223"/>
      <c r="C3969" s="26"/>
      <c r="D3969" s="26"/>
      <c r="E3969" s="27"/>
      <c r="F3969" s="48" t="s">
        <v>521</v>
      </c>
      <c r="G3969" s="48" t="str">
        <f t="shared" si="75"/>
        <v/>
      </c>
      <c r="H3969" s="67"/>
      <c r="I3969" s="68"/>
      <c r="J3969" s="138">
        <v>0</v>
      </c>
    </row>
    <row r="3970" spans="1:10" ht="15.75" hidden="1" thickBot="1" x14ac:dyDescent="0.3">
      <c r="A3970" s="225"/>
      <c r="B3970" s="223"/>
      <c r="C3970" s="30" t="s">
        <v>747</v>
      </c>
      <c r="D3970" s="30" t="s">
        <v>897</v>
      </c>
      <c r="E3970" s="31">
        <v>0.24</v>
      </c>
      <c r="F3970" s="48">
        <v>0.64600000000000002</v>
      </c>
      <c r="G3970" s="48">
        <f t="shared" si="75"/>
        <v>0.15504000000000001</v>
      </c>
      <c r="H3970" s="33">
        <f>SUM(G3970:G3974)</f>
        <v>167.4925715</v>
      </c>
      <c r="I3970" s="34"/>
      <c r="J3970" s="138">
        <v>0</v>
      </c>
    </row>
    <row r="3971" spans="1:10" ht="15.75" hidden="1" thickBot="1" x14ac:dyDescent="0.3">
      <c r="A3971" s="225"/>
      <c r="B3971" s="223"/>
      <c r="C3971" s="30" t="s">
        <v>2291</v>
      </c>
      <c r="D3971" s="30" t="s">
        <v>897</v>
      </c>
      <c r="E3971" s="31">
        <v>1.2150000000000001</v>
      </c>
      <c r="F3971" s="48">
        <v>1.6054999999999999</v>
      </c>
      <c r="G3971" s="48">
        <f t="shared" si="75"/>
        <v>1.9506825000000001</v>
      </c>
      <c r="H3971" s="67"/>
      <c r="I3971" s="68"/>
      <c r="J3971" s="138">
        <v>0</v>
      </c>
    </row>
    <row r="3972" spans="1:10" ht="26.25" hidden="1" thickBot="1" x14ac:dyDescent="0.3">
      <c r="A3972" s="225"/>
      <c r="B3972" s="223"/>
      <c r="C3972" s="30" t="s">
        <v>2292</v>
      </c>
      <c r="D3972" s="30" t="s">
        <v>988</v>
      </c>
      <c r="E3972" s="31">
        <v>0.25</v>
      </c>
      <c r="F3972" s="48">
        <v>601.97699999999998</v>
      </c>
      <c r="G3972" s="48">
        <f t="shared" si="75"/>
        <v>150.49424999999999</v>
      </c>
      <c r="H3972" s="67"/>
      <c r="I3972" s="68"/>
      <c r="J3972" s="138">
        <v>0</v>
      </c>
    </row>
    <row r="3973" spans="1:10" ht="15.75" hidden="1" thickBot="1" x14ac:dyDescent="0.3">
      <c r="A3973" s="225"/>
      <c r="B3973" s="223"/>
      <c r="C3973" s="30" t="s">
        <v>710</v>
      </c>
      <c r="D3973" s="30" t="s">
        <v>702</v>
      </c>
      <c r="E3973" s="31">
        <v>0.437</v>
      </c>
      <c r="F3973" s="48">
        <v>24.889999999999997</v>
      </c>
      <c r="G3973" s="48">
        <f t="shared" si="75"/>
        <v>10.876929999999998</v>
      </c>
      <c r="H3973" s="67"/>
      <c r="I3973" s="68"/>
      <c r="J3973" s="138">
        <v>0</v>
      </c>
    </row>
    <row r="3974" spans="1:10" ht="15.75" hidden="1" thickBot="1" x14ac:dyDescent="0.3">
      <c r="A3974" s="225"/>
      <c r="B3974" s="223"/>
      <c r="C3974" s="30" t="s">
        <v>703</v>
      </c>
      <c r="D3974" s="30" t="s">
        <v>702</v>
      </c>
      <c r="E3974" s="31">
        <v>0.218</v>
      </c>
      <c r="F3974" s="48">
        <v>18.420500000000001</v>
      </c>
      <c r="G3974" s="48">
        <f t="shared" si="75"/>
        <v>4.0156689999999999</v>
      </c>
      <c r="H3974" s="67"/>
      <c r="I3974" s="68"/>
      <c r="J3974" s="138">
        <v>0</v>
      </c>
    </row>
    <row r="3975" spans="1:10" ht="15.75" hidden="1" thickBot="1" x14ac:dyDescent="0.3">
      <c r="A3975" s="225"/>
      <c r="B3975" s="223"/>
      <c r="C3975" s="49"/>
      <c r="D3975" s="49"/>
      <c r="E3975" s="60"/>
      <c r="F3975" s="70" t="s">
        <v>521</v>
      </c>
      <c r="G3975" s="70" t="str">
        <f t="shared" si="75"/>
        <v/>
      </c>
      <c r="H3975" s="71"/>
      <c r="I3975" s="68"/>
      <c r="J3975" s="138">
        <v>0</v>
      </c>
    </row>
    <row r="3976" spans="1:10" ht="15.75" hidden="1" thickBot="1" x14ac:dyDescent="0.3">
      <c r="A3976" s="220" t="s">
        <v>1167</v>
      </c>
      <c r="B3976" s="222" t="e">
        <f>INDEX(Orçamentária!A:B,MATCH(Composições!A3976,Orçamentária!A:A,0),2)</f>
        <v>#N/A</v>
      </c>
      <c r="C3976" s="35"/>
      <c r="D3976" s="20" t="s">
        <v>95</v>
      </c>
      <c r="E3976" s="21"/>
      <c r="F3976" s="43" t="s">
        <v>521</v>
      </c>
      <c r="G3976" s="22" t="str">
        <f t="shared" si="75"/>
        <v/>
      </c>
      <c r="H3976" s="23"/>
      <c r="I3976" s="24"/>
      <c r="J3976" s="138">
        <v>0</v>
      </c>
    </row>
    <row r="3977" spans="1:10" ht="15.75" hidden="1" thickBot="1" x14ac:dyDescent="0.3">
      <c r="A3977" s="225"/>
      <c r="B3977" s="223"/>
      <c r="C3977" s="26"/>
      <c r="D3977" s="26"/>
      <c r="E3977" s="27"/>
      <c r="F3977" s="48" t="s">
        <v>521</v>
      </c>
      <c r="G3977" s="48" t="str">
        <f t="shared" si="75"/>
        <v/>
      </c>
      <c r="H3977" s="67"/>
      <c r="I3977" s="68"/>
      <c r="J3977" s="138">
        <v>0</v>
      </c>
    </row>
    <row r="3978" spans="1:10" ht="26.25" hidden="1" thickBot="1" x14ac:dyDescent="0.3">
      <c r="A3978" s="225"/>
      <c r="B3978" s="223"/>
      <c r="C3978" s="30" t="s">
        <v>775</v>
      </c>
      <c r="D3978" s="30" t="s">
        <v>897</v>
      </c>
      <c r="E3978" s="31">
        <v>0.53</v>
      </c>
      <c r="F3978" s="48">
        <v>46.844499999999996</v>
      </c>
      <c r="G3978" s="48">
        <f t="shared" si="75"/>
        <v>24.827584999999999</v>
      </c>
      <c r="H3978" s="33">
        <f>SUM(G3978:G3984)</f>
        <v>101.788472</v>
      </c>
      <c r="I3978" s="34"/>
      <c r="J3978" s="138">
        <v>0</v>
      </c>
    </row>
    <row r="3979" spans="1:10" ht="39" hidden="1" thickBot="1" x14ac:dyDescent="0.3">
      <c r="A3979" s="225"/>
      <c r="B3979" s="223"/>
      <c r="C3979" s="30" t="s">
        <v>2209</v>
      </c>
      <c r="D3979" s="30" t="s">
        <v>988</v>
      </c>
      <c r="E3979" s="31">
        <v>1.05</v>
      </c>
      <c r="F3979" s="48" t="s">
        <v>521</v>
      </c>
      <c r="G3979" s="48" t="str">
        <f t="shared" si="75"/>
        <v/>
      </c>
      <c r="H3979" s="67"/>
      <c r="I3979" s="68"/>
      <c r="J3979" s="138">
        <v>0</v>
      </c>
    </row>
    <row r="3980" spans="1:10" ht="15.75" hidden="1" thickBot="1" x14ac:dyDescent="0.3">
      <c r="A3980" s="225"/>
      <c r="B3980" s="223"/>
      <c r="C3980" s="30" t="s">
        <v>1809</v>
      </c>
      <c r="D3980" s="30" t="s">
        <v>897</v>
      </c>
      <c r="E3980" s="31">
        <v>0.97</v>
      </c>
      <c r="F3980" s="48">
        <v>1.843</v>
      </c>
      <c r="G3980" s="48">
        <f t="shared" si="75"/>
        <v>1.7877099999999999</v>
      </c>
      <c r="H3980" s="67"/>
      <c r="I3980" s="68"/>
      <c r="J3980" s="138">
        <v>0</v>
      </c>
    </row>
    <row r="3981" spans="1:10" ht="15.75" hidden="1" thickBot="1" x14ac:dyDescent="0.3">
      <c r="A3981" s="225"/>
      <c r="B3981" s="223"/>
      <c r="C3981" s="30" t="s">
        <v>1607</v>
      </c>
      <c r="D3981" s="30" t="s">
        <v>702</v>
      </c>
      <c r="E3981" s="31">
        <v>1.405</v>
      </c>
      <c r="F3981" s="48">
        <v>24.795000000000002</v>
      </c>
      <c r="G3981" s="48">
        <f t="shared" si="75"/>
        <v>34.836975000000002</v>
      </c>
      <c r="H3981" s="67"/>
      <c r="I3981" s="68"/>
      <c r="J3981" s="138">
        <v>0</v>
      </c>
    </row>
    <row r="3982" spans="1:10" ht="15.75" hidden="1" thickBot="1" x14ac:dyDescent="0.3">
      <c r="A3982" s="225"/>
      <c r="B3982" s="223"/>
      <c r="C3982" s="30" t="s">
        <v>703</v>
      </c>
      <c r="D3982" s="30" t="s">
        <v>702</v>
      </c>
      <c r="E3982" s="31">
        <v>0.70199999999999996</v>
      </c>
      <c r="F3982" s="48">
        <v>18.420500000000001</v>
      </c>
      <c r="G3982" s="48">
        <f t="shared" si="75"/>
        <v>12.931191</v>
      </c>
      <c r="H3982" s="67"/>
      <c r="I3982" s="68"/>
      <c r="J3982" s="138">
        <v>0</v>
      </c>
    </row>
    <row r="3983" spans="1:10" ht="26.25" hidden="1" thickBot="1" x14ac:dyDescent="0.3">
      <c r="A3983" s="225"/>
      <c r="B3983" s="223"/>
      <c r="C3983" s="30" t="s">
        <v>1152</v>
      </c>
      <c r="D3983" s="30" t="s">
        <v>938</v>
      </c>
      <c r="E3983" s="31">
        <v>8.8999999999999996E-2</v>
      </c>
      <c r="F3983" s="48">
        <v>20.234999999999999</v>
      </c>
      <c r="G3983" s="48">
        <f t="shared" si="75"/>
        <v>1.8009149999999998</v>
      </c>
      <c r="H3983" s="67"/>
      <c r="I3983" s="68"/>
      <c r="J3983" s="138">
        <v>0</v>
      </c>
    </row>
    <row r="3984" spans="1:10" ht="26.25" hidden="1" thickBot="1" x14ac:dyDescent="0.3">
      <c r="A3984" s="225"/>
      <c r="B3984" s="223"/>
      <c r="C3984" s="30" t="s">
        <v>1153</v>
      </c>
      <c r="D3984" s="30" t="s">
        <v>940</v>
      </c>
      <c r="E3984" s="31">
        <v>1.3160000000000001</v>
      </c>
      <c r="F3984" s="48">
        <v>19.456</v>
      </c>
      <c r="G3984" s="48">
        <f t="shared" si="75"/>
        <v>25.604096000000002</v>
      </c>
      <c r="H3984" s="67"/>
      <c r="I3984" s="68"/>
      <c r="J3984" s="138">
        <v>0</v>
      </c>
    </row>
    <row r="3985" spans="1:10" ht="15.75" hidden="1" thickBot="1" x14ac:dyDescent="0.3">
      <c r="A3985" s="225"/>
      <c r="B3985" s="223"/>
      <c r="C3985" s="30"/>
      <c r="D3985" s="30"/>
      <c r="E3985" s="31"/>
      <c r="F3985" s="48" t="s">
        <v>521</v>
      </c>
      <c r="G3985" s="48" t="str">
        <f t="shared" si="75"/>
        <v/>
      </c>
      <c r="H3985" s="67"/>
      <c r="I3985" s="68"/>
      <c r="J3985" s="138">
        <v>0</v>
      </c>
    </row>
    <row r="3986" spans="1:10" ht="15.75" hidden="1" thickBot="1" x14ac:dyDescent="0.3">
      <c r="A3986" s="220" t="s">
        <v>1168</v>
      </c>
      <c r="B3986" s="222" t="e">
        <f>INDEX(Orçamentária!A:B,MATCH(Composições!A3986,Orçamentária!A:A,0),2)</f>
        <v>#N/A</v>
      </c>
      <c r="C3986" s="35"/>
      <c r="D3986" s="20" t="s">
        <v>20</v>
      </c>
      <c r="E3986" s="21"/>
      <c r="F3986" s="43" t="s">
        <v>521</v>
      </c>
      <c r="G3986" s="22" t="str">
        <f t="shared" si="75"/>
        <v/>
      </c>
      <c r="H3986" s="23"/>
      <c r="I3986" s="24"/>
      <c r="J3986" s="138">
        <v>0</v>
      </c>
    </row>
    <row r="3987" spans="1:10" ht="15.75" hidden="1" thickBot="1" x14ac:dyDescent="0.3">
      <c r="A3987" s="225"/>
      <c r="B3987" s="223"/>
      <c r="C3987" s="26"/>
      <c r="D3987" s="26"/>
      <c r="E3987" s="27"/>
      <c r="F3987" s="48" t="s">
        <v>521</v>
      </c>
      <c r="G3987" s="48" t="str">
        <f t="shared" si="75"/>
        <v/>
      </c>
      <c r="H3987" s="67"/>
      <c r="I3987" s="68"/>
      <c r="J3987" s="138">
        <v>0</v>
      </c>
    </row>
    <row r="3988" spans="1:10" ht="26.25" hidden="1" thickBot="1" x14ac:dyDescent="0.3">
      <c r="A3988" s="225"/>
      <c r="B3988" s="223"/>
      <c r="C3988" s="30" t="s">
        <v>1169</v>
      </c>
      <c r="D3988" s="41" t="s">
        <v>279</v>
      </c>
      <c r="E3988" s="31">
        <v>1</v>
      </c>
      <c r="F3988" s="48">
        <v>97.317999999999998</v>
      </c>
      <c r="G3988" s="48">
        <f t="shared" si="75"/>
        <v>97.317999999999998</v>
      </c>
      <c r="H3988" s="33">
        <f>SUM(G3988:G3991)</f>
        <v>139.86194611292879</v>
      </c>
      <c r="I3988" s="34"/>
      <c r="J3988" s="138">
        <v>0</v>
      </c>
    </row>
    <row r="3989" spans="1:10" ht="26.25" hidden="1" thickBot="1" x14ac:dyDescent="0.3">
      <c r="A3989" s="225"/>
      <c r="B3989" s="223"/>
      <c r="C3989" s="30" t="s">
        <v>1601</v>
      </c>
      <c r="D3989" s="41" t="s">
        <v>120</v>
      </c>
      <c r="E3989" s="31">
        <v>4.4000000000000003E-3</v>
      </c>
      <c r="F3989" s="48">
        <v>643.29426430199999</v>
      </c>
      <c r="G3989" s="48">
        <f t="shared" si="75"/>
        <v>2.8304947629288</v>
      </c>
      <c r="H3989" s="67"/>
      <c r="I3989" s="68"/>
      <c r="J3989" s="138">
        <v>0</v>
      </c>
    </row>
    <row r="3990" spans="1:10" ht="15.75" hidden="1" thickBot="1" x14ac:dyDescent="0.3">
      <c r="A3990" s="225"/>
      <c r="B3990" s="223"/>
      <c r="C3990" s="30" t="s">
        <v>22</v>
      </c>
      <c r="D3990" s="30" t="s">
        <v>12</v>
      </c>
      <c r="E3990" s="31">
        <v>1.0088999999999999</v>
      </c>
      <c r="F3990" s="48">
        <v>24.889999999999997</v>
      </c>
      <c r="G3990" s="48">
        <f t="shared" si="75"/>
        <v>25.111520999999996</v>
      </c>
      <c r="H3990" s="67"/>
      <c r="I3990" s="68"/>
      <c r="J3990" s="138">
        <v>0</v>
      </c>
    </row>
    <row r="3991" spans="1:10" ht="15.75" hidden="1" thickBot="1" x14ac:dyDescent="0.3">
      <c r="A3991" s="225"/>
      <c r="B3991" s="223"/>
      <c r="C3991" s="30" t="s">
        <v>23</v>
      </c>
      <c r="D3991" s="30" t="s">
        <v>12</v>
      </c>
      <c r="E3991" s="31">
        <v>0.79269999999999996</v>
      </c>
      <c r="F3991" s="48">
        <v>18.420500000000001</v>
      </c>
      <c r="G3991" s="48">
        <f t="shared" si="75"/>
        <v>14.60193035</v>
      </c>
      <c r="H3991" s="67"/>
      <c r="I3991" s="68"/>
      <c r="J3991" s="138">
        <v>0</v>
      </c>
    </row>
    <row r="3992" spans="1:10" ht="15.75" hidden="1" thickBot="1" x14ac:dyDescent="0.3">
      <c r="A3992" s="225"/>
      <c r="B3992" s="223"/>
      <c r="C3992" s="49"/>
      <c r="D3992" s="49"/>
      <c r="E3992" s="60"/>
      <c r="F3992" s="70" t="s">
        <v>521</v>
      </c>
      <c r="G3992" s="70" t="str">
        <f t="shared" si="75"/>
        <v/>
      </c>
      <c r="H3992" s="71"/>
      <c r="I3992" s="68"/>
      <c r="J3992" s="138">
        <v>0</v>
      </c>
    </row>
    <row r="3993" spans="1:10" ht="15.75" hidden="1" thickBot="1" x14ac:dyDescent="0.3">
      <c r="A3993" s="220" t="s">
        <v>1170</v>
      </c>
      <c r="B3993" s="222" t="e">
        <f>INDEX(Orçamentária!A:B,MATCH(Composições!A3993,Orçamentária!A:A,0),2)</f>
        <v>#N/A</v>
      </c>
      <c r="C3993" s="35"/>
      <c r="D3993" s="20" t="s">
        <v>95</v>
      </c>
      <c r="E3993" s="21"/>
      <c r="F3993" s="43" t="s">
        <v>521</v>
      </c>
      <c r="G3993" s="22" t="str">
        <f t="shared" si="75"/>
        <v/>
      </c>
      <c r="H3993" s="23"/>
      <c r="I3993" s="24"/>
      <c r="J3993" s="138">
        <v>0</v>
      </c>
    </row>
    <row r="3994" spans="1:10" ht="15.75" hidden="1" thickBot="1" x14ac:dyDescent="0.3">
      <c r="A3994" s="225"/>
      <c r="B3994" s="223"/>
      <c r="C3994" s="26"/>
      <c r="D3994" s="26"/>
      <c r="E3994" s="27"/>
      <c r="F3994" s="48" t="s">
        <v>521</v>
      </c>
      <c r="G3994" s="48" t="str">
        <f t="shared" si="75"/>
        <v/>
      </c>
      <c r="H3994" s="67"/>
      <c r="I3994" s="68"/>
      <c r="J3994" s="138">
        <v>0</v>
      </c>
    </row>
    <row r="3995" spans="1:10" ht="26.25" hidden="1" thickBot="1" x14ac:dyDescent="0.3">
      <c r="A3995" s="225"/>
      <c r="B3995" s="223"/>
      <c r="C3995" s="30" t="s">
        <v>1171</v>
      </c>
      <c r="D3995" s="30" t="s">
        <v>95</v>
      </c>
      <c r="E3995" s="31">
        <v>1.08</v>
      </c>
      <c r="F3995" s="48" t="s">
        <v>521</v>
      </c>
      <c r="G3995" s="48" t="str">
        <f t="shared" si="75"/>
        <v/>
      </c>
      <c r="H3995" s="33">
        <f>SUM(G3995:G3999)</f>
        <v>29.618720000000003</v>
      </c>
      <c r="I3995" s="34"/>
      <c r="J3995" s="138">
        <v>0</v>
      </c>
    </row>
    <row r="3996" spans="1:10" ht="15.75" hidden="1" thickBot="1" x14ac:dyDescent="0.3">
      <c r="A3996" s="225"/>
      <c r="B3996" s="223"/>
      <c r="C3996" s="30" t="s">
        <v>1832</v>
      </c>
      <c r="D3996" s="30" t="s">
        <v>42</v>
      </c>
      <c r="E3996" s="31">
        <v>6.14</v>
      </c>
      <c r="F3996" s="48">
        <v>0.96899999999999997</v>
      </c>
      <c r="G3996" s="48">
        <f t="shared" si="75"/>
        <v>5.9496599999999997</v>
      </c>
      <c r="H3996" s="67"/>
      <c r="I3996" s="68"/>
      <c r="J3996" s="138">
        <v>0</v>
      </c>
    </row>
    <row r="3997" spans="1:10" ht="15.75" hidden="1" thickBot="1" x14ac:dyDescent="0.3">
      <c r="A3997" s="225"/>
      <c r="B3997" s="223"/>
      <c r="C3997" s="30" t="s">
        <v>1830</v>
      </c>
      <c r="D3997" s="30" t="s">
        <v>42</v>
      </c>
      <c r="E3997" s="31">
        <v>0.22</v>
      </c>
      <c r="F3997" s="48">
        <v>3.0590000000000002</v>
      </c>
      <c r="G3997" s="48">
        <f t="shared" si="75"/>
        <v>0.67298000000000002</v>
      </c>
      <c r="H3997" s="67"/>
      <c r="I3997" s="68"/>
      <c r="J3997" s="138">
        <v>0</v>
      </c>
    </row>
    <row r="3998" spans="1:10" ht="15.75" hidden="1" thickBot="1" x14ac:dyDescent="0.3">
      <c r="A3998" s="225"/>
      <c r="B3998" s="223"/>
      <c r="C3998" s="30" t="s">
        <v>36</v>
      </c>
      <c r="D3998" s="30" t="s">
        <v>12</v>
      </c>
      <c r="E3998" s="31">
        <v>0.66</v>
      </c>
      <c r="F3998" s="48">
        <v>24.795000000000002</v>
      </c>
      <c r="G3998" s="48">
        <f t="shared" si="75"/>
        <v>16.364700000000003</v>
      </c>
      <c r="H3998" s="67"/>
      <c r="I3998" s="68"/>
      <c r="J3998" s="138">
        <v>0</v>
      </c>
    </row>
    <row r="3999" spans="1:10" ht="15.75" hidden="1" thickBot="1" x14ac:dyDescent="0.3">
      <c r="A3999" s="225"/>
      <c r="B3999" s="223"/>
      <c r="C3999" s="30" t="s">
        <v>23</v>
      </c>
      <c r="D3999" s="30" t="s">
        <v>12</v>
      </c>
      <c r="E3999" s="31">
        <v>0.36</v>
      </c>
      <c r="F3999" s="48">
        <v>18.420500000000001</v>
      </c>
      <c r="G3999" s="48">
        <f t="shared" si="75"/>
        <v>6.6313800000000001</v>
      </c>
      <c r="H3999" s="67"/>
      <c r="I3999" s="68"/>
      <c r="J3999" s="138">
        <v>0</v>
      </c>
    </row>
    <row r="4000" spans="1:10" ht="15.75" hidden="1" thickBot="1" x14ac:dyDescent="0.3">
      <c r="A4000" s="225"/>
      <c r="B4000" s="223"/>
      <c r="C4000" s="30"/>
      <c r="D4000" s="41"/>
      <c r="E4000" s="31"/>
      <c r="F4000" s="48" t="s">
        <v>521</v>
      </c>
      <c r="G4000" s="48" t="str">
        <f t="shared" si="75"/>
        <v/>
      </c>
      <c r="H4000" s="67"/>
      <c r="I4000" s="68"/>
      <c r="J4000" s="138">
        <v>0</v>
      </c>
    </row>
    <row r="4001" spans="1:10" ht="15.75" thickBot="1" x14ac:dyDescent="0.3">
      <c r="A4001" s="220" t="s">
        <v>1172</v>
      </c>
      <c r="B4001" s="222" t="str">
        <f>INDEX(Orçamentária!A:B,MATCH(Composições!A4001,Orçamentária!A:A,0),2)</f>
        <v>Aterro de vala com areia média e compactação mecanizada</v>
      </c>
      <c r="C4001" s="35"/>
      <c r="D4001" s="20" t="s">
        <v>109</v>
      </c>
      <c r="E4001" s="21"/>
      <c r="F4001" s="43" t="s">
        <v>521</v>
      </c>
      <c r="G4001" s="22" t="str">
        <f t="shared" si="75"/>
        <v/>
      </c>
      <c r="H4001" s="23"/>
      <c r="I4001" s="24"/>
      <c r="J4001" s="138">
        <v>135.44999999999999</v>
      </c>
    </row>
    <row r="4002" spans="1:10" x14ac:dyDescent="0.25">
      <c r="A4002" s="225"/>
      <c r="B4002" s="223"/>
      <c r="C4002" s="26"/>
      <c r="D4002" s="26"/>
      <c r="E4002" s="27"/>
      <c r="F4002" s="48" t="s">
        <v>521</v>
      </c>
      <c r="G4002" s="48" t="str">
        <f t="shared" si="75"/>
        <v/>
      </c>
      <c r="H4002" s="67"/>
      <c r="I4002" s="68"/>
      <c r="J4002" s="138">
        <v>135.44999999999999</v>
      </c>
    </row>
    <row r="4003" spans="1:10" ht="25.5" x14ac:dyDescent="0.25">
      <c r="A4003" s="225"/>
      <c r="B4003" s="223"/>
      <c r="C4003" s="30" t="s">
        <v>1173</v>
      </c>
      <c r="D4003" s="41" t="s">
        <v>120</v>
      </c>
      <c r="E4003" s="31">
        <v>1.25</v>
      </c>
      <c r="F4003" s="48">
        <v>93.081000000000003</v>
      </c>
      <c r="G4003" s="48">
        <f t="shared" si="75"/>
        <v>116.35125000000001</v>
      </c>
      <c r="H4003" s="33">
        <f>SUM(G4003:G4010)</f>
        <v>220.10206575000001</v>
      </c>
      <c r="I4003" s="34"/>
      <c r="J4003" s="138">
        <v>135.44999999999999</v>
      </c>
    </row>
    <row r="4004" spans="1:10" ht="51" x14ac:dyDescent="0.25">
      <c r="A4004" s="225"/>
      <c r="B4004" s="223"/>
      <c r="C4004" s="30" t="s">
        <v>943</v>
      </c>
      <c r="D4004" s="41" t="s">
        <v>938</v>
      </c>
      <c r="E4004" s="31">
        <v>6.0000000000000001E-3</v>
      </c>
      <c r="F4004" s="48">
        <v>322.48699999999997</v>
      </c>
      <c r="G4004" s="48">
        <f t="shared" si="75"/>
        <v>1.9349219999999998</v>
      </c>
      <c r="H4004" s="67"/>
      <c r="I4004" s="68"/>
      <c r="J4004" s="138">
        <v>135.44999999999999</v>
      </c>
    </row>
    <row r="4005" spans="1:10" ht="51" x14ac:dyDescent="0.25">
      <c r="A4005" s="225"/>
      <c r="B4005" s="223"/>
      <c r="C4005" s="30" t="s">
        <v>944</v>
      </c>
      <c r="D4005" s="30" t="s">
        <v>940</v>
      </c>
      <c r="E4005" s="31">
        <v>3.0000000000000001E-3</v>
      </c>
      <c r="F4005" s="48">
        <v>52.6205</v>
      </c>
      <c r="G4005" s="48">
        <f t="shared" si="75"/>
        <v>0.15786150000000002</v>
      </c>
      <c r="H4005" s="67"/>
      <c r="I4005" s="68"/>
      <c r="J4005" s="138">
        <v>135.44999999999999</v>
      </c>
    </row>
    <row r="4006" spans="1:10" x14ac:dyDescent="0.25">
      <c r="A4006" s="225"/>
      <c r="B4006" s="223"/>
      <c r="C4006" s="30" t="s">
        <v>703</v>
      </c>
      <c r="D4006" s="30" t="s">
        <v>702</v>
      </c>
      <c r="E4006" s="31">
        <v>0.65900000000000003</v>
      </c>
      <c r="F4006" s="48">
        <v>18.420500000000001</v>
      </c>
      <c r="G4006" s="48">
        <f t="shared" si="75"/>
        <v>12.139109500000002</v>
      </c>
      <c r="H4006" s="67"/>
      <c r="I4006" s="68"/>
      <c r="J4006" s="138">
        <v>135.44999999999999</v>
      </c>
    </row>
    <row r="4007" spans="1:10" ht="25.5" x14ac:dyDescent="0.25">
      <c r="A4007" s="225"/>
      <c r="B4007" s="223"/>
      <c r="C4007" s="30" t="s">
        <v>937</v>
      </c>
      <c r="D4007" s="41" t="s">
        <v>938</v>
      </c>
      <c r="E4007" s="31">
        <v>0.27400000000000002</v>
      </c>
      <c r="F4007" s="48">
        <v>26.875499999999999</v>
      </c>
      <c r="G4007" s="48">
        <f t="shared" si="75"/>
        <v>7.3638870000000001</v>
      </c>
      <c r="H4007" s="67"/>
      <c r="I4007" s="68"/>
      <c r="J4007" s="138">
        <v>135.44999999999999</v>
      </c>
    </row>
    <row r="4008" spans="1:10" ht="25.5" x14ac:dyDescent="0.25">
      <c r="A4008" s="225"/>
      <c r="B4008" s="223"/>
      <c r="C4008" s="30" t="s">
        <v>939</v>
      </c>
      <c r="D4008" s="41" t="s">
        <v>940</v>
      </c>
      <c r="E4008" s="31">
        <v>0.254</v>
      </c>
      <c r="F4008" s="48">
        <v>20.1875</v>
      </c>
      <c r="G4008" s="48">
        <f t="shared" si="75"/>
        <v>5.1276250000000001</v>
      </c>
      <c r="H4008" s="67"/>
      <c r="I4008" s="68"/>
      <c r="J4008" s="138">
        <v>135.44999999999999</v>
      </c>
    </row>
    <row r="4009" spans="1:10" ht="51" x14ac:dyDescent="0.25">
      <c r="A4009" s="225"/>
      <c r="B4009" s="223"/>
      <c r="C4009" s="30" t="s">
        <v>1826</v>
      </c>
      <c r="D4009" s="30" t="s">
        <v>109</v>
      </c>
      <c r="E4009" s="31">
        <f>1*E4003</f>
        <v>1.25</v>
      </c>
      <c r="F4009" s="28">
        <v>7.8564315999999996</v>
      </c>
      <c r="G4009" s="28">
        <f t="shared" si="75"/>
        <v>9.8205394999999989</v>
      </c>
      <c r="H4009" s="29"/>
      <c r="I4009" s="25"/>
      <c r="J4009" s="138">
        <v>135.44999999999999</v>
      </c>
    </row>
    <row r="4010" spans="1:10" ht="38.25" x14ac:dyDescent="0.25">
      <c r="A4010" s="225"/>
      <c r="B4010" s="223"/>
      <c r="C4010" s="30" t="s">
        <v>121</v>
      </c>
      <c r="D4010" s="41" t="s">
        <v>122</v>
      </c>
      <c r="E4010" s="31">
        <f>E4003*20</f>
        <v>25</v>
      </c>
      <c r="F4010" s="48">
        <v>2.6882748499999995</v>
      </c>
      <c r="G4010" s="48">
        <f t="shared" si="75"/>
        <v>67.206871249999992</v>
      </c>
      <c r="H4010" s="67"/>
      <c r="I4010" s="68"/>
      <c r="J4010" s="138">
        <v>135.44999999999999</v>
      </c>
    </row>
    <row r="4011" spans="1:10" x14ac:dyDescent="0.25">
      <c r="A4011" s="225"/>
      <c r="B4011" s="223"/>
      <c r="C4011" s="45"/>
      <c r="D4011" s="41"/>
      <c r="E4011" s="31"/>
      <c r="F4011" s="48" t="s">
        <v>521</v>
      </c>
      <c r="G4011" s="48" t="str">
        <f t="shared" si="75"/>
        <v/>
      </c>
      <c r="H4011" s="67"/>
      <c r="I4011" s="68"/>
      <c r="J4011" s="138">
        <v>135.44999999999999</v>
      </c>
    </row>
    <row r="4012" spans="1:10" x14ac:dyDescent="0.25">
      <c r="A4012" s="225"/>
      <c r="B4012" s="223"/>
      <c r="C4012" s="42" t="s">
        <v>754</v>
      </c>
      <c r="D4012" s="41"/>
      <c r="E4012" s="31"/>
      <c r="F4012" s="48" t="s">
        <v>521</v>
      </c>
      <c r="G4012" s="48" t="str">
        <f t="shared" si="75"/>
        <v/>
      </c>
      <c r="H4012" s="67"/>
      <c r="I4012" s="68"/>
      <c r="J4012" s="138">
        <v>135.44999999999999</v>
      </c>
    </row>
    <row r="4013" spans="1:10" ht="15.75" thickBot="1" x14ac:dyDescent="0.3">
      <c r="A4013" s="225"/>
      <c r="B4013" s="223"/>
      <c r="C4013" s="49"/>
      <c r="D4013" s="49"/>
      <c r="E4013" s="60"/>
      <c r="F4013" s="70" t="s">
        <v>521</v>
      </c>
      <c r="G4013" s="70" t="str">
        <f t="shared" si="75"/>
        <v/>
      </c>
      <c r="H4013" s="71"/>
      <c r="I4013" s="68"/>
      <c r="J4013" s="138">
        <v>135.44999999999999</v>
      </c>
    </row>
    <row r="4014" spans="1:10" ht="15.75" hidden="1" thickBot="1" x14ac:dyDescent="0.3">
      <c r="A4014" s="220" t="s">
        <v>1174</v>
      </c>
      <c r="B4014" s="222" t="e">
        <f>INDEX(Orçamentária!A:B,MATCH(Composições!A4014,Orçamentária!A:A,0),2)</f>
        <v>#N/A</v>
      </c>
      <c r="C4014" s="35"/>
      <c r="D4014" s="20" t="s">
        <v>93</v>
      </c>
      <c r="E4014" s="21"/>
      <c r="F4014" s="43" t="s">
        <v>521</v>
      </c>
      <c r="G4014" s="22" t="str">
        <f t="shared" si="75"/>
        <v/>
      </c>
      <c r="H4014" s="23"/>
      <c r="I4014" s="24"/>
      <c r="J4014" s="138">
        <v>0</v>
      </c>
    </row>
    <row r="4015" spans="1:10" ht="15.75" hidden="1" thickBot="1" x14ac:dyDescent="0.3">
      <c r="A4015" s="225"/>
      <c r="B4015" s="223"/>
      <c r="C4015" s="26"/>
      <c r="D4015" s="26"/>
      <c r="E4015" s="27"/>
      <c r="F4015" s="48" t="s">
        <v>521</v>
      </c>
      <c r="G4015" s="48" t="str">
        <f t="shared" si="75"/>
        <v/>
      </c>
      <c r="H4015" s="67"/>
      <c r="I4015" s="68"/>
      <c r="J4015" s="138">
        <v>0</v>
      </c>
    </row>
    <row r="4016" spans="1:10" ht="15.75" hidden="1" thickBot="1" x14ac:dyDescent="0.3">
      <c r="A4016" s="225"/>
      <c r="B4016" s="223"/>
      <c r="C4016" s="30" t="s">
        <v>1175</v>
      </c>
      <c r="D4016" s="41" t="s">
        <v>897</v>
      </c>
      <c r="E4016" s="31">
        <v>1.4</v>
      </c>
      <c r="F4016" s="48">
        <v>10.962999999999999</v>
      </c>
      <c r="G4016" s="48">
        <f t="shared" si="75"/>
        <v>15.348199999999999</v>
      </c>
      <c r="H4016" s="33">
        <f>SUM(G4016:G4025)</f>
        <v>765.9616964999999</v>
      </c>
      <c r="I4016" s="34"/>
      <c r="J4016" s="138">
        <v>0</v>
      </c>
    </row>
    <row r="4017" spans="1:10" ht="15.75" hidden="1" thickBot="1" x14ac:dyDescent="0.3">
      <c r="A4017" s="225"/>
      <c r="B4017" s="223"/>
      <c r="C4017" s="30" t="s">
        <v>1176</v>
      </c>
      <c r="D4017" s="41" t="s">
        <v>897</v>
      </c>
      <c r="E4017" s="31">
        <v>3.0000000000000001E-3</v>
      </c>
      <c r="F4017" s="48">
        <v>32.746499999999997</v>
      </c>
      <c r="G4017" s="48">
        <f t="shared" si="75"/>
        <v>9.8239499999999993E-2</v>
      </c>
      <c r="H4017" s="67"/>
      <c r="I4017" s="68"/>
      <c r="J4017" s="138">
        <v>0</v>
      </c>
    </row>
    <row r="4018" spans="1:10" ht="26.25" hidden="1" thickBot="1" x14ac:dyDescent="0.3">
      <c r="A4018" s="225"/>
      <c r="B4018" s="223"/>
      <c r="C4018" s="30" t="s">
        <v>1033</v>
      </c>
      <c r="D4018" s="30" t="s">
        <v>279</v>
      </c>
      <c r="E4018" s="31">
        <v>3.3330000000000002</v>
      </c>
      <c r="F4018" s="48">
        <v>2.0994999999999999</v>
      </c>
      <c r="G4018" s="48">
        <f t="shared" si="75"/>
        <v>6.9976335000000001</v>
      </c>
      <c r="H4018" s="67"/>
      <c r="I4018" s="68"/>
      <c r="J4018" s="138">
        <v>0</v>
      </c>
    </row>
    <row r="4019" spans="1:10" ht="39" hidden="1" thickBot="1" x14ac:dyDescent="0.3">
      <c r="A4019" s="225"/>
      <c r="B4019" s="223"/>
      <c r="C4019" s="30" t="s">
        <v>1177</v>
      </c>
      <c r="D4019" s="30" t="s">
        <v>279</v>
      </c>
      <c r="E4019" s="31">
        <v>5</v>
      </c>
      <c r="F4019" s="48">
        <v>0.38949999999999996</v>
      </c>
      <c r="G4019" s="48">
        <f t="shared" si="75"/>
        <v>1.9474999999999998</v>
      </c>
      <c r="H4019" s="67"/>
      <c r="I4019" s="68"/>
      <c r="J4019" s="138">
        <v>0</v>
      </c>
    </row>
    <row r="4020" spans="1:10" ht="26.25" hidden="1" thickBot="1" x14ac:dyDescent="0.3">
      <c r="A4020" s="225"/>
      <c r="B4020" s="223"/>
      <c r="C4020" s="30" t="s">
        <v>1178</v>
      </c>
      <c r="D4020" s="30" t="s">
        <v>479</v>
      </c>
      <c r="E4020" s="31">
        <v>3.149</v>
      </c>
      <c r="F4020" s="48">
        <v>14.25</v>
      </c>
      <c r="G4020" s="48">
        <f t="shared" si="75"/>
        <v>44.873249999999999</v>
      </c>
      <c r="H4020" s="67"/>
      <c r="I4020" s="68"/>
      <c r="J4020" s="138">
        <v>0</v>
      </c>
    </row>
    <row r="4021" spans="1:10" ht="15.75" hidden="1" thickBot="1" x14ac:dyDescent="0.3">
      <c r="A4021" s="225"/>
      <c r="B4021" s="223"/>
      <c r="C4021" s="30" t="s">
        <v>834</v>
      </c>
      <c r="D4021" s="30" t="s">
        <v>897</v>
      </c>
      <c r="E4021" s="31">
        <v>3.4089999999999998</v>
      </c>
      <c r="F4021" s="48">
        <v>39.054499999999997</v>
      </c>
      <c r="G4021" s="48">
        <f t="shared" ref="G4021:G4084" si="76">IF(ISNUMBER(F4021),E4021*F4021,"")</f>
        <v>133.13679049999999</v>
      </c>
      <c r="H4021" s="67"/>
      <c r="I4021" s="68"/>
      <c r="J4021" s="138">
        <v>0</v>
      </c>
    </row>
    <row r="4022" spans="1:10" ht="26.25" hidden="1" thickBot="1" x14ac:dyDescent="0.3">
      <c r="A4022" s="225"/>
      <c r="B4022" s="223"/>
      <c r="C4022" s="30" t="s">
        <v>1179</v>
      </c>
      <c r="D4022" s="30" t="s">
        <v>988</v>
      </c>
      <c r="E4022" s="31">
        <v>0.998</v>
      </c>
      <c r="F4022" s="48">
        <v>407.42649999999998</v>
      </c>
      <c r="G4022" s="48">
        <f t="shared" si="76"/>
        <v>406.61164699999995</v>
      </c>
      <c r="H4022" s="67"/>
      <c r="I4022" s="68"/>
      <c r="J4022" s="138">
        <v>0</v>
      </c>
    </row>
    <row r="4023" spans="1:10" ht="15.75" hidden="1" thickBot="1" x14ac:dyDescent="0.3">
      <c r="A4023" s="225"/>
      <c r="B4023" s="223"/>
      <c r="C4023" s="30" t="s">
        <v>1123</v>
      </c>
      <c r="D4023" s="41" t="s">
        <v>279</v>
      </c>
      <c r="E4023" s="31">
        <v>0.85499999999999998</v>
      </c>
      <c r="F4023" s="48">
        <v>23.417499999999997</v>
      </c>
      <c r="G4023" s="48">
        <f t="shared" si="76"/>
        <v>20.021962499999997</v>
      </c>
      <c r="H4023" s="67"/>
      <c r="I4023" s="68"/>
      <c r="J4023" s="138">
        <v>0</v>
      </c>
    </row>
    <row r="4024" spans="1:10" ht="15.75" hidden="1" thickBot="1" x14ac:dyDescent="0.3">
      <c r="A4024" s="225"/>
      <c r="B4024" s="223"/>
      <c r="C4024" s="30" t="s">
        <v>787</v>
      </c>
      <c r="D4024" s="41" t="s">
        <v>702</v>
      </c>
      <c r="E4024" s="31">
        <v>2.754</v>
      </c>
      <c r="F4024" s="48">
        <v>19.588999999999999</v>
      </c>
      <c r="G4024" s="48">
        <f t="shared" si="76"/>
        <v>53.948105999999996</v>
      </c>
      <c r="H4024" s="67"/>
      <c r="I4024" s="68"/>
      <c r="J4024" s="138">
        <v>0</v>
      </c>
    </row>
    <row r="4025" spans="1:10" ht="15.75" hidden="1" thickBot="1" x14ac:dyDescent="0.3">
      <c r="A4025" s="225"/>
      <c r="B4025" s="223"/>
      <c r="C4025" s="30" t="s">
        <v>1180</v>
      </c>
      <c r="D4025" s="41" t="s">
        <v>702</v>
      </c>
      <c r="E4025" s="31">
        <v>3.3530000000000002</v>
      </c>
      <c r="F4025" s="48">
        <v>24.747499999999999</v>
      </c>
      <c r="G4025" s="48">
        <f t="shared" si="76"/>
        <v>82.978367500000004</v>
      </c>
      <c r="H4025" s="67"/>
      <c r="I4025" s="68"/>
      <c r="J4025" s="138">
        <v>0</v>
      </c>
    </row>
    <row r="4026" spans="1:10" ht="15.75" hidden="1" thickBot="1" x14ac:dyDescent="0.3">
      <c r="A4026" s="226"/>
      <c r="B4026" s="224"/>
      <c r="C4026" s="49"/>
      <c r="D4026" s="49"/>
      <c r="E4026" s="60"/>
      <c r="F4026" s="70" t="s">
        <v>521</v>
      </c>
      <c r="G4026" s="70" t="str">
        <f t="shared" si="76"/>
        <v/>
      </c>
      <c r="H4026" s="71"/>
      <c r="I4026" s="68"/>
      <c r="J4026" s="138">
        <v>0</v>
      </c>
    </row>
    <row r="4027" spans="1:10" ht="15.75" hidden="1" thickBot="1" x14ac:dyDescent="0.3">
      <c r="A4027" s="220" t="s">
        <v>1181</v>
      </c>
      <c r="B4027" s="222" t="e">
        <f>INDEX(Orçamentária!A:B,MATCH(Composições!A4027,Orçamentária!A:A,0),2)</f>
        <v>#N/A</v>
      </c>
      <c r="C4027" s="35"/>
      <c r="D4027" s="20" t="s">
        <v>93</v>
      </c>
      <c r="E4027" s="21"/>
      <c r="F4027" s="36" t="s">
        <v>521</v>
      </c>
      <c r="G4027" s="22" t="str">
        <f t="shared" si="76"/>
        <v/>
      </c>
      <c r="H4027" s="23"/>
      <c r="I4027" s="24"/>
      <c r="J4027" s="138">
        <v>0</v>
      </c>
    </row>
    <row r="4028" spans="1:10" ht="15.75" hidden="1" thickBot="1" x14ac:dyDescent="0.3">
      <c r="A4028" s="225"/>
      <c r="B4028" s="223"/>
      <c r="C4028" s="26"/>
      <c r="D4028" s="26"/>
      <c r="E4028" s="27"/>
      <c r="F4028" s="37" t="s">
        <v>521</v>
      </c>
      <c r="G4028" s="25" t="str">
        <f t="shared" si="76"/>
        <v/>
      </c>
      <c r="H4028" s="29"/>
      <c r="I4028" s="25"/>
      <c r="J4028" s="138">
        <v>0</v>
      </c>
    </row>
    <row r="4029" spans="1:10" ht="15.75" hidden="1" thickBot="1" x14ac:dyDescent="0.3">
      <c r="A4029" s="225"/>
      <c r="B4029" s="223"/>
      <c r="C4029" s="30" t="s">
        <v>68</v>
      </c>
      <c r="D4029" s="41" t="s">
        <v>12</v>
      </c>
      <c r="E4029" s="31">
        <f>1/10</f>
        <v>0.1</v>
      </c>
      <c r="F4029" s="25">
        <v>22.961500000000001</v>
      </c>
      <c r="G4029" s="28">
        <f t="shared" si="76"/>
        <v>2.2961500000000004</v>
      </c>
      <c r="H4029" s="33">
        <f>SUM(G4029:G4030)</f>
        <v>2.2961500000000004</v>
      </c>
      <c r="I4029" s="34"/>
      <c r="J4029" s="138">
        <v>0</v>
      </c>
    </row>
    <row r="4030" spans="1:10" ht="15.75" hidden="1" thickBot="1" x14ac:dyDescent="0.3">
      <c r="A4030" s="225"/>
      <c r="B4030" s="223"/>
      <c r="C4030" s="30" t="s">
        <v>1182</v>
      </c>
      <c r="D4030" s="41" t="s">
        <v>93</v>
      </c>
      <c r="E4030" s="31">
        <v>1.05</v>
      </c>
      <c r="F4030" s="28" t="s">
        <v>521</v>
      </c>
      <c r="G4030" s="28" t="str">
        <f t="shared" si="76"/>
        <v/>
      </c>
      <c r="H4030" s="29"/>
      <c r="I4030" s="25"/>
      <c r="J4030" s="138">
        <v>0</v>
      </c>
    </row>
    <row r="4031" spans="1:10" ht="15.75" hidden="1" thickBot="1" x14ac:dyDescent="0.3">
      <c r="A4031" s="226"/>
      <c r="B4031" s="224"/>
      <c r="C4031" s="30"/>
      <c r="D4031" s="41"/>
      <c r="E4031" s="31"/>
      <c r="F4031" s="28" t="s">
        <v>521</v>
      </c>
      <c r="G4031" s="28" t="str">
        <f t="shared" si="76"/>
        <v/>
      </c>
      <c r="H4031" s="29"/>
      <c r="I4031" s="25"/>
      <c r="J4031" s="138">
        <v>0</v>
      </c>
    </row>
    <row r="4032" spans="1:10" ht="15.75" hidden="1" thickBot="1" x14ac:dyDescent="0.3">
      <c r="A4032" s="220" t="s">
        <v>1183</v>
      </c>
      <c r="B4032" s="222" t="e">
        <f>INDEX(Orçamentária!A:B,MATCH(Composições!A4032,Orçamentária!A:A,0),2)</f>
        <v>#N/A</v>
      </c>
      <c r="C4032" s="35"/>
      <c r="D4032" s="20" t="s">
        <v>12</v>
      </c>
      <c r="E4032" s="21"/>
      <c r="F4032" s="43" t="s">
        <v>521</v>
      </c>
      <c r="G4032" s="22" t="str">
        <f t="shared" si="76"/>
        <v/>
      </c>
      <c r="H4032" s="23"/>
      <c r="I4032" s="24"/>
      <c r="J4032" s="138">
        <v>0</v>
      </c>
    </row>
    <row r="4033" spans="1:10" ht="15.75" hidden="1" thickBot="1" x14ac:dyDescent="0.3">
      <c r="A4033" s="225"/>
      <c r="B4033" s="223"/>
      <c r="C4033" s="26"/>
      <c r="D4033" s="26"/>
      <c r="E4033" s="27"/>
      <c r="F4033" s="48" t="s">
        <v>521</v>
      </c>
      <c r="G4033" s="48" t="str">
        <f t="shared" si="76"/>
        <v/>
      </c>
      <c r="H4033" s="67"/>
      <c r="I4033" s="68"/>
      <c r="J4033" s="138">
        <v>0</v>
      </c>
    </row>
    <row r="4034" spans="1:10" ht="15.75" hidden="1" thickBot="1" x14ac:dyDescent="0.3">
      <c r="A4034" s="225"/>
      <c r="B4034" s="223"/>
      <c r="C4034" s="30" t="s">
        <v>1184</v>
      </c>
      <c r="D4034" s="30" t="s">
        <v>12</v>
      </c>
      <c r="E4034" s="31">
        <v>1</v>
      </c>
      <c r="F4034" s="48">
        <v>2.7075</v>
      </c>
      <c r="G4034" s="48">
        <f t="shared" si="76"/>
        <v>2.7075</v>
      </c>
      <c r="H4034" s="33">
        <f>SUM(G4034:G4034)</f>
        <v>2.7075</v>
      </c>
      <c r="I4034" s="34"/>
      <c r="J4034" s="138">
        <v>0</v>
      </c>
    </row>
    <row r="4035" spans="1:10" ht="15.75" hidden="1" thickBot="1" x14ac:dyDescent="0.3">
      <c r="A4035" s="225"/>
      <c r="B4035" s="223"/>
      <c r="C4035" s="49"/>
      <c r="D4035" s="49"/>
      <c r="E4035" s="60"/>
      <c r="F4035" s="70" t="s">
        <v>521</v>
      </c>
      <c r="G4035" s="70" t="str">
        <f t="shared" si="76"/>
        <v/>
      </c>
      <c r="H4035" s="71"/>
      <c r="I4035" s="68"/>
      <c r="J4035" s="138">
        <v>0</v>
      </c>
    </row>
    <row r="4036" spans="1:10" ht="15.75" hidden="1" thickBot="1" x14ac:dyDescent="0.3">
      <c r="A4036" s="220" t="s">
        <v>1185</v>
      </c>
      <c r="B4036" s="222" t="e">
        <f>INDEX(Orçamentária!A:B,MATCH(Composições!A4036,Orçamentária!A:A,0),2)</f>
        <v>#N/A</v>
      </c>
      <c r="C4036" s="35"/>
      <c r="D4036" s="20" t="s">
        <v>12</v>
      </c>
      <c r="E4036" s="21"/>
      <c r="F4036" s="43" t="s">
        <v>521</v>
      </c>
      <c r="G4036" s="22" t="str">
        <f t="shared" si="76"/>
        <v/>
      </c>
      <c r="H4036" s="23"/>
      <c r="I4036" s="24"/>
      <c r="J4036" s="138">
        <v>0</v>
      </c>
    </row>
    <row r="4037" spans="1:10" ht="15.75" hidden="1" thickBot="1" x14ac:dyDescent="0.3">
      <c r="A4037" s="225"/>
      <c r="B4037" s="223"/>
      <c r="C4037" s="26"/>
      <c r="D4037" s="26"/>
      <c r="E4037" s="27"/>
      <c r="F4037" s="48" t="s">
        <v>521</v>
      </c>
      <c r="G4037" s="48" t="str">
        <f t="shared" si="76"/>
        <v/>
      </c>
      <c r="H4037" s="67"/>
      <c r="I4037" s="68"/>
      <c r="J4037" s="138">
        <v>0</v>
      </c>
    </row>
    <row r="4038" spans="1:10" ht="15.75" hidden="1" thickBot="1" x14ac:dyDescent="0.3">
      <c r="A4038" s="225"/>
      <c r="B4038" s="223"/>
      <c r="C4038" s="30" t="s">
        <v>1186</v>
      </c>
      <c r="D4038" s="30" t="s">
        <v>702</v>
      </c>
      <c r="E4038" s="31">
        <v>1.05</v>
      </c>
      <c r="F4038" s="48">
        <v>1.292</v>
      </c>
      <c r="G4038" s="48">
        <f t="shared" si="76"/>
        <v>1.3566</v>
      </c>
      <c r="H4038" s="33">
        <f>SUM(G4038:G4038)</f>
        <v>1.3566</v>
      </c>
      <c r="I4038" s="34"/>
      <c r="J4038" s="138">
        <v>0</v>
      </c>
    </row>
    <row r="4039" spans="1:10" ht="15.75" hidden="1" thickBot="1" x14ac:dyDescent="0.3">
      <c r="A4039" s="226"/>
      <c r="B4039" s="224"/>
      <c r="C4039" s="49"/>
      <c r="D4039" s="49"/>
      <c r="E4039" s="60"/>
      <c r="F4039" s="70" t="s">
        <v>521</v>
      </c>
      <c r="G4039" s="70" t="str">
        <f t="shared" si="76"/>
        <v/>
      </c>
      <c r="H4039" s="71"/>
      <c r="I4039" s="68"/>
      <c r="J4039" s="138">
        <v>0</v>
      </c>
    </row>
    <row r="4040" spans="1:10" ht="15.75" hidden="1" thickBot="1" x14ac:dyDescent="0.3">
      <c r="A4040" s="220" t="s">
        <v>1187</v>
      </c>
      <c r="B4040" s="222" t="e">
        <f>INDEX(Orçamentária!A:B,MATCH(Composições!A4040,Orçamentária!A:A,0),2)</f>
        <v>#N/A</v>
      </c>
      <c r="C4040" s="35"/>
      <c r="D4040" s="20" t="s">
        <v>20</v>
      </c>
      <c r="E4040" s="21"/>
      <c r="F4040" s="43" t="s">
        <v>521</v>
      </c>
      <c r="G4040" s="22" t="str">
        <f t="shared" si="76"/>
        <v/>
      </c>
      <c r="H4040" s="23"/>
      <c r="I4040" s="24"/>
      <c r="J4040" s="138">
        <v>0</v>
      </c>
    </row>
    <row r="4041" spans="1:10" ht="15.75" hidden="1" thickBot="1" x14ac:dyDescent="0.3">
      <c r="A4041" s="225"/>
      <c r="B4041" s="223"/>
      <c r="C4041" s="26"/>
      <c r="D4041" s="26"/>
      <c r="E4041" s="27"/>
      <c r="F4041" s="48" t="s">
        <v>521</v>
      </c>
      <c r="G4041" s="48" t="str">
        <f t="shared" si="76"/>
        <v/>
      </c>
      <c r="H4041" s="67"/>
      <c r="I4041" s="68"/>
      <c r="J4041" s="138">
        <v>0</v>
      </c>
    </row>
    <row r="4042" spans="1:10" ht="26.25" hidden="1" thickBot="1" x14ac:dyDescent="0.3">
      <c r="A4042" s="225"/>
      <c r="B4042" s="223"/>
      <c r="C4042" s="30" t="s">
        <v>1188</v>
      </c>
      <c r="D4042" s="41" t="s">
        <v>279</v>
      </c>
      <c r="E4042" s="31">
        <v>1</v>
      </c>
      <c r="F4042" s="48">
        <v>40.0045</v>
      </c>
      <c r="G4042" s="48">
        <f t="shared" si="76"/>
        <v>40.0045</v>
      </c>
      <c r="H4042" s="33">
        <f>SUM(G4042:G4047)</f>
        <v>49.006479599999992</v>
      </c>
      <c r="I4042" s="34"/>
      <c r="J4042" s="138">
        <v>0</v>
      </c>
    </row>
    <row r="4043" spans="1:10" ht="26.25" hidden="1" thickBot="1" x14ac:dyDescent="0.3">
      <c r="A4043" s="225"/>
      <c r="B4043" s="223"/>
      <c r="C4043" s="30" t="s">
        <v>1189</v>
      </c>
      <c r="D4043" s="41" t="s">
        <v>279</v>
      </c>
      <c r="E4043" s="31">
        <v>8.3999999999999995E-3</v>
      </c>
      <c r="F4043" s="48">
        <v>295.50700000000001</v>
      </c>
      <c r="G4043" s="48">
        <f t="shared" si="76"/>
        <v>2.4822587999999999</v>
      </c>
      <c r="H4043" s="67"/>
      <c r="I4043" s="68"/>
      <c r="J4043" s="138">
        <v>0</v>
      </c>
    </row>
    <row r="4044" spans="1:10" ht="15.75" hidden="1" thickBot="1" x14ac:dyDescent="0.3">
      <c r="A4044" s="225"/>
      <c r="B4044" s="223"/>
      <c r="C4044" s="30" t="s">
        <v>1190</v>
      </c>
      <c r="D4044" s="30" t="s">
        <v>279</v>
      </c>
      <c r="E4044" s="31">
        <v>5.9400000000000001E-2</v>
      </c>
      <c r="F4044" s="48">
        <v>2.0139999999999998</v>
      </c>
      <c r="G4044" s="48">
        <f t="shared" si="76"/>
        <v>0.11963159999999999</v>
      </c>
      <c r="H4044" s="67"/>
      <c r="I4044" s="68"/>
      <c r="J4044" s="138">
        <v>0</v>
      </c>
    </row>
    <row r="4045" spans="1:10" ht="26.25" hidden="1" thickBot="1" x14ac:dyDescent="0.3">
      <c r="A4045" s="225"/>
      <c r="B4045" s="223"/>
      <c r="C4045" s="30" t="s">
        <v>1191</v>
      </c>
      <c r="D4045" s="30" t="s">
        <v>279</v>
      </c>
      <c r="E4045" s="31">
        <v>1.0800000000000001E-2</v>
      </c>
      <c r="F4045" s="48">
        <v>54.168999999999997</v>
      </c>
      <c r="G4045" s="48">
        <f t="shared" si="76"/>
        <v>0.58502520000000002</v>
      </c>
      <c r="H4045" s="67"/>
      <c r="I4045" s="68"/>
      <c r="J4045" s="138">
        <v>0</v>
      </c>
    </row>
    <row r="4046" spans="1:10" ht="26.25" hidden="1" thickBot="1" x14ac:dyDescent="0.3">
      <c r="A4046" s="225"/>
      <c r="B4046" s="223"/>
      <c r="C4046" s="30" t="s">
        <v>949</v>
      </c>
      <c r="D4046" s="30" t="s">
        <v>702</v>
      </c>
      <c r="E4046" s="31">
        <v>0.13400000000000001</v>
      </c>
      <c r="F4046" s="48">
        <v>19.094999999999999</v>
      </c>
      <c r="G4046" s="48">
        <f t="shared" si="76"/>
        <v>2.5587300000000002</v>
      </c>
      <c r="H4046" s="67"/>
      <c r="I4046" s="68"/>
      <c r="J4046" s="138">
        <v>0</v>
      </c>
    </row>
    <row r="4047" spans="1:10" ht="26.25" hidden="1" thickBot="1" x14ac:dyDescent="0.3">
      <c r="A4047" s="225"/>
      <c r="B4047" s="223"/>
      <c r="C4047" s="30" t="s">
        <v>950</v>
      </c>
      <c r="D4047" s="30" t="s">
        <v>702</v>
      </c>
      <c r="E4047" s="31">
        <v>0.13400000000000001</v>
      </c>
      <c r="F4047" s="48">
        <v>24.300999999999998</v>
      </c>
      <c r="G4047" s="48">
        <f t="shared" si="76"/>
        <v>3.2563339999999998</v>
      </c>
      <c r="H4047" s="67"/>
      <c r="I4047" s="68"/>
      <c r="J4047" s="138">
        <v>0</v>
      </c>
    </row>
    <row r="4048" spans="1:10" ht="15.75" hidden="1" thickBot="1" x14ac:dyDescent="0.3">
      <c r="A4048" s="226"/>
      <c r="B4048" s="224"/>
      <c r="C4048" s="49"/>
      <c r="D4048" s="49"/>
      <c r="E4048" s="60"/>
      <c r="F4048" s="70" t="s">
        <v>521</v>
      </c>
      <c r="G4048" s="70" t="str">
        <f t="shared" si="76"/>
        <v/>
      </c>
      <c r="H4048" s="71"/>
      <c r="I4048" s="68"/>
      <c r="J4048" s="138">
        <v>0</v>
      </c>
    </row>
    <row r="4049" spans="1:10" ht="15.75" hidden="1" thickBot="1" x14ac:dyDescent="0.3">
      <c r="A4049" s="220" t="s">
        <v>1192</v>
      </c>
      <c r="B4049" s="222" t="e">
        <f>INDEX(Orçamentária!A:B,MATCH(Composições!A4049,Orçamentária!A:A,0),2)</f>
        <v>#N/A</v>
      </c>
      <c r="C4049" s="35"/>
      <c r="D4049" s="20" t="s">
        <v>20</v>
      </c>
      <c r="E4049" s="21"/>
      <c r="F4049" s="43" t="s">
        <v>521</v>
      </c>
      <c r="G4049" s="22" t="str">
        <f t="shared" si="76"/>
        <v/>
      </c>
      <c r="H4049" s="23"/>
      <c r="I4049" s="24"/>
      <c r="J4049" s="138">
        <v>0</v>
      </c>
    </row>
    <row r="4050" spans="1:10" ht="15.75" hidden="1" thickBot="1" x14ac:dyDescent="0.3">
      <c r="A4050" s="225"/>
      <c r="B4050" s="223"/>
      <c r="C4050" s="26"/>
      <c r="D4050" s="26"/>
      <c r="E4050" s="27"/>
      <c r="F4050" s="48" t="s">
        <v>521</v>
      </c>
      <c r="G4050" s="48" t="str">
        <f t="shared" si="76"/>
        <v/>
      </c>
      <c r="H4050" s="67"/>
      <c r="I4050" s="68"/>
      <c r="J4050" s="138">
        <v>0</v>
      </c>
    </row>
    <row r="4051" spans="1:10" ht="26.25" hidden="1" thickBot="1" x14ac:dyDescent="0.3">
      <c r="A4051" s="225"/>
      <c r="B4051" s="223"/>
      <c r="C4051" s="30" t="s">
        <v>1193</v>
      </c>
      <c r="D4051" s="41" t="s">
        <v>279</v>
      </c>
      <c r="E4051" s="31">
        <v>1</v>
      </c>
      <c r="F4051" s="48">
        <v>61.398499999999991</v>
      </c>
      <c r="G4051" s="48">
        <f t="shared" si="76"/>
        <v>61.398499999999991</v>
      </c>
      <c r="H4051" s="33">
        <f>SUM(G4051:G4056)</f>
        <v>74.705843499999986</v>
      </c>
      <c r="I4051" s="34"/>
      <c r="J4051" s="138">
        <v>0</v>
      </c>
    </row>
    <row r="4052" spans="1:10" ht="26.25" hidden="1" thickBot="1" x14ac:dyDescent="0.3">
      <c r="A4052" s="225"/>
      <c r="B4052" s="223"/>
      <c r="C4052" s="30" t="s">
        <v>1189</v>
      </c>
      <c r="D4052" s="41" t="s">
        <v>279</v>
      </c>
      <c r="E4052" s="31">
        <v>1.7600000000000001E-2</v>
      </c>
      <c r="F4052" s="48">
        <v>295.50700000000001</v>
      </c>
      <c r="G4052" s="48">
        <f t="shared" si="76"/>
        <v>5.2009232000000001</v>
      </c>
      <c r="H4052" s="67"/>
      <c r="I4052" s="68"/>
      <c r="J4052" s="138">
        <v>0</v>
      </c>
    </row>
    <row r="4053" spans="1:10" ht="15.75" hidden="1" thickBot="1" x14ac:dyDescent="0.3">
      <c r="A4053" s="225"/>
      <c r="B4053" s="223"/>
      <c r="C4053" s="30" t="s">
        <v>1190</v>
      </c>
      <c r="D4053" s="30" t="s">
        <v>279</v>
      </c>
      <c r="E4053" s="31">
        <v>6.93E-2</v>
      </c>
      <c r="F4053" s="48">
        <v>2.0139999999999998</v>
      </c>
      <c r="G4053" s="48">
        <f t="shared" si="76"/>
        <v>0.13957019999999998</v>
      </c>
      <c r="H4053" s="67"/>
      <c r="I4053" s="68"/>
      <c r="J4053" s="138">
        <v>0</v>
      </c>
    </row>
    <row r="4054" spans="1:10" ht="26.25" hidden="1" thickBot="1" x14ac:dyDescent="0.3">
      <c r="A4054" s="225"/>
      <c r="B4054" s="223"/>
      <c r="C4054" s="30" t="s">
        <v>1191</v>
      </c>
      <c r="D4054" s="30" t="s">
        <v>279</v>
      </c>
      <c r="E4054" s="31">
        <v>2.29E-2</v>
      </c>
      <c r="F4054" s="48">
        <v>54.168999999999997</v>
      </c>
      <c r="G4054" s="48">
        <f t="shared" si="76"/>
        <v>1.2404701</v>
      </c>
      <c r="H4054" s="67"/>
      <c r="I4054" s="68"/>
      <c r="J4054" s="138">
        <v>0</v>
      </c>
    </row>
    <row r="4055" spans="1:10" ht="26.25" hidden="1" thickBot="1" x14ac:dyDescent="0.3">
      <c r="A4055" s="225"/>
      <c r="B4055" s="223"/>
      <c r="C4055" s="30" t="s">
        <v>949</v>
      </c>
      <c r="D4055" s="30" t="s">
        <v>702</v>
      </c>
      <c r="E4055" s="31">
        <v>0.155</v>
      </c>
      <c r="F4055" s="48">
        <v>19.094999999999999</v>
      </c>
      <c r="G4055" s="48">
        <f t="shared" si="76"/>
        <v>2.9597249999999997</v>
      </c>
      <c r="H4055" s="67"/>
      <c r="I4055" s="68"/>
      <c r="J4055" s="138">
        <v>0</v>
      </c>
    </row>
    <row r="4056" spans="1:10" ht="26.25" hidden="1" thickBot="1" x14ac:dyDescent="0.3">
      <c r="A4056" s="225"/>
      <c r="B4056" s="223"/>
      <c r="C4056" s="30" t="s">
        <v>950</v>
      </c>
      <c r="D4056" s="30" t="s">
        <v>702</v>
      </c>
      <c r="E4056" s="31">
        <v>0.155</v>
      </c>
      <c r="F4056" s="48">
        <v>24.300999999999998</v>
      </c>
      <c r="G4056" s="48">
        <f t="shared" si="76"/>
        <v>3.7666549999999996</v>
      </c>
      <c r="H4056" s="67"/>
      <c r="I4056" s="68"/>
      <c r="J4056" s="138">
        <v>0</v>
      </c>
    </row>
    <row r="4057" spans="1:10" ht="15.75" hidden="1" thickBot="1" x14ac:dyDescent="0.3">
      <c r="A4057" s="226"/>
      <c r="B4057" s="224"/>
      <c r="C4057" s="49"/>
      <c r="D4057" s="49"/>
      <c r="E4057" s="60"/>
      <c r="F4057" s="70" t="s">
        <v>521</v>
      </c>
      <c r="G4057" s="70" t="str">
        <f t="shared" si="76"/>
        <v/>
      </c>
      <c r="H4057" s="71"/>
      <c r="I4057" s="68"/>
      <c r="J4057" s="138">
        <v>0</v>
      </c>
    </row>
    <row r="4058" spans="1:10" ht="15.75" hidden="1" thickBot="1" x14ac:dyDescent="0.3">
      <c r="A4058" s="220" t="s">
        <v>1194</v>
      </c>
      <c r="B4058" s="222" t="e">
        <f>INDEX(Orçamentária!A:B,MATCH(Composições!A4058,Orçamentária!A:A,0),2)</f>
        <v>#N/A</v>
      </c>
      <c r="C4058" s="35"/>
      <c r="D4058" s="20" t="s">
        <v>20</v>
      </c>
      <c r="E4058" s="21"/>
      <c r="F4058" s="43" t="s">
        <v>521</v>
      </c>
      <c r="G4058" s="22" t="str">
        <f t="shared" si="76"/>
        <v/>
      </c>
      <c r="H4058" s="23"/>
      <c r="I4058" s="24"/>
      <c r="J4058" s="138">
        <v>0</v>
      </c>
    </row>
    <row r="4059" spans="1:10" ht="15.75" hidden="1" thickBot="1" x14ac:dyDescent="0.3">
      <c r="A4059" s="225"/>
      <c r="B4059" s="223"/>
      <c r="C4059" s="26"/>
      <c r="D4059" s="26"/>
      <c r="E4059" s="27"/>
      <c r="F4059" s="48" t="s">
        <v>521</v>
      </c>
      <c r="G4059" s="48" t="str">
        <f t="shared" si="76"/>
        <v/>
      </c>
      <c r="H4059" s="67"/>
      <c r="I4059" s="68"/>
      <c r="J4059" s="138">
        <v>0</v>
      </c>
    </row>
    <row r="4060" spans="1:10" ht="26.25" hidden="1" thickBot="1" x14ac:dyDescent="0.3">
      <c r="A4060" s="225"/>
      <c r="B4060" s="223"/>
      <c r="C4060" s="30" t="s">
        <v>1195</v>
      </c>
      <c r="D4060" s="41" t="s">
        <v>279</v>
      </c>
      <c r="E4060" s="31">
        <v>1</v>
      </c>
      <c r="F4060" s="48">
        <v>11.846500000000001</v>
      </c>
      <c r="G4060" s="48">
        <f t="shared" si="76"/>
        <v>11.846500000000001</v>
      </c>
      <c r="H4060" s="33">
        <f>SUM(G4060:G4065)</f>
        <v>17.859219100000001</v>
      </c>
      <c r="I4060" s="34"/>
      <c r="J4060" s="138">
        <v>0</v>
      </c>
    </row>
    <row r="4061" spans="1:10" ht="26.25" hidden="1" thickBot="1" x14ac:dyDescent="0.3">
      <c r="A4061" s="225"/>
      <c r="B4061" s="223"/>
      <c r="C4061" s="30" t="s">
        <v>1189</v>
      </c>
      <c r="D4061" s="41" t="s">
        <v>279</v>
      </c>
      <c r="E4061" s="31">
        <v>4.7999999999999996E-3</v>
      </c>
      <c r="F4061" s="48">
        <v>295.50700000000001</v>
      </c>
      <c r="G4061" s="48">
        <f t="shared" si="76"/>
        <v>1.4184336</v>
      </c>
      <c r="H4061" s="67"/>
      <c r="I4061" s="68"/>
      <c r="J4061" s="138">
        <v>0</v>
      </c>
    </row>
    <row r="4062" spans="1:10" ht="15.75" hidden="1" thickBot="1" x14ac:dyDescent="0.3">
      <c r="A4062" s="225"/>
      <c r="B4062" s="223"/>
      <c r="C4062" s="30" t="s">
        <v>1190</v>
      </c>
      <c r="D4062" s="30" t="s">
        <v>279</v>
      </c>
      <c r="E4062" s="31">
        <v>4.3200000000000002E-2</v>
      </c>
      <c r="F4062" s="48">
        <v>2.0139999999999998</v>
      </c>
      <c r="G4062" s="48">
        <f t="shared" si="76"/>
        <v>8.7004799999999993E-2</v>
      </c>
      <c r="H4062" s="67"/>
      <c r="I4062" s="68"/>
      <c r="J4062" s="138">
        <v>0</v>
      </c>
    </row>
    <row r="4063" spans="1:10" ht="26.25" hidden="1" thickBot="1" x14ac:dyDescent="0.3">
      <c r="A4063" s="225"/>
      <c r="B4063" s="223"/>
      <c r="C4063" s="30" t="s">
        <v>1191</v>
      </c>
      <c r="D4063" s="30" t="s">
        <v>279</v>
      </c>
      <c r="E4063" s="31">
        <v>6.3E-3</v>
      </c>
      <c r="F4063" s="48">
        <v>54.168999999999997</v>
      </c>
      <c r="G4063" s="48">
        <f t="shared" si="76"/>
        <v>0.34126469999999998</v>
      </c>
      <c r="H4063" s="67"/>
      <c r="I4063" s="68"/>
      <c r="J4063" s="138">
        <v>0</v>
      </c>
    </row>
    <row r="4064" spans="1:10" ht="26.25" hidden="1" thickBot="1" x14ac:dyDescent="0.3">
      <c r="A4064" s="225"/>
      <c r="B4064" s="223"/>
      <c r="C4064" s="30" t="s">
        <v>949</v>
      </c>
      <c r="D4064" s="30" t="s">
        <v>702</v>
      </c>
      <c r="E4064" s="31">
        <v>9.6000000000000002E-2</v>
      </c>
      <c r="F4064" s="48">
        <v>19.094999999999999</v>
      </c>
      <c r="G4064" s="48">
        <f t="shared" si="76"/>
        <v>1.8331199999999999</v>
      </c>
      <c r="H4064" s="67"/>
      <c r="I4064" s="68"/>
      <c r="J4064" s="138">
        <v>0</v>
      </c>
    </row>
    <row r="4065" spans="1:10" ht="26.25" hidden="1" thickBot="1" x14ac:dyDescent="0.3">
      <c r="A4065" s="225"/>
      <c r="B4065" s="223"/>
      <c r="C4065" s="30" t="s">
        <v>950</v>
      </c>
      <c r="D4065" s="30" t="s">
        <v>702</v>
      </c>
      <c r="E4065" s="31">
        <v>9.6000000000000002E-2</v>
      </c>
      <c r="F4065" s="48">
        <v>24.300999999999998</v>
      </c>
      <c r="G4065" s="48">
        <f t="shared" si="76"/>
        <v>2.3328959999999999</v>
      </c>
      <c r="H4065" s="67"/>
      <c r="I4065" s="68"/>
      <c r="J4065" s="138">
        <v>0</v>
      </c>
    </row>
    <row r="4066" spans="1:10" ht="15.75" hidden="1" thickBot="1" x14ac:dyDescent="0.3">
      <c r="A4066" s="226"/>
      <c r="B4066" s="224"/>
      <c r="C4066" s="49"/>
      <c r="D4066" s="49"/>
      <c r="E4066" s="60"/>
      <c r="F4066" s="70" t="s">
        <v>521</v>
      </c>
      <c r="G4066" s="70" t="str">
        <f t="shared" si="76"/>
        <v/>
      </c>
      <c r="H4066" s="71"/>
      <c r="I4066" s="68"/>
      <c r="J4066" s="138">
        <v>0</v>
      </c>
    </row>
    <row r="4067" spans="1:10" ht="15.75" hidden="1" thickBot="1" x14ac:dyDescent="0.3">
      <c r="A4067" s="220" t="s">
        <v>1196</v>
      </c>
      <c r="B4067" s="222" t="e">
        <f>INDEX(Orçamentária!A:B,MATCH(Composições!A4067,Orçamentária!A:A,0),2)</f>
        <v>#N/A</v>
      </c>
      <c r="C4067" s="35"/>
      <c r="D4067" s="20" t="s">
        <v>20</v>
      </c>
      <c r="E4067" s="21"/>
      <c r="F4067" s="43" t="s">
        <v>521</v>
      </c>
      <c r="G4067" s="22" t="str">
        <f t="shared" si="76"/>
        <v/>
      </c>
      <c r="H4067" s="23"/>
      <c r="I4067" s="24"/>
      <c r="J4067" s="138">
        <v>0</v>
      </c>
    </row>
    <row r="4068" spans="1:10" ht="15.75" hidden="1" thickBot="1" x14ac:dyDescent="0.3">
      <c r="A4068" s="225"/>
      <c r="B4068" s="223"/>
      <c r="C4068" s="26"/>
      <c r="D4068" s="26"/>
      <c r="E4068" s="27"/>
      <c r="F4068" s="48" t="s">
        <v>521</v>
      </c>
      <c r="G4068" s="48" t="str">
        <f t="shared" si="76"/>
        <v/>
      </c>
      <c r="H4068" s="67"/>
      <c r="I4068" s="68"/>
      <c r="J4068" s="138">
        <v>0</v>
      </c>
    </row>
    <row r="4069" spans="1:10" ht="26.25" hidden="1" thickBot="1" x14ac:dyDescent="0.3">
      <c r="A4069" s="225"/>
      <c r="B4069" s="223"/>
      <c r="C4069" s="30" t="s">
        <v>1197</v>
      </c>
      <c r="D4069" s="41" t="s">
        <v>279</v>
      </c>
      <c r="E4069" s="31">
        <v>1</v>
      </c>
      <c r="F4069" s="48">
        <v>24.852</v>
      </c>
      <c r="G4069" s="48">
        <f t="shared" si="76"/>
        <v>24.852</v>
      </c>
      <c r="H4069" s="33">
        <f>SUM(G4069:G4074)</f>
        <v>31.901159600000003</v>
      </c>
      <c r="I4069" s="34"/>
      <c r="J4069" s="138">
        <v>0</v>
      </c>
    </row>
    <row r="4070" spans="1:10" ht="26.25" hidden="1" thickBot="1" x14ac:dyDescent="0.3">
      <c r="A4070" s="225"/>
      <c r="B4070" s="223"/>
      <c r="C4070" s="30" t="s">
        <v>1189</v>
      </c>
      <c r="D4070" s="41" t="s">
        <v>279</v>
      </c>
      <c r="E4070" s="31">
        <v>8.3999999999999995E-3</v>
      </c>
      <c r="F4070" s="48">
        <v>295.50700000000001</v>
      </c>
      <c r="G4070" s="48">
        <f t="shared" si="76"/>
        <v>2.4822587999999999</v>
      </c>
      <c r="H4070" s="67"/>
      <c r="I4070" s="68"/>
      <c r="J4070" s="138">
        <v>0</v>
      </c>
    </row>
    <row r="4071" spans="1:10" ht="15.75" hidden="1" thickBot="1" x14ac:dyDescent="0.3">
      <c r="A4071" s="225"/>
      <c r="B4071" s="223"/>
      <c r="C4071" s="30" t="s">
        <v>1190</v>
      </c>
      <c r="D4071" s="30" t="s">
        <v>279</v>
      </c>
      <c r="E4071" s="31">
        <v>5.9400000000000001E-2</v>
      </c>
      <c r="F4071" s="48">
        <v>2.0139999999999998</v>
      </c>
      <c r="G4071" s="48">
        <f t="shared" si="76"/>
        <v>0.11963159999999999</v>
      </c>
      <c r="H4071" s="67"/>
      <c r="I4071" s="68"/>
      <c r="J4071" s="138">
        <v>0</v>
      </c>
    </row>
    <row r="4072" spans="1:10" ht="26.25" hidden="1" thickBot="1" x14ac:dyDescent="0.3">
      <c r="A4072" s="225"/>
      <c r="B4072" s="223"/>
      <c r="C4072" s="30" t="s">
        <v>1191</v>
      </c>
      <c r="D4072" s="30" t="s">
        <v>279</v>
      </c>
      <c r="E4072" s="31">
        <v>1.0800000000000001E-2</v>
      </c>
      <c r="F4072" s="48">
        <v>54.168999999999997</v>
      </c>
      <c r="G4072" s="48">
        <f t="shared" si="76"/>
        <v>0.58502520000000002</v>
      </c>
      <c r="H4072" s="67"/>
      <c r="I4072" s="68"/>
      <c r="J4072" s="138">
        <v>0</v>
      </c>
    </row>
    <row r="4073" spans="1:10" ht="26.25" hidden="1" thickBot="1" x14ac:dyDescent="0.3">
      <c r="A4073" s="225"/>
      <c r="B4073" s="223"/>
      <c r="C4073" s="30" t="s">
        <v>949</v>
      </c>
      <c r="D4073" s="30" t="s">
        <v>702</v>
      </c>
      <c r="E4073" s="31">
        <v>8.8999999999999996E-2</v>
      </c>
      <c r="F4073" s="48">
        <v>19.094999999999999</v>
      </c>
      <c r="G4073" s="48">
        <f t="shared" si="76"/>
        <v>1.6994549999999997</v>
      </c>
      <c r="H4073" s="67"/>
      <c r="I4073" s="68"/>
      <c r="J4073" s="138">
        <v>0</v>
      </c>
    </row>
    <row r="4074" spans="1:10" ht="26.25" hidden="1" thickBot="1" x14ac:dyDescent="0.3">
      <c r="A4074" s="225"/>
      <c r="B4074" s="223"/>
      <c r="C4074" s="30" t="s">
        <v>950</v>
      </c>
      <c r="D4074" s="30" t="s">
        <v>702</v>
      </c>
      <c r="E4074" s="31">
        <v>8.8999999999999996E-2</v>
      </c>
      <c r="F4074" s="48">
        <v>24.300999999999998</v>
      </c>
      <c r="G4074" s="48">
        <f t="shared" si="76"/>
        <v>2.1627889999999996</v>
      </c>
      <c r="H4074" s="67"/>
      <c r="I4074" s="68"/>
      <c r="J4074" s="138">
        <v>0</v>
      </c>
    </row>
    <row r="4075" spans="1:10" ht="15.75" hidden="1" thickBot="1" x14ac:dyDescent="0.3">
      <c r="A4075" s="226"/>
      <c r="B4075" s="224"/>
      <c r="C4075" s="49"/>
      <c r="D4075" s="49"/>
      <c r="E4075" s="60"/>
      <c r="F4075" s="70" t="s">
        <v>521</v>
      </c>
      <c r="G4075" s="70" t="str">
        <f t="shared" si="76"/>
        <v/>
      </c>
      <c r="H4075" s="71"/>
      <c r="I4075" s="68"/>
      <c r="J4075" s="138">
        <v>0</v>
      </c>
    </row>
    <row r="4076" spans="1:10" ht="15.75" hidden="1" thickBot="1" x14ac:dyDescent="0.3">
      <c r="A4076" s="220" t="s">
        <v>1198</v>
      </c>
      <c r="B4076" s="222" t="e">
        <f>INDEX(Orçamentária!A:B,MATCH(Composições!A4076,Orçamentária!A:A,0),2)</f>
        <v>#N/A</v>
      </c>
      <c r="C4076" s="35"/>
      <c r="D4076" s="20" t="s">
        <v>20</v>
      </c>
      <c r="E4076" s="21"/>
      <c r="F4076" s="43" t="s">
        <v>521</v>
      </c>
      <c r="G4076" s="22" t="str">
        <f t="shared" si="76"/>
        <v/>
      </c>
      <c r="H4076" s="23"/>
      <c r="I4076" s="24"/>
      <c r="J4076" s="138">
        <v>0</v>
      </c>
    </row>
    <row r="4077" spans="1:10" ht="15.75" hidden="1" thickBot="1" x14ac:dyDescent="0.3">
      <c r="A4077" s="225"/>
      <c r="B4077" s="223"/>
      <c r="C4077" s="26"/>
      <c r="D4077" s="26"/>
      <c r="E4077" s="27"/>
      <c r="F4077" s="48" t="s">
        <v>521</v>
      </c>
      <c r="G4077" s="48" t="str">
        <f t="shared" si="76"/>
        <v/>
      </c>
      <c r="H4077" s="67"/>
      <c r="I4077" s="68"/>
      <c r="J4077" s="138">
        <v>0</v>
      </c>
    </row>
    <row r="4078" spans="1:10" ht="26.25" hidden="1" thickBot="1" x14ac:dyDescent="0.3">
      <c r="A4078" s="225"/>
      <c r="B4078" s="223"/>
      <c r="C4078" s="30" t="s">
        <v>1199</v>
      </c>
      <c r="D4078" s="41" t="s">
        <v>279</v>
      </c>
      <c r="E4078" s="31">
        <v>1</v>
      </c>
      <c r="F4078" s="48">
        <v>31.511500000000002</v>
      </c>
      <c r="G4078" s="48">
        <f t="shared" si="76"/>
        <v>31.511500000000002</v>
      </c>
      <c r="H4078" s="33">
        <f>SUM(G4078:G4083)</f>
        <v>42.562251500000009</v>
      </c>
      <c r="I4078" s="34"/>
      <c r="J4078" s="138">
        <v>0</v>
      </c>
    </row>
    <row r="4079" spans="1:10" ht="26.25" hidden="1" thickBot="1" x14ac:dyDescent="0.3">
      <c r="A4079" s="225"/>
      <c r="B4079" s="223"/>
      <c r="C4079" s="30" t="s">
        <v>1189</v>
      </c>
      <c r="D4079" s="41" t="s">
        <v>279</v>
      </c>
      <c r="E4079" s="31">
        <v>1.7600000000000001E-2</v>
      </c>
      <c r="F4079" s="48">
        <v>295.50700000000001</v>
      </c>
      <c r="G4079" s="48">
        <f t="shared" si="76"/>
        <v>5.2009232000000001</v>
      </c>
      <c r="H4079" s="67"/>
      <c r="I4079" s="68"/>
      <c r="J4079" s="138">
        <v>0</v>
      </c>
    </row>
    <row r="4080" spans="1:10" ht="15.75" hidden="1" thickBot="1" x14ac:dyDescent="0.3">
      <c r="A4080" s="225"/>
      <c r="B4080" s="223"/>
      <c r="C4080" s="30" t="s">
        <v>1190</v>
      </c>
      <c r="D4080" s="30" t="s">
        <v>279</v>
      </c>
      <c r="E4080" s="31">
        <v>6.93E-2</v>
      </c>
      <c r="F4080" s="48">
        <v>2.0139999999999998</v>
      </c>
      <c r="G4080" s="48">
        <f t="shared" si="76"/>
        <v>0.13957019999999998</v>
      </c>
      <c r="H4080" s="67"/>
      <c r="I4080" s="68"/>
      <c r="J4080" s="138">
        <v>0</v>
      </c>
    </row>
    <row r="4081" spans="1:10" ht="26.25" hidden="1" thickBot="1" x14ac:dyDescent="0.3">
      <c r="A4081" s="225"/>
      <c r="B4081" s="223"/>
      <c r="C4081" s="30" t="s">
        <v>1191</v>
      </c>
      <c r="D4081" s="30" t="s">
        <v>279</v>
      </c>
      <c r="E4081" s="31">
        <v>2.29E-2</v>
      </c>
      <c r="F4081" s="48">
        <v>54.168999999999997</v>
      </c>
      <c r="G4081" s="48">
        <f t="shared" si="76"/>
        <v>1.2404701</v>
      </c>
      <c r="H4081" s="67"/>
      <c r="I4081" s="68"/>
      <c r="J4081" s="138">
        <v>0</v>
      </c>
    </row>
    <row r="4082" spans="1:10" ht="26.25" hidden="1" thickBot="1" x14ac:dyDescent="0.3">
      <c r="A4082" s="225"/>
      <c r="B4082" s="223"/>
      <c r="C4082" s="30" t="s">
        <v>949</v>
      </c>
      <c r="D4082" s="30" t="s">
        <v>702</v>
      </c>
      <c r="E4082" s="31">
        <v>0.10299999999999999</v>
      </c>
      <c r="F4082" s="48">
        <v>19.094999999999999</v>
      </c>
      <c r="G4082" s="48">
        <f t="shared" si="76"/>
        <v>1.9667849999999998</v>
      </c>
      <c r="H4082" s="67"/>
      <c r="I4082" s="68"/>
      <c r="J4082" s="138">
        <v>0</v>
      </c>
    </row>
    <row r="4083" spans="1:10" ht="26.25" hidden="1" thickBot="1" x14ac:dyDescent="0.3">
      <c r="A4083" s="225"/>
      <c r="B4083" s="223"/>
      <c r="C4083" s="30" t="s">
        <v>950</v>
      </c>
      <c r="D4083" s="30" t="s">
        <v>702</v>
      </c>
      <c r="E4083" s="31">
        <v>0.10299999999999999</v>
      </c>
      <c r="F4083" s="48">
        <v>24.300999999999998</v>
      </c>
      <c r="G4083" s="48">
        <f t="shared" si="76"/>
        <v>2.5030029999999996</v>
      </c>
      <c r="H4083" s="67"/>
      <c r="I4083" s="68"/>
      <c r="J4083" s="138">
        <v>0</v>
      </c>
    </row>
    <row r="4084" spans="1:10" ht="15.75" hidden="1" thickBot="1" x14ac:dyDescent="0.3">
      <c r="A4084" s="226"/>
      <c r="B4084" s="224"/>
      <c r="C4084" s="49"/>
      <c r="D4084" s="49"/>
      <c r="E4084" s="60"/>
      <c r="F4084" s="70" t="s">
        <v>521</v>
      </c>
      <c r="G4084" s="70" t="str">
        <f t="shared" si="76"/>
        <v/>
      </c>
      <c r="H4084" s="71"/>
      <c r="I4084" s="68"/>
      <c r="J4084" s="138">
        <v>0</v>
      </c>
    </row>
    <row r="4085" spans="1:10" ht="15.75" hidden="1" thickBot="1" x14ac:dyDescent="0.3">
      <c r="A4085" s="220" t="s">
        <v>1200</v>
      </c>
      <c r="B4085" s="222" t="e">
        <f>INDEX(Orçamentária!A:B,MATCH(Composições!A4085,Orçamentária!A:A,0),2)</f>
        <v>#N/A</v>
      </c>
      <c r="C4085" s="35"/>
      <c r="D4085" s="20" t="s">
        <v>20</v>
      </c>
      <c r="E4085" s="21"/>
      <c r="F4085" s="43" t="s">
        <v>521</v>
      </c>
      <c r="G4085" s="22" t="str">
        <f t="shared" ref="G4085:G4148" si="77">IF(ISNUMBER(F4085),E4085*F4085,"")</f>
        <v/>
      </c>
      <c r="H4085" s="23"/>
      <c r="I4085" s="24"/>
      <c r="J4085" s="138">
        <v>0</v>
      </c>
    </row>
    <row r="4086" spans="1:10" ht="15.75" hidden="1" thickBot="1" x14ac:dyDescent="0.3">
      <c r="A4086" s="225"/>
      <c r="B4086" s="223"/>
      <c r="C4086" s="26"/>
      <c r="D4086" s="26"/>
      <c r="E4086" s="27"/>
      <c r="F4086" s="48" t="s">
        <v>521</v>
      </c>
      <c r="G4086" s="48" t="str">
        <f t="shared" si="77"/>
        <v/>
      </c>
      <c r="H4086" s="67"/>
      <c r="I4086" s="68"/>
      <c r="J4086" s="138">
        <v>0</v>
      </c>
    </row>
    <row r="4087" spans="1:10" ht="26.25" hidden="1" thickBot="1" x14ac:dyDescent="0.3">
      <c r="A4087" s="225"/>
      <c r="B4087" s="223"/>
      <c r="C4087" s="30" t="s">
        <v>1201</v>
      </c>
      <c r="D4087" s="41" t="s">
        <v>279</v>
      </c>
      <c r="E4087" s="31">
        <v>1</v>
      </c>
      <c r="F4087" s="48">
        <v>5.6144999999999996</v>
      </c>
      <c r="G4087" s="48">
        <f t="shared" si="77"/>
        <v>5.6144999999999996</v>
      </c>
      <c r="H4087" s="33">
        <f>SUM(G4087:G4092)</f>
        <v>10.2385471</v>
      </c>
      <c r="I4087" s="34"/>
      <c r="J4087" s="138">
        <v>0</v>
      </c>
    </row>
    <row r="4088" spans="1:10" ht="26.25" hidden="1" thickBot="1" x14ac:dyDescent="0.3">
      <c r="A4088" s="225"/>
      <c r="B4088" s="223"/>
      <c r="C4088" s="30" t="s">
        <v>1189</v>
      </c>
      <c r="D4088" s="41" t="s">
        <v>279</v>
      </c>
      <c r="E4088" s="31">
        <v>4.7999999999999996E-3</v>
      </c>
      <c r="F4088" s="48">
        <v>295.50700000000001</v>
      </c>
      <c r="G4088" s="48">
        <f t="shared" si="77"/>
        <v>1.4184336</v>
      </c>
      <c r="H4088" s="67"/>
      <c r="I4088" s="68"/>
      <c r="J4088" s="138">
        <v>0</v>
      </c>
    </row>
    <row r="4089" spans="1:10" ht="15.75" hidden="1" thickBot="1" x14ac:dyDescent="0.3">
      <c r="A4089" s="225"/>
      <c r="B4089" s="223"/>
      <c r="C4089" s="30" t="s">
        <v>1190</v>
      </c>
      <c r="D4089" s="30" t="s">
        <v>279</v>
      </c>
      <c r="E4089" s="31">
        <v>4.3200000000000002E-2</v>
      </c>
      <c r="F4089" s="48">
        <v>2.0139999999999998</v>
      </c>
      <c r="G4089" s="48">
        <f t="shared" si="77"/>
        <v>8.7004799999999993E-2</v>
      </c>
      <c r="H4089" s="67"/>
      <c r="I4089" s="68"/>
      <c r="J4089" s="138">
        <v>0</v>
      </c>
    </row>
    <row r="4090" spans="1:10" ht="26.25" hidden="1" thickBot="1" x14ac:dyDescent="0.3">
      <c r="A4090" s="225"/>
      <c r="B4090" s="223"/>
      <c r="C4090" s="30" t="s">
        <v>1191</v>
      </c>
      <c r="D4090" s="30" t="s">
        <v>279</v>
      </c>
      <c r="E4090" s="31">
        <v>6.3E-3</v>
      </c>
      <c r="F4090" s="48">
        <v>54.168999999999997</v>
      </c>
      <c r="G4090" s="48">
        <f t="shared" si="77"/>
        <v>0.34126469999999998</v>
      </c>
      <c r="H4090" s="67"/>
      <c r="I4090" s="68"/>
      <c r="J4090" s="138">
        <v>0</v>
      </c>
    </row>
    <row r="4091" spans="1:10" ht="26.25" hidden="1" thickBot="1" x14ac:dyDescent="0.3">
      <c r="A4091" s="225"/>
      <c r="B4091" s="223"/>
      <c r="C4091" s="30" t="s">
        <v>949</v>
      </c>
      <c r="D4091" s="30" t="s">
        <v>702</v>
      </c>
      <c r="E4091" s="31">
        <v>6.4000000000000001E-2</v>
      </c>
      <c r="F4091" s="48">
        <v>19.094999999999999</v>
      </c>
      <c r="G4091" s="48">
        <f t="shared" si="77"/>
        <v>1.2220800000000001</v>
      </c>
      <c r="H4091" s="67"/>
      <c r="I4091" s="68"/>
      <c r="J4091" s="138">
        <v>0</v>
      </c>
    </row>
    <row r="4092" spans="1:10" ht="26.25" hidden="1" thickBot="1" x14ac:dyDescent="0.3">
      <c r="A4092" s="225"/>
      <c r="B4092" s="223"/>
      <c r="C4092" s="30" t="s">
        <v>950</v>
      </c>
      <c r="D4092" s="30" t="s">
        <v>702</v>
      </c>
      <c r="E4092" s="31">
        <v>6.4000000000000001E-2</v>
      </c>
      <c r="F4092" s="48">
        <v>24.300999999999998</v>
      </c>
      <c r="G4092" s="48">
        <f t="shared" si="77"/>
        <v>1.555264</v>
      </c>
      <c r="H4092" s="67"/>
      <c r="I4092" s="68"/>
      <c r="J4092" s="138">
        <v>0</v>
      </c>
    </row>
    <row r="4093" spans="1:10" ht="15.75" hidden="1" thickBot="1" x14ac:dyDescent="0.3">
      <c r="A4093" s="226"/>
      <c r="B4093" s="224"/>
      <c r="C4093" s="49"/>
      <c r="D4093" s="49"/>
      <c r="E4093" s="60"/>
      <c r="F4093" s="70" t="s">
        <v>521</v>
      </c>
      <c r="G4093" s="70" t="str">
        <f t="shared" si="77"/>
        <v/>
      </c>
      <c r="H4093" s="71"/>
      <c r="I4093" s="68"/>
      <c r="J4093" s="138">
        <v>0</v>
      </c>
    </row>
    <row r="4094" spans="1:10" ht="15.75" hidden="1" thickBot="1" x14ac:dyDescent="0.3">
      <c r="A4094" s="220" t="s">
        <v>1202</v>
      </c>
      <c r="B4094" s="222" t="e">
        <f>INDEX(Orçamentária!A:B,MATCH(Composições!A4094,Orçamentária!A:A,0),2)</f>
        <v>#N/A</v>
      </c>
      <c r="C4094" s="35"/>
      <c r="D4094" s="20" t="s">
        <v>93</v>
      </c>
      <c r="E4094" s="21"/>
      <c r="F4094" s="43" t="s">
        <v>521</v>
      </c>
      <c r="G4094" s="22" t="str">
        <f t="shared" si="77"/>
        <v/>
      </c>
      <c r="H4094" s="23"/>
      <c r="I4094" s="24"/>
      <c r="J4094" s="138">
        <v>0</v>
      </c>
    </row>
    <row r="4095" spans="1:10" ht="15.75" hidden="1" thickBot="1" x14ac:dyDescent="0.3">
      <c r="A4095" s="225"/>
      <c r="B4095" s="223"/>
      <c r="C4095" s="26"/>
      <c r="D4095" s="26"/>
      <c r="E4095" s="27"/>
      <c r="F4095" s="48" t="s">
        <v>521</v>
      </c>
      <c r="G4095" s="48" t="str">
        <f t="shared" si="77"/>
        <v/>
      </c>
      <c r="H4095" s="67"/>
      <c r="I4095" s="68"/>
      <c r="J4095" s="138">
        <v>0</v>
      </c>
    </row>
    <row r="4096" spans="1:10" ht="39" hidden="1" thickBot="1" x14ac:dyDescent="0.3">
      <c r="A4096" s="225"/>
      <c r="B4096" s="223"/>
      <c r="C4096" s="30" t="s">
        <v>1203</v>
      </c>
      <c r="D4096" s="30" t="s">
        <v>479</v>
      </c>
      <c r="E4096" s="31">
        <v>1.0210999999999999</v>
      </c>
      <c r="F4096" s="48">
        <v>150.44200000000001</v>
      </c>
      <c r="G4096" s="48">
        <f t="shared" si="77"/>
        <v>153.6163262</v>
      </c>
      <c r="H4096" s="33">
        <f>SUM(G4096:G4098)</f>
        <v>156.48046220000001</v>
      </c>
      <c r="I4096" s="34"/>
      <c r="J4096" s="138">
        <v>0</v>
      </c>
    </row>
    <row r="4097" spans="1:10" ht="26.25" hidden="1" thickBot="1" x14ac:dyDescent="0.3">
      <c r="A4097" s="225"/>
      <c r="B4097" s="223"/>
      <c r="C4097" s="30" t="s">
        <v>949</v>
      </c>
      <c r="D4097" s="30" t="s">
        <v>702</v>
      </c>
      <c r="E4097" s="31">
        <v>6.6000000000000003E-2</v>
      </c>
      <c r="F4097" s="48">
        <v>19.094999999999999</v>
      </c>
      <c r="G4097" s="48">
        <f t="shared" si="77"/>
        <v>1.26027</v>
      </c>
      <c r="H4097" s="67"/>
      <c r="I4097" s="68"/>
      <c r="J4097" s="138">
        <v>0</v>
      </c>
    </row>
    <row r="4098" spans="1:10" ht="26.25" hidden="1" thickBot="1" x14ac:dyDescent="0.3">
      <c r="A4098" s="225"/>
      <c r="B4098" s="223"/>
      <c r="C4098" s="30" t="s">
        <v>950</v>
      </c>
      <c r="D4098" s="30" t="s">
        <v>702</v>
      </c>
      <c r="E4098" s="31">
        <v>6.6000000000000003E-2</v>
      </c>
      <c r="F4098" s="48">
        <v>24.300999999999998</v>
      </c>
      <c r="G4098" s="48">
        <f t="shared" si="77"/>
        <v>1.603866</v>
      </c>
      <c r="H4098" s="67"/>
      <c r="I4098" s="68"/>
      <c r="J4098" s="138">
        <v>0</v>
      </c>
    </row>
    <row r="4099" spans="1:10" ht="15.75" hidden="1" thickBot="1" x14ac:dyDescent="0.3">
      <c r="A4099" s="225"/>
      <c r="B4099" s="223"/>
      <c r="C4099" s="49"/>
      <c r="D4099" s="49"/>
      <c r="E4099" s="60"/>
      <c r="F4099" s="70" t="s">
        <v>521</v>
      </c>
      <c r="G4099" s="70" t="str">
        <f t="shared" si="77"/>
        <v/>
      </c>
      <c r="H4099" s="71"/>
      <c r="I4099" s="68"/>
      <c r="J4099" s="138">
        <v>0</v>
      </c>
    </row>
    <row r="4100" spans="1:10" ht="15.75" hidden="1" thickBot="1" x14ac:dyDescent="0.3">
      <c r="A4100" s="220" t="s">
        <v>1204</v>
      </c>
      <c r="B4100" s="222" t="e">
        <f>INDEX(Orçamentária!A:B,MATCH(Composições!A4100,Orçamentária!A:A,0),2)</f>
        <v>#N/A</v>
      </c>
      <c r="C4100" s="35"/>
      <c r="D4100" s="20" t="s">
        <v>93</v>
      </c>
      <c r="E4100" s="21"/>
      <c r="F4100" s="43" t="s">
        <v>521</v>
      </c>
      <c r="G4100" s="22" t="str">
        <f t="shared" si="77"/>
        <v/>
      </c>
      <c r="H4100" s="23"/>
      <c r="I4100" s="24"/>
      <c r="J4100" s="138">
        <v>0</v>
      </c>
    </row>
    <row r="4101" spans="1:10" ht="15.75" hidden="1" thickBot="1" x14ac:dyDescent="0.3">
      <c r="A4101" s="225"/>
      <c r="B4101" s="223"/>
      <c r="C4101" s="26"/>
      <c r="D4101" s="26"/>
      <c r="E4101" s="27"/>
      <c r="F4101" s="48" t="s">
        <v>521</v>
      </c>
      <c r="G4101" s="48" t="str">
        <f t="shared" si="77"/>
        <v/>
      </c>
      <c r="H4101" s="67"/>
      <c r="I4101" s="68"/>
      <c r="J4101" s="138">
        <v>0</v>
      </c>
    </row>
    <row r="4102" spans="1:10" ht="39" hidden="1" thickBot="1" x14ac:dyDescent="0.3">
      <c r="A4102" s="225"/>
      <c r="B4102" s="223"/>
      <c r="C4102" s="30" t="s">
        <v>1205</v>
      </c>
      <c r="D4102" s="30" t="s">
        <v>479</v>
      </c>
      <c r="E4102" s="31">
        <v>1.0210999999999999</v>
      </c>
      <c r="F4102" s="48">
        <v>180.994</v>
      </c>
      <c r="G4102" s="48">
        <f t="shared" si="77"/>
        <v>184.81297339999998</v>
      </c>
      <c r="H4102" s="33">
        <f>SUM(G4102:G4104)</f>
        <v>188.11106939999999</v>
      </c>
      <c r="I4102" s="34"/>
      <c r="J4102" s="138">
        <v>0</v>
      </c>
    </row>
    <row r="4103" spans="1:10" ht="26.25" hidden="1" thickBot="1" x14ac:dyDescent="0.3">
      <c r="A4103" s="225"/>
      <c r="B4103" s="223"/>
      <c r="C4103" s="30" t="s">
        <v>949</v>
      </c>
      <c r="D4103" s="30" t="s">
        <v>702</v>
      </c>
      <c r="E4103" s="31">
        <v>7.5999999999999998E-2</v>
      </c>
      <c r="F4103" s="48">
        <v>19.094999999999999</v>
      </c>
      <c r="G4103" s="48">
        <f t="shared" si="77"/>
        <v>1.45122</v>
      </c>
      <c r="H4103" s="67"/>
      <c r="I4103" s="68"/>
      <c r="J4103" s="138">
        <v>0</v>
      </c>
    </row>
    <row r="4104" spans="1:10" ht="26.25" hidden="1" thickBot="1" x14ac:dyDescent="0.3">
      <c r="A4104" s="225"/>
      <c r="B4104" s="223"/>
      <c r="C4104" s="30" t="s">
        <v>950</v>
      </c>
      <c r="D4104" s="30" t="s">
        <v>702</v>
      </c>
      <c r="E4104" s="31">
        <v>7.5999999999999998E-2</v>
      </c>
      <c r="F4104" s="48">
        <v>24.300999999999998</v>
      </c>
      <c r="G4104" s="48">
        <f t="shared" si="77"/>
        <v>1.8468759999999997</v>
      </c>
      <c r="H4104" s="67"/>
      <c r="I4104" s="68"/>
      <c r="J4104" s="138">
        <v>0</v>
      </c>
    </row>
    <row r="4105" spans="1:10" ht="15.75" hidden="1" thickBot="1" x14ac:dyDescent="0.3">
      <c r="A4105" s="225"/>
      <c r="B4105" s="223"/>
      <c r="C4105" s="49"/>
      <c r="D4105" s="49"/>
      <c r="E4105" s="60"/>
      <c r="F4105" s="70" t="s">
        <v>521</v>
      </c>
      <c r="G4105" s="70" t="str">
        <f t="shared" si="77"/>
        <v/>
      </c>
      <c r="H4105" s="71"/>
      <c r="I4105" s="68"/>
      <c r="J4105" s="138">
        <v>0</v>
      </c>
    </row>
    <row r="4106" spans="1:10" ht="15.75" hidden="1" thickBot="1" x14ac:dyDescent="0.3">
      <c r="A4106" s="220" t="s">
        <v>1206</v>
      </c>
      <c r="B4106" s="222" t="e">
        <f>INDEX(Orçamentária!A:B,MATCH(Composições!A4106,Orçamentária!A:A,0),2)</f>
        <v>#N/A</v>
      </c>
      <c r="C4106" s="35"/>
      <c r="D4106" s="20" t="s">
        <v>93</v>
      </c>
      <c r="E4106" s="21"/>
      <c r="F4106" s="43" t="s">
        <v>521</v>
      </c>
      <c r="G4106" s="22" t="str">
        <f t="shared" si="77"/>
        <v/>
      </c>
      <c r="H4106" s="23"/>
      <c r="I4106" s="24"/>
      <c r="J4106" s="138">
        <v>0</v>
      </c>
    </row>
    <row r="4107" spans="1:10" ht="15.75" hidden="1" thickBot="1" x14ac:dyDescent="0.3">
      <c r="A4107" s="225"/>
      <c r="B4107" s="223"/>
      <c r="C4107" s="26"/>
      <c r="D4107" s="26"/>
      <c r="E4107" s="27"/>
      <c r="F4107" s="48" t="s">
        <v>521</v>
      </c>
      <c r="G4107" s="48" t="str">
        <f t="shared" si="77"/>
        <v/>
      </c>
      <c r="H4107" s="67"/>
      <c r="I4107" s="68"/>
      <c r="J4107" s="138">
        <v>0</v>
      </c>
    </row>
    <row r="4108" spans="1:10" ht="39" hidden="1" thickBot="1" x14ac:dyDescent="0.3">
      <c r="A4108" s="225"/>
      <c r="B4108" s="223"/>
      <c r="C4108" s="30" t="s">
        <v>1207</v>
      </c>
      <c r="D4108" s="41" t="s">
        <v>479</v>
      </c>
      <c r="E4108" s="31">
        <v>1.1000000000000001</v>
      </c>
      <c r="F4108" s="48">
        <v>37.316000000000003</v>
      </c>
      <c r="G4108" s="48">
        <f t="shared" si="77"/>
        <v>41.047600000000003</v>
      </c>
      <c r="H4108" s="33">
        <f>SUM(G4108:G4111)</f>
        <v>46.936307999999997</v>
      </c>
      <c r="I4108" s="34"/>
      <c r="J4108" s="138">
        <v>0</v>
      </c>
    </row>
    <row r="4109" spans="1:10" ht="26.25" hidden="1" thickBot="1" x14ac:dyDescent="0.3">
      <c r="A4109" s="225"/>
      <c r="B4109" s="223"/>
      <c r="C4109" s="30" t="s">
        <v>1808</v>
      </c>
      <c r="D4109" s="41" t="s">
        <v>897</v>
      </c>
      <c r="E4109" s="31">
        <v>2.3E-3</v>
      </c>
      <c r="F4109" s="48">
        <v>22.61</v>
      </c>
      <c r="G4109" s="48">
        <f t="shared" si="77"/>
        <v>5.2003000000000001E-2</v>
      </c>
      <c r="H4109" s="67"/>
      <c r="I4109" s="68"/>
      <c r="J4109" s="138">
        <v>0</v>
      </c>
    </row>
    <row r="4110" spans="1:10" ht="15.75" hidden="1" thickBot="1" x14ac:dyDescent="0.3">
      <c r="A4110" s="225"/>
      <c r="B4110" s="223"/>
      <c r="C4110" s="30" t="s">
        <v>1156</v>
      </c>
      <c r="D4110" s="30" t="s">
        <v>702</v>
      </c>
      <c r="E4110" s="31">
        <v>0.13100000000000001</v>
      </c>
      <c r="F4110" s="48">
        <v>19.4085</v>
      </c>
      <c r="G4110" s="48">
        <f t="shared" si="77"/>
        <v>2.5425135000000001</v>
      </c>
      <c r="H4110" s="67"/>
      <c r="I4110" s="68"/>
      <c r="J4110" s="138">
        <v>0</v>
      </c>
    </row>
    <row r="4111" spans="1:10" ht="15.75" hidden="1" thickBot="1" x14ac:dyDescent="0.3">
      <c r="A4111" s="225"/>
      <c r="B4111" s="223"/>
      <c r="C4111" s="30" t="s">
        <v>1157</v>
      </c>
      <c r="D4111" s="30" t="s">
        <v>702</v>
      </c>
      <c r="E4111" s="31">
        <v>0.13100000000000001</v>
      </c>
      <c r="F4111" s="48">
        <v>25.146499999999996</v>
      </c>
      <c r="G4111" s="48">
        <f t="shared" si="77"/>
        <v>3.2941914999999997</v>
      </c>
      <c r="H4111" s="67"/>
      <c r="I4111" s="68"/>
      <c r="J4111" s="138">
        <v>0</v>
      </c>
    </row>
    <row r="4112" spans="1:10" ht="15.75" hidden="1" thickBot="1" x14ac:dyDescent="0.3">
      <c r="A4112" s="225"/>
      <c r="B4112" s="223"/>
      <c r="C4112" s="49"/>
      <c r="D4112" s="49"/>
      <c r="E4112" s="60"/>
      <c r="F4112" s="70" t="s">
        <v>521</v>
      </c>
      <c r="G4112" s="70" t="str">
        <f t="shared" si="77"/>
        <v/>
      </c>
      <c r="H4112" s="71"/>
      <c r="I4112" s="68"/>
      <c r="J4112" s="138">
        <v>0</v>
      </c>
    </row>
    <row r="4113" spans="1:10" ht="15.75" hidden="1" thickBot="1" x14ac:dyDescent="0.3">
      <c r="A4113" s="220" t="s">
        <v>1208</v>
      </c>
      <c r="B4113" s="222" t="e">
        <f>INDEX(Orçamentária!A:B,MATCH(Composições!A4113,Orçamentária!A:A,0),2)</f>
        <v>#N/A</v>
      </c>
      <c r="C4113" s="35"/>
      <c r="D4113" s="20" t="s">
        <v>1503</v>
      </c>
      <c r="E4113" s="21"/>
      <c r="F4113" s="43" t="s">
        <v>521</v>
      </c>
      <c r="G4113" s="22" t="str">
        <f t="shared" si="77"/>
        <v/>
      </c>
      <c r="H4113" s="23"/>
      <c r="I4113" s="24"/>
      <c r="J4113" s="138">
        <v>0</v>
      </c>
    </row>
    <row r="4114" spans="1:10" ht="15.75" hidden="1" thickBot="1" x14ac:dyDescent="0.3">
      <c r="A4114" s="225"/>
      <c r="B4114" s="223"/>
      <c r="C4114" s="26"/>
      <c r="D4114" s="26"/>
      <c r="E4114" s="27"/>
      <c r="F4114" s="48" t="s">
        <v>521</v>
      </c>
      <c r="G4114" s="48" t="str">
        <f t="shared" si="77"/>
        <v/>
      </c>
      <c r="H4114" s="67"/>
      <c r="I4114" s="68"/>
      <c r="J4114" s="138">
        <v>0</v>
      </c>
    </row>
    <row r="4115" spans="1:10" ht="15.75" hidden="1" thickBot="1" x14ac:dyDescent="0.3">
      <c r="A4115" s="225"/>
      <c r="B4115" s="223"/>
      <c r="C4115" s="30" t="s">
        <v>1209</v>
      </c>
      <c r="D4115" s="30" t="s">
        <v>702</v>
      </c>
      <c r="E4115" s="31">
        <f>ROUND(1/(1+70.03%),2)</f>
        <v>0.59</v>
      </c>
      <c r="F4115" s="48">
        <v>2852.1849999999999</v>
      </c>
      <c r="G4115" s="48">
        <f t="shared" si="77"/>
        <v>1682.7891499999998</v>
      </c>
      <c r="H4115" s="33">
        <f>SUM(G4115:G4115)</f>
        <v>1682.7891499999998</v>
      </c>
      <c r="I4115" s="34"/>
      <c r="J4115" s="138">
        <v>0</v>
      </c>
    </row>
    <row r="4116" spans="1:10" ht="15.75" hidden="1" thickBot="1" x14ac:dyDescent="0.3">
      <c r="A4116" s="225"/>
      <c r="B4116" s="223"/>
      <c r="C4116" s="30"/>
      <c r="D4116" s="41"/>
      <c r="E4116" s="31"/>
      <c r="F4116" s="48" t="s">
        <v>521</v>
      </c>
      <c r="G4116" s="48" t="str">
        <f t="shared" si="77"/>
        <v/>
      </c>
      <c r="H4116" s="67"/>
      <c r="I4116" s="68"/>
      <c r="J4116" s="138">
        <v>0</v>
      </c>
    </row>
    <row r="4117" spans="1:10" ht="26.25" hidden="1" thickBot="1" x14ac:dyDescent="0.3">
      <c r="A4117" s="225"/>
      <c r="B4117" s="223"/>
      <c r="C4117" s="42" t="s">
        <v>780</v>
      </c>
      <c r="D4117" s="41"/>
      <c r="E4117" s="31"/>
      <c r="F4117" s="48" t="s">
        <v>521</v>
      </c>
      <c r="G4117" s="48" t="str">
        <f t="shared" si="77"/>
        <v/>
      </c>
      <c r="H4117" s="67"/>
      <c r="I4117" s="68"/>
      <c r="J4117" s="138">
        <v>0</v>
      </c>
    </row>
    <row r="4118" spans="1:10" ht="15.75" hidden="1" thickBot="1" x14ac:dyDescent="0.3">
      <c r="A4118" s="225"/>
      <c r="B4118" s="223"/>
      <c r="C4118" s="49"/>
      <c r="D4118" s="49"/>
      <c r="E4118" s="60"/>
      <c r="F4118" s="70" t="s">
        <v>521</v>
      </c>
      <c r="G4118" s="70" t="str">
        <f t="shared" si="77"/>
        <v/>
      </c>
      <c r="H4118" s="71"/>
      <c r="I4118" s="68"/>
      <c r="J4118" s="138">
        <v>0</v>
      </c>
    </row>
    <row r="4119" spans="1:10" ht="15.75" hidden="1" thickBot="1" x14ac:dyDescent="0.3">
      <c r="A4119" s="220" t="s">
        <v>1210</v>
      </c>
      <c r="B4119" s="222" t="e">
        <f>INDEX(Orçamentária!A:B,MATCH(Composições!A4119,Orçamentária!A:A,0),2)</f>
        <v>#N/A</v>
      </c>
      <c r="C4119" s="35"/>
      <c r="D4119" s="20" t="s">
        <v>95</v>
      </c>
      <c r="E4119" s="21"/>
      <c r="F4119" s="43" t="s">
        <v>521</v>
      </c>
      <c r="G4119" s="22" t="str">
        <f t="shared" si="77"/>
        <v/>
      </c>
      <c r="H4119" s="23"/>
      <c r="I4119" s="24"/>
      <c r="J4119" s="138">
        <v>0</v>
      </c>
    </row>
    <row r="4120" spans="1:10" ht="15.75" hidden="1" thickBot="1" x14ac:dyDescent="0.3">
      <c r="A4120" s="225"/>
      <c r="B4120" s="223"/>
      <c r="C4120" s="26"/>
      <c r="D4120" s="26"/>
      <c r="E4120" s="27"/>
      <c r="F4120" s="48" t="s">
        <v>521</v>
      </c>
      <c r="G4120" s="48" t="str">
        <f t="shared" si="77"/>
        <v/>
      </c>
      <c r="H4120" s="67"/>
      <c r="I4120" s="68"/>
      <c r="J4120" s="138">
        <v>0</v>
      </c>
    </row>
    <row r="4121" spans="1:10" ht="15.75" hidden="1" thickBot="1" x14ac:dyDescent="0.3">
      <c r="A4121" s="225"/>
      <c r="B4121" s="223"/>
      <c r="C4121" s="30" t="s">
        <v>1211</v>
      </c>
      <c r="D4121" s="30" t="s">
        <v>702</v>
      </c>
      <c r="E4121" s="31">
        <f>ROUND(1/10,4)</f>
        <v>0.1</v>
      </c>
      <c r="F4121" s="48">
        <v>99.474499999999992</v>
      </c>
      <c r="G4121" s="48">
        <f t="shared" si="77"/>
        <v>9.9474499999999999</v>
      </c>
      <c r="H4121" s="33">
        <f>SUM(G4121:G4121)</f>
        <v>9.9474499999999999</v>
      </c>
      <c r="I4121" s="34"/>
      <c r="J4121" s="138">
        <v>0</v>
      </c>
    </row>
    <row r="4122" spans="1:10" ht="15.75" hidden="1" thickBot="1" x14ac:dyDescent="0.3">
      <c r="A4122" s="225"/>
      <c r="B4122" s="223"/>
      <c r="C4122" s="30"/>
      <c r="D4122" s="41"/>
      <c r="E4122" s="31"/>
      <c r="F4122" s="48" t="s">
        <v>521</v>
      </c>
      <c r="G4122" s="48" t="str">
        <f t="shared" si="77"/>
        <v/>
      </c>
      <c r="H4122" s="67"/>
      <c r="I4122" s="68"/>
      <c r="J4122" s="138">
        <v>0</v>
      </c>
    </row>
    <row r="4123" spans="1:10" ht="15.75" hidden="1" thickBot="1" x14ac:dyDescent="0.3">
      <c r="A4123" s="220" t="s">
        <v>1212</v>
      </c>
      <c r="B4123" s="222" t="e">
        <f>INDEX(Orçamentária!A:B,MATCH(Composições!A4123,Orçamentária!A:A,0),2)</f>
        <v>#N/A</v>
      </c>
      <c r="C4123" s="35"/>
      <c r="D4123" s="20" t="s">
        <v>95</v>
      </c>
      <c r="E4123" s="21"/>
      <c r="F4123" s="43" t="s">
        <v>521</v>
      </c>
      <c r="G4123" s="22" t="str">
        <f t="shared" si="77"/>
        <v/>
      </c>
      <c r="H4123" s="23"/>
      <c r="I4123" s="24"/>
      <c r="J4123" s="138">
        <v>0</v>
      </c>
    </row>
    <row r="4124" spans="1:10" ht="15.75" hidden="1" thickBot="1" x14ac:dyDescent="0.3">
      <c r="A4124" s="225"/>
      <c r="B4124" s="223"/>
      <c r="C4124" s="26"/>
      <c r="D4124" s="26"/>
      <c r="E4124" s="27"/>
      <c r="F4124" s="48" t="s">
        <v>521</v>
      </c>
      <c r="G4124" s="48" t="str">
        <f t="shared" si="77"/>
        <v/>
      </c>
      <c r="H4124" s="67"/>
      <c r="I4124" s="68"/>
      <c r="J4124" s="138">
        <v>0</v>
      </c>
    </row>
    <row r="4125" spans="1:10" ht="15.75" hidden="1" thickBot="1" x14ac:dyDescent="0.3">
      <c r="A4125" s="225"/>
      <c r="B4125" s="223"/>
      <c r="C4125" s="30" t="s">
        <v>23</v>
      </c>
      <c r="D4125" s="41" t="s">
        <v>12</v>
      </c>
      <c r="E4125" s="31">
        <v>0.18</v>
      </c>
      <c r="F4125" s="48">
        <v>18.420500000000001</v>
      </c>
      <c r="G4125" s="48">
        <f t="shared" si="77"/>
        <v>3.31569</v>
      </c>
      <c r="H4125" s="33">
        <f>SUM(G4125:G4128)</f>
        <v>56.954969999999989</v>
      </c>
      <c r="I4125" s="34"/>
      <c r="J4125" s="138">
        <v>0</v>
      </c>
    </row>
    <row r="4126" spans="1:10" ht="15.75" hidden="1" thickBot="1" x14ac:dyDescent="0.3">
      <c r="A4126" s="225"/>
      <c r="B4126" s="223"/>
      <c r="C4126" s="30" t="s">
        <v>1213</v>
      </c>
      <c r="D4126" s="41" t="s">
        <v>12</v>
      </c>
      <c r="E4126" s="31">
        <v>0.18</v>
      </c>
      <c r="F4126" s="48">
        <v>24.633499999999998</v>
      </c>
      <c r="G4126" s="48">
        <f t="shared" si="77"/>
        <v>4.434029999999999</v>
      </c>
      <c r="H4126" s="67"/>
      <c r="I4126" s="68"/>
      <c r="J4126" s="138">
        <v>0</v>
      </c>
    </row>
    <row r="4127" spans="1:10" ht="15.75" hidden="1" thickBot="1" x14ac:dyDescent="0.3">
      <c r="A4127" s="225"/>
      <c r="B4127" s="223"/>
      <c r="C4127" s="30" t="s">
        <v>232</v>
      </c>
      <c r="D4127" s="30" t="s">
        <v>42</v>
      </c>
      <c r="E4127" s="31">
        <v>0.9</v>
      </c>
      <c r="F4127" s="48">
        <v>54.672499999999992</v>
      </c>
      <c r="G4127" s="48">
        <f t="shared" si="77"/>
        <v>49.205249999999992</v>
      </c>
      <c r="H4127" s="67"/>
      <c r="I4127" s="68"/>
      <c r="J4127" s="138">
        <v>0</v>
      </c>
    </row>
    <row r="4128" spans="1:10" ht="15.75" hidden="1" thickBot="1" x14ac:dyDescent="0.3">
      <c r="A4128" s="225"/>
      <c r="B4128" s="223"/>
      <c r="C4128" s="30" t="s">
        <v>1214</v>
      </c>
      <c r="D4128" s="30" t="s">
        <v>95</v>
      </c>
      <c r="E4128" s="31">
        <v>1.05</v>
      </c>
      <c r="F4128" s="48">
        <v>0</v>
      </c>
      <c r="G4128" s="48">
        <f t="shared" si="77"/>
        <v>0</v>
      </c>
      <c r="H4128" s="67"/>
      <c r="I4128" s="68"/>
      <c r="J4128" s="138">
        <v>0</v>
      </c>
    </row>
    <row r="4129" spans="1:10" ht="15.75" hidden="1" thickBot="1" x14ac:dyDescent="0.3">
      <c r="A4129" s="225"/>
      <c r="B4129" s="223"/>
      <c r="C4129" s="49"/>
      <c r="D4129" s="49"/>
      <c r="E4129" s="60"/>
      <c r="F4129" s="70" t="s">
        <v>521</v>
      </c>
      <c r="G4129" s="70" t="str">
        <f t="shared" si="77"/>
        <v/>
      </c>
      <c r="H4129" s="71"/>
      <c r="I4129" s="68"/>
      <c r="J4129" s="138">
        <v>0</v>
      </c>
    </row>
    <row r="4130" spans="1:10" ht="15.75" hidden="1" thickBot="1" x14ac:dyDescent="0.3">
      <c r="A4130" s="220" t="s">
        <v>1215</v>
      </c>
      <c r="B4130" s="222" t="e">
        <f>INDEX(Orçamentária!A:B,MATCH(Composições!A4130,Orçamentária!A:A,0),2)</f>
        <v>#N/A</v>
      </c>
      <c r="C4130" s="35"/>
      <c r="D4130" s="20" t="s">
        <v>95</v>
      </c>
      <c r="E4130" s="21"/>
      <c r="F4130" s="36" t="s">
        <v>521</v>
      </c>
      <c r="G4130" s="22" t="str">
        <f t="shared" si="77"/>
        <v/>
      </c>
      <c r="H4130" s="23"/>
      <c r="I4130" s="24"/>
      <c r="J4130" s="138">
        <v>0</v>
      </c>
    </row>
    <row r="4131" spans="1:10" ht="15.75" hidden="1" thickBot="1" x14ac:dyDescent="0.3">
      <c r="A4131" s="221"/>
      <c r="B4131" s="223"/>
      <c r="C4131" s="26"/>
      <c r="D4131" s="26"/>
      <c r="E4131" s="27"/>
      <c r="F4131" s="37" t="s">
        <v>521</v>
      </c>
      <c r="G4131" s="25" t="str">
        <f t="shared" si="77"/>
        <v/>
      </c>
      <c r="H4131" s="29"/>
      <c r="I4131" s="25"/>
      <c r="J4131" s="138">
        <v>0</v>
      </c>
    </row>
    <row r="4132" spans="1:10" ht="15.75" hidden="1" thickBot="1" x14ac:dyDescent="0.3">
      <c r="A4132" s="221"/>
      <c r="B4132" s="223"/>
      <c r="C4132" s="30" t="s">
        <v>1831</v>
      </c>
      <c r="D4132" s="30" t="s">
        <v>42</v>
      </c>
      <c r="E4132" s="31">
        <v>8.6199999999999992</v>
      </c>
      <c r="F4132" s="28">
        <v>1.6054999999999999</v>
      </c>
      <c r="G4132" s="28">
        <f t="shared" si="77"/>
        <v>13.839409999999997</v>
      </c>
      <c r="H4132" s="33">
        <f>SUM(G4132:G4136)</f>
        <v>54.665906999999997</v>
      </c>
      <c r="I4132" s="34"/>
      <c r="J4132" s="138">
        <v>0</v>
      </c>
    </row>
    <row r="4133" spans="1:10" ht="15.75" hidden="1" thickBot="1" x14ac:dyDescent="0.3">
      <c r="A4133" s="221"/>
      <c r="B4133" s="223"/>
      <c r="C4133" s="30" t="s">
        <v>54</v>
      </c>
      <c r="D4133" s="30" t="s">
        <v>12</v>
      </c>
      <c r="E4133" s="31">
        <v>1.1879999999999999</v>
      </c>
      <c r="F4133" s="25">
        <v>24.795000000000002</v>
      </c>
      <c r="G4133" s="28">
        <f t="shared" si="77"/>
        <v>29.45646</v>
      </c>
      <c r="H4133" s="29"/>
      <c r="I4133" s="25"/>
      <c r="J4133" s="138">
        <v>0</v>
      </c>
    </row>
    <row r="4134" spans="1:10" ht="15.75" hidden="1" thickBot="1" x14ac:dyDescent="0.3">
      <c r="A4134" s="221"/>
      <c r="B4134" s="223"/>
      <c r="C4134" s="30" t="s">
        <v>23</v>
      </c>
      <c r="D4134" s="30" t="s">
        <v>12</v>
      </c>
      <c r="E4134" s="31">
        <v>0.59399999999999997</v>
      </c>
      <c r="F4134" s="25">
        <v>18.420500000000001</v>
      </c>
      <c r="G4134" s="28">
        <f t="shared" si="77"/>
        <v>10.941777</v>
      </c>
      <c r="H4134" s="29"/>
      <c r="I4134" s="25"/>
      <c r="J4134" s="138">
        <v>0</v>
      </c>
    </row>
    <row r="4135" spans="1:10" ht="15.75" hidden="1" thickBot="1" x14ac:dyDescent="0.3">
      <c r="A4135" s="221"/>
      <c r="B4135" s="223"/>
      <c r="C4135" s="30" t="s">
        <v>1830</v>
      </c>
      <c r="D4135" s="30" t="s">
        <v>42</v>
      </c>
      <c r="E4135" s="31">
        <v>0.14000000000000001</v>
      </c>
      <c r="F4135" s="28">
        <v>3.0590000000000002</v>
      </c>
      <c r="G4135" s="28">
        <f t="shared" si="77"/>
        <v>0.42826000000000009</v>
      </c>
      <c r="H4135" s="29"/>
      <c r="I4135" s="25"/>
      <c r="J4135" s="138">
        <v>0</v>
      </c>
    </row>
    <row r="4136" spans="1:10" ht="15.75" hidden="1" thickBot="1" x14ac:dyDescent="0.3">
      <c r="A4136" s="221"/>
      <c r="B4136" s="223"/>
      <c r="C4136" s="30" t="s">
        <v>1216</v>
      </c>
      <c r="D4136" s="30" t="s">
        <v>95</v>
      </c>
      <c r="E4136" s="31">
        <v>1.1599999999999999</v>
      </c>
      <c r="F4136" s="28" t="s">
        <v>521</v>
      </c>
      <c r="G4136" s="48" t="str">
        <f t="shared" si="77"/>
        <v/>
      </c>
      <c r="H4136" s="29"/>
      <c r="I4136" s="25"/>
      <c r="J4136" s="138">
        <v>0</v>
      </c>
    </row>
    <row r="4137" spans="1:10" ht="15.75" hidden="1" thickBot="1" x14ac:dyDescent="0.3">
      <c r="A4137" s="227"/>
      <c r="B4137" s="224"/>
      <c r="C4137" s="30"/>
      <c r="D4137" s="30"/>
      <c r="E4137" s="31"/>
      <c r="F4137" s="25" t="s">
        <v>521</v>
      </c>
      <c r="G4137" s="25" t="str">
        <f t="shared" si="77"/>
        <v/>
      </c>
      <c r="H4137" s="29"/>
      <c r="I4137" s="25"/>
      <c r="J4137" s="138">
        <v>0</v>
      </c>
    </row>
    <row r="4138" spans="1:10" ht="15.75" hidden="1" thickBot="1" x14ac:dyDescent="0.3">
      <c r="A4138" s="220" t="s">
        <v>1217</v>
      </c>
      <c r="B4138" s="222" t="e">
        <f>INDEX(Orçamentária!A:B,MATCH(Composições!A4138,Orçamentária!A:A,0),2)</f>
        <v>#N/A</v>
      </c>
      <c r="C4138" s="35"/>
      <c r="D4138" s="20" t="s">
        <v>95</v>
      </c>
      <c r="E4138" s="21"/>
      <c r="F4138" s="36" t="s">
        <v>521</v>
      </c>
      <c r="G4138" s="22" t="str">
        <f t="shared" si="77"/>
        <v/>
      </c>
      <c r="H4138" s="23"/>
      <c r="I4138" s="24"/>
      <c r="J4138" s="138">
        <v>0</v>
      </c>
    </row>
    <row r="4139" spans="1:10" ht="15.75" hidden="1" thickBot="1" x14ac:dyDescent="0.3">
      <c r="A4139" s="221"/>
      <c r="B4139" s="223"/>
      <c r="C4139" s="26"/>
      <c r="D4139" s="26"/>
      <c r="E4139" s="27"/>
      <c r="F4139" s="37" t="s">
        <v>521</v>
      </c>
      <c r="G4139" s="25" t="str">
        <f t="shared" si="77"/>
        <v/>
      </c>
      <c r="H4139" s="29"/>
      <c r="I4139" s="25"/>
      <c r="J4139" s="138">
        <v>0</v>
      </c>
    </row>
    <row r="4140" spans="1:10" ht="15.75" hidden="1" thickBot="1" x14ac:dyDescent="0.3">
      <c r="A4140" s="221"/>
      <c r="B4140" s="223"/>
      <c r="C4140" s="30" t="s">
        <v>1831</v>
      </c>
      <c r="D4140" s="30" t="s">
        <v>42</v>
      </c>
      <c r="E4140" s="31">
        <v>8.6199999999999992</v>
      </c>
      <c r="F4140" s="28">
        <v>1.6054999999999999</v>
      </c>
      <c r="G4140" s="28">
        <f t="shared" si="77"/>
        <v>13.839409999999997</v>
      </c>
      <c r="H4140" s="33">
        <f>SUM(G4140:G4144)</f>
        <v>54.665906999999997</v>
      </c>
      <c r="I4140" s="34"/>
      <c r="J4140" s="138">
        <v>0</v>
      </c>
    </row>
    <row r="4141" spans="1:10" ht="15.75" hidden="1" thickBot="1" x14ac:dyDescent="0.3">
      <c r="A4141" s="221"/>
      <c r="B4141" s="223"/>
      <c r="C4141" s="30" t="s">
        <v>54</v>
      </c>
      <c r="D4141" s="30" t="s">
        <v>12</v>
      </c>
      <c r="E4141" s="31">
        <v>1.1879999999999999</v>
      </c>
      <c r="F4141" s="25">
        <v>24.795000000000002</v>
      </c>
      <c r="G4141" s="28">
        <f t="shared" si="77"/>
        <v>29.45646</v>
      </c>
      <c r="H4141" s="29"/>
      <c r="I4141" s="25"/>
      <c r="J4141" s="138">
        <v>0</v>
      </c>
    </row>
    <row r="4142" spans="1:10" ht="15.75" hidden="1" thickBot="1" x14ac:dyDescent="0.3">
      <c r="A4142" s="221"/>
      <c r="B4142" s="223"/>
      <c r="C4142" s="30" t="s">
        <v>23</v>
      </c>
      <c r="D4142" s="30" t="s">
        <v>12</v>
      </c>
      <c r="E4142" s="31">
        <v>0.59399999999999997</v>
      </c>
      <c r="F4142" s="25">
        <v>18.420500000000001</v>
      </c>
      <c r="G4142" s="28">
        <f t="shared" si="77"/>
        <v>10.941777</v>
      </c>
      <c r="H4142" s="29"/>
      <c r="I4142" s="25"/>
      <c r="J4142" s="138">
        <v>0</v>
      </c>
    </row>
    <row r="4143" spans="1:10" ht="15.75" hidden="1" thickBot="1" x14ac:dyDescent="0.3">
      <c r="A4143" s="221"/>
      <c r="B4143" s="223"/>
      <c r="C4143" s="30" t="s">
        <v>1830</v>
      </c>
      <c r="D4143" s="30" t="s">
        <v>42</v>
      </c>
      <c r="E4143" s="31">
        <v>0.14000000000000001</v>
      </c>
      <c r="F4143" s="28">
        <v>3.0590000000000002</v>
      </c>
      <c r="G4143" s="28">
        <f t="shared" si="77"/>
        <v>0.42826000000000009</v>
      </c>
      <c r="H4143" s="29"/>
      <c r="I4143" s="25"/>
      <c r="J4143" s="138">
        <v>0</v>
      </c>
    </row>
    <row r="4144" spans="1:10" ht="15.75" hidden="1" thickBot="1" x14ac:dyDescent="0.3">
      <c r="A4144" s="221"/>
      <c r="B4144" s="223"/>
      <c r="C4144" s="30" t="s">
        <v>1218</v>
      </c>
      <c r="D4144" s="30" t="s">
        <v>95</v>
      </c>
      <c r="E4144" s="31">
        <v>1.1599999999999999</v>
      </c>
      <c r="F4144" s="28" t="s">
        <v>521</v>
      </c>
      <c r="G4144" s="48" t="str">
        <f t="shared" si="77"/>
        <v/>
      </c>
      <c r="H4144" s="29"/>
      <c r="I4144" s="25"/>
      <c r="J4144" s="138">
        <v>0</v>
      </c>
    </row>
    <row r="4145" spans="1:10" ht="15.75" hidden="1" thickBot="1" x14ac:dyDescent="0.3">
      <c r="A4145" s="227"/>
      <c r="B4145" s="224"/>
      <c r="C4145" s="30"/>
      <c r="D4145" s="30"/>
      <c r="E4145" s="31"/>
      <c r="F4145" s="25" t="s">
        <v>521</v>
      </c>
      <c r="G4145" s="25" t="str">
        <f t="shared" si="77"/>
        <v/>
      </c>
      <c r="H4145" s="29"/>
      <c r="I4145" s="25"/>
      <c r="J4145" s="138">
        <v>0</v>
      </c>
    </row>
    <row r="4146" spans="1:10" ht="15.75" hidden="1" thickBot="1" x14ac:dyDescent="0.3">
      <c r="A4146" s="220" t="s">
        <v>1219</v>
      </c>
      <c r="B4146" s="222" t="e">
        <f>INDEX(Orçamentária!A:B,MATCH(Composições!A4146,Orçamentária!A:A,0),2)</f>
        <v>#N/A</v>
      </c>
      <c r="C4146" s="35"/>
      <c r="D4146" s="20" t="s">
        <v>95</v>
      </c>
      <c r="E4146" s="21"/>
      <c r="F4146" s="43" t="s">
        <v>521</v>
      </c>
      <c r="G4146" s="22" t="str">
        <f t="shared" si="77"/>
        <v/>
      </c>
      <c r="H4146" s="23"/>
      <c r="I4146" s="24"/>
      <c r="J4146" s="138">
        <v>0</v>
      </c>
    </row>
    <row r="4147" spans="1:10" ht="15.75" hidden="1" thickBot="1" x14ac:dyDescent="0.3">
      <c r="A4147" s="225"/>
      <c r="B4147" s="223"/>
      <c r="C4147" s="26"/>
      <c r="D4147" s="26"/>
      <c r="E4147" s="27"/>
      <c r="F4147" s="48" t="s">
        <v>521</v>
      </c>
      <c r="G4147" s="48" t="str">
        <f t="shared" si="77"/>
        <v/>
      </c>
      <c r="H4147" s="67"/>
      <c r="I4147" s="68"/>
      <c r="J4147" s="138">
        <v>0</v>
      </c>
    </row>
    <row r="4148" spans="1:10" ht="26.25" hidden="1" thickBot="1" x14ac:dyDescent="0.3">
      <c r="A4148" s="225"/>
      <c r="B4148" s="223"/>
      <c r="C4148" s="30" t="s">
        <v>1220</v>
      </c>
      <c r="D4148" s="30" t="s">
        <v>988</v>
      </c>
      <c r="E4148" s="31">
        <v>1.07</v>
      </c>
      <c r="F4148" s="48">
        <v>84.92049999999999</v>
      </c>
      <c r="G4148" s="48">
        <f t="shared" si="77"/>
        <v>90.864934999999988</v>
      </c>
      <c r="H4148" s="33">
        <f>SUM(G4148:G4152)</f>
        <v>125.16857999999999</v>
      </c>
      <c r="I4148" s="34"/>
      <c r="J4148" s="138">
        <v>0</v>
      </c>
    </row>
    <row r="4149" spans="1:10" ht="15.75" hidden="1" thickBot="1" x14ac:dyDescent="0.3">
      <c r="A4149" s="225"/>
      <c r="B4149" s="223"/>
      <c r="C4149" s="30" t="s">
        <v>1830</v>
      </c>
      <c r="D4149" s="30" t="s">
        <v>897</v>
      </c>
      <c r="E4149" s="31">
        <v>0.24</v>
      </c>
      <c r="F4149" s="48">
        <v>3.0590000000000002</v>
      </c>
      <c r="G4149" s="48">
        <f t="shared" ref="G4149:G4212" si="78">IF(ISNUMBER(F4149),E4149*F4149,"")</f>
        <v>0.73416000000000003</v>
      </c>
      <c r="H4149" s="67"/>
      <c r="I4149" s="68"/>
      <c r="J4149" s="138">
        <v>0</v>
      </c>
    </row>
    <row r="4150" spans="1:10" ht="15.75" hidden="1" thickBot="1" x14ac:dyDescent="0.3">
      <c r="A4150" s="225"/>
      <c r="B4150" s="223"/>
      <c r="C4150" s="30" t="s">
        <v>1831</v>
      </c>
      <c r="D4150" s="30" t="s">
        <v>897</v>
      </c>
      <c r="E4150" s="31">
        <v>8.6199999999999992</v>
      </c>
      <c r="F4150" s="48">
        <v>1.6054999999999999</v>
      </c>
      <c r="G4150" s="48">
        <f t="shared" si="78"/>
        <v>13.839409999999997</v>
      </c>
      <c r="H4150" s="67"/>
      <c r="I4150" s="68"/>
      <c r="J4150" s="138">
        <v>0</v>
      </c>
    </row>
    <row r="4151" spans="1:10" ht="15.75" hidden="1" thickBot="1" x14ac:dyDescent="0.3">
      <c r="A4151" s="225"/>
      <c r="B4151" s="223"/>
      <c r="C4151" s="30" t="s">
        <v>1221</v>
      </c>
      <c r="D4151" s="30" t="s">
        <v>702</v>
      </c>
      <c r="E4151" s="31">
        <v>0.61</v>
      </c>
      <c r="F4151" s="48">
        <v>24.795000000000002</v>
      </c>
      <c r="G4151" s="48">
        <f t="shared" si="78"/>
        <v>15.12495</v>
      </c>
      <c r="H4151" s="67"/>
      <c r="I4151" s="68"/>
      <c r="J4151" s="138">
        <v>0</v>
      </c>
    </row>
    <row r="4152" spans="1:10" ht="15.75" hidden="1" thickBot="1" x14ac:dyDescent="0.3">
      <c r="A4152" s="225"/>
      <c r="B4152" s="223"/>
      <c r="C4152" s="30" t="s">
        <v>703</v>
      </c>
      <c r="D4152" s="30" t="s">
        <v>702</v>
      </c>
      <c r="E4152" s="31">
        <v>0.25</v>
      </c>
      <c r="F4152" s="48">
        <v>18.420500000000001</v>
      </c>
      <c r="G4152" s="48">
        <f t="shared" si="78"/>
        <v>4.6051250000000001</v>
      </c>
      <c r="H4152" s="67"/>
      <c r="I4152" s="68"/>
      <c r="J4152" s="138">
        <v>0</v>
      </c>
    </row>
    <row r="4153" spans="1:10" ht="15.75" hidden="1" thickBot="1" x14ac:dyDescent="0.3">
      <c r="A4153" s="225"/>
      <c r="B4153" s="223"/>
      <c r="C4153" s="30"/>
      <c r="D4153" s="41"/>
      <c r="E4153" s="31"/>
      <c r="F4153" s="48" t="s">
        <v>521</v>
      </c>
      <c r="G4153" s="48" t="str">
        <f t="shared" si="78"/>
        <v/>
      </c>
      <c r="H4153" s="67"/>
      <c r="I4153" s="68"/>
      <c r="J4153" s="138">
        <v>0</v>
      </c>
    </row>
    <row r="4154" spans="1:10" ht="15.75" hidden="1" thickBot="1" x14ac:dyDescent="0.3">
      <c r="A4154" s="220" t="s">
        <v>1222</v>
      </c>
      <c r="B4154" s="222" t="e">
        <f>INDEX(Orçamentária!A:B,MATCH(Composições!A4154,Orçamentária!A:A,0),2)</f>
        <v>#N/A</v>
      </c>
      <c r="C4154" s="35"/>
      <c r="D4154" s="20" t="s">
        <v>95</v>
      </c>
      <c r="E4154" s="21"/>
      <c r="F4154" s="43" t="s">
        <v>521</v>
      </c>
      <c r="G4154" s="22" t="str">
        <f t="shared" si="78"/>
        <v/>
      </c>
      <c r="H4154" s="23"/>
      <c r="I4154" s="24"/>
      <c r="J4154" s="138">
        <v>0</v>
      </c>
    </row>
    <row r="4155" spans="1:10" ht="15.75" hidden="1" thickBot="1" x14ac:dyDescent="0.3">
      <c r="A4155" s="225"/>
      <c r="B4155" s="223"/>
      <c r="C4155" s="26"/>
      <c r="D4155" s="26"/>
      <c r="E4155" s="27"/>
      <c r="F4155" s="48" t="s">
        <v>521</v>
      </c>
      <c r="G4155" s="48" t="str">
        <f t="shared" si="78"/>
        <v/>
      </c>
      <c r="H4155" s="67"/>
      <c r="I4155" s="68"/>
      <c r="J4155" s="138">
        <v>0</v>
      </c>
    </row>
    <row r="4156" spans="1:10" ht="26.25" hidden="1" thickBot="1" x14ac:dyDescent="0.3">
      <c r="A4156" s="225"/>
      <c r="B4156" s="223"/>
      <c r="C4156" s="30" t="s">
        <v>2293</v>
      </c>
      <c r="D4156" s="30" t="s">
        <v>988</v>
      </c>
      <c r="E4156" s="31">
        <v>1</v>
      </c>
      <c r="F4156" s="48">
        <v>88.825000000000003</v>
      </c>
      <c r="G4156" s="48">
        <f t="shared" si="78"/>
        <v>88.825000000000003</v>
      </c>
      <c r="H4156" s="33">
        <f>SUM(G4156:G4156)</f>
        <v>88.825000000000003</v>
      </c>
      <c r="I4156" s="34"/>
      <c r="J4156" s="138">
        <v>0</v>
      </c>
    </row>
    <row r="4157" spans="1:10" ht="15.75" hidden="1" thickBot="1" x14ac:dyDescent="0.3">
      <c r="A4157" s="225"/>
      <c r="B4157" s="223"/>
      <c r="C4157" s="30"/>
      <c r="D4157" s="41"/>
      <c r="E4157" s="31"/>
      <c r="F4157" s="48" t="s">
        <v>521</v>
      </c>
      <c r="G4157" s="48" t="str">
        <f t="shared" si="78"/>
        <v/>
      </c>
      <c r="H4157" s="67"/>
      <c r="I4157" s="68"/>
      <c r="J4157" s="138">
        <v>0</v>
      </c>
    </row>
    <row r="4158" spans="1:10" ht="15.75" hidden="1" thickBot="1" x14ac:dyDescent="0.3">
      <c r="A4158" s="220" t="s">
        <v>1223</v>
      </c>
      <c r="B4158" s="222" t="e">
        <f>INDEX(Orçamentária!A:B,MATCH(Composições!A4158,Orçamentária!A:A,0),2)</f>
        <v>#N/A</v>
      </c>
      <c r="C4158" s="35"/>
      <c r="D4158" s="20" t="s">
        <v>95</v>
      </c>
      <c r="E4158" s="21"/>
      <c r="F4158" s="43" t="s">
        <v>521</v>
      </c>
      <c r="G4158" s="22" t="str">
        <f t="shared" si="78"/>
        <v/>
      </c>
      <c r="H4158" s="23"/>
      <c r="I4158" s="24"/>
      <c r="J4158" s="138">
        <v>0</v>
      </c>
    </row>
    <row r="4159" spans="1:10" ht="15.75" hidden="1" thickBot="1" x14ac:dyDescent="0.3">
      <c r="A4159" s="225"/>
      <c r="B4159" s="223"/>
      <c r="C4159" s="26"/>
      <c r="D4159" s="26"/>
      <c r="E4159" s="27"/>
      <c r="F4159" s="48" t="s">
        <v>521</v>
      </c>
      <c r="G4159" s="48" t="str">
        <f t="shared" si="78"/>
        <v/>
      </c>
      <c r="H4159" s="67"/>
      <c r="I4159" s="68"/>
      <c r="J4159" s="138">
        <v>0</v>
      </c>
    </row>
    <row r="4160" spans="1:10" ht="15.75" hidden="1" thickBot="1" x14ac:dyDescent="0.3">
      <c r="A4160" s="225"/>
      <c r="B4160" s="223"/>
      <c r="C4160" s="30" t="s">
        <v>1224</v>
      </c>
      <c r="D4160" s="41" t="s">
        <v>95</v>
      </c>
      <c r="E4160" s="31">
        <v>1.05</v>
      </c>
      <c r="F4160" s="48" t="s">
        <v>521</v>
      </c>
      <c r="G4160" s="48" t="str">
        <f t="shared" si="78"/>
        <v/>
      </c>
      <c r="H4160" s="33">
        <f>SUM(G4160:G4163)</f>
        <v>21.708449999999999</v>
      </c>
      <c r="I4160" s="34"/>
      <c r="J4160" s="138">
        <v>0</v>
      </c>
    </row>
    <row r="4161" spans="1:10" ht="15.75" hidden="1" thickBot="1" x14ac:dyDescent="0.3">
      <c r="A4161" s="225"/>
      <c r="B4161" s="223"/>
      <c r="C4161" s="30" t="s">
        <v>2259</v>
      </c>
      <c r="D4161" s="41" t="s">
        <v>42</v>
      </c>
      <c r="E4161" s="31">
        <v>0.35</v>
      </c>
      <c r="F4161" s="48">
        <v>43.462499999999999</v>
      </c>
      <c r="G4161" s="48">
        <f t="shared" si="78"/>
        <v>15.211874999999999</v>
      </c>
      <c r="H4161" s="67"/>
      <c r="I4161" s="68"/>
      <c r="J4161" s="138">
        <v>0</v>
      </c>
    </row>
    <row r="4162" spans="1:10" ht="15.75" hidden="1" thickBot="1" x14ac:dyDescent="0.3">
      <c r="A4162" s="225"/>
      <c r="B4162" s="223"/>
      <c r="C4162" s="30" t="s">
        <v>22</v>
      </c>
      <c r="D4162" s="30" t="s">
        <v>12</v>
      </c>
      <c r="E4162" s="31">
        <v>0.15</v>
      </c>
      <c r="F4162" s="48">
        <v>24.889999999999997</v>
      </c>
      <c r="G4162" s="48">
        <f t="shared" si="78"/>
        <v>3.7334999999999994</v>
      </c>
      <c r="H4162" s="67"/>
      <c r="I4162" s="68"/>
      <c r="J4162" s="138">
        <v>0</v>
      </c>
    </row>
    <row r="4163" spans="1:10" ht="15.75" hidden="1" thickBot="1" x14ac:dyDescent="0.3">
      <c r="A4163" s="225"/>
      <c r="B4163" s="223"/>
      <c r="C4163" s="30" t="s">
        <v>23</v>
      </c>
      <c r="D4163" s="30" t="s">
        <v>12</v>
      </c>
      <c r="E4163" s="31">
        <v>0.15</v>
      </c>
      <c r="F4163" s="48">
        <v>18.420500000000001</v>
      </c>
      <c r="G4163" s="48">
        <f t="shared" si="78"/>
        <v>2.7630750000000002</v>
      </c>
      <c r="H4163" s="67"/>
      <c r="I4163" s="68"/>
      <c r="J4163" s="138">
        <v>0</v>
      </c>
    </row>
    <row r="4164" spans="1:10" ht="15.75" hidden="1" thickBot="1" x14ac:dyDescent="0.3">
      <c r="A4164" s="225"/>
      <c r="B4164" s="223"/>
      <c r="C4164" s="49"/>
      <c r="D4164" s="49"/>
      <c r="E4164" s="60"/>
      <c r="F4164" s="70" t="s">
        <v>521</v>
      </c>
      <c r="G4164" s="70" t="str">
        <f t="shared" si="78"/>
        <v/>
      </c>
      <c r="H4164" s="71"/>
      <c r="I4164" s="68"/>
      <c r="J4164" s="138">
        <v>0</v>
      </c>
    </row>
    <row r="4165" spans="1:10" ht="15.75" hidden="1" thickBot="1" x14ac:dyDescent="0.3">
      <c r="A4165" s="220" t="s">
        <v>1225</v>
      </c>
      <c r="B4165" s="222" t="e">
        <f>INDEX(Orçamentária!A:B,MATCH(Composições!A4165,Orçamentária!A:A,0),2)</f>
        <v>#N/A</v>
      </c>
      <c r="C4165" s="35"/>
      <c r="D4165" s="20" t="s">
        <v>93</v>
      </c>
      <c r="E4165" s="21"/>
      <c r="F4165" s="43" t="s">
        <v>521</v>
      </c>
      <c r="G4165" s="22" t="str">
        <f t="shared" si="78"/>
        <v/>
      </c>
      <c r="H4165" s="23"/>
      <c r="I4165" s="24"/>
      <c r="J4165" s="138">
        <v>0</v>
      </c>
    </row>
    <row r="4166" spans="1:10" ht="15.75" hidden="1" thickBot="1" x14ac:dyDescent="0.3">
      <c r="A4166" s="225"/>
      <c r="B4166" s="223"/>
      <c r="C4166" s="26"/>
      <c r="D4166" s="26"/>
      <c r="E4166" s="27"/>
      <c r="F4166" s="48" t="s">
        <v>521</v>
      </c>
      <c r="G4166" s="48" t="str">
        <f t="shared" si="78"/>
        <v/>
      </c>
      <c r="H4166" s="67"/>
      <c r="I4166" s="68"/>
      <c r="J4166" s="138">
        <v>0</v>
      </c>
    </row>
    <row r="4167" spans="1:10" ht="15.75" hidden="1" thickBot="1" x14ac:dyDescent="0.3">
      <c r="A4167" s="225"/>
      <c r="B4167" s="223"/>
      <c r="C4167" s="30" t="s">
        <v>22</v>
      </c>
      <c r="D4167" s="30" t="s">
        <v>12</v>
      </c>
      <c r="E4167" s="31">
        <v>0.35</v>
      </c>
      <c r="F4167" s="48">
        <v>24.889999999999997</v>
      </c>
      <c r="G4167" s="48">
        <f t="shared" si="78"/>
        <v>8.7114999999999991</v>
      </c>
      <c r="H4167" s="33">
        <f>SUM(G4167:G4171)</f>
        <v>64.223894999999985</v>
      </c>
      <c r="I4167" s="34"/>
      <c r="J4167" s="138">
        <v>0</v>
      </c>
    </row>
    <row r="4168" spans="1:10" ht="15.75" hidden="1" thickBot="1" x14ac:dyDescent="0.3">
      <c r="A4168" s="225"/>
      <c r="B4168" s="223"/>
      <c r="C4168" s="30" t="s">
        <v>23</v>
      </c>
      <c r="D4168" s="30" t="s">
        <v>12</v>
      </c>
      <c r="E4168" s="31">
        <v>0.35</v>
      </c>
      <c r="F4168" s="48">
        <v>18.420500000000001</v>
      </c>
      <c r="G4168" s="48">
        <f t="shared" si="78"/>
        <v>6.4471749999999997</v>
      </c>
      <c r="H4168" s="67"/>
      <c r="I4168" s="68"/>
      <c r="J4168" s="138">
        <v>0</v>
      </c>
    </row>
    <row r="4169" spans="1:10" ht="26.25" hidden="1" thickBot="1" x14ac:dyDescent="0.3">
      <c r="A4169" s="225"/>
      <c r="B4169" s="223"/>
      <c r="C4169" s="30" t="s">
        <v>1226</v>
      </c>
      <c r="D4169" s="30" t="s">
        <v>102</v>
      </c>
      <c r="E4169" s="31">
        <v>0.2</v>
      </c>
      <c r="F4169" s="48">
        <v>161.00599999999997</v>
      </c>
      <c r="G4169" s="48">
        <f t="shared" si="78"/>
        <v>32.201199999999993</v>
      </c>
      <c r="H4169" s="67"/>
      <c r="I4169" s="68"/>
      <c r="J4169" s="138">
        <v>0</v>
      </c>
    </row>
    <row r="4170" spans="1:10" ht="15.75" hidden="1" thickBot="1" x14ac:dyDescent="0.3">
      <c r="A4170" s="225"/>
      <c r="B4170" s="223"/>
      <c r="C4170" s="30" t="s">
        <v>1058</v>
      </c>
      <c r="D4170" s="30" t="s">
        <v>93</v>
      </c>
      <c r="E4170" s="31">
        <v>1</v>
      </c>
      <c r="F4170" s="48">
        <v>0</v>
      </c>
      <c r="G4170" s="48">
        <f t="shared" si="78"/>
        <v>0</v>
      </c>
      <c r="H4170" s="67"/>
      <c r="I4170" s="68"/>
      <c r="J4170" s="138">
        <v>0</v>
      </c>
    </row>
    <row r="4171" spans="1:10" ht="26.25" hidden="1" thickBot="1" x14ac:dyDescent="0.3">
      <c r="A4171" s="225"/>
      <c r="B4171" s="223"/>
      <c r="C4171" s="30" t="s">
        <v>775</v>
      </c>
      <c r="D4171" s="30" t="s">
        <v>42</v>
      </c>
      <c r="E4171" s="31">
        <f>1.8*1*(0.01+0.01)*10</f>
        <v>0.36000000000000004</v>
      </c>
      <c r="F4171" s="48">
        <v>46.844499999999996</v>
      </c>
      <c r="G4171" s="48">
        <f t="shared" si="78"/>
        <v>16.86402</v>
      </c>
      <c r="H4171" s="67"/>
      <c r="I4171" s="68"/>
      <c r="J4171" s="138">
        <v>0</v>
      </c>
    </row>
    <row r="4172" spans="1:10" ht="15.75" hidden="1" thickBot="1" x14ac:dyDescent="0.3">
      <c r="A4172" s="225"/>
      <c r="B4172" s="223"/>
      <c r="C4172" s="30"/>
      <c r="D4172" s="30"/>
      <c r="E4172" s="31"/>
      <c r="F4172" s="48" t="s">
        <v>521</v>
      </c>
      <c r="G4172" s="48"/>
      <c r="H4172" s="67"/>
      <c r="I4172" s="68"/>
      <c r="J4172" s="138">
        <v>0</v>
      </c>
    </row>
    <row r="4173" spans="1:10" ht="15.75" hidden="1" thickBot="1" x14ac:dyDescent="0.3">
      <c r="A4173" s="225"/>
      <c r="B4173" s="223"/>
      <c r="C4173" s="42" t="s">
        <v>1841</v>
      </c>
      <c r="D4173" s="30"/>
      <c r="E4173" s="31"/>
      <c r="F4173" s="48" t="s">
        <v>521</v>
      </c>
      <c r="G4173" s="48"/>
      <c r="H4173" s="67"/>
      <c r="I4173" s="68"/>
      <c r="J4173" s="138">
        <v>0</v>
      </c>
    </row>
    <row r="4174" spans="1:10" ht="15.75" hidden="1" thickBot="1" x14ac:dyDescent="0.3">
      <c r="A4174" s="225"/>
      <c r="B4174" s="223"/>
      <c r="C4174" s="42" t="s">
        <v>1842</v>
      </c>
      <c r="D4174" s="30"/>
      <c r="E4174" s="31"/>
      <c r="F4174" s="48" t="s">
        <v>521</v>
      </c>
      <c r="G4174" s="48"/>
      <c r="H4174" s="67"/>
      <c r="I4174" s="68"/>
      <c r="J4174" s="138">
        <v>0</v>
      </c>
    </row>
    <row r="4175" spans="1:10" ht="15.75" hidden="1" thickBot="1" x14ac:dyDescent="0.3">
      <c r="A4175" s="226"/>
      <c r="B4175" s="224"/>
      <c r="C4175" s="49"/>
      <c r="D4175" s="49"/>
      <c r="E4175" s="60"/>
      <c r="F4175" s="70" t="s">
        <v>521</v>
      </c>
      <c r="G4175" s="70" t="str">
        <f t="shared" ref="G4175:G4238" si="79">IF(ISNUMBER(F4175),E4175*F4175,"")</f>
        <v/>
      </c>
      <c r="H4175" s="71"/>
      <c r="I4175" s="68"/>
      <c r="J4175" s="138">
        <v>0</v>
      </c>
    </row>
    <row r="4176" spans="1:10" ht="15.75" hidden="1" thickBot="1" x14ac:dyDescent="0.3">
      <c r="A4176" s="220" t="s">
        <v>1227</v>
      </c>
      <c r="B4176" s="222" t="e">
        <f>INDEX(Orçamentária!A:B,MATCH(Composições!A4176,Orçamentária!A:A,0),2)</f>
        <v>#N/A</v>
      </c>
      <c r="C4176" s="35"/>
      <c r="D4176" s="20" t="s">
        <v>95</v>
      </c>
      <c r="E4176" s="21"/>
      <c r="F4176" s="43" t="s">
        <v>521</v>
      </c>
      <c r="G4176" s="22" t="str">
        <f t="shared" si="79"/>
        <v/>
      </c>
      <c r="H4176" s="23"/>
      <c r="I4176" s="24"/>
      <c r="J4176" s="138">
        <v>0</v>
      </c>
    </row>
    <row r="4177" spans="1:10" ht="15.75" hidden="1" thickBot="1" x14ac:dyDescent="0.3">
      <c r="A4177" s="225"/>
      <c r="B4177" s="223"/>
      <c r="C4177" s="26"/>
      <c r="D4177" s="26"/>
      <c r="E4177" s="27"/>
      <c r="F4177" s="48" t="s">
        <v>521</v>
      </c>
      <c r="G4177" s="48" t="str">
        <f t="shared" si="79"/>
        <v/>
      </c>
      <c r="H4177" s="67"/>
      <c r="I4177" s="68"/>
      <c r="J4177" s="138">
        <v>0</v>
      </c>
    </row>
    <row r="4178" spans="1:10" ht="15.75" hidden="1" thickBot="1" x14ac:dyDescent="0.3">
      <c r="A4178" s="225"/>
      <c r="B4178" s="223"/>
      <c r="C4178" s="30" t="s">
        <v>22</v>
      </c>
      <c r="D4178" s="30" t="s">
        <v>12</v>
      </c>
      <c r="E4178" s="31">
        <v>0.3</v>
      </c>
      <c r="F4178" s="48">
        <v>24.889999999999997</v>
      </c>
      <c r="G4178" s="48">
        <f t="shared" si="79"/>
        <v>7.4669999999999987</v>
      </c>
      <c r="H4178" s="33">
        <f>SUM(G4178:G4183)</f>
        <v>17.598275000000001</v>
      </c>
      <c r="I4178" s="34"/>
      <c r="J4178" s="138">
        <v>0</v>
      </c>
    </row>
    <row r="4179" spans="1:10" ht="15.75" hidden="1" thickBot="1" x14ac:dyDescent="0.3">
      <c r="A4179" s="225"/>
      <c r="B4179" s="223"/>
      <c r="C4179" s="30" t="s">
        <v>23</v>
      </c>
      <c r="D4179" s="30" t="s">
        <v>12</v>
      </c>
      <c r="E4179" s="31">
        <f>0.3+0.25</f>
        <v>0.55000000000000004</v>
      </c>
      <c r="F4179" s="48">
        <v>18.420500000000001</v>
      </c>
      <c r="G4179" s="48">
        <f t="shared" si="79"/>
        <v>10.131275</v>
      </c>
      <c r="H4179" s="67"/>
      <c r="I4179" s="68"/>
      <c r="J4179" s="138">
        <v>0</v>
      </c>
    </row>
    <row r="4180" spans="1:10" ht="15.75" hidden="1" thickBot="1" x14ac:dyDescent="0.3">
      <c r="A4180" s="225"/>
      <c r="B4180" s="223"/>
      <c r="C4180" s="30" t="s">
        <v>1835</v>
      </c>
      <c r="D4180" s="30" t="s">
        <v>42</v>
      </c>
      <c r="E4180" s="31">
        <v>5</v>
      </c>
      <c r="F4180" s="48" t="s">
        <v>521</v>
      </c>
      <c r="G4180" s="48" t="str">
        <f t="shared" si="79"/>
        <v/>
      </c>
      <c r="H4180" s="67"/>
      <c r="I4180" s="68"/>
      <c r="J4180" s="138">
        <v>0</v>
      </c>
    </row>
    <row r="4181" spans="1:10" ht="15.75" hidden="1" thickBot="1" x14ac:dyDescent="0.3">
      <c r="A4181" s="225"/>
      <c r="B4181" s="223"/>
      <c r="C4181" s="30" t="s">
        <v>1836</v>
      </c>
      <c r="D4181" s="30" t="s">
        <v>42</v>
      </c>
      <c r="E4181" s="31">
        <v>0.5</v>
      </c>
      <c r="F4181" s="48" t="s">
        <v>521</v>
      </c>
      <c r="G4181" s="48" t="str">
        <f t="shared" si="79"/>
        <v/>
      </c>
      <c r="H4181" s="67"/>
      <c r="I4181" s="68"/>
      <c r="J4181" s="138">
        <v>0</v>
      </c>
    </row>
    <row r="4182" spans="1:10" ht="15.75" hidden="1" thickBot="1" x14ac:dyDescent="0.3">
      <c r="A4182" s="225"/>
      <c r="B4182" s="223"/>
      <c r="C4182" s="30" t="s">
        <v>1837</v>
      </c>
      <c r="D4182" s="30" t="s">
        <v>42</v>
      </c>
      <c r="E4182" s="31">
        <v>0.1</v>
      </c>
      <c r="F4182" s="48" t="s">
        <v>521</v>
      </c>
      <c r="G4182" s="48" t="str">
        <f t="shared" si="79"/>
        <v/>
      </c>
      <c r="H4182" s="67"/>
      <c r="I4182" s="68"/>
      <c r="J4182" s="138">
        <v>0</v>
      </c>
    </row>
    <row r="4183" spans="1:10" ht="15.75" hidden="1" thickBot="1" x14ac:dyDescent="0.3">
      <c r="A4183" s="225"/>
      <c r="B4183" s="223"/>
      <c r="C4183" s="30" t="s">
        <v>1228</v>
      </c>
      <c r="D4183" s="30" t="s">
        <v>279</v>
      </c>
      <c r="E4183" s="31">
        <v>0.5</v>
      </c>
      <c r="F4183" s="48">
        <v>0</v>
      </c>
      <c r="G4183" s="48">
        <f t="shared" si="79"/>
        <v>0</v>
      </c>
      <c r="H4183" s="67"/>
      <c r="I4183" s="68"/>
      <c r="J4183" s="138">
        <v>0</v>
      </c>
    </row>
    <row r="4184" spans="1:10" ht="15.75" hidden="1" thickBot="1" x14ac:dyDescent="0.3">
      <c r="A4184" s="225"/>
      <c r="B4184" s="223"/>
      <c r="C4184" s="30"/>
      <c r="D4184" s="30"/>
      <c r="E4184" s="31"/>
      <c r="F4184" s="48" t="s">
        <v>521</v>
      </c>
      <c r="G4184" s="48" t="str">
        <f t="shared" si="79"/>
        <v/>
      </c>
      <c r="H4184" s="67"/>
      <c r="I4184" s="68"/>
      <c r="J4184" s="138">
        <v>0</v>
      </c>
    </row>
    <row r="4185" spans="1:10" ht="15.75" hidden="1" thickBot="1" x14ac:dyDescent="0.3">
      <c r="A4185" s="225"/>
      <c r="B4185" s="223"/>
      <c r="C4185" s="42" t="s">
        <v>1229</v>
      </c>
      <c r="D4185" s="30"/>
      <c r="E4185" s="31"/>
      <c r="F4185" s="48" t="s">
        <v>521</v>
      </c>
      <c r="G4185" s="48" t="str">
        <f t="shared" si="79"/>
        <v/>
      </c>
      <c r="H4185" s="67"/>
      <c r="I4185" s="68"/>
      <c r="J4185" s="138">
        <v>0</v>
      </c>
    </row>
    <row r="4186" spans="1:10" ht="15.75" hidden="1" thickBot="1" x14ac:dyDescent="0.3">
      <c r="A4186" s="226"/>
      <c r="B4186" s="224"/>
      <c r="C4186" s="49"/>
      <c r="D4186" s="49"/>
      <c r="E4186" s="60"/>
      <c r="F4186" s="48" t="s">
        <v>521</v>
      </c>
      <c r="G4186" s="48" t="str">
        <f t="shared" si="79"/>
        <v/>
      </c>
      <c r="H4186" s="71"/>
      <c r="I4186" s="68"/>
      <c r="J4186" s="138">
        <v>0</v>
      </c>
    </row>
    <row r="4187" spans="1:10" ht="15.75" hidden="1" thickBot="1" x14ac:dyDescent="0.3">
      <c r="A4187" s="220" t="s">
        <v>1230</v>
      </c>
      <c r="B4187" s="222" t="e">
        <f>INDEX(Orçamentária!A:B,MATCH(Composições!A4187,Orçamentária!A:A,0),2)</f>
        <v>#N/A</v>
      </c>
      <c r="C4187" s="35"/>
      <c r="D4187" s="20" t="s">
        <v>95</v>
      </c>
      <c r="E4187" s="21"/>
      <c r="F4187" s="43" t="s">
        <v>521</v>
      </c>
      <c r="G4187" s="22" t="str">
        <f t="shared" si="79"/>
        <v/>
      </c>
      <c r="H4187" s="23"/>
      <c r="I4187" s="24"/>
      <c r="J4187" s="138">
        <v>0</v>
      </c>
    </row>
    <row r="4188" spans="1:10" ht="15.75" hidden="1" thickBot="1" x14ac:dyDescent="0.3">
      <c r="A4188" s="225"/>
      <c r="B4188" s="223"/>
      <c r="C4188" s="26"/>
      <c r="D4188" s="26"/>
      <c r="E4188" s="27"/>
      <c r="F4188" s="48" t="s">
        <v>521</v>
      </c>
      <c r="G4188" s="48" t="str">
        <f t="shared" si="79"/>
        <v/>
      </c>
      <c r="H4188" s="67"/>
      <c r="I4188" s="68"/>
      <c r="J4188" s="138">
        <v>0</v>
      </c>
    </row>
    <row r="4189" spans="1:10" ht="26.25" hidden="1" thickBot="1" x14ac:dyDescent="0.3">
      <c r="A4189" s="225"/>
      <c r="B4189" s="223"/>
      <c r="C4189" s="30" t="s">
        <v>1231</v>
      </c>
      <c r="D4189" s="30" t="s">
        <v>95</v>
      </c>
      <c r="E4189" s="31">
        <v>1</v>
      </c>
      <c r="F4189" s="48">
        <v>0</v>
      </c>
      <c r="G4189" s="48">
        <f t="shared" si="79"/>
        <v>0</v>
      </c>
      <c r="H4189" s="33">
        <f>SUM(G4189:G4189)</f>
        <v>0</v>
      </c>
      <c r="I4189" s="34"/>
      <c r="J4189" s="138">
        <v>0</v>
      </c>
    </row>
    <row r="4190" spans="1:10" ht="15.75" hidden="1" thickBot="1" x14ac:dyDescent="0.3">
      <c r="A4190" s="226"/>
      <c r="B4190" s="224"/>
      <c r="C4190" s="49"/>
      <c r="D4190" s="49"/>
      <c r="E4190" s="60"/>
      <c r="F4190" s="70" t="s">
        <v>521</v>
      </c>
      <c r="G4190" s="70" t="str">
        <f t="shared" si="79"/>
        <v/>
      </c>
      <c r="H4190" s="71"/>
      <c r="I4190" s="68"/>
      <c r="J4190" s="138">
        <v>0</v>
      </c>
    </row>
    <row r="4191" spans="1:10" ht="15.75" hidden="1" thickBot="1" x14ac:dyDescent="0.3">
      <c r="A4191" s="220" t="s">
        <v>1232</v>
      </c>
      <c r="B4191" s="222" t="e">
        <f>INDEX(Orçamentária!A:B,MATCH(Composições!A4191,Orçamentária!A:A,0),2)</f>
        <v>#N/A</v>
      </c>
      <c r="C4191" s="35"/>
      <c r="D4191" s="20" t="s">
        <v>95</v>
      </c>
      <c r="E4191" s="21"/>
      <c r="F4191" s="43" t="s">
        <v>521</v>
      </c>
      <c r="G4191" s="22" t="str">
        <f t="shared" si="79"/>
        <v/>
      </c>
      <c r="H4191" s="23"/>
      <c r="I4191" s="24"/>
      <c r="J4191" s="138">
        <v>0</v>
      </c>
    </row>
    <row r="4192" spans="1:10" ht="15.75" hidden="1" thickBot="1" x14ac:dyDescent="0.3">
      <c r="A4192" s="225"/>
      <c r="B4192" s="223"/>
      <c r="C4192" s="26"/>
      <c r="D4192" s="26"/>
      <c r="E4192" s="27"/>
      <c r="F4192" s="48" t="s">
        <v>521</v>
      </c>
      <c r="G4192" s="48" t="str">
        <f t="shared" si="79"/>
        <v/>
      </c>
      <c r="H4192" s="67"/>
      <c r="I4192" s="68"/>
      <c r="J4192" s="138">
        <v>0</v>
      </c>
    </row>
    <row r="4193" spans="1:10" ht="26.25" hidden="1" thickBot="1" x14ac:dyDescent="0.3">
      <c r="A4193" s="225"/>
      <c r="B4193" s="223"/>
      <c r="C4193" s="30" t="s">
        <v>1233</v>
      </c>
      <c r="D4193" s="41" t="s">
        <v>988</v>
      </c>
      <c r="E4193" s="31">
        <v>1.05</v>
      </c>
      <c r="F4193" s="48">
        <v>172.31099999999998</v>
      </c>
      <c r="G4193" s="48">
        <f t="shared" si="79"/>
        <v>180.92654999999999</v>
      </c>
      <c r="H4193" s="33">
        <f>SUM(G4193:G4196)</f>
        <v>222.11949809999999</v>
      </c>
      <c r="I4193" s="34"/>
      <c r="J4193" s="138">
        <v>0</v>
      </c>
    </row>
    <row r="4194" spans="1:10" ht="15.75" hidden="1" thickBot="1" x14ac:dyDescent="0.3">
      <c r="A4194" s="225"/>
      <c r="B4194" s="223"/>
      <c r="C4194" s="30" t="s">
        <v>1234</v>
      </c>
      <c r="D4194" s="30" t="s">
        <v>42</v>
      </c>
      <c r="E4194" s="31">
        <v>0.57499999999999996</v>
      </c>
      <c r="F4194" s="48">
        <v>39.282499999999999</v>
      </c>
      <c r="G4194" s="48">
        <f t="shared" si="79"/>
        <v>22.587437499999997</v>
      </c>
      <c r="H4194" s="67"/>
      <c r="I4194" s="68"/>
      <c r="J4194" s="138">
        <v>0</v>
      </c>
    </row>
    <row r="4195" spans="1:10" ht="15.75" hidden="1" thickBot="1" x14ac:dyDescent="0.3">
      <c r="A4195" s="225"/>
      <c r="B4195" s="223"/>
      <c r="C4195" s="30" t="s">
        <v>703</v>
      </c>
      <c r="D4195" s="30" t="s">
        <v>702</v>
      </c>
      <c r="E4195" s="31">
        <v>0.2399</v>
      </c>
      <c r="F4195" s="48">
        <v>18.420500000000001</v>
      </c>
      <c r="G4195" s="48">
        <f t="shared" si="79"/>
        <v>4.4190779500000001</v>
      </c>
      <c r="H4195" s="67"/>
      <c r="I4195" s="68"/>
      <c r="J4195" s="138">
        <v>0</v>
      </c>
    </row>
    <row r="4196" spans="1:10" ht="15.75" hidden="1" thickBot="1" x14ac:dyDescent="0.3">
      <c r="A4196" s="225"/>
      <c r="B4196" s="223"/>
      <c r="C4196" s="30" t="s">
        <v>1213</v>
      </c>
      <c r="D4196" s="30" t="s">
        <v>702</v>
      </c>
      <c r="E4196" s="31">
        <v>0.57589999999999997</v>
      </c>
      <c r="F4196" s="48">
        <v>24.633499999999998</v>
      </c>
      <c r="G4196" s="48">
        <f t="shared" si="79"/>
        <v>14.186432649999999</v>
      </c>
      <c r="H4196" s="67"/>
      <c r="I4196" s="68"/>
      <c r="J4196" s="138">
        <v>0</v>
      </c>
    </row>
    <row r="4197" spans="1:10" ht="15.75" hidden="1" thickBot="1" x14ac:dyDescent="0.3">
      <c r="A4197" s="225"/>
      <c r="B4197" s="223"/>
      <c r="C4197" s="49"/>
      <c r="D4197" s="49"/>
      <c r="E4197" s="60"/>
      <c r="F4197" s="70" t="s">
        <v>521</v>
      </c>
      <c r="G4197" s="70" t="str">
        <f t="shared" si="79"/>
        <v/>
      </c>
      <c r="H4197" s="71"/>
      <c r="I4197" s="68"/>
      <c r="J4197" s="138">
        <v>0</v>
      </c>
    </row>
    <row r="4198" spans="1:10" ht="15.75" hidden="1" thickBot="1" x14ac:dyDescent="0.3">
      <c r="A4198" s="220" t="s">
        <v>1235</v>
      </c>
      <c r="B4198" s="222" t="e">
        <f>INDEX(Orçamentária!A:B,MATCH(Composições!A4198,Orçamentária!A:A,0),2)</f>
        <v>#N/A</v>
      </c>
      <c r="C4198" s="35"/>
      <c r="D4198" s="20" t="s">
        <v>95</v>
      </c>
      <c r="E4198" s="21"/>
      <c r="F4198" s="43" t="s">
        <v>521</v>
      </c>
      <c r="G4198" s="22" t="str">
        <f t="shared" si="79"/>
        <v/>
      </c>
      <c r="H4198" s="23"/>
      <c r="I4198" s="24"/>
      <c r="J4198" s="138">
        <v>0</v>
      </c>
    </row>
    <row r="4199" spans="1:10" ht="15.75" hidden="1" thickBot="1" x14ac:dyDescent="0.3">
      <c r="A4199" s="225"/>
      <c r="B4199" s="223"/>
      <c r="C4199" s="26"/>
      <c r="D4199" s="26"/>
      <c r="E4199" s="27"/>
      <c r="F4199" s="48" t="s">
        <v>521</v>
      </c>
      <c r="G4199" s="48" t="str">
        <f t="shared" si="79"/>
        <v/>
      </c>
      <c r="H4199" s="67"/>
      <c r="I4199" s="68"/>
      <c r="J4199" s="138">
        <v>0</v>
      </c>
    </row>
    <row r="4200" spans="1:10" ht="15.75" hidden="1" thickBot="1" x14ac:dyDescent="0.3">
      <c r="A4200" s="225"/>
      <c r="B4200" s="223"/>
      <c r="C4200" s="30" t="s">
        <v>2259</v>
      </c>
      <c r="D4200" s="41" t="s">
        <v>897</v>
      </c>
      <c r="E4200" s="31">
        <v>0.56369999999999998</v>
      </c>
      <c r="F4200" s="48">
        <v>43.462499999999999</v>
      </c>
      <c r="G4200" s="48">
        <f t="shared" si="79"/>
        <v>24.499811249999997</v>
      </c>
      <c r="H4200" s="33">
        <f>SUM(G4200:G4203)</f>
        <v>104.726556</v>
      </c>
      <c r="I4200" s="34"/>
      <c r="J4200" s="138">
        <v>0</v>
      </c>
    </row>
    <row r="4201" spans="1:10" ht="26.25" hidden="1" thickBot="1" x14ac:dyDescent="0.3">
      <c r="A4201" s="225"/>
      <c r="B4201" s="223"/>
      <c r="C4201" s="30" t="s">
        <v>1717</v>
      </c>
      <c r="D4201" s="41" t="s">
        <v>988</v>
      </c>
      <c r="E4201" s="31">
        <v>1.06</v>
      </c>
      <c r="F4201" s="48">
        <v>60.828499999999998</v>
      </c>
      <c r="G4201" s="48">
        <f t="shared" si="79"/>
        <v>64.478210000000004</v>
      </c>
      <c r="H4201" s="67"/>
      <c r="I4201" s="68"/>
      <c r="J4201" s="138">
        <v>0</v>
      </c>
    </row>
    <row r="4202" spans="1:10" ht="15.75" hidden="1" thickBot="1" x14ac:dyDescent="0.3">
      <c r="A4202" s="225"/>
      <c r="B4202" s="223"/>
      <c r="C4202" s="30" t="s">
        <v>710</v>
      </c>
      <c r="D4202" s="30" t="s">
        <v>702</v>
      </c>
      <c r="E4202" s="31">
        <v>0.48359999999999997</v>
      </c>
      <c r="F4202" s="48">
        <v>24.889999999999997</v>
      </c>
      <c r="G4202" s="48">
        <f t="shared" si="79"/>
        <v>12.036803999999998</v>
      </c>
      <c r="H4202" s="67"/>
      <c r="I4202" s="68"/>
      <c r="J4202" s="138">
        <v>0</v>
      </c>
    </row>
    <row r="4203" spans="1:10" ht="15.75" hidden="1" thickBot="1" x14ac:dyDescent="0.3">
      <c r="A4203" s="225"/>
      <c r="B4203" s="223"/>
      <c r="C4203" s="30" t="s">
        <v>703</v>
      </c>
      <c r="D4203" s="30" t="s">
        <v>702</v>
      </c>
      <c r="E4203" s="31">
        <v>0.20150000000000001</v>
      </c>
      <c r="F4203" s="48">
        <v>18.420500000000001</v>
      </c>
      <c r="G4203" s="48">
        <f t="shared" si="79"/>
        <v>3.7117307500000005</v>
      </c>
      <c r="H4203" s="67"/>
      <c r="I4203" s="68"/>
      <c r="J4203" s="138">
        <v>0</v>
      </c>
    </row>
    <row r="4204" spans="1:10" ht="15.75" hidden="1" thickBot="1" x14ac:dyDescent="0.3">
      <c r="A4204" s="225"/>
      <c r="B4204" s="223"/>
      <c r="C4204" s="49"/>
      <c r="D4204" s="49"/>
      <c r="E4204" s="60"/>
      <c r="F4204" s="70" t="s">
        <v>521</v>
      </c>
      <c r="G4204" s="70" t="str">
        <f t="shared" si="79"/>
        <v/>
      </c>
      <c r="H4204" s="71"/>
      <c r="I4204" s="68"/>
      <c r="J4204" s="138">
        <v>0</v>
      </c>
    </row>
    <row r="4205" spans="1:10" ht="15.75" hidden="1" thickBot="1" x14ac:dyDescent="0.3">
      <c r="A4205" s="220" t="s">
        <v>1236</v>
      </c>
      <c r="B4205" s="222" t="e">
        <f>INDEX(Orçamentária!A:B,MATCH(Composições!A4205,Orçamentária!A:A,0),2)</f>
        <v>#N/A</v>
      </c>
      <c r="C4205" s="35"/>
      <c r="D4205" s="20" t="s">
        <v>95</v>
      </c>
      <c r="E4205" s="21"/>
      <c r="F4205" s="43" t="s">
        <v>521</v>
      </c>
      <c r="G4205" s="22" t="str">
        <f t="shared" si="79"/>
        <v/>
      </c>
      <c r="H4205" s="23"/>
      <c r="I4205" s="24"/>
      <c r="J4205" s="138">
        <v>0</v>
      </c>
    </row>
    <row r="4206" spans="1:10" ht="15.75" hidden="1" thickBot="1" x14ac:dyDescent="0.3">
      <c r="A4206" s="225"/>
      <c r="B4206" s="223"/>
      <c r="C4206" s="26"/>
      <c r="D4206" s="26"/>
      <c r="E4206" s="27"/>
      <c r="F4206" s="48" t="s">
        <v>521</v>
      </c>
      <c r="G4206" s="48" t="str">
        <f t="shared" si="79"/>
        <v/>
      </c>
      <c r="H4206" s="67"/>
      <c r="I4206" s="68"/>
      <c r="J4206" s="138">
        <v>0</v>
      </c>
    </row>
    <row r="4207" spans="1:10" ht="26.25" hidden="1" thickBot="1" x14ac:dyDescent="0.3">
      <c r="A4207" s="225"/>
      <c r="B4207" s="223"/>
      <c r="C4207" s="30" t="s">
        <v>1237</v>
      </c>
      <c r="D4207" s="41" t="s">
        <v>988</v>
      </c>
      <c r="E4207" s="31">
        <v>1.05</v>
      </c>
      <c r="F4207" s="48" t="s">
        <v>521</v>
      </c>
      <c r="G4207" s="48" t="str">
        <f t="shared" si="79"/>
        <v/>
      </c>
      <c r="H4207" s="33">
        <f>SUM(G4207:G4209)</f>
        <v>14.349580804999997</v>
      </c>
      <c r="I4207" s="34"/>
      <c r="J4207" s="138">
        <v>0</v>
      </c>
    </row>
    <row r="4208" spans="1:10" ht="15.75" hidden="1" thickBot="1" x14ac:dyDescent="0.3">
      <c r="A4208" s="225"/>
      <c r="B4208" s="223"/>
      <c r="C4208" s="30" t="s">
        <v>703</v>
      </c>
      <c r="D4208" s="30" t="s">
        <v>702</v>
      </c>
      <c r="E4208" s="31">
        <v>0.2399</v>
      </c>
      <c r="F4208" s="48">
        <v>18.420500000000001</v>
      </c>
      <c r="G4208" s="48">
        <f t="shared" si="79"/>
        <v>4.4190779500000001</v>
      </c>
      <c r="H4208" s="67"/>
      <c r="I4208" s="68"/>
      <c r="J4208" s="138">
        <v>0</v>
      </c>
    </row>
    <row r="4209" spans="1:10" ht="15.75" hidden="1" thickBot="1" x14ac:dyDescent="0.3">
      <c r="A4209" s="225"/>
      <c r="B4209" s="223"/>
      <c r="C4209" s="30" t="s">
        <v>1213</v>
      </c>
      <c r="D4209" s="30" t="s">
        <v>702</v>
      </c>
      <c r="E4209" s="31">
        <f>0.5759*0.7</f>
        <v>0.40312999999999993</v>
      </c>
      <c r="F4209" s="48">
        <v>24.633499999999998</v>
      </c>
      <c r="G4209" s="48">
        <f t="shared" si="79"/>
        <v>9.9305028549999967</v>
      </c>
      <c r="H4209" s="67"/>
      <c r="I4209" s="68"/>
      <c r="J4209" s="138">
        <v>0</v>
      </c>
    </row>
    <row r="4210" spans="1:10" ht="15.75" hidden="1" thickBot="1" x14ac:dyDescent="0.3">
      <c r="A4210" s="225"/>
      <c r="B4210" s="223"/>
      <c r="C4210" s="49"/>
      <c r="D4210" s="49"/>
      <c r="E4210" s="60"/>
      <c r="F4210" s="70" t="s">
        <v>521</v>
      </c>
      <c r="G4210" s="70" t="str">
        <f t="shared" si="79"/>
        <v/>
      </c>
      <c r="H4210" s="71"/>
      <c r="I4210" s="68"/>
      <c r="J4210" s="138">
        <v>0</v>
      </c>
    </row>
    <row r="4211" spans="1:10" ht="15.75" hidden="1" thickBot="1" x14ac:dyDescent="0.3">
      <c r="A4211" s="220" t="s">
        <v>1238</v>
      </c>
      <c r="B4211" s="222" t="e">
        <f>INDEX(Orçamentária!A:B,MATCH(Composições!A4211,Orçamentária!A:A,0),2)</f>
        <v>#N/A</v>
      </c>
      <c r="C4211" s="35"/>
      <c r="D4211" s="20" t="s">
        <v>95</v>
      </c>
      <c r="E4211" s="21"/>
      <c r="F4211" s="43" t="s">
        <v>521</v>
      </c>
      <c r="G4211" s="22" t="str">
        <f t="shared" si="79"/>
        <v/>
      </c>
      <c r="H4211" s="23"/>
      <c r="I4211" s="24"/>
      <c r="J4211" s="138">
        <v>0</v>
      </c>
    </row>
    <row r="4212" spans="1:10" ht="15.75" hidden="1" thickBot="1" x14ac:dyDescent="0.3">
      <c r="A4212" s="225"/>
      <c r="B4212" s="223"/>
      <c r="C4212" s="26"/>
      <c r="D4212" s="26"/>
      <c r="E4212" s="27"/>
      <c r="F4212" s="48" t="s">
        <v>521</v>
      </c>
      <c r="G4212" s="48" t="str">
        <f t="shared" si="79"/>
        <v/>
      </c>
      <c r="H4212" s="67"/>
      <c r="I4212" s="68"/>
      <c r="J4212" s="138">
        <v>0</v>
      </c>
    </row>
    <row r="4213" spans="1:10" ht="26.25" hidden="1" thickBot="1" x14ac:dyDescent="0.3">
      <c r="A4213" s="225"/>
      <c r="B4213" s="223"/>
      <c r="C4213" s="30" t="s">
        <v>1239</v>
      </c>
      <c r="D4213" s="30" t="s">
        <v>95</v>
      </c>
      <c r="E4213" s="31">
        <v>1.05</v>
      </c>
      <c r="F4213" s="48" t="s">
        <v>521</v>
      </c>
      <c r="G4213" s="48" t="str">
        <f t="shared" si="79"/>
        <v/>
      </c>
      <c r="H4213" s="33">
        <f>SUM(G4213:G4215)</f>
        <v>11.083649999999999</v>
      </c>
      <c r="I4213" s="34"/>
      <c r="J4213" s="138">
        <v>0</v>
      </c>
    </row>
    <row r="4214" spans="1:10" ht="15.75" hidden="1" thickBot="1" x14ac:dyDescent="0.3">
      <c r="A4214" s="225"/>
      <c r="B4214" s="223"/>
      <c r="C4214" s="30" t="s">
        <v>1213</v>
      </c>
      <c r="D4214" s="30" t="s">
        <v>702</v>
      </c>
      <c r="E4214" s="31">
        <v>0.15</v>
      </c>
      <c r="F4214" s="48">
        <v>24.633499999999998</v>
      </c>
      <c r="G4214" s="48">
        <f t="shared" si="79"/>
        <v>3.6950249999999993</v>
      </c>
      <c r="H4214" s="67"/>
      <c r="I4214" s="68"/>
      <c r="J4214" s="138">
        <v>0</v>
      </c>
    </row>
    <row r="4215" spans="1:10" ht="15.75" hidden="1" thickBot="1" x14ac:dyDescent="0.3">
      <c r="A4215" s="225"/>
      <c r="B4215" s="223"/>
      <c r="C4215" s="30" t="s">
        <v>2259</v>
      </c>
      <c r="D4215" s="30" t="s">
        <v>42</v>
      </c>
      <c r="E4215" s="31">
        <v>0.17</v>
      </c>
      <c r="F4215" s="48">
        <v>43.462499999999999</v>
      </c>
      <c r="G4215" s="48">
        <f t="shared" si="79"/>
        <v>7.3886250000000002</v>
      </c>
      <c r="H4215" s="67"/>
      <c r="I4215" s="68"/>
      <c r="J4215" s="138">
        <v>0</v>
      </c>
    </row>
    <row r="4216" spans="1:10" ht="15.75" hidden="1" thickBot="1" x14ac:dyDescent="0.3">
      <c r="A4216" s="225"/>
      <c r="B4216" s="223"/>
      <c r="C4216" s="49"/>
      <c r="D4216" s="49"/>
      <c r="E4216" s="60"/>
      <c r="F4216" s="70" t="s">
        <v>521</v>
      </c>
      <c r="G4216" s="70" t="str">
        <f t="shared" si="79"/>
        <v/>
      </c>
      <c r="H4216" s="71"/>
      <c r="I4216" s="68"/>
      <c r="J4216" s="138">
        <v>0</v>
      </c>
    </row>
    <row r="4217" spans="1:10" ht="15.75" hidden="1" thickBot="1" x14ac:dyDescent="0.3">
      <c r="A4217" s="220" t="s">
        <v>1240</v>
      </c>
      <c r="B4217" s="222" t="e">
        <f>INDEX(Orçamentária!A:B,MATCH(Composições!A4217,Orçamentária!A:A,0),2)</f>
        <v>#N/A</v>
      </c>
      <c r="C4217" s="35"/>
      <c r="D4217" s="20" t="s">
        <v>95</v>
      </c>
      <c r="E4217" s="21"/>
      <c r="F4217" s="43" t="s">
        <v>521</v>
      </c>
      <c r="G4217" s="22" t="str">
        <f t="shared" si="79"/>
        <v/>
      </c>
      <c r="H4217" s="23"/>
      <c r="I4217" s="24"/>
      <c r="J4217" s="138">
        <v>0</v>
      </c>
    </row>
    <row r="4218" spans="1:10" ht="15.75" hidden="1" thickBot="1" x14ac:dyDescent="0.3">
      <c r="A4218" s="225"/>
      <c r="B4218" s="223"/>
      <c r="C4218" s="26"/>
      <c r="D4218" s="26"/>
      <c r="E4218" s="27"/>
      <c r="F4218" s="48" t="s">
        <v>521</v>
      </c>
      <c r="G4218" s="48" t="str">
        <f t="shared" si="79"/>
        <v/>
      </c>
      <c r="H4218" s="67"/>
      <c r="I4218" s="68"/>
      <c r="J4218" s="138">
        <v>0</v>
      </c>
    </row>
    <row r="4219" spans="1:10" ht="26.25" hidden="1" thickBot="1" x14ac:dyDescent="0.3">
      <c r="A4219" s="225"/>
      <c r="B4219" s="223"/>
      <c r="C4219" s="30" t="s">
        <v>1241</v>
      </c>
      <c r="D4219" s="30" t="s">
        <v>95</v>
      </c>
      <c r="E4219" s="31">
        <v>1.05</v>
      </c>
      <c r="F4219" s="48" t="s">
        <v>521</v>
      </c>
      <c r="G4219" s="48" t="str">
        <f t="shared" si="79"/>
        <v/>
      </c>
      <c r="H4219" s="33">
        <f>SUM(G4219:G4221)</f>
        <v>11.083649999999999</v>
      </c>
      <c r="I4219" s="34"/>
      <c r="J4219" s="138">
        <v>0</v>
      </c>
    </row>
    <row r="4220" spans="1:10" ht="15.75" hidden="1" thickBot="1" x14ac:dyDescent="0.3">
      <c r="A4220" s="225"/>
      <c r="B4220" s="223"/>
      <c r="C4220" s="30" t="s">
        <v>1213</v>
      </c>
      <c r="D4220" s="30" t="s">
        <v>702</v>
      </c>
      <c r="E4220" s="31">
        <v>0.15</v>
      </c>
      <c r="F4220" s="48">
        <v>24.633499999999998</v>
      </c>
      <c r="G4220" s="48">
        <f t="shared" si="79"/>
        <v>3.6950249999999993</v>
      </c>
      <c r="H4220" s="67"/>
      <c r="I4220" s="68"/>
      <c r="J4220" s="138">
        <v>0</v>
      </c>
    </row>
    <row r="4221" spans="1:10" ht="15.75" hidden="1" thickBot="1" x14ac:dyDescent="0.3">
      <c r="A4221" s="225"/>
      <c r="B4221" s="223"/>
      <c r="C4221" s="30" t="s">
        <v>2259</v>
      </c>
      <c r="D4221" s="30" t="s">
        <v>42</v>
      </c>
      <c r="E4221" s="31">
        <v>0.17</v>
      </c>
      <c r="F4221" s="48">
        <v>43.462499999999999</v>
      </c>
      <c r="G4221" s="48">
        <f t="shared" si="79"/>
        <v>7.3886250000000002</v>
      </c>
      <c r="H4221" s="67"/>
      <c r="I4221" s="68"/>
      <c r="J4221" s="138">
        <v>0</v>
      </c>
    </row>
    <row r="4222" spans="1:10" ht="15.75" hidden="1" thickBot="1" x14ac:dyDescent="0.3">
      <c r="A4222" s="225"/>
      <c r="B4222" s="223"/>
      <c r="C4222" s="49"/>
      <c r="D4222" s="49"/>
      <c r="E4222" s="60"/>
      <c r="F4222" s="70" t="s">
        <v>521</v>
      </c>
      <c r="G4222" s="70" t="str">
        <f t="shared" si="79"/>
        <v/>
      </c>
      <c r="H4222" s="71"/>
      <c r="I4222" s="68"/>
      <c r="J4222" s="138">
        <v>0</v>
      </c>
    </row>
    <row r="4223" spans="1:10" ht="15.75" hidden="1" thickBot="1" x14ac:dyDescent="0.3">
      <c r="A4223" s="220" t="s">
        <v>1242</v>
      </c>
      <c r="B4223" s="222" t="e">
        <f>INDEX(Orçamentária!A:B,MATCH(Composições!A4223,Orçamentária!A:A,0),2)</f>
        <v>#N/A</v>
      </c>
      <c r="C4223" s="35"/>
      <c r="D4223" s="20" t="s">
        <v>95</v>
      </c>
      <c r="E4223" s="21"/>
      <c r="F4223" s="43" t="s">
        <v>521</v>
      </c>
      <c r="G4223" s="22" t="str">
        <f t="shared" si="79"/>
        <v/>
      </c>
      <c r="H4223" s="23"/>
      <c r="I4223" s="24"/>
      <c r="J4223" s="138">
        <v>0</v>
      </c>
    </row>
    <row r="4224" spans="1:10" ht="15.75" hidden="1" thickBot="1" x14ac:dyDescent="0.3">
      <c r="A4224" s="225"/>
      <c r="B4224" s="223"/>
      <c r="C4224" s="26"/>
      <c r="D4224" s="26"/>
      <c r="E4224" s="27"/>
      <c r="F4224" s="48" t="s">
        <v>521</v>
      </c>
      <c r="G4224" s="48" t="str">
        <f t="shared" si="79"/>
        <v/>
      </c>
      <c r="H4224" s="67"/>
      <c r="I4224" s="68"/>
      <c r="J4224" s="138">
        <v>0</v>
      </c>
    </row>
    <row r="4225" spans="1:10" ht="15.75" hidden="1" thickBot="1" x14ac:dyDescent="0.3">
      <c r="A4225" s="225"/>
      <c r="B4225" s="223"/>
      <c r="C4225" s="30" t="s">
        <v>1243</v>
      </c>
      <c r="D4225" s="41" t="s">
        <v>897</v>
      </c>
      <c r="E4225" s="31">
        <v>2.5000000000000001E-2</v>
      </c>
      <c r="F4225" s="48">
        <v>32.252499999999998</v>
      </c>
      <c r="G4225" s="48">
        <f t="shared" si="79"/>
        <v>0.80631249999999999</v>
      </c>
      <c r="H4225" s="33">
        <f>SUM(G4225:G4231)</f>
        <v>39.371533050000004</v>
      </c>
      <c r="I4225" s="34"/>
      <c r="J4225" s="138">
        <v>0</v>
      </c>
    </row>
    <row r="4226" spans="1:10" ht="26.25" hidden="1" thickBot="1" x14ac:dyDescent="0.3">
      <c r="A4226" s="225"/>
      <c r="B4226" s="223"/>
      <c r="C4226" s="30" t="s">
        <v>1922</v>
      </c>
      <c r="D4226" s="41" t="s">
        <v>897</v>
      </c>
      <c r="E4226" s="31">
        <v>0.99639999999999995</v>
      </c>
      <c r="F4226" s="48">
        <v>0.68399999999999994</v>
      </c>
      <c r="G4226" s="48">
        <f t="shared" si="79"/>
        <v>0.68153759999999985</v>
      </c>
      <c r="H4226" s="67"/>
      <c r="I4226" s="68"/>
      <c r="J4226" s="138">
        <v>0</v>
      </c>
    </row>
    <row r="4227" spans="1:10" ht="26.25" hidden="1" thickBot="1" x14ac:dyDescent="0.3">
      <c r="A4227" s="225"/>
      <c r="B4227" s="223"/>
      <c r="C4227" s="30" t="s">
        <v>1927</v>
      </c>
      <c r="D4227" s="30" t="s">
        <v>988</v>
      </c>
      <c r="E4227" s="31">
        <v>1.0293000000000001</v>
      </c>
      <c r="F4227" s="48">
        <v>9.6330000000000009</v>
      </c>
      <c r="G4227" s="48">
        <f t="shared" si="79"/>
        <v>9.9152469000000014</v>
      </c>
      <c r="H4227" s="67"/>
      <c r="I4227" s="68"/>
      <c r="J4227" s="138">
        <v>0</v>
      </c>
    </row>
    <row r="4228" spans="1:10" ht="15.75" hidden="1" thickBot="1" x14ac:dyDescent="0.3">
      <c r="A4228" s="225"/>
      <c r="B4228" s="223"/>
      <c r="C4228" s="30" t="s">
        <v>1244</v>
      </c>
      <c r="D4228" s="30" t="s">
        <v>897</v>
      </c>
      <c r="E4228" s="31">
        <v>7.7999999999999996E-3</v>
      </c>
      <c r="F4228" s="48">
        <v>19</v>
      </c>
      <c r="G4228" s="48">
        <f t="shared" si="79"/>
        <v>0.1482</v>
      </c>
      <c r="H4228" s="67"/>
      <c r="I4228" s="68"/>
      <c r="J4228" s="138">
        <v>0</v>
      </c>
    </row>
    <row r="4229" spans="1:10" ht="26.25" hidden="1" thickBot="1" x14ac:dyDescent="0.3">
      <c r="A4229" s="225"/>
      <c r="B4229" s="223"/>
      <c r="C4229" s="30" t="s">
        <v>265</v>
      </c>
      <c r="D4229" s="41" t="s">
        <v>1245</v>
      </c>
      <c r="E4229" s="31">
        <v>3.0800000000000001E-2</v>
      </c>
      <c r="F4229" s="48">
        <v>24.101500000000001</v>
      </c>
      <c r="G4229" s="48">
        <f t="shared" si="79"/>
        <v>0.74232620000000005</v>
      </c>
      <c r="H4229" s="67"/>
      <c r="I4229" s="68"/>
      <c r="J4229" s="138">
        <v>0</v>
      </c>
    </row>
    <row r="4230" spans="1:10" ht="15.75" hidden="1" thickBot="1" x14ac:dyDescent="0.3">
      <c r="A4230" s="225"/>
      <c r="B4230" s="223"/>
      <c r="C4230" s="30" t="s">
        <v>1246</v>
      </c>
      <c r="D4230" s="30" t="s">
        <v>702</v>
      </c>
      <c r="E4230" s="31">
        <v>0.7974</v>
      </c>
      <c r="F4230" s="48">
        <v>24.747499999999999</v>
      </c>
      <c r="G4230" s="48">
        <f t="shared" si="79"/>
        <v>19.733656499999999</v>
      </c>
      <c r="H4230" s="67"/>
      <c r="I4230" s="68"/>
      <c r="J4230" s="138">
        <v>0</v>
      </c>
    </row>
    <row r="4231" spans="1:10" ht="15.75" hidden="1" thickBot="1" x14ac:dyDescent="0.3">
      <c r="A4231" s="225"/>
      <c r="B4231" s="223"/>
      <c r="C4231" s="30" t="s">
        <v>703</v>
      </c>
      <c r="D4231" s="30" t="s">
        <v>702</v>
      </c>
      <c r="E4231" s="31">
        <v>0.3987</v>
      </c>
      <c r="F4231" s="48">
        <v>18.420500000000001</v>
      </c>
      <c r="G4231" s="48">
        <f t="shared" si="79"/>
        <v>7.3442533499999998</v>
      </c>
      <c r="H4231" s="67"/>
      <c r="I4231" s="68"/>
      <c r="J4231" s="138">
        <v>0</v>
      </c>
    </row>
    <row r="4232" spans="1:10" ht="15.75" hidden="1" thickBot="1" x14ac:dyDescent="0.3">
      <c r="A4232" s="225"/>
      <c r="B4232" s="223"/>
      <c r="C4232" s="49"/>
      <c r="D4232" s="49"/>
      <c r="E4232" s="60"/>
      <c r="F4232" s="70" t="s">
        <v>521</v>
      </c>
      <c r="G4232" s="70" t="str">
        <f t="shared" si="79"/>
        <v/>
      </c>
      <c r="H4232" s="71"/>
      <c r="I4232" s="68"/>
      <c r="J4232" s="138">
        <v>0</v>
      </c>
    </row>
    <row r="4233" spans="1:10" ht="15.75" hidden="1" thickBot="1" x14ac:dyDescent="0.3">
      <c r="A4233" s="220" t="s">
        <v>1247</v>
      </c>
      <c r="B4233" s="222" t="e">
        <f>INDEX(Orçamentária!A:B,MATCH(Composições!A4233,Orçamentária!A:A,0),2)</f>
        <v>#N/A</v>
      </c>
      <c r="C4233" s="35"/>
      <c r="D4233" s="20" t="s">
        <v>95</v>
      </c>
      <c r="E4233" s="21"/>
      <c r="F4233" s="43" t="s">
        <v>521</v>
      </c>
      <c r="G4233" s="22" t="str">
        <f t="shared" si="79"/>
        <v/>
      </c>
      <c r="H4233" s="23"/>
      <c r="I4233" s="24"/>
      <c r="J4233" s="138">
        <v>0</v>
      </c>
    </row>
    <row r="4234" spans="1:10" ht="15.75" hidden="1" thickBot="1" x14ac:dyDescent="0.3">
      <c r="A4234" s="225"/>
      <c r="B4234" s="223"/>
      <c r="C4234" s="26"/>
      <c r="D4234" s="26"/>
      <c r="E4234" s="27"/>
      <c r="F4234" s="48" t="s">
        <v>521</v>
      </c>
      <c r="G4234" s="48" t="str">
        <f t="shared" si="79"/>
        <v/>
      </c>
      <c r="H4234" s="67"/>
      <c r="I4234" s="68"/>
      <c r="J4234" s="138">
        <v>0</v>
      </c>
    </row>
    <row r="4235" spans="1:10" ht="26.25" hidden="1" thickBot="1" x14ac:dyDescent="0.3">
      <c r="A4235" s="225"/>
      <c r="B4235" s="223"/>
      <c r="C4235" s="30" t="s">
        <v>2363</v>
      </c>
      <c r="D4235" s="30" t="s">
        <v>897</v>
      </c>
      <c r="E4235" s="31">
        <v>1.1399999999999999</v>
      </c>
      <c r="F4235" s="48">
        <v>5.415</v>
      </c>
      <c r="G4235" s="48">
        <f t="shared" si="79"/>
        <v>6.1730999999999998</v>
      </c>
      <c r="H4235" s="33">
        <f>SUM(G4235:G4237)</f>
        <v>12.310964499999999</v>
      </c>
      <c r="I4235" s="34"/>
      <c r="J4235" s="138">
        <v>0</v>
      </c>
    </row>
    <row r="4236" spans="1:10" ht="15.75" hidden="1" thickBot="1" x14ac:dyDescent="0.3">
      <c r="A4236" s="225"/>
      <c r="B4236" s="223"/>
      <c r="C4236" s="30" t="s">
        <v>1091</v>
      </c>
      <c r="D4236" s="30" t="s">
        <v>702</v>
      </c>
      <c r="E4236" s="31">
        <v>0.188</v>
      </c>
      <c r="F4236" s="48">
        <v>25.887499999999999</v>
      </c>
      <c r="G4236" s="48">
        <f t="shared" si="79"/>
        <v>4.8668499999999995</v>
      </c>
      <c r="H4236" s="67"/>
      <c r="I4236" s="68"/>
      <c r="J4236" s="138">
        <v>0</v>
      </c>
    </row>
    <row r="4237" spans="1:10" ht="15.75" hidden="1" thickBot="1" x14ac:dyDescent="0.3">
      <c r="A4237" s="225"/>
      <c r="B4237" s="223"/>
      <c r="C4237" s="30" t="s">
        <v>703</v>
      </c>
      <c r="D4237" s="30" t="s">
        <v>702</v>
      </c>
      <c r="E4237" s="31">
        <v>6.9000000000000006E-2</v>
      </c>
      <c r="F4237" s="48">
        <v>18.420500000000001</v>
      </c>
      <c r="G4237" s="48">
        <f t="shared" si="79"/>
        <v>1.2710145000000002</v>
      </c>
      <c r="H4237" s="67"/>
      <c r="I4237" s="68"/>
      <c r="J4237" s="138">
        <v>0</v>
      </c>
    </row>
    <row r="4238" spans="1:10" ht="15.75" hidden="1" thickBot="1" x14ac:dyDescent="0.3">
      <c r="A4238" s="225"/>
      <c r="B4238" s="223"/>
      <c r="C4238" s="49"/>
      <c r="D4238" s="49"/>
      <c r="E4238" s="60"/>
      <c r="F4238" s="70" t="s">
        <v>521</v>
      </c>
      <c r="G4238" s="70" t="str">
        <f t="shared" si="79"/>
        <v/>
      </c>
      <c r="H4238" s="71"/>
      <c r="I4238" s="68"/>
      <c r="J4238" s="138">
        <v>0</v>
      </c>
    </row>
    <row r="4239" spans="1:10" ht="15.75" hidden="1" thickBot="1" x14ac:dyDescent="0.3">
      <c r="A4239" s="220" t="s">
        <v>1248</v>
      </c>
      <c r="B4239" s="222" t="e">
        <f>INDEX(Orçamentária!A:B,MATCH(Composições!A4239,Orçamentária!A:A,0),2)</f>
        <v>#N/A</v>
      </c>
      <c r="C4239" s="35"/>
      <c r="D4239" s="20" t="s">
        <v>95</v>
      </c>
      <c r="E4239" s="21"/>
      <c r="F4239" s="43" t="s">
        <v>521</v>
      </c>
      <c r="G4239" s="22" t="str">
        <f t="shared" ref="G4239:G4302" si="80">IF(ISNUMBER(F4239),E4239*F4239,"")</f>
        <v/>
      </c>
      <c r="H4239" s="23"/>
      <c r="I4239" s="24"/>
      <c r="J4239" s="138">
        <v>0</v>
      </c>
    </row>
    <row r="4240" spans="1:10" ht="15.75" hidden="1" thickBot="1" x14ac:dyDescent="0.3">
      <c r="A4240" s="225"/>
      <c r="B4240" s="223"/>
      <c r="C4240" s="26"/>
      <c r="D4240" s="26"/>
      <c r="E4240" s="27"/>
      <c r="F4240" s="48" t="s">
        <v>521</v>
      </c>
      <c r="G4240" s="48" t="str">
        <f t="shared" si="80"/>
        <v/>
      </c>
      <c r="H4240" s="67"/>
      <c r="I4240" s="68"/>
      <c r="J4240" s="138">
        <v>0</v>
      </c>
    </row>
    <row r="4241" spans="1:10" ht="15.75" hidden="1" thickBot="1" x14ac:dyDescent="0.3">
      <c r="A4241" s="225"/>
      <c r="B4241" s="223"/>
      <c r="C4241" s="30" t="s">
        <v>2365</v>
      </c>
      <c r="D4241" s="30" t="s">
        <v>102</v>
      </c>
      <c r="E4241" s="31">
        <f>ROUND(0.33*1.15,4)</f>
        <v>0.3795</v>
      </c>
      <c r="F4241" s="48">
        <v>22.714499999999997</v>
      </c>
      <c r="G4241" s="48">
        <f t="shared" si="80"/>
        <v>8.620152749999999</v>
      </c>
      <c r="H4241" s="33">
        <f>SUM(G4241:G4243)</f>
        <v>14.732129749999999</v>
      </c>
      <c r="I4241" s="34"/>
      <c r="J4241" s="138">
        <v>0</v>
      </c>
    </row>
    <row r="4242" spans="1:10" ht="15.75" hidden="1" thickBot="1" x14ac:dyDescent="0.3">
      <c r="A4242" s="225"/>
      <c r="B4242" s="223"/>
      <c r="C4242" s="30" t="s">
        <v>1091</v>
      </c>
      <c r="D4242" s="30" t="s">
        <v>702</v>
      </c>
      <c r="E4242" s="31">
        <v>0.187</v>
      </c>
      <c r="F4242" s="48">
        <v>25.887499999999999</v>
      </c>
      <c r="G4242" s="48">
        <f t="shared" si="80"/>
        <v>4.8409624999999998</v>
      </c>
      <c r="H4242" s="67"/>
      <c r="I4242" s="68"/>
      <c r="J4242" s="138">
        <v>0</v>
      </c>
    </row>
    <row r="4243" spans="1:10" ht="15.75" hidden="1" thickBot="1" x14ac:dyDescent="0.3">
      <c r="A4243" s="225"/>
      <c r="B4243" s="223"/>
      <c r="C4243" s="30" t="s">
        <v>703</v>
      </c>
      <c r="D4243" s="30" t="s">
        <v>702</v>
      </c>
      <c r="E4243" s="31">
        <v>6.9000000000000006E-2</v>
      </c>
      <c r="F4243" s="48">
        <v>18.420500000000001</v>
      </c>
      <c r="G4243" s="48">
        <f t="shared" si="80"/>
        <v>1.2710145000000002</v>
      </c>
      <c r="H4243" s="67"/>
      <c r="I4243" s="68"/>
      <c r="J4243" s="138">
        <v>0</v>
      </c>
    </row>
    <row r="4244" spans="1:10" ht="15.75" hidden="1" thickBot="1" x14ac:dyDescent="0.3">
      <c r="A4244" s="225"/>
      <c r="B4244" s="223"/>
      <c r="C4244" s="30"/>
      <c r="D4244" s="30"/>
      <c r="E4244" s="31"/>
      <c r="F4244" s="48" t="s">
        <v>521</v>
      </c>
      <c r="G4244" s="48" t="str">
        <f t="shared" si="80"/>
        <v/>
      </c>
      <c r="H4244" s="67"/>
      <c r="I4244" s="68"/>
      <c r="J4244" s="138">
        <v>0</v>
      </c>
    </row>
    <row r="4245" spans="1:10" ht="26.25" hidden="1" thickBot="1" x14ac:dyDescent="0.3">
      <c r="A4245" s="225"/>
      <c r="B4245" s="223"/>
      <c r="C4245" s="30" t="s">
        <v>1249</v>
      </c>
      <c r="D4245" s="30"/>
      <c r="E4245" s="31"/>
      <c r="F4245" s="48" t="s">
        <v>521</v>
      </c>
      <c r="G4245" s="48" t="str">
        <f t="shared" si="80"/>
        <v/>
      </c>
      <c r="H4245" s="67"/>
      <c r="I4245" s="68"/>
      <c r="J4245" s="138">
        <v>0</v>
      </c>
    </row>
    <row r="4246" spans="1:10" ht="15.75" hidden="1" thickBot="1" x14ac:dyDescent="0.3">
      <c r="A4246" s="225"/>
      <c r="B4246" s="223"/>
      <c r="C4246" s="49"/>
      <c r="D4246" s="49"/>
      <c r="E4246" s="60"/>
      <c r="F4246" s="70" t="s">
        <v>521</v>
      </c>
      <c r="G4246" s="70" t="str">
        <f t="shared" si="80"/>
        <v/>
      </c>
      <c r="H4246" s="71"/>
      <c r="I4246" s="68"/>
      <c r="J4246" s="138">
        <v>0</v>
      </c>
    </row>
    <row r="4247" spans="1:10" ht="15.75" hidden="1" thickBot="1" x14ac:dyDescent="0.3">
      <c r="A4247" s="220" t="s">
        <v>1250</v>
      </c>
      <c r="B4247" s="222" t="e">
        <f>INDEX(Orçamentária!A:B,MATCH(Composições!A4247,Orçamentária!A:A,0),2)</f>
        <v>#N/A</v>
      </c>
      <c r="C4247" s="35"/>
      <c r="D4247" s="20" t="s">
        <v>95</v>
      </c>
      <c r="E4247" s="21"/>
      <c r="F4247" s="43" t="s">
        <v>521</v>
      </c>
      <c r="G4247" s="22" t="str">
        <f t="shared" si="80"/>
        <v/>
      </c>
      <c r="H4247" s="23"/>
      <c r="I4247" s="24"/>
      <c r="J4247" s="138">
        <v>0</v>
      </c>
    </row>
    <row r="4248" spans="1:10" ht="15.75" hidden="1" thickBot="1" x14ac:dyDescent="0.3">
      <c r="A4248" s="225"/>
      <c r="B4248" s="223"/>
      <c r="C4248" s="26"/>
      <c r="D4248" s="26"/>
      <c r="E4248" s="27"/>
      <c r="F4248" s="48" t="s">
        <v>521</v>
      </c>
      <c r="G4248" s="48" t="str">
        <f t="shared" si="80"/>
        <v/>
      </c>
      <c r="H4248" s="67"/>
      <c r="I4248" s="68"/>
      <c r="J4248" s="138">
        <v>0</v>
      </c>
    </row>
    <row r="4249" spans="1:10" ht="15.75" hidden="1" thickBot="1" x14ac:dyDescent="0.3">
      <c r="A4249" s="225"/>
      <c r="B4249" s="223"/>
      <c r="C4249" s="30" t="s">
        <v>2294</v>
      </c>
      <c r="D4249" s="30" t="s">
        <v>102</v>
      </c>
      <c r="E4249" s="31">
        <v>0.16</v>
      </c>
      <c r="F4249" s="48">
        <v>10.088999999999999</v>
      </c>
      <c r="G4249" s="48">
        <f t="shared" si="80"/>
        <v>1.6142399999999999</v>
      </c>
      <c r="H4249" s="33">
        <f>SUM(G4249:G4253)</f>
        <v>17.4368795</v>
      </c>
      <c r="I4249" s="34"/>
      <c r="J4249" s="138">
        <v>0</v>
      </c>
    </row>
    <row r="4250" spans="1:10" ht="15.75" hidden="1" thickBot="1" x14ac:dyDescent="0.3">
      <c r="A4250" s="225"/>
      <c r="B4250" s="223"/>
      <c r="C4250" s="30" t="s">
        <v>1090</v>
      </c>
      <c r="D4250" s="30" t="s">
        <v>102</v>
      </c>
      <c r="E4250" s="31">
        <v>0.42699999999999999</v>
      </c>
      <c r="F4250" s="48">
        <v>15.2285</v>
      </c>
      <c r="G4250" s="48">
        <f t="shared" si="80"/>
        <v>6.5025694999999999</v>
      </c>
      <c r="H4250" s="67"/>
      <c r="I4250" s="68"/>
      <c r="J4250" s="138">
        <v>0</v>
      </c>
    </row>
    <row r="4251" spans="1:10" ht="15.75" hidden="1" thickBot="1" x14ac:dyDescent="0.3">
      <c r="A4251" s="225"/>
      <c r="B4251" s="223"/>
      <c r="C4251" s="30" t="s">
        <v>2295</v>
      </c>
      <c r="D4251" s="30" t="s">
        <v>279</v>
      </c>
      <c r="E4251" s="31">
        <v>0.01</v>
      </c>
      <c r="F4251" s="48">
        <v>8.2649999999999988</v>
      </c>
      <c r="G4251" s="48">
        <f t="shared" si="80"/>
        <v>8.2649999999999987E-2</v>
      </c>
      <c r="H4251" s="67"/>
      <c r="I4251" s="68"/>
      <c r="J4251" s="138">
        <v>0</v>
      </c>
    </row>
    <row r="4252" spans="1:10" ht="15.75" hidden="1" thickBot="1" x14ac:dyDescent="0.3">
      <c r="A4252" s="225"/>
      <c r="B4252" s="223"/>
      <c r="C4252" s="30" t="s">
        <v>1091</v>
      </c>
      <c r="D4252" s="30" t="s">
        <v>702</v>
      </c>
      <c r="E4252" s="31">
        <v>0.27500000000000002</v>
      </c>
      <c r="F4252" s="48">
        <v>25.887499999999999</v>
      </c>
      <c r="G4252" s="48">
        <f t="shared" si="80"/>
        <v>7.1190625000000001</v>
      </c>
      <c r="H4252" s="67"/>
      <c r="I4252" s="68"/>
      <c r="J4252" s="138">
        <v>0</v>
      </c>
    </row>
    <row r="4253" spans="1:10" ht="15.75" hidden="1" thickBot="1" x14ac:dyDescent="0.3">
      <c r="A4253" s="225"/>
      <c r="B4253" s="223"/>
      <c r="C4253" s="30" t="s">
        <v>703</v>
      </c>
      <c r="D4253" s="30" t="s">
        <v>702</v>
      </c>
      <c r="E4253" s="31">
        <v>0.115</v>
      </c>
      <c r="F4253" s="48">
        <v>18.420500000000001</v>
      </c>
      <c r="G4253" s="48">
        <f t="shared" si="80"/>
        <v>2.1183575000000001</v>
      </c>
      <c r="H4253" s="67"/>
      <c r="I4253" s="68"/>
      <c r="J4253" s="138">
        <v>0</v>
      </c>
    </row>
    <row r="4254" spans="1:10" ht="15.75" hidden="1" thickBot="1" x14ac:dyDescent="0.3">
      <c r="A4254" s="225"/>
      <c r="B4254" s="223"/>
      <c r="C4254" s="49"/>
      <c r="D4254" s="49"/>
      <c r="E4254" s="60"/>
      <c r="F4254" s="70" t="s">
        <v>521</v>
      </c>
      <c r="G4254" s="70" t="str">
        <f t="shared" si="80"/>
        <v/>
      </c>
      <c r="H4254" s="71"/>
      <c r="I4254" s="68"/>
      <c r="J4254" s="138">
        <v>0</v>
      </c>
    </row>
    <row r="4255" spans="1:10" ht="15.75" hidden="1" thickBot="1" x14ac:dyDescent="0.3">
      <c r="A4255" s="220" t="s">
        <v>1251</v>
      </c>
      <c r="B4255" s="222" t="e">
        <f>INDEX(Orçamentária!A:B,MATCH(Composições!A4255,Orçamentária!A:A,0),2)</f>
        <v>#N/A</v>
      </c>
      <c r="C4255" s="35"/>
      <c r="D4255" s="20" t="s">
        <v>95</v>
      </c>
      <c r="E4255" s="21"/>
      <c r="F4255" s="43" t="s">
        <v>521</v>
      </c>
      <c r="G4255" s="22" t="str">
        <f t="shared" si="80"/>
        <v/>
      </c>
      <c r="H4255" s="23"/>
      <c r="I4255" s="24"/>
      <c r="J4255" s="138">
        <v>0</v>
      </c>
    </row>
    <row r="4256" spans="1:10" ht="15.75" hidden="1" thickBot="1" x14ac:dyDescent="0.3">
      <c r="A4256" s="225"/>
      <c r="B4256" s="223"/>
      <c r="C4256" s="26"/>
      <c r="D4256" s="26"/>
      <c r="E4256" s="27"/>
      <c r="F4256" s="48" t="s">
        <v>521</v>
      </c>
      <c r="G4256" s="48" t="str">
        <f t="shared" si="80"/>
        <v/>
      </c>
      <c r="H4256" s="67"/>
      <c r="I4256" s="68"/>
      <c r="J4256" s="138">
        <v>0</v>
      </c>
    </row>
    <row r="4257" spans="1:10" ht="15.75" hidden="1" thickBot="1" x14ac:dyDescent="0.3">
      <c r="A4257" s="225"/>
      <c r="B4257" s="223"/>
      <c r="C4257" s="30" t="s">
        <v>2296</v>
      </c>
      <c r="D4257" s="30" t="s">
        <v>102</v>
      </c>
      <c r="E4257" s="31">
        <v>6.4000000000000001E-2</v>
      </c>
      <c r="F4257" s="48">
        <v>38.978499999999997</v>
      </c>
      <c r="G4257" s="48">
        <f t="shared" si="80"/>
        <v>2.494624</v>
      </c>
      <c r="H4257" s="33">
        <f>SUM(G4257:G4262)</f>
        <v>60.879564400000007</v>
      </c>
      <c r="I4257" s="34"/>
      <c r="J4257" s="138">
        <v>0</v>
      </c>
    </row>
    <row r="4258" spans="1:10" ht="15.75" hidden="1" thickBot="1" x14ac:dyDescent="0.3">
      <c r="A4258" s="225"/>
      <c r="B4258" s="223"/>
      <c r="C4258" s="30" t="s">
        <v>1953</v>
      </c>
      <c r="D4258" s="30" t="s">
        <v>102</v>
      </c>
      <c r="E4258" s="31">
        <v>0.32200000000000001</v>
      </c>
      <c r="F4258" s="48">
        <v>78.432000000000002</v>
      </c>
      <c r="G4258" s="48">
        <f t="shared" si="80"/>
        <v>25.255104000000003</v>
      </c>
      <c r="H4258" s="67"/>
      <c r="I4258" s="68"/>
      <c r="J4258" s="138">
        <v>0</v>
      </c>
    </row>
    <row r="4259" spans="1:10" ht="15.75" hidden="1" thickBot="1" x14ac:dyDescent="0.3">
      <c r="A4259" s="225"/>
      <c r="B4259" s="223"/>
      <c r="C4259" s="30" t="s">
        <v>2295</v>
      </c>
      <c r="D4259" s="30" t="s">
        <v>279</v>
      </c>
      <c r="E4259" s="31">
        <v>0.01</v>
      </c>
      <c r="F4259" s="48">
        <v>8.2649999999999988</v>
      </c>
      <c r="G4259" s="48">
        <f t="shared" si="80"/>
        <v>8.2649999999999987E-2</v>
      </c>
      <c r="H4259" s="67"/>
      <c r="I4259" s="68"/>
      <c r="J4259" s="138">
        <v>0</v>
      </c>
    </row>
    <row r="4260" spans="1:10" ht="15.75" hidden="1" thickBot="1" x14ac:dyDescent="0.3">
      <c r="A4260" s="225"/>
      <c r="B4260" s="223"/>
      <c r="C4260" s="30" t="s">
        <v>2313</v>
      </c>
      <c r="D4260" s="30" t="s">
        <v>102</v>
      </c>
      <c r="E4260" s="31">
        <v>0.2016</v>
      </c>
      <c r="F4260" s="48">
        <v>118.10399999999998</v>
      </c>
      <c r="G4260" s="48">
        <f t="shared" si="80"/>
        <v>23.809766399999997</v>
      </c>
      <c r="H4260" s="67"/>
      <c r="I4260" s="68"/>
      <c r="J4260" s="138">
        <v>0</v>
      </c>
    </row>
    <row r="4261" spans="1:10" ht="15.75" hidden="1" thickBot="1" x14ac:dyDescent="0.3">
      <c r="A4261" s="225"/>
      <c r="B4261" s="223"/>
      <c r="C4261" s="30" t="s">
        <v>1091</v>
      </c>
      <c r="D4261" s="30" t="s">
        <v>702</v>
      </c>
      <c r="E4261" s="31">
        <v>0.27500000000000002</v>
      </c>
      <c r="F4261" s="48">
        <v>25.887499999999999</v>
      </c>
      <c r="G4261" s="48">
        <f t="shared" si="80"/>
        <v>7.1190625000000001</v>
      </c>
      <c r="H4261" s="67"/>
      <c r="I4261" s="68"/>
      <c r="J4261" s="138">
        <v>0</v>
      </c>
    </row>
    <row r="4262" spans="1:10" ht="15.75" hidden="1" thickBot="1" x14ac:dyDescent="0.3">
      <c r="A4262" s="225"/>
      <c r="B4262" s="223"/>
      <c r="C4262" s="30" t="s">
        <v>703</v>
      </c>
      <c r="D4262" s="30" t="s">
        <v>702</v>
      </c>
      <c r="E4262" s="31">
        <v>0.115</v>
      </c>
      <c r="F4262" s="48">
        <v>18.420500000000001</v>
      </c>
      <c r="G4262" s="48">
        <f t="shared" si="80"/>
        <v>2.1183575000000001</v>
      </c>
      <c r="H4262" s="67"/>
      <c r="I4262" s="68"/>
      <c r="J4262" s="138">
        <v>0</v>
      </c>
    </row>
    <row r="4263" spans="1:10" ht="15.75" hidden="1" thickBot="1" x14ac:dyDescent="0.3">
      <c r="A4263" s="225"/>
      <c r="B4263" s="223"/>
      <c r="C4263" s="49"/>
      <c r="D4263" s="49"/>
      <c r="E4263" s="60"/>
      <c r="F4263" s="70" t="s">
        <v>521</v>
      </c>
      <c r="G4263" s="70" t="str">
        <f t="shared" si="80"/>
        <v/>
      </c>
      <c r="H4263" s="71"/>
      <c r="I4263" s="68"/>
      <c r="J4263" s="138">
        <v>0</v>
      </c>
    </row>
    <row r="4264" spans="1:10" ht="15.75" hidden="1" thickBot="1" x14ac:dyDescent="0.3">
      <c r="A4264" s="220" t="s">
        <v>1252</v>
      </c>
      <c r="B4264" s="222" t="e">
        <f>INDEX(Orçamentária!A:B,MATCH(Composições!A4264,Orçamentária!A:A,0),2)</f>
        <v>#N/A</v>
      </c>
      <c r="C4264" s="35"/>
      <c r="D4264" s="20" t="s">
        <v>95</v>
      </c>
      <c r="E4264" s="21"/>
      <c r="F4264" s="43" t="s">
        <v>521</v>
      </c>
      <c r="G4264" s="22" t="str">
        <f t="shared" si="80"/>
        <v/>
      </c>
      <c r="H4264" s="23"/>
      <c r="I4264" s="24"/>
      <c r="J4264" s="138">
        <v>0</v>
      </c>
    </row>
    <row r="4265" spans="1:10" ht="15.75" hidden="1" thickBot="1" x14ac:dyDescent="0.3">
      <c r="A4265" s="225"/>
      <c r="B4265" s="223"/>
      <c r="C4265" s="26"/>
      <c r="D4265" s="26"/>
      <c r="E4265" s="27"/>
      <c r="F4265" s="48" t="s">
        <v>521</v>
      </c>
      <c r="G4265" s="48" t="str">
        <f t="shared" si="80"/>
        <v/>
      </c>
      <c r="H4265" s="67"/>
      <c r="I4265" s="68"/>
      <c r="J4265" s="138">
        <v>0</v>
      </c>
    </row>
    <row r="4266" spans="1:10" ht="15.75" hidden="1" thickBot="1" x14ac:dyDescent="0.3">
      <c r="A4266" s="225"/>
      <c r="B4266" s="223"/>
      <c r="C4266" s="30" t="s">
        <v>2207</v>
      </c>
      <c r="D4266" s="30" t="s">
        <v>102</v>
      </c>
      <c r="E4266" s="31">
        <v>0.04</v>
      </c>
      <c r="F4266" s="48">
        <v>0</v>
      </c>
      <c r="G4266" s="48">
        <f t="shared" si="80"/>
        <v>0</v>
      </c>
      <c r="H4266" s="33">
        <f>SUM(G4266:G4269)</f>
        <v>21.138260000000002</v>
      </c>
      <c r="I4266" s="34"/>
      <c r="J4266" s="138">
        <v>0</v>
      </c>
    </row>
    <row r="4267" spans="1:10" ht="15.75" hidden="1" thickBot="1" x14ac:dyDescent="0.3">
      <c r="A4267" s="225"/>
      <c r="B4267" s="223"/>
      <c r="C4267" s="30" t="s">
        <v>2208</v>
      </c>
      <c r="D4267" s="30" t="s">
        <v>897</v>
      </c>
      <c r="E4267" s="31">
        <v>0.36</v>
      </c>
      <c r="F4267" s="48">
        <v>0</v>
      </c>
      <c r="G4267" s="48">
        <f t="shared" si="80"/>
        <v>0</v>
      </c>
      <c r="H4267" s="67"/>
      <c r="I4267" s="68"/>
      <c r="J4267" s="138">
        <v>0</v>
      </c>
    </row>
    <row r="4268" spans="1:10" ht="15.75" hidden="1" thickBot="1" x14ac:dyDescent="0.3">
      <c r="A4268" s="225"/>
      <c r="B4268" s="223"/>
      <c r="C4268" s="30" t="s">
        <v>1091</v>
      </c>
      <c r="D4268" s="30" t="s">
        <v>702</v>
      </c>
      <c r="E4268" s="31">
        <v>0.66</v>
      </c>
      <c r="F4268" s="48">
        <v>25.887499999999999</v>
      </c>
      <c r="G4268" s="48">
        <f t="shared" si="80"/>
        <v>17.085750000000001</v>
      </c>
      <c r="H4268" s="67"/>
      <c r="I4268" s="68"/>
      <c r="J4268" s="138">
        <v>0</v>
      </c>
    </row>
    <row r="4269" spans="1:10" ht="15.75" hidden="1" thickBot="1" x14ac:dyDescent="0.3">
      <c r="A4269" s="225"/>
      <c r="B4269" s="223"/>
      <c r="C4269" s="30" t="s">
        <v>703</v>
      </c>
      <c r="D4269" s="30" t="s">
        <v>702</v>
      </c>
      <c r="E4269" s="31">
        <v>0.22</v>
      </c>
      <c r="F4269" s="48">
        <v>18.420500000000001</v>
      </c>
      <c r="G4269" s="48">
        <f t="shared" si="80"/>
        <v>4.0525099999999998</v>
      </c>
      <c r="H4269" s="67"/>
      <c r="I4269" s="68"/>
      <c r="J4269" s="138">
        <v>0</v>
      </c>
    </row>
    <row r="4270" spans="1:10" ht="15.75" hidden="1" thickBot="1" x14ac:dyDescent="0.3">
      <c r="A4270" s="226"/>
      <c r="B4270" s="224"/>
      <c r="C4270" s="49"/>
      <c r="D4270" s="49"/>
      <c r="E4270" s="60"/>
      <c r="F4270" s="70" t="s">
        <v>521</v>
      </c>
      <c r="G4270" s="70" t="str">
        <f t="shared" si="80"/>
        <v/>
      </c>
      <c r="H4270" s="71"/>
      <c r="I4270" s="68"/>
      <c r="J4270" s="138">
        <v>0</v>
      </c>
    </row>
    <row r="4271" spans="1:10" ht="15.75" hidden="1" thickBot="1" x14ac:dyDescent="0.3">
      <c r="A4271" s="220" t="s">
        <v>1253</v>
      </c>
      <c r="B4271" s="222" t="e">
        <f>INDEX(Orçamentária!A:B,MATCH(Composições!A4271,Orçamentária!A:A,0),2)</f>
        <v>#N/A</v>
      </c>
      <c r="C4271" s="35"/>
      <c r="D4271" s="20" t="s">
        <v>95</v>
      </c>
      <c r="E4271" s="21"/>
      <c r="F4271" s="43" t="s">
        <v>521</v>
      </c>
      <c r="G4271" s="22" t="str">
        <f t="shared" si="80"/>
        <v/>
      </c>
      <c r="H4271" s="23"/>
      <c r="I4271" s="24"/>
      <c r="J4271" s="138">
        <v>0</v>
      </c>
    </row>
    <row r="4272" spans="1:10" ht="15.75" hidden="1" thickBot="1" x14ac:dyDescent="0.3">
      <c r="A4272" s="225"/>
      <c r="B4272" s="223"/>
      <c r="C4272" s="26"/>
      <c r="D4272" s="26"/>
      <c r="E4272" s="27"/>
      <c r="F4272" s="48" t="s">
        <v>521</v>
      </c>
      <c r="G4272" s="48" t="str">
        <f t="shared" si="80"/>
        <v/>
      </c>
      <c r="H4272" s="67"/>
      <c r="I4272" s="68"/>
      <c r="J4272" s="138">
        <v>0</v>
      </c>
    </row>
    <row r="4273" spans="1:10" ht="26.25" hidden="1" thickBot="1" x14ac:dyDescent="0.3">
      <c r="A4273" s="225"/>
      <c r="B4273" s="223"/>
      <c r="C4273" s="30" t="s">
        <v>1254</v>
      </c>
      <c r="D4273" s="30" t="s">
        <v>897</v>
      </c>
      <c r="E4273" s="31">
        <v>2</v>
      </c>
      <c r="F4273" s="48" t="s">
        <v>521</v>
      </c>
      <c r="G4273" s="48" t="str">
        <f t="shared" si="80"/>
        <v/>
      </c>
      <c r="H4273" s="33">
        <f>SUM(G4273:G4274)</f>
        <v>1.2710145000000002</v>
      </c>
      <c r="I4273" s="34"/>
      <c r="J4273" s="138">
        <v>0</v>
      </c>
    </row>
    <row r="4274" spans="1:10" ht="15.75" hidden="1" thickBot="1" x14ac:dyDescent="0.3">
      <c r="A4274" s="225"/>
      <c r="B4274" s="223"/>
      <c r="C4274" s="30" t="s">
        <v>703</v>
      </c>
      <c r="D4274" s="30" t="s">
        <v>702</v>
      </c>
      <c r="E4274" s="31">
        <v>6.9000000000000006E-2</v>
      </c>
      <c r="F4274" s="48">
        <v>18.420500000000001</v>
      </c>
      <c r="G4274" s="48">
        <f t="shared" si="80"/>
        <v>1.2710145000000002</v>
      </c>
      <c r="H4274" s="67"/>
      <c r="I4274" s="68"/>
      <c r="J4274" s="138">
        <v>0</v>
      </c>
    </row>
    <row r="4275" spans="1:10" ht="15.75" hidden="1" thickBot="1" x14ac:dyDescent="0.3">
      <c r="A4275" s="225"/>
      <c r="B4275" s="223"/>
      <c r="C4275" s="49"/>
      <c r="D4275" s="49"/>
      <c r="E4275" s="60"/>
      <c r="F4275" s="70" t="s">
        <v>521</v>
      </c>
      <c r="G4275" s="70" t="str">
        <f t="shared" si="80"/>
        <v/>
      </c>
      <c r="H4275" s="71"/>
      <c r="I4275" s="68"/>
      <c r="J4275" s="138">
        <v>0</v>
      </c>
    </row>
    <row r="4276" spans="1:10" ht="15.75" hidden="1" thickBot="1" x14ac:dyDescent="0.3">
      <c r="A4276" s="220" t="s">
        <v>1255</v>
      </c>
      <c r="B4276" s="222" t="e">
        <f>INDEX(Orçamentária!A:B,MATCH(Composições!A4276,Orçamentária!A:A,0),2)</f>
        <v>#N/A</v>
      </c>
      <c r="C4276" s="35"/>
      <c r="D4276" s="20" t="s">
        <v>95</v>
      </c>
      <c r="E4276" s="21"/>
      <c r="F4276" s="43" t="s">
        <v>521</v>
      </c>
      <c r="G4276" s="22" t="str">
        <f t="shared" si="80"/>
        <v/>
      </c>
      <c r="H4276" s="23"/>
      <c r="I4276" s="24"/>
      <c r="J4276" s="138">
        <v>0</v>
      </c>
    </row>
    <row r="4277" spans="1:10" ht="15.75" hidden="1" thickBot="1" x14ac:dyDescent="0.3">
      <c r="A4277" s="225"/>
      <c r="B4277" s="223"/>
      <c r="C4277" s="26"/>
      <c r="D4277" s="26"/>
      <c r="E4277" s="27"/>
      <c r="F4277" s="48" t="s">
        <v>521</v>
      </c>
      <c r="G4277" s="48" t="str">
        <f t="shared" si="80"/>
        <v/>
      </c>
      <c r="H4277" s="67"/>
      <c r="I4277" s="68"/>
      <c r="J4277" s="138">
        <v>0</v>
      </c>
    </row>
    <row r="4278" spans="1:10" ht="15.75" hidden="1" thickBot="1" x14ac:dyDescent="0.3">
      <c r="A4278" s="225"/>
      <c r="B4278" s="223"/>
      <c r="C4278" s="30" t="s">
        <v>2310</v>
      </c>
      <c r="D4278" s="30" t="s">
        <v>102</v>
      </c>
      <c r="E4278" s="31">
        <v>6.1899999999999997E-2</v>
      </c>
      <c r="F4278" s="48">
        <v>17.099999999999998</v>
      </c>
      <c r="G4278" s="48">
        <f t="shared" si="80"/>
        <v>1.0584899999999997</v>
      </c>
      <c r="H4278" s="33">
        <f>SUM(G4278:G4282)</f>
        <v>32.121485499999991</v>
      </c>
      <c r="I4278" s="34"/>
      <c r="J4278" s="138">
        <v>0</v>
      </c>
    </row>
    <row r="4279" spans="1:10" ht="15.75" hidden="1" thickBot="1" x14ac:dyDescent="0.3">
      <c r="A4279" s="225"/>
      <c r="B4279" s="223"/>
      <c r="C4279" s="30" t="s">
        <v>1327</v>
      </c>
      <c r="D4279" s="30" t="s">
        <v>102</v>
      </c>
      <c r="E4279" s="31">
        <v>0.20699999999999999</v>
      </c>
      <c r="F4279" s="48">
        <v>41.011499999999998</v>
      </c>
      <c r="G4279" s="48">
        <f t="shared" si="80"/>
        <v>8.4893804999999993</v>
      </c>
      <c r="H4279" s="67"/>
      <c r="I4279" s="68"/>
      <c r="J4279" s="138">
        <v>0</v>
      </c>
    </row>
    <row r="4280" spans="1:10" ht="15.75" hidden="1" thickBot="1" x14ac:dyDescent="0.3">
      <c r="A4280" s="225"/>
      <c r="B4280" s="223"/>
      <c r="C4280" s="30" t="s">
        <v>1091</v>
      </c>
      <c r="D4280" s="30" t="s">
        <v>702</v>
      </c>
      <c r="E4280" s="31">
        <v>0.52659999999999996</v>
      </c>
      <c r="F4280" s="48">
        <v>25.887499999999999</v>
      </c>
      <c r="G4280" s="48">
        <f t="shared" si="80"/>
        <v>13.632357499999998</v>
      </c>
      <c r="H4280" s="67"/>
      <c r="I4280" s="68"/>
      <c r="J4280" s="138">
        <v>0</v>
      </c>
    </row>
    <row r="4281" spans="1:10" ht="15.75" hidden="1" thickBot="1" x14ac:dyDescent="0.3">
      <c r="A4281" s="225"/>
      <c r="B4281" s="223"/>
      <c r="C4281" s="30" t="s">
        <v>1256</v>
      </c>
      <c r="D4281" s="30" t="s">
        <v>279</v>
      </c>
      <c r="E4281" s="31">
        <v>0.3</v>
      </c>
      <c r="F4281" s="48">
        <v>4.0374999999999996</v>
      </c>
      <c r="G4281" s="48">
        <f t="shared" si="80"/>
        <v>1.2112499999999999</v>
      </c>
      <c r="H4281" s="67"/>
      <c r="I4281" s="68"/>
      <c r="J4281" s="138">
        <v>0</v>
      </c>
    </row>
    <row r="4282" spans="1:10" ht="15.75" hidden="1" thickBot="1" x14ac:dyDescent="0.3">
      <c r="A4282" s="225"/>
      <c r="B4282" s="223"/>
      <c r="C4282" s="30" t="s">
        <v>1091</v>
      </c>
      <c r="D4282" s="30" t="s">
        <v>702</v>
      </c>
      <c r="E4282" s="31">
        <v>0.29859999999999998</v>
      </c>
      <c r="F4282" s="48">
        <v>25.887499999999999</v>
      </c>
      <c r="G4282" s="48">
        <f t="shared" si="80"/>
        <v>7.7300074999999993</v>
      </c>
      <c r="H4282" s="67"/>
      <c r="I4282" s="68"/>
      <c r="J4282" s="138">
        <v>0</v>
      </c>
    </row>
    <row r="4283" spans="1:10" ht="15.75" hidden="1" thickBot="1" x14ac:dyDescent="0.3">
      <c r="A4283" s="226"/>
      <c r="B4283" s="224"/>
      <c r="C4283" s="49"/>
      <c r="D4283" s="49"/>
      <c r="E4283" s="60"/>
      <c r="F4283" s="70" t="s">
        <v>521</v>
      </c>
      <c r="G4283" s="70" t="str">
        <f t="shared" si="80"/>
        <v/>
      </c>
      <c r="H4283" s="71"/>
      <c r="I4283" s="68"/>
      <c r="J4283" s="138">
        <v>0</v>
      </c>
    </row>
    <row r="4284" spans="1:10" ht="15.75" hidden="1" thickBot="1" x14ac:dyDescent="0.3">
      <c r="A4284" s="220" t="s">
        <v>1257</v>
      </c>
      <c r="B4284" s="222" t="e">
        <f>INDEX(Orçamentária!A:B,MATCH(Composições!A4284,Orçamentária!A:A,0),2)</f>
        <v>#N/A</v>
      </c>
      <c r="C4284" s="35"/>
      <c r="D4284" s="20" t="s">
        <v>93</v>
      </c>
      <c r="E4284" s="21"/>
      <c r="F4284" s="43" t="s">
        <v>521</v>
      </c>
      <c r="G4284" s="22" t="str">
        <f t="shared" si="80"/>
        <v/>
      </c>
      <c r="H4284" s="23"/>
      <c r="I4284" s="24"/>
      <c r="J4284" s="138">
        <v>0</v>
      </c>
    </row>
    <row r="4285" spans="1:10" ht="15.75" hidden="1" thickBot="1" x14ac:dyDescent="0.3">
      <c r="A4285" s="225"/>
      <c r="B4285" s="223"/>
      <c r="C4285" s="26"/>
      <c r="D4285" s="26"/>
      <c r="E4285" s="27"/>
      <c r="F4285" s="48" t="s">
        <v>521</v>
      </c>
      <c r="G4285" s="48" t="str">
        <f t="shared" si="80"/>
        <v/>
      </c>
      <c r="H4285" s="67"/>
      <c r="I4285" s="68"/>
      <c r="J4285" s="138">
        <v>0</v>
      </c>
    </row>
    <row r="4286" spans="1:10" ht="15.75" hidden="1" thickBot="1" x14ac:dyDescent="0.3">
      <c r="A4286" s="225"/>
      <c r="B4286" s="223"/>
      <c r="C4286" s="30" t="s">
        <v>703</v>
      </c>
      <c r="D4286" s="30" t="s">
        <v>12</v>
      </c>
      <c r="E4286" s="31">
        <f>ROUND(4/74.7,4)</f>
        <v>5.3499999999999999E-2</v>
      </c>
      <c r="F4286" s="48">
        <v>18.420500000000001</v>
      </c>
      <c r="G4286" s="48">
        <f t="shared" si="80"/>
        <v>0.98549675000000003</v>
      </c>
      <c r="H4286" s="33">
        <f>SUM(G4286:G4291)</f>
        <v>9.8567553999999973</v>
      </c>
      <c r="I4286" s="34"/>
      <c r="J4286" s="138">
        <v>0</v>
      </c>
    </row>
    <row r="4287" spans="1:10" ht="15.75" hidden="1" thickBot="1" x14ac:dyDescent="0.3">
      <c r="A4287" s="225"/>
      <c r="B4287" s="223"/>
      <c r="C4287" s="30" t="s">
        <v>1258</v>
      </c>
      <c r="D4287" s="30" t="s">
        <v>938</v>
      </c>
      <c r="E4287" s="31">
        <f>ROUND(1/74.7,4)</f>
        <v>1.34E-2</v>
      </c>
      <c r="F4287" s="48">
        <v>0</v>
      </c>
      <c r="G4287" s="48">
        <f t="shared" si="80"/>
        <v>0</v>
      </c>
      <c r="H4287" s="67"/>
      <c r="I4287" s="68"/>
      <c r="J4287" s="138">
        <v>0</v>
      </c>
    </row>
    <row r="4288" spans="1:10" ht="15.75" hidden="1" thickBot="1" x14ac:dyDescent="0.3">
      <c r="A4288" s="225"/>
      <c r="B4288" s="223"/>
      <c r="C4288" s="30" t="s">
        <v>1259</v>
      </c>
      <c r="D4288" s="30" t="s">
        <v>938</v>
      </c>
      <c r="E4288" s="31">
        <f>ROUND(1/74.7,4)</f>
        <v>1.34E-2</v>
      </c>
      <c r="F4288" s="48">
        <v>0</v>
      </c>
      <c r="G4288" s="48">
        <f t="shared" si="80"/>
        <v>0</v>
      </c>
      <c r="H4288" s="67"/>
      <c r="I4288" s="68"/>
      <c r="J4288" s="138">
        <v>0</v>
      </c>
    </row>
    <row r="4289" spans="1:10" ht="15.75" hidden="1" thickBot="1" x14ac:dyDescent="0.3">
      <c r="A4289" s="225"/>
      <c r="B4289" s="223"/>
      <c r="C4289" s="30" t="s">
        <v>1260</v>
      </c>
      <c r="D4289" s="30" t="s">
        <v>93</v>
      </c>
      <c r="E4289" s="31">
        <v>1</v>
      </c>
      <c r="F4289" s="48">
        <v>0</v>
      </c>
      <c r="G4289" s="48">
        <f t="shared" si="80"/>
        <v>0</v>
      </c>
      <c r="H4289" s="67"/>
      <c r="I4289" s="68"/>
      <c r="J4289" s="138">
        <v>0</v>
      </c>
    </row>
    <row r="4290" spans="1:10" ht="15.75" hidden="1" thickBot="1" x14ac:dyDescent="0.3">
      <c r="A4290" s="225"/>
      <c r="B4290" s="223"/>
      <c r="C4290" s="30" t="s">
        <v>1261</v>
      </c>
      <c r="D4290" s="30" t="s">
        <v>279</v>
      </c>
      <c r="E4290" s="31">
        <v>3.3E-3</v>
      </c>
      <c r="F4290" s="48">
        <v>0</v>
      </c>
      <c r="G4290" s="48">
        <f t="shared" si="80"/>
        <v>0</v>
      </c>
      <c r="H4290" s="67"/>
      <c r="I4290" s="68"/>
      <c r="J4290" s="138">
        <v>0</v>
      </c>
    </row>
    <row r="4291" spans="1:10" ht="26.25" hidden="1" thickBot="1" x14ac:dyDescent="0.3">
      <c r="A4291" s="225"/>
      <c r="B4291" s="223"/>
      <c r="C4291" s="30" t="s">
        <v>1262</v>
      </c>
      <c r="D4291" s="30" t="s">
        <v>42</v>
      </c>
      <c r="E4291" s="31">
        <v>0.1181</v>
      </c>
      <c r="F4291" s="48">
        <v>75.116499999999988</v>
      </c>
      <c r="G4291" s="48">
        <f t="shared" si="80"/>
        <v>8.8712586499999979</v>
      </c>
      <c r="H4291" s="67"/>
      <c r="I4291" s="68"/>
      <c r="J4291" s="138">
        <v>0</v>
      </c>
    </row>
    <row r="4292" spans="1:10" ht="15.75" hidden="1" thickBot="1" x14ac:dyDescent="0.3">
      <c r="A4292" s="226"/>
      <c r="B4292" s="224"/>
      <c r="C4292" s="49"/>
      <c r="D4292" s="49"/>
      <c r="E4292" s="60"/>
      <c r="F4292" s="70" t="s">
        <v>521</v>
      </c>
      <c r="G4292" s="70" t="str">
        <f t="shared" si="80"/>
        <v/>
      </c>
      <c r="H4292" s="71"/>
      <c r="I4292" s="68"/>
      <c r="J4292" s="138">
        <v>0</v>
      </c>
    </row>
    <row r="4293" spans="1:10" ht="15.75" hidden="1" thickBot="1" x14ac:dyDescent="0.3">
      <c r="A4293" s="220" t="s">
        <v>1263</v>
      </c>
      <c r="B4293" s="222" t="e">
        <f>INDEX(Orçamentária!A:B,MATCH(Composições!A4293,Orçamentária!A:A,0),2)</f>
        <v>#N/A</v>
      </c>
      <c r="C4293" s="35"/>
      <c r="D4293" s="20" t="s">
        <v>95</v>
      </c>
      <c r="E4293" s="21"/>
      <c r="F4293" s="43" t="s">
        <v>521</v>
      </c>
      <c r="G4293" s="22" t="str">
        <f t="shared" si="80"/>
        <v/>
      </c>
      <c r="H4293" s="23"/>
      <c r="I4293" s="24"/>
      <c r="J4293" s="138">
        <v>0</v>
      </c>
    </row>
    <row r="4294" spans="1:10" ht="15.75" hidden="1" thickBot="1" x14ac:dyDescent="0.3">
      <c r="A4294" s="225"/>
      <c r="B4294" s="223"/>
      <c r="C4294" s="26"/>
      <c r="D4294" s="26"/>
      <c r="E4294" s="27"/>
      <c r="F4294" s="48" t="s">
        <v>521</v>
      </c>
      <c r="G4294" s="48" t="str">
        <f t="shared" si="80"/>
        <v/>
      </c>
      <c r="H4294" s="67"/>
      <c r="I4294" s="68"/>
      <c r="J4294" s="138">
        <v>0</v>
      </c>
    </row>
    <row r="4295" spans="1:10" ht="26.25" hidden="1" thickBot="1" x14ac:dyDescent="0.3">
      <c r="A4295" s="225"/>
      <c r="B4295" s="223"/>
      <c r="C4295" s="30" t="s">
        <v>751</v>
      </c>
      <c r="D4295" s="30" t="s">
        <v>120</v>
      </c>
      <c r="E4295" s="31">
        <v>5.6800000000000003E-2</v>
      </c>
      <c r="F4295" s="48">
        <v>186.16200000000001</v>
      </c>
      <c r="G4295" s="48">
        <f t="shared" si="80"/>
        <v>10.574001600000001</v>
      </c>
      <c r="H4295" s="33">
        <f>SUM(G4295:G4305)</f>
        <v>72.445029087439991</v>
      </c>
      <c r="I4295" s="34"/>
      <c r="J4295" s="138">
        <v>0</v>
      </c>
    </row>
    <row r="4296" spans="1:10" ht="15.75" hidden="1" thickBot="1" x14ac:dyDescent="0.3">
      <c r="A4296" s="225"/>
      <c r="B4296" s="223"/>
      <c r="C4296" s="30" t="s">
        <v>1264</v>
      </c>
      <c r="D4296" s="30" t="s">
        <v>120</v>
      </c>
      <c r="E4296" s="31">
        <v>3.5999999999999999E-3</v>
      </c>
      <c r="F4296" s="48">
        <v>142.82300000000001</v>
      </c>
      <c r="G4296" s="48">
        <f t="shared" si="80"/>
        <v>0.51416280000000003</v>
      </c>
      <c r="H4296" s="67"/>
      <c r="I4296" s="68"/>
      <c r="J4296" s="138">
        <v>0</v>
      </c>
    </row>
    <row r="4297" spans="1:10" ht="39" hidden="1" thickBot="1" x14ac:dyDescent="0.3">
      <c r="A4297" s="225"/>
      <c r="B4297" s="223"/>
      <c r="C4297" s="30" t="s">
        <v>1265</v>
      </c>
      <c r="D4297" s="30" t="s">
        <v>988</v>
      </c>
      <c r="E4297" s="31">
        <v>1.0042</v>
      </c>
      <c r="F4297" s="48">
        <v>53.256999999999998</v>
      </c>
      <c r="G4297" s="48">
        <f t="shared" si="80"/>
        <v>53.4806794</v>
      </c>
      <c r="H4297" s="67"/>
      <c r="I4297" s="68"/>
      <c r="J4297" s="138">
        <v>0</v>
      </c>
    </row>
    <row r="4298" spans="1:10" ht="15.75" hidden="1" thickBot="1" x14ac:dyDescent="0.3">
      <c r="A4298" s="225"/>
      <c r="B4298" s="223"/>
      <c r="C4298" s="30" t="s">
        <v>1266</v>
      </c>
      <c r="D4298" s="30" t="s">
        <v>702</v>
      </c>
      <c r="E4298" s="31">
        <v>9.7000000000000003E-2</v>
      </c>
      <c r="F4298" s="48">
        <v>23.0185</v>
      </c>
      <c r="G4298" s="48">
        <f t="shared" si="80"/>
        <v>2.2327945000000002</v>
      </c>
      <c r="H4298" s="67"/>
      <c r="I4298" s="68"/>
      <c r="J4298" s="138">
        <v>0</v>
      </c>
    </row>
    <row r="4299" spans="1:10" ht="15.75" hidden="1" thickBot="1" x14ac:dyDescent="0.3">
      <c r="A4299" s="225"/>
      <c r="B4299" s="223"/>
      <c r="C4299" s="30" t="s">
        <v>703</v>
      </c>
      <c r="D4299" s="30" t="s">
        <v>702</v>
      </c>
      <c r="E4299" s="31">
        <v>9.7000000000000003E-2</v>
      </c>
      <c r="F4299" s="48">
        <v>18.420500000000001</v>
      </c>
      <c r="G4299" s="48">
        <f t="shared" si="80"/>
        <v>1.7867885000000001</v>
      </c>
      <c r="H4299" s="67"/>
      <c r="I4299" s="68"/>
      <c r="J4299" s="138">
        <v>0</v>
      </c>
    </row>
    <row r="4300" spans="1:10" ht="39" hidden="1" thickBot="1" x14ac:dyDescent="0.3">
      <c r="A4300" s="225"/>
      <c r="B4300" s="223"/>
      <c r="C4300" s="30" t="s">
        <v>1099</v>
      </c>
      <c r="D4300" s="30" t="s">
        <v>938</v>
      </c>
      <c r="E4300" s="31">
        <v>4.1000000000000003E-3</v>
      </c>
      <c r="F4300" s="48">
        <v>9.2530000000000001</v>
      </c>
      <c r="G4300" s="48">
        <f t="shared" si="80"/>
        <v>3.7937300000000007E-2</v>
      </c>
      <c r="H4300" s="67"/>
      <c r="I4300" s="68"/>
      <c r="J4300" s="138">
        <v>0</v>
      </c>
    </row>
    <row r="4301" spans="1:10" ht="39" hidden="1" thickBot="1" x14ac:dyDescent="0.3">
      <c r="A4301" s="225"/>
      <c r="B4301" s="223"/>
      <c r="C4301" s="30" t="s">
        <v>1267</v>
      </c>
      <c r="D4301" s="30" t="s">
        <v>940</v>
      </c>
      <c r="E4301" s="31">
        <v>4.4400000000000002E-2</v>
      </c>
      <c r="F4301" s="48">
        <v>0.55099999999999993</v>
      </c>
      <c r="G4301" s="48">
        <f t="shared" si="80"/>
        <v>2.4464399999999997E-2</v>
      </c>
      <c r="H4301" s="67"/>
      <c r="I4301" s="68"/>
      <c r="J4301" s="138">
        <v>0</v>
      </c>
    </row>
    <row r="4302" spans="1:10" ht="51.75" hidden="1" thickBot="1" x14ac:dyDescent="0.3">
      <c r="A4302" s="225"/>
      <c r="B4302" s="223"/>
      <c r="C4302" s="30" t="s">
        <v>1268</v>
      </c>
      <c r="D4302" s="30" t="s">
        <v>938</v>
      </c>
      <c r="E4302" s="31">
        <v>3.7000000000000002E-3</v>
      </c>
      <c r="F4302" s="48">
        <v>9.8610000000000007</v>
      </c>
      <c r="G4302" s="48">
        <f t="shared" si="80"/>
        <v>3.6485700000000003E-2</v>
      </c>
      <c r="H4302" s="67"/>
      <c r="I4302" s="68"/>
      <c r="J4302" s="138">
        <v>0</v>
      </c>
    </row>
    <row r="4303" spans="1:10" ht="51.75" hidden="1" thickBot="1" x14ac:dyDescent="0.3">
      <c r="A4303" s="225"/>
      <c r="B4303" s="223"/>
      <c r="C4303" s="30" t="s">
        <v>1269</v>
      </c>
      <c r="D4303" s="30" t="s">
        <v>940</v>
      </c>
      <c r="E4303" s="31">
        <v>4.48E-2</v>
      </c>
      <c r="F4303" s="48">
        <v>0.79799999999999993</v>
      </c>
      <c r="G4303" s="48">
        <f t="shared" ref="G4303:G4366" si="81">IF(ISNUMBER(F4303),E4303*F4303,"")</f>
        <v>3.5750399999999995E-2</v>
      </c>
      <c r="H4303" s="67"/>
      <c r="I4303" s="68"/>
      <c r="J4303" s="138">
        <v>0</v>
      </c>
    </row>
    <row r="4304" spans="1:10" ht="51.75" hidden="1" thickBot="1" x14ac:dyDescent="0.3">
      <c r="A4304" s="225"/>
      <c r="B4304" s="223"/>
      <c r="C4304" s="30" t="s">
        <v>1826</v>
      </c>
      <c r="D4304" s="30" t="s">
        <v>109</v>
      </c>
      <c r="E4304" s="31">
        <f>1*(E4295+E4296)</f>
        <v>6.0400000000000002E-2</v>
      </c>
      <c r="F4304" s="28">
        <v>7.8564315999999996</v>
      </c>
      <c r="G4304" s="28">
        <f t="shared" si="81"/>
        <v>0.47452846863999998</v>
      </c>
      <c r="H4304" s="29"/>
      <c r="I4304" s="25"/>
      <c r="J4304" s="138">
        <v>0</v>
      </c>
    </row>
    <row r="4305" spans="1:10" ht="39" hidden="1" thickBot="1" x14ac:dyDescent="0.3">
      <c r="A4305" s="225"/>
      <c r="B4305" s="223"/>
      <c r="C4305" s="30" t="s">
        <v>121</v>
      </c>
      <c r="D4305" s="30" t="s">
        <v>122</v>
      </c>
      <c r="E4305" s="31">
        <f>20*(E4295+E4296)</f>
        <v>1.208</v>
      </c>
      <c r="F4305" s="48">
        <v>2.6882748499999995</v>
      </c>
      <c r="G4305" s="48">
        <f t="shared" si="81"/>
        <v>3.2474360187999993</v>
      </c>
      <c r="H4305" s="67"/>
      <c r="I4305" s="68"/>
      <c r="J4305" s="138">
        <v>0</v>
      </c>
    </row>
    <row r="4306" spans="1:10" ht="15.75" hidden="1" thickBot="1" x14ac:dyDescent="0.3">
      <c r="A4306" s="225"/>
      <c r="B4306" s="223"/>
      <c r="C4306" s="30"/>
      <c r="D4306" s="30"/>
      <c r="E4306" s="31"/>
      <c r="F4306" s="48" t="s">
        <v>521</v>
      </c>
      <c r="G4306" s="48" t="str">
        <f t="shared" si="81"/>
        <v/>
      </c>
      <c r="H4306" s="67"/>
      <c r="I4306" s="68"/>
      <c r="J4306" s="138">
        <v>0</v>
      </c>
    </row>
    <row r="4307" spans="1:10" ht="26.25" hidden="1" thickBot="1" x14ac:dyDescent="0.3">
      <c r="A4307" s="225"/>
      <c r="B4307" s="223"/>
      <c r="C4307" s="42" t="s">
        <v>1270</v>
      </c>
      <c r="D4307" s="30"/>
      <c r="E4307" s="31"/>
      <c r="F4307" s="48" t="s">
        <v>521</v>
      </c>
      <c r="G4307" s="48" t="str">
        <f t="shared" si="81"/>
        <v/>
      </c>
      <c r="H4307" s="67"/>
      <c r="I4307" s="68"/>
      <c r="J4307" s="138">
        <v>0</v>
      </c>
    </row>
    <row r="4308" spans="1:10" ht="15.75" hidden="1" thickBot="1" x14ac:dyDescent="0.3">
      <c r="A4308" s="226"/>
      <c r="B4308" s="224"/>
      <c r="C4308" s="49"/>
      <c r="D4308" s="49"/>
      <c r="E4308" s="60"/>
      <c r="F4308" s="70" t="s">
        <v>521</v>
      </c>
      <c r="G4308" s="70" t="str">
        <f t="shared" si="81"/>
        <v/>
      </c>
      <c r="H4308" s="71"/>
      <c r="I4308" s="68"/>
      <c r="J4308" s="138">
        <v>0</v>
      </c>
    </row>
    <row r="4309" spans="1:10" ht="15.75" thickBot="1" x14ac:dyDescent="0.3">
      <c r="A4309" s="220" t="s">
        <v>1271</v>
      </c>
      <c r="B4309" s="222" t="str">
        <f>INDEX(Orçamentária!A:B,MATCH(Composições!A4309,Orçamentária!A:A,0),2)</f>
        <v>Pavimentação com Asfalto Pré-Misturado a Frio (PMF)</v>
      </c>
      <c r="C4309" s="35"/>
      <c r="D4309" s="20" t="s">
        <v>109</v>
      </c>
      <c r="E4309" s="21"/>
      <c r="F4309" s="43" t="s">
        <v>521</v>
      </c>
      <c r="G4309" s="22" t="str">
        <f t="shared" si="81"/>
        <v/>
      </c>
      <c r="H4309" s="23"/>
      <c r="I4309" s="24"/>
      <c r="J4309" s="138">
        <v>90</v>
      </c>
    </row>
    <row r="4310" spans="1:10" x14ac:dyDescent="0.25">
      <c r="A4310" s="225"/>
      <c r="B4310" s="223"/>
      <c r="C4310" s="26"/>
      <c r="D4310" s="26"/>
      <c r="E4310" s="27"/>
      <c r="F4310" s="48" t="s">
        <v>521</v>
      </c>
      <c r="G4310" s="48" t="str">
        <f t="shared" si="81"/>
        <v/>
      </c>
      <c r="H4310" s="67"/>
      <c r="I4310" s="68"/>
      <c r="J4310" s="138">
        <v>90</v>
      </c>
    </row>
    <row r="4311" spans="1:10" x14ac:dyDescent="0.25">
      <c r="A4311" s="225"/>
      <c r="B4311" s="223"/>
      <c r="C4311" s="30" t="s">
        <v>703</v>
      </c>
      <c r="D4311" s="30" t="s">
        <v>702</v>
      </c>
      <c r="E4311" s="31">
        <v>0.4</v>
      </c>
      <c r="F4311" s="48">
        <v>18.420500000000001</v>
      </c>
      <c r="G4311" s="48">
        <f t="shared" si="81"/>
        <v>7.3682000000000007</v>
      </c>
      <c r="H4311" s="33">
        <f>SUM(G4311:G4332)</f>
        <v>976.03625073400008</v>
      </c>
      <c r="I4311" s="34"/>
      <c r="J4311" s="138">
        <v>90</v>
      </c>
    </row>
    <row r="4312" spans="1:10" ht="38.25" x14ac:dyDescent="0.25">
      <c r="A4312" s="225"/>
      <c r="B4312" s="223"/>
      <c r="C4312" s="30" t="s">
        <v>1272</v>
      </c>
      <c r="D4312" s="30" t="s">
        <v>940</v>
      </c>
      <c r="E4312" s="31">
        <v>6.0000000000000001E-3</v>
      </c>
      <c r="F4312" s="48">
        <v>73.064499999999995</v>
      </c>
      <c r="G4312" s="48">
        <f t="shared" si="81"/>
        <v>0.43838699999999997</v>
      </c>
      <c r="H4312" s="67"/>
      <c r="I4312" s="68"/>
      <c r="J4312" s="138">
        <v>90</v>
      </c>
    </row>
    <row r="4313" spans="1:10" ht="38.25" x14ac:dyDescent="0.25">
      <c r="A4313" s="225"/>
      <c r="B4313" s="223"/>
      <c r="C4313" s="30" t="s">
        <v>1273</v>
      </c>
      <c r="D4313" s="30" t="s">
        <v>938</v>
      </c>
      <c r="E4313" s="31">
        <v>1.0699999999999999E-2</v>
      </c>
      <c r="F4313" s="48">
        <v>207.6035</v>
      </c>
      <c r="G4313" s="48">
        <f t="shared" si="81"/>
        <v>2.2213574499999997</v>
      </c>
      <c r="H4313" s="67"/>
      <c r="I4313" s="68"/>
      <c r="J4313" s="138">
        <v>90</v>
      </c>
    </row>
    <row r="4314" spans="1:10" ht="38.25" x14ac:dyDescent="0.25">
      <c r="A4314" s="225"/>
      <c r="B4314" s="223"/>
      <c r="C4314" s="30" t="s">
        <v>1274</v>
      </c>
      <c r="D4314" s="30" t="s">
        <v>938</v>
      </c>
      <c r="E4314" s="31">
        <v>6.1999999999999998E-3</v>
      </c>
      <c r="F4314" s="48">
        <v>226.65100000000001</v>
      </c>
      <c r="G4314" s="48">
        <f t="shared" si="81"/>
        <v>1.4052362</v>
      </c>
      <c r="H4314" s="67"/>
      <c r="I4314" s="68"/>
      <c r="J4314" s="138">
        <v>90</v>
      </c>
    </row>
    <row r="4315" spans="1:10" ht="38.25" x14ac:dyDescent="0.25">
      <c r="A4315" s="225"/>
      <c r="B4315" s="223"/>
      <c r="C4315" s="30" t="s">
        <v>1275</v>
      </c>
      <c r="D4315" s="30" t="s">
        <v>940</v>
      </c>
      <c r="E4315" s="31">
        <v>1.0500000000000001E-2</v>
      </c>
      <c r="F4315" s="48">
        <v>67.782499999999985</v>
      </c>
      <c r="G4315" s="48">
        <f t="shared" si="81"/>
        <v>0.71171624999999983</v>
      </c>
      <c r="H4315" s="67"/>
      <c r="I4315" s="68"/>
      <c r="J4315" s="138">
        <v>90</v>
      </c>
    </row>
    <row r="4316" spans="1:10" ht="25.5" x14ac:dyDescent="0.25">
      <c r="A4316" s="225"/>
      <c r="B4316" s="223"/>
      <c r="C4316" s="30" t="s">
        <v>1276</v>
      </c>
      <c r="D4316" s="30" t="s">
        <v>940</v>
      </c>
      <c r="E4316" s="31">
        <v>1.2200000000000001E-2</v>
      </c>
      <c r="F4316" s="48">
        <v>34.484999999999992</v>
      </c>
      <c r="G4316" s="48">
        <f t="shared" si="81"/>
        <v>0.42071699999999995</v>
      </c>
      <c r="H4316" s="67"/>
      <c r="I4316" s="68"/>
      <c r="J4316" s="138">
        <v>90</v>
      </c>
    </row>
    <row r="4317" spans="1:10" ht="25.5" x14ac:dyDescent="0.25">
      <c r="A4317" s="225"/>
      <c r="B4317" s="223"/>
      <c r="C4317" s="30" t="s">
        <v>1277</v>
      </c>
      <c r="D4317" s="30" t="s">
        <v>938</v>
      </c>
      <c r="E4317" s="31">
        <v>4.4999999999999997E-3</v>
      </c>
      <c r="F4317" s="48">
        <v>128.81049999999999</v>
      </c>
      <c r="G4317" s="48">
        <f t="shared" si="81"/>
        <v>0.57964724999999995</v>
      </c>
      <c r="H4317" s="67"/>
      <c r="I4317" s="68"/>
      <c r="J4317" s="138">
        <v>90</v>
      </c>
    </row>
    <row r="4318" spans="1:10" ht="25.5" x14ac:dyDescent="0.25">
      <c r="A4318" s="225"/>
      <c r="B4318" s="223"/>
      <c r="C4318" s="30" t="s">
        <v>1278</v>
      </c>
      <c r="D4318" s="30" t="s">
        <v>940</v>
      </c>
      <c r="E4318" s="31">
        <v>1.2200000000000001E-2</v>
      </c>
      <c r="F4318" s="48">
        <v>5.13</v>
      </c>
      <c r="G4318" s="48">
        <f t="shared" si="81"/>
        <v>6.2586000000000003E-2</v>
      </c>
      <c r="H4318" s="67"/>
      <c r="I4318" s="68"/>
      <c r="J4318" s="138">
        <v>90</v>
      </c>
    </row>
    <row r="4319" spans="1:10" ht="25.5" x14ac:dyDescent="0.25">
      <c r="A4319" s="225"/>
      <c r="B4319" s="223"/>
      <c r="C4319" s="30" t="s">
        <v>1279</v>
      </c>
      <c r="D4319" s="30" t="s">
        <v>938</v>
      </c>
      <c r="E4319" s="31">
        <v>4.4999999999999997E-3</v>
      </c>
      <c r="F4319" s="48">
        <v>10.792</v>
      </c>
      <c r="G4319" s="48">
        <f t="shared" si="81"/>
        <v>4.8563999999999996E-2</v>
      </c>
      <c r="H4319" s="67"/>
      <c r="I4319" s="68"/>
      <c r="J4319" s="138">
        <v>90</v>
      </c>
    </row>
    <row r="4320" spans="1:10" ht="38.25" x14ac:dyDescent="0.25">
      <c r="A4320" s="225"/>
      <c r="B4320" s="223"/>
      <c r="C4320" s="30" t="s">
        <v>1280</v>
      </c>
      <c r="D4320" s="30" t="s">
        <v>938</v>
      </c>
      <c r="E4320" s="31">
        <v>1.67E-2</v>
      </c>
      <c r="F4320" s="48">
        <v>392.48299999999995</v>
      </c>
      <c r="G4320" s="48">
        <f t="shared" si="81"/>
        <v>6.5544660999999991</v>
      </c>
      <c r="H4320" s="67"/>
      <c r="I4320" s="68"/>
      <c r="J4320" s="138">
        <v>90</v>
      </c>
    </row>
    <row r="4321" spans="1:10" ht="38.25" x14ac:dyDescent="0.25">
      <c r="A4321" s="225"/>
      <c r="B4321" s="223"/>
      <c r="C4321" s="30" t="s">
        <v>1281</v>
      </c>
      <c r="D4321" s="30" t="s">
        <v>938</v>
      </c>
      <c r="E4321" s="31">
        <v>2.7199999999999998E-2</v>
      </c>
      <c r="F4321" s="48">
        <v>271.24399999999997</v>
      </c>
      <c r="G4321" s="48">
        <f t="shared" si="81"/>
        <v>7.377836799999999</v>
      </c>
      <c r="H4321" s="67"/>
      <c r="I4321" s="68"/>
      <c r="J4321" s="138">
        <v>90</v>
      </c>
    </row>
    <row r="4322" spans="1:10" x14ac:dyDescent="0.25">
      <c r="A4322" s="225"/>
      <c r="B4322" s="223"/>
      <c r="C4322" s="30" t="s">
        <v>703</v>
      </c>
      <c r="D4322" s="30" t="s">
        <v>702</v>
      </c>
      <c r="E4322" s="31">
        <v>0.3</v>
      </c>
      <c r="F4322" s="48">
        <v>18.420500000000001</v>
      </c>
      <c r="G4322" s="48">
        <f t="shared" si="81"/>
        <v>5.5261500000000003</v>
      </c>
      <c r="H4322" s="67"/>
      <c r="I4322" s="68"/>
      <c r="J4322" s="138">
        <v>90</v>
      </c>
    </row>
    <row r="4323" spans="1:10" ht="25.5" x14ac:dyDescent="0.25">
      <c r="A4323" s="225"/>
      <c r="B4323" s="223"/>
      <c r="C4323" s="30" t="s">
        <v>1282</v>
      </c>
      <c r="D4323" s="30" t="s">
        <v>109</v>
      </c>
      <c r="E4323" s="31">
        <v>0.18</v>
      </c>
      <c r="F4323" s="48">
        <v>188.59399999999999</v>
      </c>
      <c r="G4323" s="48">
        <f t="shared" si="81"/>
        <v>33.946919999999999</v>
      </c>
      <c r="H4323" s="67"/>
      <c r="I4323" s="68"/>
      <c r="J4323" s="138">
        <v>90</v>
      </c>
    </row>
    <row r="4324" spans="1:10" ht="25.5" x14ac:dyDescent="0.25">
      <c r="A4324" s="225"/>
      <c r="B4324" s="223"/>
      <c r="C4324" s="30" t="s">
        <v>756</v>
      </c>
      <c r="D4324" s="30" t="s">
        <v>109</v>
      </c>
      <c r="E4324" s="31">
        <v>1.26</v>
      </c>
      <c r="F4324" s="48">
        <v>174.5625</v>
      </c>
      <c r="G4324" s="48">
        <f t="shared" si="81"/>
        <v>219.94874999999999</v>
      </c>
      <c r="H4324" s="67"/>
      <c r="I4324" s="68"/>
      <c r="J4324" s="138">
        <v>90</v>
      </c>
    </row>
    <row r="4325" spans="1:10" ht="38.25" x14ac:dyDescent="0.25">
      <c r="A4325" s="225"/>
      <c r="B4325" s="223"/>
      <c r="C4325" s="30" t="s">
        <v>1283</v>
      </c>
      <c r="D4325" s="30" t="s">
        <v>1284</v>
      </c>
      <c r="E4325" s="31">
        <v>0.14000000000000001</v>
      </c>
      <c r="F4325" s="48">
        <v>3897.8215</v>
      </c>
      <c r="G4325" s="48">
        <f t="shared" si="81"/>
        <v>545.69501000000002</v>
      </c>
      <c r="H4325" s="67"/>
      <c r="I4325" s="68"/>
      <c r="J4325" s="138">
        <v>90</v>
      </c>
    </row>
    <row r="4326" spans="1:10" ht="25.5" x14ac:dyDescent="0.25">
      <c r="A4326" s="225"/>
      <c r="B4326" s="223"/>
      <c r="C4326" s="30" t="s">
        <v>1285</v>
      </c>
      <c r="D4326" s="30" t="s">
        <v>938</v>
      </c>
      <c r="E4326" s="31">
        <v>0.05</v>
      </c>
      <c r="F4326" s="48">
        <v>200.36449999999999</v>
      </c>
      <c r="G4326" s="48">
        <f t="shared" si="81"/>
        <v>10.018225000000001</v>
      </c>
      <c r="H4326" s="67"/>
      <c r="I4326" s="68"/>
      <c r="J4326" s="138">
        <v>90</v>
      </c>
    </row>
    <row r="4327" spans="1:10" ht="38.25" x14ac:dyDescent="0.25">
      <c r="A4327" s="225"/>
      <c r="B4327" s="223"/>
      <c r="C4327" s="30" t="s">
        <v>1286</v>
      </c>
      <c r="D4327" s="30" t="s">
        <v>938</v>
      </c>
      <c r="E4327" s="31">
        <v>2.1000000000000001E-2</v>
      </c>
      <c r="F4327" s="48">
        <v>212.86649999999997</v>
      </c>
      <c r="G4327" s="48">
        <f t="shared" si="81"/>
        <v>4.4701965000000001</v>
      </c>
      <c r="H4327" s="67"/>
      <c r="I4327" s="68"/>
      <c r="J4327" s="138">
        <v>90</v>
      </c>
    </row>
    <row r="4328" spans="1:10" ht="38.25" x14ac:dyDescent="0.25">
      <c r="A4328" s="225"/>
      <c r="B4328" s="223"/>
      <c r="C4328" s="30" t="s">
        <v>1287</v>
      </c>
      <c r="D4328" s="30" t="s">
        <v>940</v>
      </c>
      <c r="E4328" s="31">
        <v>2.9000000000000001E-2</v>
      </c>
      <c r="F4328" s="48">
        <v>72.826999999999998</v>
      </c>
      <c r="G4328" s="48">
        <f t="shared" si="81"/>
        <v>2.1119829999999999</v>
      </c>
      <c r="H4328" s="67"/>
      <c r="I4328" s="68"/>
      <c r="J4328" s="138">
        <v>90</v>
      </c>
    </row>
    <row r="4329" spans="1:10" ht="25.5" x14ac:dyDescent="0.25">
      <c r="A4329" s="225"/>
      <c r="B4329" s="223"/>
      <c r="C4329" s="30" t="s">
        <v>1288</v>
      </c>
      <c r="D4329" s="30" t="s">
        <v>938</v>
      </c>
      <c r="E4329" s="31">
        <v>0.05</v>
      </c>
      <c r="F4329" s="48">
        <v>140.74250000000001</v>
      </c>
      <c r="G4329" s="48">
        <f t="shared" si="81"/>
        <v>7.0371250000000005</v>
      </c>
      <c r="H4329" s="67"/>
      <c r="I4329" s="68"/>
      <c r="J4329" s="138">
        <v>90</v>
      </c>
    </row>
    <row r="4330" spans="1:10" ht="25.5" x14ac:dyDescent="0.25">
      <c r="A4330" s="225"/>
      <c r="B4330" s="223"/>
      <c r="C4330" s="30" t="s">
        <v>1289</v>
      </c>
      <c r="D4330" s="30" t="s">
        <v>938</v>
      </c>
      <c r="E4330" s="31">
        <v>0.1</v>
      </c>
      <c r="F4330" s="48">
        <v>313.57599999999996</v>
      </c>
      <c r="G4330" s="48">
        <f t="shared" si="81"/>
        <v>31.357599999999998</v>
      </c>
      <c r="H4330" s="67"/>
      <c r="I4330" s="68"/>
      <c r="J4330" s="138">
        <v>90</v>
      </c>
    </row>
    <row r="4331" spans="1:10" ht="51" x14ac:dyDescent="0.25">
      <c r="A4331" s="225"/>
      <c r="B4331" s="223"/>
      <c r="C4331" s="30" t="s">
        <v>1826</v>
      </c>
      <c r="D4331" s="30" t="s">
        <v>109</v>
      </c>
      <c r="E4331" s="31">
        <f>1*(E4323+E4324)</f>
        <v>1.44</v>
      </c>
      <c r="F4331" s="28">
        <v>7.8564315999999996</v>
      </c>
      <c r="G4331" s="28">
        <f t="shared" si="81"/>
        <v>11.313261504</v>
      </c>
      <c r="H4331" s="29"/>
      <c r="I4331" s="25"/>
      <c r="J4331" s="138">
        <v>90</v>
      </c>
    </row>
    <row r="4332" spans="1:10" ht="38.25" x14ac:dyDescent="0.25">
      <c r="A4332" s="225"/>
      <c r="B4332" s="223"/>
      <c r="C4332" s="30" t="s">
        <v>121</v>
      </c>
      <c r="D4332" s="30" t="s">
        <v>122</v>
      </c>
      <c r="E4332" s="31">
        <f>20*(E4324+E4323)</f>
        <v>28.799999999999997</v>
      </c>
      <c r="F4332" s="48">
        <v>2.6882748499999995</v>
      </c>
      <c r="G4332" s="48">
        <f t="shared" si="81"/>
        <v>77.422315679999983</v>
      </c>
      <c r="H4332" s="67"/>
      <c r="I4332" s="68"/>
      <c r="J4332" s="138">
        <v>90</v>
      </c>
    </row>
    <row r="4333" spans="1:10" x14ac:dyDescent="0.25">
      <c r="A4333" s="225"/>
      <c r="B4333" s="223"/>
      <c r="C4333" s="30"/>
      <c r="D4333" s="30"/>
      <c r="E4333" s="31"/>
      <c r="F4333" s="48" t="s">
        <v>521</v>
      </c>
      <c r="G4333" s="48" t="str">
        <f t="shared" si="81"/>
        <v/>
      </c>
      <c r="H4333" s="67"/>
      <c r="I4333" s="68"/>
      <c r="J4333" s="138">
        <v>90</v>
      </c>
    </row>
    <row r="4334" spans="1:10" ht="25.5" x14ac:dyDescent="0.25">
      <c r="A4334" s="225"/>
      <c r="B4334" s="223"/>
      <c r="C4334" s="42" t="s">
        <v>1270</v>
      </c>
      <c r="D4334" s="30"/>
      <c r="E4334" s="31"/>
      <c r="F4334" s="48" t="s">
        <v>521</v>
      </c>
      <c r="G4334" s="48" t="str">
        <f t="shared" si="81"/>
        <v/>
      </c>
      <c r="H4334" s="67"/>
      <c r="I4334" s="68"/>
      <c r="J4334" s="138">
        <v>90</v>
      </c>
    </row>
    <row r="4335" spans="1:10" ht="15.75" thickBot="1" x14ac:dyDescent="0.3">
      <c r="A4335" s="226"/>
      <c r="B4335" s="224"/>
      <c r="C4335" s="49"/>
      <c r="D4335" s="49"/>
      <c r="E4335" s="60"/>
      <c r="F4335" s="70" t="s">
        <v>521</v>
      </c>
      <c r="G4335" s="70" t="str">
        <f t="shared" si="81"/>
        <v/>
      </c>
      <c r="H4335" s="71"/>
      <c r="I4335" s="68"/>
      <c r="J4335" s="138">
        <v>90</v>
      </c>
    </row>
    <row r="4336" spans="1:10" ht="15.75" hidden="1" thickBot="1" x14ac:dyDescent="0.3">
      <c r="A4336" s="220" t="s">
        <v>1290</v>
      </c>
      <c r="B4336" s="222" t="e">
        <f>INDEX(Orçamentária!A:B,MATCH(Composições!A4336,Orçamentária!A:A,0),2)</f>
        <v>#N/A</v>
      </c>
      <c r="C4336" s="35"/>
      <c r="D4336" s="20" t="s">
        <v>109</v>
      </c>
      <c r="E4336" s="21"/>
      <c r="F4336" s="43" t="s">
        <v>521</v>
      </c>
      <c r="G4336" s="22" t="str">
        <f t="shared" si="81"/>
        <v/>
      </c>
      <c r="H4336" s="23"/>
      <c r="I4336" s="24"/>
      <c r="J4336" s="138">
        <v>0</v>
      </c>
    </row>
    <row r="4337" spans="1:10" ht="15.75" hidden="1" thickBot="1" x14ac:dyDescent="0.3">
      <c r="A4337" s="225"/>
      <c r="B4337" s="223"/>
      <c r="C4337" s="26"/>
      <c r="D4337" s="26"/>
      <c r="E4337" s="27"/>
      <c r="F4337" s="48" t="s">
        <v>521</v>
      </c>
      <c r="G4337" s="48" t="str">
        <f t="shared" si="81"/>
        <v/>
      </c>
      <c r="H4337" s="67"/>
      <c r="I4337" s="68"/>
      <c r="J4337" s="138">
        <v>0</v>
      </c>
    </row>
    <row r="4338" spans="1:10" ht="15.75" hidden="1" thickBot="1" x14ac:dyDescent="0.3">
      <c r="A4338" s="225"/>
      <c r="B4338" s="223"/>
      <c r="C4338" s="30" t="s">
        <v>703</v>
      </c>
      <c r="D4338" s="30" t="s">
        <v>702</v>
      </c>
      <c r="E4338" s="31">
        <f>6/0.5</f>
        <v>12</v>
      </c>
      <c r="F4338" s="48">
        <v>18.420500000000001</v>
      </c>
      <c r="G4338" s="48">
        <f t="shared" si="81"/>
        <v>221.04599999999999</v>
      </c>
      <c r="H4338" s="33">
        <f>SUM(G4338:G4341)</f>
        <v>221.04599999999999</v>
      </c>
      <c r="I4338" s="34"/>
      <c r="J4338" s="138">
        <v>0</v>
      </c>
    </row>
    <row r="4339" spans="1:10" ht="15.75" hidden="1" thickBot="1" x14ac:dyDescent="0.3">
      <c r="A4339" s="225"/>
      <c r="B4339" s="223"/>
      <c r="C4339" s="30" t="s">
        <v>1291</v>
      </c>
      <c r="D4339" s="30" t="s">
        <v>938</v>
      </c>
      <c r="E4339" s="31">
        <f>0.2/0.5</f>
        <v>0.4</v>
      </c>
      <c r="F4339" s="48">
        <v>0</v>
      </c>
      <c r="G4339" s="48">
        <f t="shared" si="81"/>
        <v>0</v>
      </c>
      <c r="H4339" s="67"/>
      <c r="I4339" s="68"/>
      <c r="J4339" s="138">
        <v>0</v>
      </c>
    </row>
    <row r="4340" spans="1:10" ht="15.75" hidden="1" thickBot="1" x14ac:dyDescent="0.3">
      <c r="A4340" s="225"/>
      <c r="B4340" s="223"/>
      <c r="C4340" s="30" t="s">
        <v>1292</v>
      </c>
      <c r="D4340" s="30" t="s">
        <v>940</v>
      </c>
      <c r="E4340" s="31">
        <f>0.8/0.5</f>
        <v>1.6</v>
      </c>
      <c r="F4340" s="48">
        <v>0</v>
      </c>
      <c r="G4340" s="48">
        <f t="shared" si="81"/>
        <v>0</v>
      </c>
      <c r="H4340" s="67"/>
      <c r="I4340" s="68"/>
      <c r="J4340" s="138">
        <v>0</v>
      </c>
    </row>
    <row r="4341" spans="1:10" ht="15.75" hidden="1" thickBot="1" x14ac:dyDescent="0.3">
      <c r="A4341" s="225"/>
      <c r="B4341" s="223"/>
      <c r="C4341" s="30" t="s">
        <v>1293</v>
      </c>
      <c r="D4341" s="30" t="s">
        <v>42</v>
      </c>
      <c r="E4341" s="31">
        <v>2500</v>
      </c>
      <c r="F4341" s="48" t="s">
        <v>521</v>
      </c>
      <c r="G4341" s="48" t="str">
        <f t="shared" si="81"/>
        <v/>
      </c>
      <c r="H4341" s="67"/>
      <c r="I4341" s="68"/>
      <c r="J4341" s="138">
        <v>0</v>
      </c>
    </row>
    <row r="4342" spans="1:10" ht="15.75" hidden="1" thickBot="1" x14ac:dyDescent="0.3">
      <c r="A4342" s="226"/>
      <c r="B4342" s="224"/>
      <c r="C4342" s="49"/>
      <c r="D4342" s="49"/>
      <c r="E4342" s="60"/>
      <c r="F4342" s="70" t="s">
        <v>521</v>
      </c>
      <c r="G4342" s="70" t="str">
        <f t="shared" si="81"/>
        <v/>
      </c>
      <c r="H4342" s="71"/>
      <c r="I4342" s="68"/>
      <c r="J4342" s="138">
        <v>0</v>
      </c>
    </row>
    <row r="4343" spans="1:10" ht="15.75" hidden="1" thickBot="1" x14ac:dyDescent="0.3">
      <c r="A4343" s="220" t="s">
        <v>1294</v>
      </c>
      <c r="B4343" s="222" t="e">
        <f>INDEX(Orçamentária!A:B,MATCH(Composições!A4343,Orçamentária!A:A,0),2)</f>
        <v>#N/A</v>
      </c>
      <c r="C4343" s="35"/>
      <c r="D4343" s="20" t="s">
        <v>93</v>
      </c>
      <c r="E4343" s="21"/>
      <c r="F4343" s="43" t="s">
        <v>521</v>
      </c>
      <c r="G4343" s="22" t="str">
        <f t="shared" si="81"/>
        <v/>
      </c>
      <c r="H4343" s="23"/>
      <c r="I4343" s="24"/>
      <c r="J4343" s="138">
        <v>0</v>
      </c>
    </row>
    <row r="4344" spans="1:10" ht="15.75" hidden="1" thickBot="1" x14ac:dyDescent="0.3">
      <c r="A4344" s="225"/>
      <c r="B4344" s="223"/>
      <c r="C4344" s="26"/>
      <c r="D4344" s="26"/>
      <c r="E4344" s="27"/>
      <c r="F4344" s="48" t="s">
        <v>521</v>
      </c>
      <c r="G4344" s="48" t="str">
        <f t="shared" si="81"/>
        <v/>
      </c>
      <c r="H4344" s="67"/>
      <c r="I4344" s="68"/>
      <c r="J4344" s="138">
        <v>0</v>
      </c>
    </row>
    <row r="4345" spans="1:10" ht="15.75" hidden="1" thickBot="1" x14ac:dyDescent="0.3">
      <c r="A4345" s="225"/>
      <c r="B4345" s="223"/>
      <c r="C4345" s="30" t="s">
        <v>2310</v>
      </c>
      <c r="D4345" s="30" t="s">
        <v>102</v>
      </c>
      <c r="E4345" s="31">
        <v>2E-3</v>
      </c>
      <c r="F4345" s="48">
        <v>17.099999999999998</v>
      </c>
      <c r="G4345" s="48">
        <f t="shared" si="81"/>
        <v>3.4199999999999994E-2</v>
      </c>
      <c r="H4345" s="33">
        <f>SUM(G4345:G4352)</f>
        <v>4.8369306999999999</v>
      </c>
      <c r="I4345" s="34"/>
      <c r="J4345" s="138">
        <v>0</v>
      </c>
    </row>
    <row r="4346" spans="1:10" ht="26.25" hidden="1" thickBot="1" x14ac:dyDescent="0.3">
      <c r="A4346" s="225"/>
      <c r="B4346" s="223"/>
      <c r="C4346" s="30" t="s">
        <v>2277</v>
      </c>
      <c r="D4346" s="30" t="s">
        <v>102</v>
      </c>
      <c r="E4346" s="31">
        <v>4.2999999999999997E-2</v>
      </c>
      <c r="F4346" s="48">
        <v>16.482500000000002</v>
      </c>
      <c r="G4346" s="48">
        <f t="shared" si="81"/>
        <v>0.70874749999999997</v>
      </c>
      <c r="H4346" s="67"/>
      <c r="I4346" s="68"/>
      <c r="J4346" s="138">
        <v>0</v>
      </c>
    </row>
    <row r="4347" spans="1:10" ht="26.25" hidden="1" thickBot="1" x14ac:dyDescent="0.3">
      <c r="A4347" s="225"/>
      <c r="B4347" s="223"/>
      <c r="C4347" s="30" t="s">
        <v>1295</v>
      </c>
      <c r="D4347" s="30" t="s">
        <v>897</v>
      </c>
      <c r="E4347" s="31">
        <v>1.0999999999999999E-2</v>
      </c>
      <c r="F4347" s="48">
        <v>7.0869999999999997</v>
      </c>
      <c r="G4347" s="48">
        <f t="shared" si="81"/>
        <v>7.7956999999999999E-2</v>
      </c>
      <c r="H4347" s="67"/>
      <c r="I4347" s="68"/>
      <c r="J4347" s="138">
        <v>0</v>
      </c>
    </row>
    <row r="4348" spans="1:10" ht="26.25" hidden="1" thickBot="1" x14ac:dyDescent="0.3">
      <c r="A4348" s="225"/>
      <c r="B4348" s="223"/>
      <c r="C4348" s="30" t="s">
        <v>2297</v>
      </c>
      <c r="D4348" s="30" t="s">
        <v>897</v>
      </c>
      <c r="E4348" s="31">
        <v>2.5000000000000001E-2</v>
      </c>
      <c r="F4348" s="48">
        <v>7.0869999999999997</v>
      </c>
      <c r="G4348" s="48">
        <f t="shared" si="81"/>
        <v>0.177175</v>
      </c>
      <c r="H4348" s="67"/>
      <c r="I4348" s="68"/>
      <c r="J4348" s="138">
        <v>0</v>
      </c>
    </row>
    <row r="4349" spans="1:10" ht="15.75" hidden="1" thickBot="1" x14ac:dyDescent="0.3">
      <c r="A4349" s="225"/>
      <c r="B4349" s="223"/>
      <c r="C4349" s="30" t="s">
        <v>1091</v>
      </c>
      <c r="D4349" s="30" t="s">
        <v>702</v>
      </c>
      <c r="E4349" s="31">
        <v>3.4000000000000002E-2</v>
      </c>
      <c r="F4349" s="48">
        <v>25.887499999999999</v>
      </c>
      <c r="G4349" s="48">
        <f t="shared" si="81"/>
        <v>0.88017500000000004</v>
      </c>
      <c r="H4349" s="67"/>
      <c r="I4349" s="68"/>
      <c r="J4349" s="138">
        <v>0</v>
      </c>
    </row>
    <row r="4350" spans="1:10" ht="15.75" hidden="1" thickBot="1" x14ac:dyDescent="0.3">
      <c r="A4350" s="225"/>
      <c r="B4350" s="223"/>
      <c r="C4350" s="30" t="s">
        <v>703</v>
      </c>
      <c r="D4350" s="30" t="s">
        <v>702</v>
      </c>
      <c r="E4350" s="31">
        <v>1.4E-2</v>
      </c>
      <c r="F4350" s="48">
        <v>18.420500000000001</v>
      </c>
      <c r="G4350" s="48">
        <f t="shared" si="81"/>
        <v>0.25788700000000003</v>
      </c>
      <c r="H4350" s="67"/>
      <c r="I4350" s="68"/>
      <c r="J4350" s="138">
        <v>0</v>
      </c>
    </row>
    <row r="4351" spans="1:10" ht="26.25" hidden="1" thickBot="1" x14ac:dyDescent="0.3">
      <c r="A4351" s="225"/>
      <c r="B4351" s="223"/>
      <c r="C4351" s="30" t="s">
        <v>1296</v>
      </c>
      <c r="D4351" s="30" t="s">
        <v>938</v>
      </c>
      <c r="E4351" s="31">
        <v>2.9999999999999997E-4</v>
      </c>
      <c r="F4351" s="48">
        <v>174.28700000000001</v>
      </c>
      <c r="G4351" s="48">
        <f t="shared" si="81"/>
        <v>5.2286099999999995E-2</v>
      </c>
      <c r="H4351" s="67"/>
      <c r="I4351" s="68"/>
      <c r="J4351" s="138">
        <v>0</v>
      </c>
    </row>
    <row r="4352" spans="1:10" ht="26.25" hidden="1" thickBot="1" x14ac:dyDescent="0.3">
      <c r="A4352" s="225"/>
      <c r="B4352" s="223"/>
      <c r="C4352" s="30" t="s">
        <v>1577</v>
      </c>
      <c r="D4352" s="30" t="s">
        <v>940</v>
      </c>
      <c r="E4352" s="31">
        <v>3.3399999999999999E-2</v>
      </c>
      <c r="F4352" s="48">
        <v>79.296499999999995</v>
      </c>
      <c r="G4352" s="48">
        <f t="shared" si="81"/>
        <v>2.6485030999999997</v>
      </c>
      <c r="H4352" s="67"/>
      <c r="I4352" s="68"/>
      <c r="J4352" s="138">
        <v>0</v>
      </c>
    </row>
    <row r="4353" spans="1:10" ht="15.75" hidden="1" thickBot="1" x14ac:dyDescent="0.3">
      <c r="A4353" s="226"/>
      <c r="B4353" s="224"/>
      <c r="C4353" s="49"/>
      <c r="D4353" s="49"/>
      <c r="E4353" s="60"/>
      <c r="F4353" s="70" t="s">
        <v>521</v>
      </c>
      <c r="G4353" s="70" t="str">
        <f t="shared" si="81"/>
        <v/>
      </c>
      <c r="H4353" s="71"/>
      <c r="I4353" s="68"/>
      <c r="J4353" s="138">
        <v>0</v>
      </c>
    </row>
    <row r="4354" spans="1:10" ht="15.75" hidden="1" thickBot="1" x14ac:dyDescent="0.3">
      <c r="A4354" s="220" t="s">
        <v>1297</v>
      </c>
      <c r="B4354" s="222" t="e">
        <f>INDEX(Orçamentária!A:B,MATCH(Composições!A4354,Orçamentária!A:A,0),2)</f>
        <v>#N/A</v>
      </c>
      <c r="C4354" s="35"/>
      <c r="D4354" s="20" t="s">
        <v>95</v>
      </c>
      <c r="E4354" s="21"/>
      <c r="F4354" s="43" t="s">
        <v>521</v>
      </c>
      <c r="G4354" s="22" t="str">
        <f t="shared" si="81"/>
        <v/>
      </c>
      <c r="H4354" s="23"/>
      <c r="I4354" s="24"/>
      <c r="J4354" s="138">
        <v>0</v>
      </c>
    </row>
    <row r="4355" spans="1:10" ht="15.75" hidden="1" thickBot="1" x14ac:dyDescent="0.3">
      <c r="A4355" s="225"/>
      <c r="B4355" s="223"/>
      <c r="C4355" s="26"/>
      <c r="D4355" s="26"/>
      <c r="E4355" s="27"/>
      <c r="F4355" s="48" t="s">
        <v>521</v>
      </c>
      <c r="G4355" s="48" t="str">
        <f t="shared" si="81"/>
        <v/>
      </c>
      <c r="H4355" s="67"/>
      <c r="I4355" s="68"/>
      <c r="J4355" s="138">
        <v>0</v>
      </c>
    </row>
    <row r="4356" spans="1:10" ht="39" hidden="1" thickBot="1" x14ac:dyDescent="0.3">
      <c r="A4356" s="225"/>
      <c r="B4356" s="223"/>
      <c r="C4356" s="30" t="s">
        <v>1741</v>
      </c>
      <c r="D4356" s="41" t="s">
        <v>988</v>
      </c>
      <c r="E4356" s="31">
        <v>1.1659999999999999</v>
      </c>
      <c r="F4356" s="48">
        <v>59.954499999999996</v>
      </c>
      <c r="G4356" s="48">
        <f t="shared" si="81"/>
        <v>69.906946999999988</v>
      </c>
      <c r="H4356" s="33">
        <f>SUM(G4356:G4361)</f>
        <v>83.973475399999984</v>
      </c>
      <c r="I4356" s="34"/>
      <c r="J4356" s="138">
        <v>0</v>
      </c>
    </row>
    <row r="4357" spans="1:10" ht="39" hidden="1" thickBot="1" x14ac:dyDescent="0.3">
      <c r="A4357" s="225"/>
      <c r="B4357" s="223"/>
      <c r="C4357" s="30" t="s">
        <v>1298</v>
      </c>
      <c r="D4357" s="41" t="s">
        <v>739</v>
      </c>
      <c r="E4357" s="31">
        <v>4.1500000000000004</v>
      </c>
      <c r="F4357" s="48">
        <v>2.4129999999999998</v>
      </c>
      <c r="G4357" s="48">
        <f t="shared" si="81"/>
        <v>10.013949999999999</v>
      </c>
      <c r="H4357" s="67"/>
      <c r="I4357" s="68"/>
      <c r="J4357" s="138">
        <v>0</v>
      </c>
    </row>
    <row r="4358" spans="1:10" ht="15.75" hidden="1" thickBot="1" x14ac:dyDescent="0.3">
      <c r="A4358" s="225"/>
      <c r="B4358" s="223"/>
      <c r="C4358" s="30" t="s">
        <v>703</v>
      </c>
      <c r="D4358" s="30" t="s">
        <v>702</v>
      </c>
      <c r="E4358" s="31">
        <v>9.7000000000000003E-2</v>
      </c>
      <c r="F4358" s="48">
        <v>18.420500000000001</v>
      </c>
      <c r="G4358" s="48">
        <f t="shared" si="81"/>
        <v>1.7867885000000001</v>
      </c>
      <c r="H4358" s="67"/>
      <c r="I4358" s="68"/>
      <c r="J4358" s="138">
        <v>0</v>
      </c>
    </row>
    <row r="4359" spans="1:10" ht="15.75" hidden="1" thickBot="1" x14ac:dyDescent="0.3">
      <c r="A4359" s="225"/>
      <c r="B4359" s="223"/>
      <c r="C4359" s="30" t="s">
        <v>1299</v>
      </c>
      <c r="D4359" s="30" t="s">
        <v>702</v>
      </c>
      <c r="E4359" s="31">
        <v>9.0999999999999998E-2</v>
      </c>
      <c r="F4359" s="48">
        <v>24.414999999999999</v>
      </c>
      <c r="G4359" s="48">
        <f t="shared" si="81"/>
        <v>2.221765</v>
      </c>
      <c r="H4359" s="67"/>
      <c r="I4359" s="68"/>
      <c r="J4359" s="138">
        <v>0</v>
      </c>
    </row>
    <row r="4360" spans="1:10" ht="26.25" hidden="1" thickBot="1" x14ac:dyDescent="0.3">
      <c r="A4360" s="225"/>
      <c r="B4360" s="223"/>
      <c r="C4360" s="30" t="s">
        <v>1300</v>
      </c>
      <c r="D4360" s="30" t="s">
        <v>938</v>
      </c>
      <c r="E4360" s="31">
        <v>8.9999999999999998E-4</v>
      </c>
      <c r="F4360" s="48">
        <v>20.415499999999998</v>
      </c>
      <c r="G4360" s="48">
        <f t="shared" si="81"/>
        <v>1.8373949999999997E-2</v>
      </c>
      <c r="H4360" s="67"/>
      <c r="I4360" s="68"/>
      <c r="J4360" s="138">
        <v>0</v>
      </c>
    </row>
    <row r="4361" spans="1:10" ht="26.25" hidden="1" thickBot="1" x14ac:dyDescent="0.3">
      <c r="A4361" s="225"/>
      <c r="B4361" s="223"/>
      <c r="C4361" s="30" t="s">
        <v>1301</v>
      </c>
      <c r="D4361" s="30" t="s">
        <v>940</v>
      </c>
      <c r="E4361" s="31">
        <v>1.2999999999999999E-3</v>
      </c>
      <c r="F4361" s="48">
        <v>19.731499999999997</v>
      </c>
      <c r="G4361" s="48">
        <f t="shared" si="81"/>
        <v>2.5650949999999995E-2</v>
      </c>
      <c r="H4361" s="67"/>
      <c r="I4361" s="68"/>
      <c r="J4361" s="138">
        <v>0</v>
      </c>
    </row>
    <row r="4362" spans="1:10" ht="15.75" hidden="1" thickBot="1" x14ac:dyDescent="0.3">
      <c r="A4362" s="226"/>
      <c r="B4362" s="224"/>
      <c r="C4362" s="49"/>
      <c r="D4362" s="49"/>
      <c r="E4362" s="60"/>
      <c r="F4362" s="70" t="s">
        <v>521</v>
      </c>
      <c r="G4362" s="70" t="str">
        <f t="shared" si="81"/>
        <v/>
      </c>
      <c r="H4362" s="71"/>
      <c r="I4362" s="68"/>
      <c r="J4362" s="138">
        <v>0</v>
      </c>
    </row>
    <row r="4363" spans="1:10" ht="15.75" hidden="1" thickBot="1" x14ac:dyDescent="0.3">
      <c r="A4363" s="220" t="s">
        <v>1302</v>
      </c>
      <c r="B4363" s="222" t="e">
        <f>INDEX(Orçamentária!A:B,MATCH(Composições!A4363,Orçamentária!A:A,0),2)</f>
        <v>#N/A</v>
      </c>
      <c r="C4363" s="35"/>
      <c r="D4363" s="20" t="s">
        <v>93</v>
      </c>
      <c r="E4363" s="21"/>
      <c r="F4363" s="43" t="s">
        <v>521</v>
      </c>
      <c r="G4363" s="22" t="str">
        <f t="shared" si="81"/>
        <v/>
      </c>
      <c r="H4363" s="23"/>
      <c r="I4363" s="24"/>
      <c r="J4363" s="138">
        <v>0</v>
      </c>
    </row>
    <row r="4364" spans="1:10" ht="15.75" hidden="1" thickBot="1" x14ac:dyDescent="0.3">
      <c r="A4364" s="225"/>
      <c r="B4364" s="223"/>
      <c r="C4364" s="26"/>
      <c r="D4364" s="26"/>
      <c r="E4364" s="27"/>
      <c r="F4364" s="48" t="s">
        <v>521</v>
      </c>
      <c r="G4364" s="48" t="str">
        <f t="shared" si="81"/>
        <v/>
      </c>
      <c r="H4364" s="67"/>
      <c r="I4364" s="68"/>
      <c r="J4364" s="138">
        <v>0</v>
      </c>
    </row>
    <row r="4365" spans="1:10" ht="39" hidden="1" thickBot="1" x14ac:dyDescent="0.3">
      <c r="A4365" s="225"/>
      <c r="B4365" s="223"/>
      <c r="C4365" s="30" t="s">
        <v>1298</v>
      </c>
      <c r="D4365" s="41" t="s">
        <v>739</v>
      </c>
      <c r="E4365" s="31">
        <v>4.1500000000000004</v>
      </c>
      <c r="F4365" s="48">
        <v>2.4129999999999998</v>
      </c>
      <c r="G4365" s="48">
        <f t="shared" si="81"/>
        <v>10.013949999999999</v>
      </c>
      <c r="H4365" s="33">
        <f>SUM(G4365:G4370)</f>
        <v>12.911596299999999</v>
      </c>
      <c r="I4365" s="34"/>
      <c r="J4365" s="138">
        <v>0</v>
      </c>
    </row>
    <row r="4366" spans="1:10" ht="15.75" hidden="1" thickBot="1" x14ac:dyDescent="0.3">
      <c r="A4366" s="225"/>
      <c r="B4366" s="223"/>
      <c r="C4366" s="30" t="s">
        <v>1839</v>
      </c>
      <c r="D4366" s="30" t="s">
        <v>93</v>
      </c>
      <c r="E4366" s="31">
        <v>1.0289999999999999</v>
      </c>
      <c r="F4366" s="48" t="s">
        <v>521</v>
      </c>
      <c r="G4366" s="48" t="str">
        <f t="shared" si="81"/>
        <v/>
      </c>
      <c r="H4366" s="67"/>
      <c r="I4366" s="68"/>
      <c r="J4366" s="138">
        <v>0</v>
      </c>
    </row>
    <row r="4367" spans="1:10" ht="15.75" hidden="1" thickBot="1" x14ac:dyDescent="0.3">
      <c r="A4367" s="225"/>
      <c r="B4367" s="223"/>
      <c r="C4367" s="30" t="s">
        <v>703</v>
      </c>
      <c r="D4367" s="30" t="s">
        <v>702</v>
      </c>
      <c r="E4367" s="31">
        <v>7.2999999999999995E-2</v>
      </c>
      <c r="F4367" s="48">
        <v>18.420500000000001</v>
      </c>
      <c r="G4367" s="48">
        <f t="shared" ref="G4367:G4430" si="82">IF(ISNUMBER(F4367),E4367*F4367,"")</f>
        <v>1.3446965</v>
      </c>
      <c r="H4367" s="67"/>
      <c r="I4367" s="68"/>
      <c r="J4367" s="138">
        <v>0</v>
      </c>
    </row>
    <row r="4368" spans="1:10" ht="15.75" hidden="1" thickBot="1" x14ac:dyDescent="0.3">
      <c r="A4368" s="225"/>
      <c r="B4368" s="223"/>
      <c r="C4368" s="30" t="s">
        <v>1299</v>
      </c>
      <c r="D4368" s="30" t="s">
        <v>702</v>
      </c>
      <c r="E4368" s="31">
        <v>0.06</v>
      </c>
      <c r="F4368" s="48">
        <v>24.414999999999999</v>
      </c>
      <c r="G4368" s="48">
        <f t="shared" si="82"/>
        <v>1.4648999999999999</v>
      </c>
      <c r="H4368" s="67"/>
      <c r="I4368" s="68"/>
      <c r="J4368" s="138">
        <v>0</v>
      </c>
    </row>
    <row r="4369" spans="1:10" ht="26.25" hidden="1" thickBot="1" x14ac:dyDescent="0.3">
      <c r="A4369" s="225"/>
      <c r="B4369" s="223"/>
      <c r="C4369" s="30" t="s">
        <v>1300</v>
      </c>
      <c r="D4369" s="30" t="s">
        <v>938</v>
      </c>
      <c r="E4369" s="31">
        <v>1.8E-3</v>
      </c>
      <c r="F4369" s="48">
        <v>20.415499999999998</v>
      </c>
      <c r="G4369" s="48">
        <f t="shared" si="82"/>
        <v>3.6747899999999993E-2</v>
      </c>
      <c r="H4369" s="67"/>
      <c r="I4369" s="68"/>
      <c r="J4369" s="138">
        <v>0</v>
      </c>
    </row>
    <row r="4370" spans="1:10" ht="26.25" hidden="1" thickBot="1" x14ac:dyDescent="0.3">
      <c r="A4370" s="225"/>
      <c r="B4370" s="223"/>
      <c r="C4370" s="30" t="s">
        <v>1301</v>
      </c>
      <c r="D4370" s="30" t="s">
        <v>940</v>
      </c>
      <c r="E4370" s="31">
        <v>2.5999999999999999E-3</v>
      </c>
      <c r="F4370" s="48">
        <v>19.731499999999997</v>
      </c>
      <c r="G4370" s="48">
        <f t="shared" si="82"/>
        <v>5.1301899999999991E-2</v>
      </c>
      <c r="H4370" s="67"/>
      <c r="I4370" s="68"/>
      <c r="J4370" s="138">
        <v>0</v>
      </c>
    </row>
    <row r="4371" spans="1:10" ht="15.75" hidden="1" thickBot="1" x14ac:dyDescent="0.3">
      <c r="A4371" s="226"/>
      <c r="B4371" s="224"/>
      <c r="C4371" s="49"/>
      <c r="D4371" s="49"/>
      <c r="E4371" s="60"/>
      <c r="F4371" s="70" t="s">
        <v>521</v>
      </c>
      <c r="G4371" s="70" t="str">
        <f t="shared" si="82"/>
        <v/>
      </c>
      <c r="H4371" s="71"/>
      <c r="I4371" s="68"/>
      <c r="J4371" s="138">
        <v>0</v>
      </c>
    </row>
    <row r="4372" spans="1:10" ht="15.75" hidden="1" thickBot="1" x14ac:dyDescent="0.3">
      <c r="A4372" s="220" t="s">
        <v>1303</v>
      </c>
      <c r="B4372" s="222" t="e">
        <f>INDEX(Orçamentária!A:B,MATCH(Composições!A4372,Orçamentária!A:A,0),2)</f>
        <v>#N/A</v>
      </c>
      <c r="C4372" s="35"/>
      <c r="D4372" s="20" t="s">
        <v>95</v>
      </c>
      <c r="E4372" s="21"/>
      <c r="F4372" s="43" t="s">
        <v>521</v>
      </c>
      <c r="G4372" s="22" t="str">
        <f t="shared" si="82"/>
        <v/>
      </c>
      <c r="H4372" s="23"/>
      <c r="I4372" s="24"/>
      <c r="J4372" s="138">
        <v>0</v>
      </c>
    </row>
    <row r="4373" spans="1:10" ht="15.75" hidden="1" thickBot="1" x14ac:dyDescent="0.3">
      <c r="A4373" s="225"/>
      <c r="B4373" s="223"/>
      <c r="C4373" s="26"/>
      <c r="D4373" s="26"/>
      <c r="E4373" s="27"/>
      <c r="F4373" s="48" t="s">
        <v>521</v>
      </c>
      <c r="G4373" s="48" t="str">
        <f t="shared" si="82"/>
        <v/>
      </c>
      <c r="H4373" s="67"/>
      <c r="I4373" s="68"/>
      <c r="J4373" s="138">
        <v>0</v>
      </c>
    </row>
    <row r="4374" spans="1:10" ht="26.25" hidden="1" thickBot="1" x14ac:dyDescent="0.3">
      <c r="A4374" s="225"/>
      <c r="B4374" s="223"/>
      <c r="C4374" s="30" t="s">
        <v>1304</v>
      </c>
      <c r="D4374" s="41" t="s">
        <v>988</v>
      </c>
      <c r="E4374" s="31">
        <v>1.1659999999999999</v>
      </c>
      <c r="F4374" s="48" t="s">
        <v>521</v>
      </c>
      <c r="G4374" s="48" t="str">
        <f t="shared" si="82"/>
        <v/>
      </c>
      <c r="H4374" s="33">
        <f>SUM(G4374:G4379)</f>
        <v>14.066528399999999</v>
      </c>
      <c r="I4374" s="34"/>
      <c r="J4374" s="138">
        <v>0</v>
      </c>
    </row>
    <row r="4375" spans="1:10" ht="39" hidden="1" thickBot="1" x14ac:dyDescent="0.3">
      <c r="A4375" s="225"/>
      <c r="B4375" s="223"/>
      <c r="C4375" s="30" t="s">
        <v>1298</v>
      </c>
      <c r="D4375" s="41" t="s">
        <v>739</v>
      </c>
      <c r="E4375" s="31">
        <v>4.1500000000000004</v>
      </c>
      <c r="F4375" s="48">
        <v>2.4129999999999998</v>
      </c>
      <c r="G4375" s="48">
        <f t="shared" si="82"/>
        <v>10.013949999999999</v>
      </c>
      <c r="H4375" s="67"/>
      <c r="I4375" s="68"/>
      <c r="J4375" s="138">
        <v>0</v>
      </c>
    </row>
    <row r="4376" spans="1:10" ht="15.75" hidden="1" thickBot="1" x14ac:dyDescent="0.3">
      <c r="A4376" s="225"/>
      <c r="B4376" s="223"/>
      <c r="C4376" s="30" t="s">
        <v>703</v>
      </c>
      <c r="D4376" s="30" t="s">
        <v>702</v>
      </c>
      <c r="E4376" s="31">
        <v>9.7000000000000003E-2</v>
      </c>
      <c r="F4376" s="48">
        <v>18.420500000000001</v>
      </c>
      <c r="G4376" s="48">
        <f t="shared" si="82"/>
        <v>1.7867885000000001</v>
      </c>
      <c r="H4376" s="67"/>
      <c r="I4376" s="68"/>
      <c r="J4376" s="138">
        <v>0</v>
      </c>
    </row>
    <row r="4377" spans="1:10" ht="15.75" hidden="1" thickBot="1" x14ac:dyDescent="0.3">
      <c r="A4377" s="225"/>
      <c r="B4377" s="223"/>
      <c r="C4377" s="30" t="s">
        <v>1299</v>
      </c>
      <c r="D4377" s="30" t="s">
        <v>702</v>
      </c>
      <c r="E4377" s="31">
        <v>9.0999999999999998E-2</v>
      </c>
      <c r="F4377" s="48">
        <v>24.414999999999999</v>
      </c>
      <c r="G4377" s="48">
        <f t="shared" si="82"/>
        <v>2.221765</v>
      </c>
      <c r="H4377" s="67"/>
      <c r="I4377" s="68"/>
      <c r="J4377" s="138">
        <v>0</v>
      </c>
    </row>
    <row r="4378" spans="1:10" ht="26.25" hidden="1" thickBot="1" x14ac:dyDescent="0.3">
      <c r="A4378" s="225"/>
      <c r="B4378" s="223"/>
      <c r="C4378" s="30" t="s">
        <v>1300</v>
      </c>
      <c r="D4378" s="30" t="s">
        <v>938</v>
      </c>
      <c r="E4378" s="31">
        <v>8.9999999999999998E-4</v>
      </c>
      <c r="F4378" s="48">
        <v>20.415499999999998</v>
      </c>
      <c r="G4378" s="48">
        <f t="shared" si="82"/>
        <v>1.8373949999999997E-2</v>
      </c>
      <c r="H4378" s="67"/>
      <c r="I4378" s="68"/>
      <c r="J4378" s="138">
        <v>0</v>
      </c>
    </row>
    <row r="4379" spans="1:10" ht="26.25" hidden="1" thickBot="1" x14ac:dyDescent="0.3">
      <c r="A4379" s="225"/>
      <c r="B4379" s="223"/>
      <c r="C4379" s="30" t="s">
        <v>1301</v>
      </c>
      <c r="D4379" s="30" t="s">
        <v>940</v>
      </c>
      <c r="E4379" s="31">
        <v>1.2999999999999999E-3</v>
      </c>
      <c r="F4379" s="48">
        <v>19.731499999999997</v>
      </c>
      <c r="G4379" s="48">
        <f t="shared" si="82"/>
        <v>2.5650949999999995E-2</v>
      </c>
      <c r="H4379" s="67"/>
      <c r="I4379" s="68"/>
      <c r="J4379" s="138">
        <v>0</v>
      </c>
    </row>
    <row r="4380" spans="1:10" ht="15.75" hidden="1" thickBot="1" x14ac:dyDescent="0.3">
      <c r="A4380" s="226"/>
      <c r="B4380" s="224"/>
      <c r="C4380" s="49"/>
      <c r="D4380" s="49"/>
      <c r="E4380" s="60"/>
      <c r="F4380" s="70" t="s">
        <v>521</v>
      </c>
      <c r="G4380" s="70" t="str">
        <f t="shared" si="82"/>
        <v/>
      </c>
      <c r="H4380" s="71"/>
      <c r="I4380" s="68"/>
      <c r="J4380" s="138">
        <v>0</v>
      </c>
    </row>
    <row r="4381" spans="1:10" ht="15.75" hidden="1" thickBot="1" x14ac:dyDescent="0.3">
      <c r="A4381" s="220" t="s">
        <v>1305</v>
      </c>
      <c r="B4381" s="222" t="e">
        <f>INDEX(Orçamentária!A:B,MATCH(Composições!A4381,Orçamentária!A:A,0),2)</f>
        <v>#N/A</v>
      </c>
      <c r="C4381" s="35"/>
      <c r="D4381" s="20" t="s">
        <v>93</v>
      </c>
      <c r="E4381" s="21"/>
      <c r="F4381" s="43" t="s">
        <v>521</v>
      </c>
      <c r="G4381" s="22" t="str">
        <f t="shared" si="82"/>
        <v/>
      </c>
      <c r="H4381" s="23"/>
      <c r="I4381" s="24"/>
      <c r="J4381" s="138">
        <v>0</v>
      </c>
    </row>
    <row r="4382" spans="1:10" ht="15.75" hidden="1" thickBot="1" x14ac:dyDescent="0.3">
      <c r="A4382" s="225"/>
      <c r="B4382" s="223"/>
      <c r="C4382" s="26"/>
      <c r="D4382" s="26"/>
      <c r="E4382" s="27"/>
      <c r="F4382" s="48" t="s">
        <v>521</v>
      </c>
      <c r="G4382" s="48" t="str">
        <f t="shared" si="82"/>
        <v/>
      </c>
      <c r="H4382" s="67"/>
      <c r="I4382" s="68"/>
      <c r="J4382" s="138">
        <v>0</v>
      </c>
    </row>
    <row r="4383" spans="1:10" ht="39" hidden="1" thickBot="1" x14ac:dyDescent="0.3">
      <c r="A4383" s="225"/>
      <c r="B4383" s="223"/>
      <c r="C4383" s="30" t="s">
        <v>1298</v>
      </c>
      <c r="D4383" s="41" t="s">
        <v>739</v>
      </c>
      <c r="E4383" s="31">
        <v>4.1500000000000004</v>
      </c>
      <c r="F4383" s="48">
        <v>2.4129999999999998</v>
      </c>
      <c r="G4383" s="48">
        <f t="shared" si="82"/>
        <v>10.013949999999999</v>
      </c>
      <c r="H4383" s="33">
        <f>SUM(G4383:G4388)</f>
        <v>12.911596299999999</v>
      </c>
      <c r="I4383" s="34"/>
      <c r="J4383" s="138">
        <v>0</v>
      </c>
    </row>
    <row r="4384" spans="1:10" ht="15.75" hidden="1" thickBot="1" x14ac:dyDescent="0.3">
      <c r="A4384" s="225"/>
      <c r="B4384" s="223"/>
      <c r="C4384" s="30" t="s">
        <v>1838</v>
      </c>
      <c r="D4384" s="30" t="s">
        <v>93</v>
      </c>
      <c r="E4384" s="31">
        <v>1.0289999999999999</v>
      </c>
      <c r="F4384" s="48" t="s">
        <v>521</v>
      </c>
      <c r="G4384" s="48" t="str">
        <f t="shared" si="82"/>
        <v/>
      </c>
      <c r="H4384" s="67"/>
      <c r="I4384" s="68"/>
      <c r="J4384" s="138">
        <v>0</v>
      </c>
    </row>
    <row r="4385" spans="1:10" ht="15.75" hidden="1" thickBot="1" x14ac:dyDescent="0.3">
      <c r="A4385" s="225"/>
      <c r="B4385" s="223"/>
      <c r="C4385" s="30" t="s">
        <v>703</v>
      </c>
      <c r="D4385" s="30" t="s">
        <v>702</v>
      </c>
      <c r="E4385" s="31">
        <v>7.2999999999999995E-2</v>
      </c>
      <c r="F4385" s="48">
        <v>18.420500000000001</v>
      </c>
      <c r="G4385" s="48">
        <f t="shared" si="82"/>
        <v>1.3446965</v>
      </c>
      <c r="H4385" s="67"/>
      <c r="I4385" s="68"/>
      <c r="J4385" s="138">
        <v>0</v>
      </c>
    </row>
    <row r="4386" spans="1:10" ht="15.75" hidden="1" thickBot="1" x14ac:dyDescent="0.3">
      <c r="A4386" s="225"/>
      <c r="B4386" s="223"/>
      <c r="C4386" s="30" t="s">
        <v>1299</v>
      </c>
      <c r="D4386" s="30" t="s">
        <v>702</v>
      </c>
      <c r="E4386" s="31">
        <v>0.06</v>
      </c>
      <c r="F4386" s="48">
        <v>24.414999999999999</v>
      </c>
      <c r="G4386" s="48">
        <f t="shared" si="82"/>
        <v>1.4648999999999999</v>
      </c>
      <c r="H4386" s="67"/>
      <c r="I4386" s="68"/>
      <c r="J4386" s="138">
        <v>0</v>
      </c>
    </row>
    <row r="4387" spans="1:10" ht="26.25" hidden="1" thickBot="1" x14ac:dyDescent="0.3">
      <c r="A4387" s="225"/>
      <c r="B4387" s="223"/>
      <c r="C4387" s="30" t="s">
        <v>1300</v>
      </c>
      <c r="D4387" s="30" t="s">
        <v>938</v>
      </c>
      <c r="E4387" s="31">
        <v>1.8E-3</v>
      </c>
      <c r="F4387" s="48">
        <v>20.415499999999998</v>
      </c>
      <c r="G4387" s="48">
        <f t="shared" si="82"/>
        <v>3.6747899999999993E-2</v>
      </c>
      <c r="H4387" s="67"/>
      <c r="I4387" s="68"/>
      <c r="J4387" s="138">
        <v>0</v>
      </c>
    </row>
    <row r="4388" spans="1:10" ht="26.25" hidden="1" thickBot="1" x14ac:dyDescent="0.3">
      <c r="A4388" s="225"/>
      <c r="B4388" s="223"/>
      <c r="C4388" s="30" t="s">
        <v>1301</v>
      </c>
      <c r="D4388" s="30" t="s">
        <v>940</v>
      </c>
      <c r="E4388" s="31">
        <v>2.5999999999999999E-3</v>
      </c>
      <c r="F4388" s="48">
        <v>19.731499999999997</v>
      </c>
      <c r="G4388" s="48">
        <f t="shared" si="82"/>
        <v>5.1301899999999991E-2</v>
      </c>
      <c r="H4388" s="67"/>
      <c r="I4388" s="68"/>
      <c r="J4388" s="138">
        <v>0</v>
      </c>
    </row>
    <row r="4389" spans="1:10" ht="15.75" hidden="1" thickBot="1" x14ac:dyDescent="0.3">
      <c r="A4389" s="226"/>
      <c r="B4389" s="224"/>
      <c r="C4389" s="49"/>
      <c r="D4389" s="49"/>
      <c r="E4389" s="60"/>
      <c r="F4389" s="70" t="s">
        <v>521</v>
      </c>
      <c r="G4389" s="70" t="str">
        <f t="shared" si="82"/>
        <v/>
      </c>
      <c r="H4389" s="71"/>
      <c r="I4389" s="68"/>
      <c r="J4389" s="138">
        <v>0</v>
      </c>
    </row>
    <row r="4390" spans="1:10" ht="15.75" hidden="1" thickBot="1" x14ac:dyDescent="0.3">
      <c r="A4390" s="220" t="s">
        <v>1306</v>
      </c>
      <c r="B4390" s="222" t="e">
        <f>INDEX(Orçamentária!A:B,MATCH(Composições!A4390,Orçamentária!A:A,0),2)</f>
        <v>#N/A</v>
      </c>
      <c r="C4390" s="35"/>
      <c r="D4390" s="20" t="s">
        <v>95</v>
      </c>
      <c r="E4390" s="21"/>
      <c r="F4390" s="43" t="s">
        <v>521</v>
      </c>
      <c r="G4390" s="22" t="str">
        <f t="shared" si="82"/>
        <v/>
      </c>
      <c r="H4390" s="23"/>
      <c r="I4390" s="24"/>
      <c r="J4390" s="138">
        <v>0</v>
      </c>
    </row>
    <row r="4391" spans="1:10" ht="15.75" hidden="1" thickBot="1" x14ac:dyDescent="0.3">
      <c r="A4391" s="225"/>
      <c r="B4391" s="223"/>
      <c r="C4391" s="26"/>
      <c r="D4391" s="26"/>
      <c r="E4391" s="27"/>
      <c r="F4391" s="48" t="s">
        <v>521</v>
      </c>
      <c r="G4391" s="48" t="str">
        <f t="shared" si="82"/>
        <v/>
      </c>
      <c r="H4391" s="67"/>
      <c r="I4391" s="68"/>
      <c r="J4391" s="138">
        <v>0</v>
      </c>
    </row>
    <row r="4392" spans="1:10" ht="15.75" hidden="1" thickBot="1" x14ac:dyDescent="0.3">
      <c r="A4392" s="225"/>
      <c r="B4392" s="223"/>
      <c r="C4392" s="30" t="s">
        <v>1299</v>
      </c>
      <c r="D4392" s="30" t="s">
        <v>12</v>
      </c>
      <c r="E4392" s="31">
        <v>0.3</v>
      </c>
      <c r="F4392" s="48">
        <v>24.414999999999999</v>
      </c>
      <c r="G4392" s="48">
        <f t="shared" si="82"/>
        <v>7.3244999999999996</v>
      </c>
      <c r="H4392" s="33">
        <f>SUM(G4392:G4398)</f>
        <v>18.376799999999999</v>
      </c>
      <c r="I4392" s="34"/>
      <c r="J4392" s="138">
        <v>0</v>
      </c>
    </row>
    <row r="4393" spans="1:10" ht="15.75" hidden="1" thickBot="1" x14ac:dyDescent="0.3">
      <c r="A4393" s="225"/>
      <c r="B4393" s="223"/>
      <c r="C4393" s="30" t="s">
        <v>703</v>
      </c>
      <c r="D4393" s="30" t="s">
        <v>12</v>
      </c>
      <c r="E4393" s="31">
        <v>0.6</v>
      </c>
      <c r="F4393" s="48">
        <v>18.420500000000001</v>
      </c>
      <c r="G4393" s="48">
        <f t="shared" si="82"/>
        <v>11.052300000000001</v>
      </c>
      <c r="H4393" s="67"/>
      <c r="I4393" s="68"/>
      <c r="J4393" s="138">
        <v>0</v>
      </c>
    </row>
    <row r="4394" spans="1:10" ht="15.75" hidden="1" thickBot="1" x14ac:dyDescent="0.3">
      <c r="A4394" s="225"/>
      <c r="B4394" s="223"/>
      <c r="C4394" s="30" t="s">
        <v>1307</v>
      </c>
      <c r="D4394" s="30" t="s">
        <v>279</v>
      </c>
      <c r="E4394" s="31">
        <v>1.1100000000000001</v>
      </c>
      <c r="F4394" s="48">
        <v>0</v>
      </c>
      <c r="G4394" s="48">
        <f t="shared" si="82"/>
        <v>0</v>
      </c>
      <c r="H4394" s="67"/>
      <c r="I4394" s="68"/>
      <c r="J4394" s="138">
        <v>0</v>
      </c>
    </row>
    <row r="4395" spans="1:10" ht="15.75" hidden="1" thickBot="1" x14ac:dyDescent="0.3">
      <c r="A4395" s="225"/>
      <c r="B4395" s="223"/>
      <c r="C4395" s="30" t="s">
        <v>1308</v>
      </c>
      <c r="D4395" s="30" t="s">
        <v>95</v>
      </c>
      <c r="E4395" s="31">
        <v>1.24</v>
      </c>
      <c r="F4395" s="48">
        <v>0</v>
      </c>
      <c r="G4395" s="48">
        <f t="shared" si="82"/>
        <v>0</v>
      </c>
      <c r="H4395" s="67"/>
      <c r="I4395" s="68"/>
      <c r="J4395" s="138">
        <v>0</v>
      </c>
    </row>
    <row r="4396" spans="1:10" ht="26.25" hidden="1" thickBot="1" x14ac:dyDescent="0.3">
      <c r="A4396" s="225"/>
      <c r="B4396" s="223"/>
      <c r="C4396" s="30" t="s">
        <v>1309</v>
      </c>
      <c r="D4396" s="30" t="s">
        <v>279</v>
      </c>
      <c r="E4396" s="31">
        <v>1.1100000000000001</v>
      </c>
      <c r="F4396" s="48">
        <v>0</v>
      </c>
      <c r="G4396" s="48">
        <f t="shared" si="82"/>
        <v>0</v>
      </c>
      <c r="H4396" s="67"/>
      <c r="I4396" s="68"/>
      <c r="J4396" s="138">
        <v>0</v>
      </c>
    </row>
    <row r="4397" spans="1:10" ht="15.75" hidden="1" thickBot="1" x14ac:dyDescent="0.3">
      <c r="A4397" s="225"/>
      <c r="B4397" s="223"/>
      <c r="C4397" s="30" t="s">
        <v>1310</v>
      </c>
      <c r="D4397" s="30" t="s">
        <v>279</v>
      </c>
      <c r="E4397" s="31">
        <v>1</v>
      </c>
      <c r="F4397" s="48">
        <v>0</v>
      </c>
      <c r="G4397" s="48">
        <f t="shared" si="82"/>
        <v>0</v>
      </c>
      <c r="H4397" s="67"/>
      <c r="I4397" s="68"/>
      <c r="J4397" s="138">
        <v>0</v>
      </c>
    </row>
    <row r="4398" spans="1:10" ht="15.75" hidden="1" thickBot="1" x14ac:dyDescent="0.3">
      <c r="A4398" s="225"/>
      <c r="B4398" s="223"/>
      <c r="C4398" s="30" t="s">
        <v>1311</v>
      </c>
      <c r="D4398" s="30" t="s">
        <v>279</v>
      </c>
      <c r="E4398" s="31">
        <v>1.1100000000000001</v>
      </c>
      <c r="F4398" s="48">
        <v>0</v>
      </c>
      <c r="G4398" s="48">
        <f t="shared" si="82"/>
        <v>0</v>
      </c>
      <c r="H4398" s="67"/>
      <c r="I4398" s="68"/>
      <c r="J4398" s="138">
        <v>0</v>
      </c>
    </row>
    <row r="4399" spans="1:10" ht="15.75" hidden="1" thickBot="1" x14ac:dyDescent="0.3">
      <c r="A4399" s="226"/>
      <c r="B4399" s="224"/>
      <c r="C4399" s="49"/>
      <c r="D4399" s="49"/>
      <c r="E4399" s="60"/>
      <c r="F4399" s="70" t="s">
        <v>521</v>
      </c>
      <c r="G4399" s="70" t="str">
        <f t="shared" si="82"/>
        <v/>
      </c>
      <c r="H4399" s="71"/>
      <c r="I4399" s="68"/>
      <c r="J4399" s="138">
        <v>0</v>
      </c>
    </row>
    <row r="4400" spans="1:10" ht="15.75" hidden="1" thickBot="1" x14ac:dyDescent="0.3">
      <c r="A4400" s="220" t="s">
        <v>1312</v>
      </c>
      <c r="B4400" s="222" t="e">
        <f>INDEX(Orçamentária!A:B,MATCH(Composições!A4400,Orçamentária!A:A,0),2)</f>
        <v>#N/A</v>
      </c>
      <c r="C4400" s="35"/>
      <c r="D4400" s="20" t="s">
        <v>93</v>
      </c>
      <c r="E4400" s="21"/>
      <c r="F4400" s="43" t="s">
        <v>521</v>
      </c>
      <c r="G4400" s="22" t="str">
        <f t="shared" si="82"/>
        <v/>
      </c>
      <c r="H4400" s="23"/>
      <c r="I4400" s="24"/>
      <c r="J4400" s="138">
        <v>0</v>
      </c>
    </row>
    <row r="4401" spans="1:10" ht="15.75" hidden="1" thickBot="1" x14ac:dyDescent="0.3">
      <c r="A4401" s="225"/>
      <c r="B4401" s="223"/>
      <c r="C4401" s="26"/>
      <c r="D4401" s="26"/>
      <c r="E4401" s="27"/>
      <c r="F4401" s="48" t="s">
        <v>521</v>
      </c>
      <c r="G4401" s="48" t="str">
        <f t="shared" si="82"/>
        <v/>
      </c>
      <c r="H4401" s="67"/>
      <c r="I4401" s="68"/>
      <c r="J4401" s="138">
        <v>0</v>
      </c>
    </row>
    <row r="4402" spans="1:10" ht="15.75" hidden="1" thickBot="1" x14ac:dyDescent="0.3">
      <c r="A4402" s="225"/>
      <c r="B4402" s="223"/>
      <c r="C4402" s="30" t="s">
        <v>1299</v>
      </c>
      <c r="D4402" s="30" t="s">
        <v>12</v>
      </c>
      <c r="E4402" s="31">
        <f>0.12/2</f>
        <v>0.06</v>
      </c>
      <c r="F4402" s="48">
        <v>24.414999999999999</v>
      </c>
      <c r="G4402" s="48">
        <f t="shared" si="82"/>
        <v>1.4648999999999999</v>
      </c>
      <c r="H4402" s="33">
        <f>SUM(G4402:G4406)</f>
        <v>2.5701299999999998</v>
      </c>
      <c r="I4402" s="34"/>
      <c r="J4402" s="138">
        <v>0</v>
      </c>
    </row>
    <row r="4403" spans="1:10" ht="15.75" hidden="1" thickBot="1" x14ac:dyDescent="0.3">
      <c r="A4403" s="225"/>
      <c r="B4403" s="223"/>
      <c r="C4403" s="30" t="s">
        <v>703</v>
      </c>
      <c r="D4403" s="30" t="s">
        <v>12</v>
      </c>
      <c r="E4403" s="31">
        <f>0.12/2</f>
        <v>0.06</v>
      </c>
      <c r="F4403" s="48">
        <v>18.420500000000001</v>
      </c>
      <c r="G4403" s="48">
        <f t="shared" si="82"/>
        <v>1.1052299999999999</v>
      </c>
      <c r="H4403" s="67"/>
      <c r="I4403" s="68"/>
      <c r="J4403" s="138">
        <v>0</v>
      </c>
    </row>
    <row r="4404" spans="1:10" ht="15.75" hidden="1" thickBot="1" x14ac:dyDescent="0.3">
      <c r="A4404" s="225"/>
      <c r="B4404" s="223"/>
      <c r="C4404" s="30" t="s">
        <v>1307</v>
      </c>
      <c r="D4404" s="30" t="s">
        <v>279</v>
      </c>
      <c r="E4404" s="31">
        <f>4.12/2</f>
        <v>2.06</v>
      </c>
      <c r="F4404" s="48">
        <v>0</v>
      </c>
      <c r="G4404" s="48">
        <f t="shared" si="82"/>
        <v>0</v>
      </c>
      <c r="H4404" s="67"/>
      <c r="I4404" s="68"/>
      <c r="J4404" s="138">
        <v>0</v>
      </c>
    </row>
    <row r="4405" spans="1:10" ht="26.25" hidden="1" thickBot="1" x14ac:dyDescent="0.3">
      <c r="A4405" s="225"/>
      <c r="B4405" s="223"/>
      <c r="C4405" s="30" t="s">
        <v>1313</v>
      </c>
      <c r="D4405" s="30" t="s">
        <v>279</v>
      </c>
      <c r="E4405" s="31">
        <v>2.06</v>
      </c>
      <c r="F4405" s="48">
        <v>0</v>
      </c>
      <c r="G4405" s="48">
        <f t="shared" si="82"/>
        <v>0</v>
      </c>
      <c r="H4405" s="67"/>
      <c r="I4405" s="68"/>
      <c r="J4405" s="138">
        <v>0</v>
      </c>
    </row>
    <row r="4406" spans="1:10" ht="15.75" hidden="1" thickBot="1" x14ac:dyDescent="0.3">
      <c r="A4406" s="225"/>
      <c r="B4406" s="223"/>
      <c r="C4406" s="30" t="s">
        <v>1311</v>
      </c>
      <c r="D4406" s="30" t="s">
        <v>279</v>
      </c>
      <c r="E4406" s="31">
        <f>4.12/2</f>
        <v>2.06</v>
      </c>
      <c r="F4406" s="48">
        <v>0</v>
      </c>
      <c r="G4406" s="48">
        <f t="shared" si="82"/>
        <v>0</v>
      </c>
      <c r="H4406" s="67"/>
      <c r="I4406" s="68"/>
      <c r="J4406" s="138">
        <v>0</v>
      </c>
    </row>
    <row r="4407" spans="1:10" ht="15.75" hidden="1" thickBot="1" x14ac:dyDescent="0.3">
      <c r="A4407" s="226"/>
      <c r="B4407" s="224"/>
      <c r="C4407" s="49"/>
      <c r="D4407" s="49"/>
      <c r="E4407" s="60"/>
      <c r="F4407" s="70" t="s">
        <v>521</v>
      </c>
      <c r="G4407" s="70" t="str">
        <f t="shared" si="82"/>
        <v/>
      </c>
      <c r="H4407" s="71"/>
      <c r="I4407" s="68"/>
      <c r="J4407" s="138">
        <v>0</v>
      </c>
    </row>
    <row r="4408" spans="1:10" ht="15.75" hidden="1" thickBot="1" x14ac:dyDescent="0.3">
      <c r="A4408" s="220" t="s">
        <v>1314</v>
      </c>
      <c r="B4408" s="222" t="e">
        <f>INDEX(Orçamentária!A:B,MATCH(Composições!A4408,Orçamentária!A:A,0),2)</f>
        <v>#N/A</v>
      </c>
      <c r="C4408" s="35"/>
      <c r="D4408" s="20" t="s">
        <v>93</v>
      </c>
      <c r="E4408" s="21"/>
      <c r="F4408" s="43" t="s">
        <v>521</v>
      </c>
      <c r="G4408" s="22" t="str">
        <f t="shared" si="82"/>
        <v/>
      </c>
      <c r="H4408" s="23"/>
      <c r="I4408" s="24"/>
      <c r="J4408" s="138">
        <v>0</v>
      </c>
    </row>
    <row r="4409" spans="1:10" ht="15.75" hidden="1" thickBot="1" x14ac:dyDescent="0.3">
      <c r="A4409" s="225"/>
      <c r="B4409" s="223"/>
      <c r="C4409" s="26"/>
      <c r="D4409" s="26"/>
      <c r="E4409" s="27"/>
      <c r="F4409" s="48" t="s">
        <v>521</v>
      </c>
      <c r="G4409" s="48" t="str">
        <f t="shared" si="82"/>
        <v/>
      </c>
      <c r="H4409" s="67"/>
      <c r="I4409" s="68"/>
      <c r="J4409" s="138">
        <v>0</v>
      </c>
    </row>
    <row r="4410" spans="1:10" ht="15.75" hidden="1" thickBot="1" x14ac:dyDescent="0.3">
      <c r="A4410" s="225"/>
      <c r="B4410" s="223"/>
      <c r="C4410" s="30" t="s">
        <v>1299</v>
      </c>
      <c r="D4410" s="30" t="s">
        <v>12</v>
      </c>
      <c r="E4410" s="31">
        <f>0.12/2</f>
        <v>0.06</v>
      </c>
      <c r="F4410" s="48">
        <v>24.414999999999999</v>
      </c>
      <c r="G4410" s="48">
        <f t="shared" si="82"/>
        <v>1.4648999999999999</v>
      </c>
      <c r="H4410" s="33">
        <f>SUM(G4410:G4414)</f>
        <v>2.5701299999999998</v>
      </c>
      <c r="I4410" s="34"/>
      <c r="J4410" s="138">
        <v>0</v>
      </c>
    </row>
    <row r="4411" spans="1:10" ht="15.75" hidden="1" thickBot="1" x14ac:dyDescent="0.3">
      <c r="A4411" s="225"/>
      <c r="B4411" s="223"/>
      <c r="C4411" s="30" t="s">
        <v>703</v>
      </c>
      <c r="D4411" s="30" t="s">
        <v>12</v>
      </c>
      <c r="E4411" s="31">
        <f>0.12/2</f>
        <v>0.06</v>
      </c>
      <c r="F4411" s="48">
        <v>18.420500000000001</v>
      </c>
      <c r="G4411" s="48">
        <f t="shared" si="82"/>
        <v>1.1052299999999999</v>
      </c>
      <c r="H4411" s="67"/>
      <c r="I4411" s="68"/>
      <c r="J4411" s="138">
        <v>0</v>
      </c>
    </row>
    <row r="4412" spans="1:10" ht="15.75" hidden="1" thickBot="1" x14ac:dyDescent="0.3">
      <c r="A4412" s="225"/>
      <c r="B4412" s="223"/>
      <c r="C4412" s="30" t="s">
        <v>1307</v>
      </c>
      <c r="D4412" s="30" t="s">
        <v>279</v>
      </c>
      <c r="E4412" s="31">
        <f>4.12/2</f>
        <v>2.06</v>
      </c>
      <c r="F4412" s="48">
        <v>0</v>
      </c>
      <c r="G4412" s="48">
        <f t="shared" si="82"/>
        <v>0</v>
      </c>
      <c r="H4412" s="67"/>
      <c r="I4412" s="68"/>
      <c r="J4412" s="138">
        <v>0</v>
      </c>
    </row>
    <row r="4413" spans="1:10" ht="26.25" hidden="1" thickBot="1" x14ac:dyDescent="0.3">
      <c r="A4413" s="225"/>
      <c r="B4413" s="223"/>
      <c r="C4413" s="30" t="s">
        <v>1315</v>
      </c>
      <c r="D4413" s="30" t="s">
        <v>279</v>
      </c>
      <c r="E4413" s="31">
        <v>2.06</v>
      </c>
      <c r="F4413" s="48">
        <v>0</v>
      </c>
      <c r="G4413" s="48">
        <f t="shared" si="82"/>
        <v>0</v>
      </c>
      <c r="H4413" s="67"/>
      <c r="I4413" s="68"/>
      <c r="J4413" s="138">
        <v>0</v>
      </c>
    </row>
    <row r="4414" spans="1:10" ht="15.75" hidden="1" thickBot="1" x14ac:dyDescent="0.3">
      <c r="A4414" s="225"/>
      <c r="B4414" s="223"/>
      <c r="C4414" s="30" t="s">
        <v>1311</v>
      </c>
      <c r="D4414" s="30" t="s">
        <v>279</v>
      </c>
      <c r="E4414" s="31">
        <f>4.12/2</f>
        <v>2.06</v>
      </c>
      <c r="F4414" s="48">
        <v>0</v>
      </c>
      <c r="G4414" s="48">
        <f t="shared" si="82"/>
        <v>0</v>
      </c>
      <c r="H4414" s="67"/>
      <c r="I4414" s="68"/>
      <c r="J4414" s="138">
        <v>0</v>
      </c>
    </row>
    <row r="4415" spans="1:10" ht="15.75" hidden="1" thickBot="1" x14ac:dyDescent="0.3">
      <c r="A4415" s="226"/>
      <c r="B4415" s="224"/>
      <c r="C4415" s="49"/>
      <c r="D4415" s="49"/>
      <c r="E4415" s="60"/>
      <c r="F4415" s="70" t="s">
        <v>521</v>
      </c>
      <c r="G4415" s="70" t="str">
        <f t="shared" si="82"/>
        <v/>
      </c>
      <c r="H4415" s="71"/>
      <c r="I4415" s="68"/>
      <c r="J4415" s="138">
        <v>0</v>
      </c>
    </row>
    <row r="4416" spans="1:10" ht="15.75" hidden="1" thickBot="1" x14ac:dyDescent="0.3">
      <c r="A4416" s="220" t="s">
        <v>1316</v>
      </c>
      <c r="B4416" s="222" t="e">
        <f>INDEX(Orçamentária!A:B,MATCH(Composições!A4416,Orçamentária!A:A,0),2)</f>
        <v>#N/A</v>
      </c>
      <c r="C4416" s="35"/>
      <c r="D4416" s="20" t="s">
        <v>95</v>
      </c>
      <c r="E4416" s="21"/>
      <c r="F4416" s="43" t="s">
        <v>521</v>
      </c>
      <c r="G4416" s="22" t="str">
        <f t="shared" si="82"/>
        <v/>
      </c>
      <c r="H4416" s="23"/>
      <c r="I4416" s="24"/>
      <c r="J4416" s="138">
        <v>0</v>
      </c>
    </row>
    <row r="4417" spans="1:10" ht="15.75" hidden="1" thickBot="1" x14ac:dyDescent="0.3">
      <c r="A4417" s="225"/>
      <c r="B4417" s="223"/>
      <c r="C4417" s="26"/>
      <c r="D4417" s="26"/>
      <c r="E4417" s="27"/>
      <c r="F4417" s="48" t="s">
        <v>521</v>
      </c>
      <c r="G4417" s="48" t="str">
        <f t="shared" si="82"/>
        <v/>
      </c>
      <c r="H4417" s="67"/>
      <c r="I4417" s="68"/>
      <c r="J4417" s="138">
        <v>0</v>
      </c>
    </row>
    <row r="4418" spans="1:10" ht="39" hidden="1" thickBot="1" x14ac:dyDescent="0.3">
      <c r="A4418" s="225"/>
      <c r="B4418" s="223"/>
      <c r="C4418" s="30" t="s">
        <v>1317</v>
      </c>
      <c r="D4418" s="41" t="s">
        <v>739</v>
      </c>
      <c r="E4418" s="31">
        <v>1.27</v>
      </c>
      <c r="F4418" s="48">
        <v>0.32300000000000001</v>
      </c>
      <c r="G4418" s="48">
        <f t="shared" si="82"/>
        <v>0.41021000000000002</v>
      </c>
      <c r="H4418" s="33">
        <f>SUM(G4418:G4424)</f>
        <v>44.191732349999995</v>
      </c>
      <c r="I4418" s="34"/>
      <c r="J4418" s="138">
        <v>0</v>
      </c>
    </row>
    <row r="4419" spans="1:10" ht="26.25" hidden="1" thickBot="1" x14ac:dyDescent="0.3">
      <c r="A4419" s="225"/>
      <c r="B4419" s="223"/>
      <c r="C4419" s="30" t="s">
        <v>1318</v>
      </c>
      <c r="D4419" s="30" t="s">
        <v>279</v>
      </c>
      <c r="E4419" s="31">
        <v>1.27</v>
      </c>
      <c r="F4419" s="48">
        <v>4.8829999999999991</v>
      </c>
      <c r="G4419" s="48">
        <f t="shared" si="82"/>
        <v>6.2014099999999992</v>
      </c>
      <c r="H4419" s="67"/>
      <c r="I4419" s="68"/>
      <c r="J4419" s="138">
        <v>0</v>
      </c>
    </row>
    <row r="4420" spans="1:10" ht="26.25" hidden="1" thickBot="1" x14ac:dyDescent="0.3">
      <c r="A4420" s="225"/>
      <c r="B4420" s="223"/>
      <c r="C4420" s="30" t="s">
        <v>1319</v>
      </c>
      <c r="D4420" s="30" t="s">
        <v>988</v>
      </c>
      <c r="E4420" s="31">
        <v>1.2749999999999999</v>
      </c>
      <c r="F4420" s="48">
        <v>24.918499999999998</v>
      </c>
      <c r="G4420" s="48">
        <f t="shared" si="82"/>
        <v>31.771087499999997</v>
      </c>
      <c r="H4420" s="67"/>
      <c r="I4420" s="68"/>
      <c r="J4420" s="138">
        <v>0</v>
      </c>
    </row>
    <row r="4421" spans="1:10" ht="15.75" hidden="1" thickBot="1" x14ac:dyDescent="0.3">
      <c r="A4421" s="225"/>
      <c r="B4421" s="223"/>
      <c r="C4421" s="30" t="s">
        <v>703</v>
      </c>
      <c r="D4421" s="30" t="s">
        <v>702</v>
      </c>
      <c r="E4421" s="31">
        <v>0.15</v>
      </c>
      <c r="F4421" s="48">
        <v>18.420500000000001</v>
      </c>
      <c r="G4421" s="48">
        <f t="shared" si="82"/>
        <v>2.7630750000000002</v>
      </c>
      <c r="H4421" s="67"/>
      <c r="I4421" s="68"/>
      <c r="J4421" s="138">
        <v>0</v>
      </c>
    </row>
    <row r="4422" spans="1:10" ht="15.75" hidden="1" thickBot="1" x14ac:dyDescent="0.3">
      <c r="A4422" s="225"/>
      <c r="B4422" s="223"/>
      <c r="C4422" s="30" t="s">
        <v>1299</v>
      </c>
      <c r="D4422" s="30" t="s">
        <v>702</v>
      </c>
      <c r="E4422" s="31">
        <v>0.115</v>
      </c>
      <c r="F4422" s="48">
        <v>24.414999999999999</v>
      </c>
      <c r="G4422" s="48">
        <f t="shared" si="82"/>
        <v>2.807725</v>
      </c>
      <c r="H4422" s="67"/>
      <c r="I4422" s="68"/>
      <c r="J4422" s="138">
        <v>0</v>
      </c>
    </row>
    <row r="4423" spans="1:10" ht="26.25" hidden="1" thickBot="1" x14ac:dyDescent="0.3">
      <c r="A4423" s="225"/>
      <c r="B4423" s="223"/>
      <c r="C4423" s="30" t="s">
        <v>1300</v>
      </c>
      <c r="D4423" s="30" t="s">
        <v>938</v>
      </c>
      <c r="E4423" s="31">
        <v>5.0000000000000001E-3</v>
      </c>
      <c r="F4423" s="48">
        <v>20.415499999999998</v>
      </c>
      <c r="G4423" s="48">
        <f t="shared" si="82"/>
        <v>0.10207749999999999</v>
      </c>
      <c r="H4423" s="67"/>
      <c r="I4423" s="68"/>
      <c r="J4423" s="138">
        <v>0</v>
      </c>
    </row>
    <row r="4424" spans="1:10" ht="26.25" hidden="1" thickBot="1" x14ac:dyDescent="0.3">
      <c r="A4424" s="225"/>
      <c r="B4424" s="223"/>
      <c r="C4424" s="30" t="s">
        <v>1301</v>
      </c>
      <c r="D4424" s="30" t="s">
        <v>940</v>
      </c>
      <c r="E4424" s="31">
        <v>6.8999999999999999E-3</v>
      </c>
      <c r="F4424" s="48">
        <v>19.731499999999997</v>
      </c>
      <c r="G4424" s="48">
        <f t="shared" si="82"/>
        <v>0.13614734999999997</v>
      </c>
      <c r="H4424" s="67"/>
      <c r="I4424" s="68"/>
      <c r="J4424" s="138">
        <v>0</v>
      </c>
    </row>
    <row r="4425" spans="1:10" ht="15.75" hidden="1" thickBot="1" x14ac:dyDescent="0.3">
      <c r="A4425" s="226"/>
      <c r="B4425" s="224"/>
      <c r="C4425" s="49"/>
      <c r="D4425" s="49"/>
      <c r="E4425" s="60"/>
      <c r="F4425" s="70" t="s">
        <v>521</v>
      </c>
      <c r="G4425" s="70" t="str">
        <f t="shared" si="82"/>
        <v/>
      </c>
      <c r="H4425" s="71"/>
      <c r="I4425" s="68"/>
      <c r="J4425" s="138">
        <v>0</v>
      </c>
    </row>
    <row r="4426" spans="1:10" ht="15.75" hidden="1" thickBot="1" x14ac:dyDescent="0.3">
      <c r="A4426" s="220" t="s">
        <v>1320</v>
      </c>
      <c r="B4426" s="222" t="e">
        <f>INDEX(Orçamentária!A:B,MATCH(Composições!A4426,Orçamentária!A:A,0),2)</f>
        <v>#N/A</v>
      </c>
      <c r="C4426" s="35"/>
      <c r="D4426" s="20" t="s">
        <v>93</v>
      </c>
      <c r="E4426" s="21"/>
      <c r="F4426" s="43" t="s">
        <v>521</v>
      </c>
      <c r="G4426" s="22" t="str">
        <f t="shared" si="82"/>
        <v/>
      </c>
      <c r="H4426" s="23"/>
      <c r="I4426" s="24"/>
      <c r="J4426" s="138">
        <v>0</v>
      </c>
    </row>
    <row r="4427" spans="1:10" ht="15.75" hidden="1" thickBot="1" x14ac:dyDescent="0.3">
      <c r="A4427" s="225"/>
      <c r="B4427" s="223"/>
      <c r="C4427" s="26"/>
      <c r="D4427" s="26"/>
      <c r="E4427" s="27"/>
      <c r="F4427" s="48" t="s">
        <v>521</v>
      </c>
      <c r="G4427" s="48" t="str">
        <f t="shared" si="82"/>
        <v/>
      </c>
      <c r="H4427" s="67"/>
      <c r="I4427" s="68"/>
      <c r="J4427" s="138">
        <v>0</v>
      </c>
    </row>
    <row r="4428" spans="1:10" ht="39" hidden="1" thickBot="1" x14ac:dyDescent="0.3">
      <c r="A4428" s="225"/>
      <c r="B4428" s="223"/>
      <c r="C4428" s="30" t="s">
        <v>1317</v>
      </c>
      <c r="D4428" s="41" t="s">
        <v>739</v>
      </c>
      <c r="E4428" s="31">
        <v>4.2</v>
      </c>
      <c r="F4428" s="48">
        <v>0.32300000000000001</v>
      </c>
      <c r="G4428" s="48">
        <f t="shared" si="82"/>
        <v>1.3566</v>
      </c>
      <c r="H4428" s="33">
        <f>SUM(G4428:G4434)</f>
        <v>79.007095799999988</v>
      </c>
      <c r="I4428" s="34"/>
      <c r="J4428" s="138">
        <v>0</v>
      </c>
    </row>
    <row r="4429" spans="1:10" ht="26.25" hidden="1" thickBot="1" x14ac:dyDescent="0.3">
      <c r="A4429" s="225"/>
      <c r="B4429" s="223"/>
      <c r="C4429" s="30" t="s">
        <v>1318</v>
      </c>
      <c r="D4429" s="30" t="s">
        <v>279</v>
      </c>
      <c r="E4429" s="31">
        <v>4.2</v>
      </c>
      <c r="F4429" s="48">
        <v>4.8829999999999991</v>
      </c>
      <c r="G4429" s="48">
        <f t="shared" si="82"/>
        <v>20.508599999999998</v>
      </c>
      <c r="H4429" s="67"/>
      <c r="I4429" s="68"/>
      <c r="J4429" s="138">
        <v>0</v>
      </c>
    </row>
    <row r="4430" spans="1:10" ht="26.25" hidden="1" thickBot="1" x14ac:dyDescent="0.3">
      <c r="A4430" s="225"/>
      <c r="B4430" s="223"/>
      <c r="C4430" s="30" t="s">
        <v>1321</v>
      </c>
      <c r="D4430" s="30" t="s">
        <v>279</v>
      </c>
      <c r="E4430" s="31">
        <v>1.0289999999999999</v>
      </c>
      <c r="F4430" s="48">
        <v>52.715499999999999</v>
      </c>
      <c r="G4430" s="48">
        <f t="shared" si="82"/>
        <v>54.244249499999995</v>
      </c>
      <c r="H4430" s="67"/>
      <c r="I4430" s="68"/>
      <c r="J4430" s="138">
        <v>0</v>
      </c>
    </row>
    <row r="4431" spans="1:10" ht="15.75" hidden="1" thickBot="1" x14ac:dyDescent="0.3">
      <c r="A4431" s="225"/>
      <c r="B4431" s="223"/>
      <c r="C4431" s="30" t="s">
        <v>703</v>
      </c>
      <c r="D4431" s="30" t="s">
        <v>702</v>
      </c>
      <c r="E4431" s="31">
        <v>7.2999999999999995E-2</v>
      </c>
      <c r="F4431" s="48">
        <v>18.420500000000001</v>
      </c>
      <c r="G4431" s="48">
        <f t="shared" ref="G4431:G4494" si="83">IF(ISNUMBER(F4431),E4431*F4431,"")</f>
        <v>1.3446965</v>
      </c>
      <c r="H4431" s="67"/>
      <c r="I4431" s="68"/>
      <c r="J4431" s="138">
        <v>0</v>
      </c>
    </row>
    <row r="4432" spans="1:10" ht="15.75" hidden="1" thickBot="1" x14ac:dyDescent="0.3">
      <c r="A4432" s="225"/>
      <c r="B4432" s="223"/>
      <c r="C4432" s="30" t="s">
        <v>1299</v>
      </c>
      <c r="D4432" s="30" t="s">
        <v>702</v>
      </c>
      <c r="E4432" s="31">
        <v>0.06</v>
      </c>
      <c r="F4432" s="48">
        <v>24.414999999999999</v>
      </c>
      <c r="G4432" s="48">
        <f t="shared" si="83"/>
        <v>1.4648999999999999</v>
      </c>
      <c r="H4432" s="67"/>
      <c r="I4432" s="68"/>
      <c r="J4432" s="138">
        <v>0</v>
      </c>
    </row>
    <row r="4433" spans="1:10" ht="26.25" hidden="1" thickBot="1" x14ac:dyDescent="0.3">
      <c r="A4433" s="225"/>
      <c r="B4433" s="223"/>
      <c r="C4433" s="30" t="s">
        <v>1300</v>
      </c>
      <c r="D4433" s="30" t="s">
        <v>938</v>
      </c>
      <c r="E4433" s="31">
        <v>1.8E-3</v>
      </c>
      <c r="F4433" s="48">
        <v>20.415499999999998</v>
      </c>
      <c r="G4433" s="48">
        <f t="shared" si="83"/>
        <v>3.6747899999999993E-2</v>
      </c>
      <c r="H4433" s="67"/>
      <c r="I4433" s="68"/>
      <c r="J4433" s="138">
        <v>0</v>
      </c>
    </row>
    <row r="4434" spans="1:10" ht="26.25" hidden="1" thickBot="1" x14ac:dyDescent="0.3">
      <c r="A4434" s="225"/>
      <c r="B4434" s="223"/>
      <c r="C4434" s="30" t="s">
        <v>1301</v>
      </c>
      <c r="D4434" s="30" t="s">
        <v>940</v>
      </c>
      <c r="E4434" s="31">
        <v>2.5999999999999999E-3</v>
      </c>
      <c r="F4434" s="48">
        <v>19.731499999999997</v>
      </c>
      <c r="G4434" s="48">
        <f t="shared" si="83"/>
        <v>5.1301899999999991E-2</v>
      </c>
      <c r="H4434" s="67"/>
      <c r="I4434" s="68"/>
      <c r="J4434" s="138">
        <v>0</v>
      </c>
    </row>
    <row r="4435" spans="1:10" ht="15.75" hidden="1" thickBot="1" x14ac:dyDescent="0.3">
      <c r="A4435" s="226"/>
      <c r="B4435" s="224"/>
      <c r="C4435" s="49"/>
      <c r="D4435" s="49"/>
      <c r="E4435" s="60"/>
      <c r="F4435" s="70" t="s">
        <v>521</v>
      </c>
      <c r="G4435" s="70" t="str">
        <f t="shared" si="83"/>
        <v/>
      </c>
      <c r="H4435" s="71"/>
      <c r="I4435" s="68"/>
      <c r="J4435" s="138">
        <v>0</v>
      </c>
    </row>
    <row r="4436" spans="1:10" ht="15.75" hidden="1" thickBot="1" x14ac:dyDescent="0.3">
      <c r="A4436" s="220" t="s">
        <v>1322</v>
      </c>
      <c r="B4436" s="222" t="e">
        <f>INDEX(Orçamentária!A:B,MATCH(Composições!A4436,Orçamentária!A:A,0),2)</f>
        <v>#N/A</v>
      </c>
      <c r="C4436" s="35"/>
      <c r="D4436" s="20" t="s">
        <v>93</v>
      </c>
      <c r="E4436" s="21"/>
      <c r="F4436" s="43" t="s">
        <v>521</v>
      </c>
      <c r="G4436" s="22" t="str">
        <f t="shared" si="83"/>
        <v/>
      </c>
      <c r="H4436" s="23"/>
      <c r="I4436" s="24"/>
      <c r="J4436" s="138">
        <v>0</v>
      </c>
    </row>
    <row r="4437" spans="1:10" ht="15.75" hidden="1" thickBot="1" x14ac:dyDescent="0.3">
      <c r="A4437" s="225"/>
      <c r="B4437" s="223"/>
      <c r="C4437" s="26"/>
      <c r="D4437" s="26"/>
      <c r="E4437" s="27"/>
      <c r="F4437" s="48" t="s">
        <v>521</v>
      </c>
      <c r="G4437" s="48" t="str">
        <f t="shared" si="83"/>
        <v/>
      </c>
      <c r="H4437" s="67"/>
      <c r="I4437" s="68"/>
      <c r="J4437" s="138">
        <v>0</v>
      </c>
    </row>
    <row r="4438" spans="1:10" ht="39" hidden="1" thickBot="1" x14ac:dyDescent="0.3">
      <c r="A4438" s="225"/>
      <c r="B4438" s="223"/>
      <c r="C4438" s="30" t="s">
        <v>1317</v>
      </c>
      <c r="D4438" s="41" t="s">
        <v>739</v>
      </c>
      <c r="E4438" s="31">
        <v>4.2</v>
      </c>
      <c r="F4438" s="48">
        <v>0.32300000000000001</v>
      </c>
      <c r="G4438" s="48">
        <f t="shared" si="83"/>
        <v>1.3566</v>
      </c>
      <c r="H4438" s="33">
        <f>SUM(G4438:G4444)</f>
        <v>85.122920299999976</v>
      </c>
      <c r="I4438" s="34"/>
      <c r="J4438" s="138">
        <v>0</v>
      </c>
    </row>
    <row r="4439" spans="1:10" ht="26.25" hidden="1" thickBot="1" x14ac:dyDescent="0.3">
      <c r="A4439" s="225"/>
      <c r="B4439" s="223"/>
      <c r="C4439" s="30" t="s">
        <v>1318</v>
      </c>
      <c r="D4439" s="30" t="s">
        <v>279</v>
      </c>
      <c r="E4439" s="31">
        <v>4.2</v>
      </c>
      <c r="F4439" s="48">
        <v>4.8829999999999991</v>
      </c>
      <c r="G4439" s="48">
        <f t="shared" si="83"/>
        <v>20.508599999999998</v>
      </c>
      <c r="H4439" s="67"/>
      <c r="I4439" s="68"/>
      <c r="J4439" s="138">
        <v>0</v>
      </c>
    </row>
    <row r="4440" spans="1:10" ht="26.25" hidden="1" thickBot="1" x14ac:dyDescent="0.3">
      <c r="A4440" s="225"/>
      <c r="B4440" s="223"/>
      <c r="C4440" s="30" t="s">
        <v>1323</v>
      </c>
      <c r="D4440" s="30" t="s">
        <v>279</v>
      </c>
      <c r="E4440" s="31">
        <v>1.0289999999999999</v>
      </c>
      <c r="F4440" s="48">
        <v>59.432000000000002</v>
      </c>
      <c r="G4440" s="48">
        <f t="shared" si="83"/>
        <v>61.155527999999997</v>
      </c>
      <c r="H4440" s="67"/>
      <c r="I4440" s="68"/>
      <c r="J4440" s="138">
        <v>0</v>
      </c>
    </row>
    <row r="4441" spans="1:10" ht="15.75" hidden="1" thickBot="1" x14ac:dyDescent="0.3">
      <c r="A4441" s="225"/>
      <c r="B4441" s="223"/>
      <c r="C4441" s="30" t="s">
        <v>703</v>
      </c>
      <c r="D4441" s="30" t="s">
        <v>702</v>
      </c>
      <c r="E4441" s="31">
        <v>5.5E-2</v>
      </c>
      <c r="F4441" s="48">
        <v>18.420500000000001</v>
      </c>
      <c r="G4441" s="48">
        <f t="shared" si="83"/>
        <v>1.0131275</v>
      </c>
      <c r="H4441" s="67"/>
      <c r="I4441" s="68"/>
      <c r="J4441" s="138">
        <v>0</v>
      </c>
    </row>
    <row r="4442" spans="1:10" ht="15.75" hidden="1" thickBot="1" x14ac:dyDescent="0.3">
      <c r="A4442" s="225"/>
      <c r="B4442" s="223"/>
      <c r="C4442" s="30" t="s">
        <v>1299</v>
      </c>
      <c r="D4442" s="30" t="s">
        <v>702</v>
      </c>
      <c r="E4442" s="31">
        <v>4.1000000000000002E-2</v>
      </c>
      <c r="F4442" s="48">
        <v>24.414999999999999</v>
      </c>
      <c r="G4442" s="48">
        <f t="shared" si="83"/>
        <v>1.001015</v>
      </c>
      <c r="H4442" s="67"/>
      <c r="I4442" s="68"/>
      <c r="J4442" s="138">
        <v>0</v>
      </c>
    </row>
    <row r="4443" spans="1:10" ht="26.25" hidden="1" thickBot="1" x14ac:dyDescent="0.3">
      <c r="A4443" s="225"/>
      <c r="B4443" s="223"/>
      <c r="C4443" s="30" t="s">
        <v>1300</v>
      </c>
      <c r="D4443" s="30" t="s">
        <v>938</v>
      </c>
      <c r="E4443" s="31">
        <v>1.8E-3</v>
      </c>
      <c r="F4443" s="48">
        <v>20.415499999999998</v>
      </c>
      <c r="G4443" s="48">
        <f t="shared" si="83"/>
        <v>3.6747899999999993E-2</v>
      </c>
      <c r="H4443" s="67"/>
      <c r="I4443" s="68"/>
      <c r="J4443" s="138">
        <v>0</v>
      </c>
    </row>
    <row r="4444" spans="1:10" ht="26.25" hidden="1" thickBot="1" x14ac:dyDescent="0.3">
      <c r="A4444" s="225"/>
      <c r="B4444" s="223"/>
      <c r="C4444" s="30" t="s">
        <v>1301</v>
      </c>
      <c r="D4444" s="30" t="s">
        <v>940</v>
      </c>
      <c r="E4444" s="31">
        <v>2.5999999999999999E-3</v>
      </c>
      <c r="F4444" s="48">
        <v>19.731499999999997</v>
      </c>
      <c r="G4444" s="48">
        <f t="shared" si="83"/>
        <v>5.1301899999999991E-2</v>
      </c>
      <c r="H4444" s="67"/>
      <c r="I4444" s="68"/>
      <c r="J4444" s="138">
        <v>0</v>
      </c>
    </row>
    <row r="4445" spans="1:10" ht="15.75" hidden="1" thickBot="1" x14ac:dyDescent="0.3">
      <c r="A4445" s="226"/>
      <c r="B4445" s="224"/>
      <c r="C4445" s="49"/>
      <c r="D4445" s="49"/>
      <c r="E4445" s="60"/>
      <c r="F4445" s="70" t="s">
        <v>521</v>
      </c>
      <c r="G4445" s="70" t="str">
        <f t="shared" si="83"/>
        <v/>
      </c>
      <c r="H4445" s="71"/>
      <c r="I4445" s="68"/>
      <c r="J4445" s="138">
        <v>0</v>
      </c>
    </row>
    <row r="4446" spans="1:10" ht="15.75" hidden="1" thickBot="1" x14ac:dyDescent="0.3">
      <c r="A4446" s="220" t="s">
        <v>1324</v>
      </c>
      <c r="B4446" s="222" t="e">
        <f>INDEX(Orçamentária!A:B,MATCH(Composições!A4446,Orçamentária!A:A,0),2)</f>
        <v>#N/A</v>
      </c>
      <c r="C4446" s="35"/>
      <c r="D4446" s="20" t="s">
        <v>95</v>
      </c>
      <c r="E4446" s="21"/>
      <c r="F4446" s="43" t="s">
        <v>521</v>
      </c>
      <c r="G4446" s="22" t="str">
        <f t="shared" si="83"/>
        <v/>
      </c>
      <c r="H4446" s="23"/>
      <c r="I4446" s="24"/>
      <c r="J4446" s="138">
        <v>0</v>
      </c>
    </row>
    <row r="4447" spans="1:10" ht="15.75" hidden="1" thickBot="1" x14ac:dyDescent="0.3">
      <c r="A4447" s="225"/>
      <c r="B4447" s="223"/>
      <c r="C4447" s="26"/>
      <c r="D4447" s="26"/>
      <c r="E4447" s="27"/>
      <c r="F4447" s="48" t="s">
        <v>521</v>
      </c>
      <c r="G4447" s="48" t="str">
        <f t="shared" si="83"/>
        <v/>
      </c>
      <c r="H4447" s="67"/>
      <c r="I4447" s="68"/>
      <c r="J4447" s="138">
        <v>0</v>
      </c>
    </row>
    <row r="4448" spans="1:10" ht="15.75" hidden="1" thickBot="1" x14ac:dyDescent="0.3">
      <c r="A4448" s="225"/>
      <c r="B4448" s="223"/>
      <c r="C4448" s="30" t="s">
        <v>1299</v>
      </c>
      <c r="D4448" s="30" t="s">
        <v>12</v>
      </c>
      <c r="E4448" s="31">
        <v>0.15</v>
      </c>
      <c r="F4448" s="48">
        <v>24.414999999999999</v>
      </c>
      <c r="G4448" s="48">
        <f t="shared" si="83"/>
        <v>3.6622499999999998</v>
      </c>
      <c r="H4448" s="33">
        <f>SUM(G4448:G4452)</f>
        <v>6.425325</v>
      </c>
      <c r="I4448" s="34"/>
      <c r="J4448" s="138">
        <v>0</v>
      </c>
    </row>
    <row r="4449" spans="1:10" ht="15.75" hidden="1" thickBot="1" x14ac:dyDescent="0.3">
      <c r="A4449" s="225"/>
      <c r="B4449" s="223"/>
      <c r="C4449" s="30" t="s">
        <v>703</v>
      </c>
      <c r="D4449" s="30" t="s">
        <v>12</v>
      </c>
      <c r="E4449" s="31">
        <v>0.15</v>
      </c>
      <c r="F4449" s="48">
        <v>18.420500000000001</v>
      </c>
      <c r="G4449" s="48">
        <f t="shared" si="83"/>
        <v>2.7630750000000002</v>
      </c>
      <c r="H4449" s="67"/>
      <c r="I4449" s="68"/>
      <c r="J4449" s="138">
        <v>0</v>
      </c>
    </row>
    <row r="4450" spans="1:10" ht="15.75" hidden="1" thickBot="1" x14ac:dyDescent="0.3">
      <c r="A4450" s="225"/>
      <c r="B4450" s="223"/>
      <c r="C4450" s="30" t="s">
        <v>1307</v>
      </c>
      <c r="D4450" s="30" t="s">
        <v>279</v>
      </c>
      <c r="E4450" s="31">
        <v>4.12</v>
      </c>
      <c r="F4450" s="48">
        <v>0</v>
      </c>
      <c r="G4450" s="48">
        <f t="shared" si="83"/>
        <v>0</v>
      </c>
      <c r="H4450" s="67"/>
      <c r="I4450" s="68"/>
      <c r="J4450" s="138">
        <v>0</v>
      </c>
    </row>
    <row r="4451" spans="1:10" ht="15.75" hidden="1" thickBot="1" x14ac:dyDescent="0.3">
      <c r="A4451" s="225"/>
      <c r="B4451" s="223"/>
      <c r="C4451" s="30" t="s">
        <v>1834</v>
      </c>
      <c r="D4451" s="30" t="s">
        <v>95</v>
      </c>
      <c r="E4451" s="31">
        <v>1.06</v>
      </c>
      <c r="F4451" s="48">
        <v>0</v>
      </c>
      <c r="G4451" s="48">
        <f t="shared" si="83"/>
        <v>0</v>
      </c>
      <c r="H4451" s="67"/>
      <c r="I4451" s="68"/>
      <c r="J4451" s="138">
        <v>0</v>
      </c>
    </row>
    <row r="4452" spans="1:10" ht="15.75" hidden="1" thickBot="1" x14ac:dyDescent="0.3">
      <c r="A4452" s="225"/>
      <c r="B4452" s="223"/>
      <c r="C4452" s="30" t="s">
        <v>1325</v>
      </c>
      <c r="D4452" s="30" t="s">
        <v>279</v>
      </c>
      <c r="E4452" s="31">
        <v>4.12</v>
      </c>
      <c r="F4452" s="48">
        <v>0</v>
      </c>
      <c r="G4452" s="48">
        <f t="shared" si="83"/>
        <v>0</v>
      </c>
      <c r="H4452" s="67"/>
      <c r="I4452" s="68"/>
      <c r="J4452" s="138">
        <v>0</v>
      </c>
    </row>
    <row r="4453" spans="1:10" ht="15.75" hidden="1" thickBot="1" x14ac:dyDescent="0.3">
      <c r="A4453" s="226"/>
      <c r="B4453" s="224"/>
      <c r="C4453" s="49"/>
      <c r="D4453" s="49"/>
      <c r="E4453" s="60"/>
      <c r="F4453" s="70" t="s">
        <v>521</v>
      </c>
      <c r="G4453" s="70" t="str">
        <f t="shared" si="83"/>
        <v/>
      </c>
      <c r="H4453" s="71"/>
      <c r="I4453" s="68"/>
      <c r="J4453" s="138">
        <v>0</v>
      </c>
    </row>
    <row r="4454" spans="1:10" ht="15.75" hidden="1" thickBot="1" x14ac:dyDescent="0.3">
      <c r="A4454" s="228" t="s">
        <v>1326</v>
      </c>
      <c r="B4454" s="222" t="e">
        <f>INDEX(Orçamentária!A:B,MATCH(Composições!A4454,Orçamentária!A:A,0),2)</f>
        <v>#N/A</v>
      </c>
      <c r="C4454" s="35"/>
      <c r="D4454" s="20" t="s">
        <v>93</v>
      </c>
      <c r="E4454" s="21"/>
      <c r="F4454" s="43" t="s">
        <v>521</v>
      </c>
      <c r="G4454" s="22" t="str">
        <f t="shared" si="83"/>
        <v/>
      </c>
      <c r="H4454" s="23"/>
      <c r="I4454" s="24"/>
      <c r="J4454" s="138">
        <v>0</v>
      </c>
    </row>
    <row r="4455" spans="1:10" ht="15.75" hidden="1" thickBot="1" x14ac:dyDescent="0.3">
      <c r="A4455" s="234"/>
      <c r="B4455" s="223"/>
      <c r="C4455" s="26"/>
      <c r="D4455" s="26"/>
      <c r="E4455" s="27"/>
      <c r="F4455" s="48" t="s">
        <v>521</v>
      </c>
      <c r="G4455" s="48" t="str">
        <f t="shared" si="83"/>
        <v/>
      </c>
      <c r="H4455" s="67"/>
      <c r="I4455" s="68"/>
      <c r="J4455" s="138">
        <v>0</v>
      </c>
    </row>
    <row r="4456" spans="1:10" ht="15.75" hidden="1" thickBot="1" x14ac:dyDescent="0.3">
      <c r="A4456" s="234"/>
      <c r="B4456" s="223"/>
      <c r="C4456" s="30" t="s">
        <v>770</v>
      </c>
      <c r="D4456" s="41" t="s">
        <v>897</v>
      </c>
      <c r="E4456" s="31">
        <v>2.8</v>
      </c>
      <c r="F4456" s="48">
        <v>10.032</v>
      </c>
      <c r="G4456" s="48">
        <f t="shared" si="83"/>
        <v>28.089599999999997</v>
      </c>
      <c r="H4456" s="33">
        <f>SUM(G4456:G4464)</f>
        <v>328.665891532557</v>
      </c>
      <c r="I4456" s="34"/>
      <c r="J4456" s="138">
        <v>0</v>
      </c>
    </row>
    <row r="4457" spans="1:10" ht="15.75" hidden="1" thickBot="1" x14ac:dyDescent="0.3">
      <c r="A4457" s="234"/>
      <c r="B4457" s="223"/>
      <c r="C4457" s="30" t="s">
        <v>1327</v>
      </c>
      <c r="D4457" s="30" t="s">
        <v>102</v>
      </c>
      <c r="E4457" s="31">
        <v>2.5000000000000001E-2</v>
      </c>
      <c r="F4457" s="48">
        <v>41.011499999999998</v>
      </c>
      <c r="G4457" s="48">
        <f t="shared" si="83"/>
        <v>1.0252874999999999</v>
      </c>
      <c r="H4457" s="67"/>
      <c r="I4457" s="68"/>
      <c r="J4457" s="138">
        <v>0</v>
      </c>
    </row>
    <row r="4458" spans="1:10" ht="15.75" hidden="1" thickBot="1" x14ac:dyDescent="0.3">
      <c r="A4458" s="234"/>
      <c r="B4458" s="223"/>
      <c r="C4458" s="30" t="s">
        <v>900</v>
      </c>
      <c r="D4458" s="30" t="s">
        <v>702</v>
      </c>
      <c r="E4458" s="31">
        <v>0.35</v>
      </c>
      <c r="F4458" s="48">
        <v>24.747499999999999</v>
      </c>
      <c r="G4458" s="48">
        <f t="shared" si="83"/>
        <v>8.661624999999999</v>
      </c>
      <c r="H4458" s="67"/>
      <c r="I4458" s="68"/>
      <c r="J4458" s="138">
        <v>0</v>
      </c>
    </row>
    <row r="4459" spans="1:10" ht="15.75" hidden="1" thickBot="1" x14ac:dyDescent="0.3">
      <c r="A4459" s="234"/>
      <c r="B4459" s="223"/>
      <c r="C4459" s="30" t="s">
        <v>710</v>
      </c>
      <c r="D4459" s="30" t="s">
        <v>702</v>
      </c>
      <c r="E4459" s="31">
        <v>1.1000000000000001</v>
      </c>
      <c r="F4459" s="48">
        <v>24.889999999999997</v>
      </c>
      <c r="G4459" s="48">
        <f t="shared" si="83"/>
        <v>27.378999999999998</v>
      </c>
      <c r="H4459" s="67"/>
      <c r="I4459" s="68"/>
      <c r="J4459" s="138">
        <v>0</v>
      </c>
    </row>
    <row r="4460" spans="1:10" ht="15.75" hidden="1" thickBot="1" x14ac:dyDescent="0.3">
      <c r="A4460" s="234"/>
      <c r="B4460" s="223"/>
      <c r="C4460" s="30" t="s">
        <v>703</v>
      </c>
      <c r="D4460" s="30" t="s">
        <v>702</v>
      </c>
      <c r="E4460" s="31">
        <v>1.1299999999999999</v>
      </c>
      <c r="F4460" s="48">
        <v>18.420500000000001</v>
      </c>
      <c r="G4460" s="48">
        <f t="shared" si="83"/>
        <v>20.815165</v>
      </c>
      <c r="H4460" s="67"/>
      <c r="I4460" s="68"/>
      <c r="J4460" s="138">
        <v>0</v>
      </c>
    </row>
    <row r="4461" spans="1:10" ht="26.25" hidden="1" thickBot="1" x14ac:dyDescent="0.3">
      <c r="A4461" s="234"/>
      <c r="B4461" s="223"/>
      <c r="C4461" s="30" t="s">
        <v>108</v>
      </c>
      <c r="D4461" s="30" t="s">
        <v>120</v>
      </c>
      <c r="E4461" s="31">
        <v>3.5000000000000001E-3</v>
      </c>
      <c r="F4461" s="48">
        <v>735.20400930200003</v>
      </c>
      <c r="G4461" s="48">
        <f t="shared" si="83"/>
        <v>2.5732140325570003</v>
      </c>
      <c r="H4461" s="67"/>
      <c r="I4461" s="68"/>
      <c r="J4461" s="138">
        <v>0</v>
      </c>
    </row>
    <row r="4462" spans="1:10" ht="15.75" hidden="1" thickBot="1" x14ac:dyDescent="0.3">
      <c r="A4462" s="234"/>
      <c r="B4462" s="223"/>
      <c r="C4462" s="30" t="s">
        <v>770</v>
      </c>
      <c r="D4462" s="41" t="s">
        <v>897</v>
      </c>
      <c r="E4462" s="31">
        <v>3</v>
      </c>
      <c r="F4462" s="48">
        <v>10.032</v>
      </c>
      <c r="G4462" s="48">
        <f t="shared" si="83"/>
        <v>30.096</v>
      </c>
      <c r="H4462" s="67"/>
      <c r="I4462" s="68"/>
      <c r="J4462" s="138">
        <v>0</v>
      </c>
    </row>
    <row r="4463" spans="1:10" ht="26.25" hidden="1" thickBot="1" x14ac:dyDescent="0.3">
      <c r="A4463" s="234"/>
      <c r="B4463" s="223"/>
      <c r="C4463" s="30" t="s">
        <v>130</v>
      </c>
      <c r="D4463" s="41" t="s">
        <v>897</v>
      </c>
      <c r="E4463" s="31">
        <v>15</v>
      </c>
      <c r="F4463" s="48">
        <v>13.337999999999999</v>
      </c>
      <c r="G4463" s="48">
        <f t="shared" si="83"/>
        <v>200.07</v>
      </c>
      <c r="H4463" s="67"/>
      <c r="I4463" s="68"/>
      <c r="J4463" s="138">
        <v>0</v>
      </c>
    </row>
    <row r="4464" spans="1:10" ht="15.75" hidden="1" thickBot="1" x14ac:dyDescent="0.3">
      <c r="A4464" s="234"/>
      <c r="B4464" s="223"/>
      <c r="C4464" s="30" t="s">
        <v>710</v>
      </c>
      <c r="D4464" s="30" t="s">
        <v>702</v>
      </c>
      <c r="E4464" s="31">
        <v>0.4</v>
      </c>
      <c r="F4464" s="48">
        <v>24.889999999999997</v>
      </c>
      <c r="G4464" s="48">
        <f t="shared" si="83"/>
        <v>9.9559999999999995</v>
      </c>
      <c r="H4464" s="67"/>
      <c r="I4464" s="68"/>
      <c r="J4464" s="138">
        <v>0</v>
      </c>
    </row>
    <row r="4465" spans="1:10" ht="15.75" hidden="1" thickBot="1" x14ac:dyDescent="0.3">
      <c r="A4465" s="235"/>
      <c r="B4465" s="224"/>
      <c r="C4465" s="49"/>
      <c r="D4465" s="49"/>
      <c r="E4465" s="60"/>
      <c r="F4465" s="70" t="s">
        <v>521</v>
      </c>
      <c r="G4465" s="70" t="str">
        <f t="shared" si="83"/>
        <v/>
      </c>
      <c r="H4465" s="71"/>
      <c r="I4465" s="68"/>
      <c r="J4465" s="138">
        <v>0</v>
      </c>
    </row>
    <row r="4466" spans="1:10" ht="15.75" hidden="1" thickBot="1" x14ac:dyDescent="0.3">
      <c r="A4466" s="228" t="s">
        <v>1328</v>
      </c>
      <c r="B4466" s="222" t="e">
        <f>INDEX(Orçamentária!A:B,MATCH(Composições!A4466,Orçamentária!A:A,0),2)</f>
        <v>#N/A</v>
      </c>
      <c r="C4466" s="35"/>
      <c r="D4466" s="20" t="s">
        <v>93</v>
      </c>
      <c r="E4466" s="21"/>
      <c r="F4466" s="43" t="s">
        <v>521</v>
      </c>
      <c r="G4466" s="22" t="str">
        <f t="shared" si="83"/>
        <v/>
      </c>
      <c r="H4466" s="23"/>
      <c r="I4466" s="24"/>
      <c r="J4466" s="138">
        <v>0</v>
      </c>
    </row>
    <row r="4467" spans="1:10" ht="15.75" hidden="1" thickBot="1" x14ac:dyDescent="0.3">
      <c r="A4467" s="234"/>
      <c r="B4467" s="223"/>
      <c r="C4467" s="26"/>
      <c r="D4467" s="26"/>
      <c r="E4467" s="27"/>
      <c r="F4467" s="48" t="s">
        <v>521</v>
      </c>
      <c r="G4467" s="48" t="str">
        <f t="shared" si="83"/>
        <v/>
      </c>
      <c r="H4467" s="67"/>
      <c r="I4467" s="68"/>
      <c r="J4467" s="138">
        <v>0</v>
      </c>
    </row>
    <row r="4468" spans="1:10" ht="15.75" hidden="1" thickBot="1" x14ac:dyDescent="0.3">
      <c r="A4468" s="234"/>
      <c r="B4468" s="223"/>
      <c r="C4468" s="30" t="s">
        <v>770</v>
      </c>
      <c r="D4468" s="41" t="s">
        <v>897</v>
      </c>
      <c r="E4468" s="31">
        <v>2.8</v>
      </c>
      <c r="F4468" s="48">
        <v>10.032</v>
      </c>
      <c r="G4468" s="48">
        <f t="shared" si="83"/>
        <v>28.089599999999997</v>
      </c>
      <c r="H4468" s="33">
        <f>SUM(G4468:G4476)</f>
        <v>139.311270565114</v>
      </c>
      <c r="I4468" s="34"/>
      <c r="J4468" s="138">
        <v>0</v>
      </c>
    </row>
    <row r="4469" spans="1:10" ht="15.75" hidden="1" thickBot="1" x14ac:dyDescent="0.3">
      <c r="A4469" s="234"/>
      <c r="B4469" s="223"/>
      <c r="C4469" s="30" t="s">
        <v>1327</v>
      </c>
      <c r="D4469" s="30" t="s">
        <v>102</v>
      </c>
      <c r="E4469" s="31">
        <v>2.5000000000000001E-2</v>
      </c>
      <c r="F4469" s="48">
        <v>41.011499999999998</v>
      </c>
      <c r="G4469" s="48">
        <f t="shared" si="83"/>
        <v>1.0252874999999999</v>
      </c>
      <c r="H4469" s="67"/>
      <c r="I4469" s="68"/>
      <c r="J4469" s="138">
        <v>0</v>
      </c>
    </row>
    <row r="4470" spans="1:10" ht="15.75" hidden="1" thickBot="1" x14ac:dyDescent="0.3">
      <c r="A4470" s="234"/>
      <c r="B4470" s="223"/>
      <c r="C4470" s="30" t="s">
        <v>900</v>
      </c>
      <c r="D4470" s="30" t="s">
        <v>702</v>
      </c>
      <c r="E4470" s="31">
        <v>0.35</v>
      </c>
      <c r="F4470" s="48">
        <v>24.747499999999999</v>
      </c>
      <c r="G4470" s="48">
        <f t="shared" si="83"/>
        <v>8.661624999999999</v>
      </c>
      <c r="H4470" s="67"/>
      <c r="I4470" s="68"/>
      <c r="J4470" s="138">
        <v>0</v>
      </c>
    </row>
    <row r="4471" spans="1:10" ht="15.75" hidden="1" thickBot="1" x14ac:dyDescent="0.3">
      <c r="A4471" s="234"/>
      <c r="B4471" s="223"/>
      <c r="C4471" s="30" t="s">
        <v>710</v>
      </c>
      <c r="D4471" s="30" t="s">
        <v>702</v>
      </c>
      <c r="E4471" s="31">
        <v>1.1000000000000001</v>
      </c>
      <c r="F4471" s="48">
        <v>24.889999999999997</v>
      </c>
      <c r="G4471" s="48">
        <f t="shared" si="83"/>
        <v>27.378999999999998</v>
      </c>
      <c r="H4471" s="67"/>
      <c r="I4471" s="68"/>
      <c r="J4471" s="138">
        <v>0</v>
      </c>
    </row>
    <row r="4472" spans="1:10" ht="15.75" hidden="1" thickBot="1" x14ac:dyDescent="0.3">
      <c r="A4472" s="234"/>
      <c r="B4472" s="223"/>
      <c r="C4472" s="30" t="s">
        <v>703</v>
      </c>
      <c r="D4472" s="30" t="s">
        <v>702</v>
      </c>
      <c r="E4472" s="31">
        <v>1.1299999999999999</v>
      </c>
      <c r="F4472" s="48">
        <v>18.420500000000001</v>
      </c>
      <c r="G4472" s="48">
        <f t="shared" si="83"/>
        <v>20.815165</v>
      </c>
      <c r="H4472" s="67"/>
      <c r="I4472" s="68"/>
      <c r="J4472" s="138">
        <v>0</v>
      </c>
    </row>
    <row r="4473" spans="1:10" ht="26.25" hidden="1" thickBot="1" x14ac:dyDescent="0.3">
      <c r="A4473" s="234"/>
      <c r="B4473" s="223"/>
      <c r="C4473" s="30" t="s">
        <v>108</v>
      </c>
      <c r="D4473" s="30" t="s">
        <v>120</v>
      </c>
      <c r="E4473" s="31">
        <v>3.5000000000000001E-3</v>
      </c>
      <c r="F4473" s="48">
        <v>735.20400930200003</v>
      </c>
      <c r="G4473" s="48">
        <f t="shared" si="83"/>
        <v>2.5732140325570003</v>
      </c>
      <c r="H4473" s="67"/>
      <c r="I4473" s="68"/>
      <c r="J4473" s="138">
        <v>0</v>
      </c>
    </row>
    <row r="4474" spans="1:10" ht="15.75" hidden="1" thickBot="1" x14ac:dyDescent="0.3">
      <c r="A4474" s="234"/>
      <c r="B4474" s="223"/>
      <c r="C4474" s="30" t="s">
        <v>710</v>
      </c>
      <c r="D4474" s="30" t="s">
        <v>702</v>
      </c>
      <c r="E4474" s="31">
        <v>1.1000000000000001</v>
      </c>
      <c r="F4474" s="48">
        <v>24.889999999999997</v>
      </c>
      <c r="G4474" s="48">
        <f t="shared" si="83"/>
        <v>27.378999999999998</v>
      </c>
      <c r="H4474" s="67"/>
      <c r="I4474" s="68"/>
      <c r="J4474" s="138">
        <v>0</v>
      </c>
    </row>
    <row r="4475" spans="1:10" ht="15.75" hidden="1" thickBot="1" x14ac:dyDescent="0.3">
      <c r="A4475" s="234"/>
      <c r="B4475" s="223"/>
      <c r="C4475" s="30" t="s">
        <v>703</v>
      </c>
      <c r="D4475" s="30" t="s">
        <v>702</v>
      </c>
      <c r="E4475" s="31">
        <v>1.1299999999999999</v>
      </c>
      <c r="F4475" s="48">
        <v>18.420500000000001</v>
      </c>
      <c r="G4475" s="48">
        <f t="shared" si="83"/>
        <v>20.815165</v>
      </c>
      <c r="H4475" s="67"/>
      <c r="I4475" s="68"/>
      <c r="J4475" s="138">
        <v>0</v>
      </c>
    </row>
    <row r="4476" spans="1:10" ht="26.25" hidden="1" thickBot="1" x14ac:dyDescent="0.3">
      <c r="A4476" s="234"/>
      <c r="B4476" s="223"/>
      <c r="C4476" s="30" t="s">
        <v>108</v>
      </c>
      <c r="D4476" s="30" t="s">
        <v>120</v>
      </c>
      <c r="E4476" s="31">
        <v>3.5000000000000001E-3</v>
      </c>
      <c r="F4476" s="48">
        <v>735.20400930200003</v>
      </c>
      <c r="G4476" s="48">
        <f t="shared" si="83"/>
        <v>2.5732140325570003</v>
      </c>
      <c r="H4476" s="67"/>
      <c r="I4476" s="68"/>
      <c r="J4476" s="138">
        <v>0</v>
      </c>
    </row>
    <row r="4477" spans="1:10" ht="15.75" hidden="1" thickBot="1" x14ac:dyDescent="0.3">
      <c r="A4477" s="235"/>
      <c r="B4477" s="224"/>
      <c r="C4477" s="49"/>
      <c r="D4477" s="49"/>
      <c r="E4477" s="60"/>
      <c r="F4477" s="70" t="s">
        <v>521</v>
      </c>
      <c r="G4477" s="70" t="str">
        <f t="shared" si="83"/>
        <v/>
      </c>
      <c r="H4477" s="71"/>
      <c r="I4477" s="68"/>
      <c r="J4477" s="138">
        <v>0</v>
      </c>
    </row>
    <row r="4478" spans="1:10" ht="15.75" hidden="1" thickBot="1" x14ac:dyDescent="0.3">
      <c r="A4478" s="220" t="s">
        <v>1329</v>
      </c>
      <c r="B4478" s="222" t="e">
        <f>INDEX(Orçamentária!A:B,MATCH(Composições!A4478,Orçamentária!A:A,0),2)</f>
        <v>#N/A</v>
      </c>
      <c r="C4478" s="35"/>
      <c r="D4478" s="20" t="s">
        <v>95</v>
      </c>
      <c r="E4478" s="21"/>
      <c r="F4478" s="43" t="s">
        <v>521</v>
      </c>
      <c r="G4478" s="22" t="str">
        <f t="shared" si="83"/>
        <v/>
      </c>
      <c r="H4478" s="23"/>
      <c r="I4478" s="24"/>
      <c r="J4478" s="138">
        <v>0</v>
      </c>
    </row>
    <row r="4479" spans="1:10" ht="15.75" hidden="1" thickBot="1" x14ac:dyDescent="0.3">
      <c r="A4479" s="225"/>
      <c r="B4479" s="223"/>
      <c r="C4479" s="26"/>
      <c r="D4479" s="26"/>
      <c r="E4479" s="27"/>
      <c r="F4479" s="48" t="s">
        <v>521</v>
      </c>
      <c r="G4479" s="48" t="str">
        <f t="shared" si="83"/>
        <v/>
      </c>
      <c r="H4479" s="67"/>
      <c r="I4479" s="68"/>
      <c r="J4479" s="138">
        <v>0</v>
      </c>
    </row>
    <row r="4480" spans="1:10" ht="15.75" hidden="1" thickBot="1" x14ac:dyDescent="0.3">
      <c r="A4480" s="225"/>
      <c r="B4480" s="223"/>
      <c r="C4480" s="30" t="s">
        <v>703</v>
      </c>
      <c r="D4480" s="30" t="s">
        <v>12</v>
      </c>
      <c r="E4480" s="31">
        <v>0.11</v>
      </c>
      <c r="F4480" s="48">
        <v>18.420500000000001</v>
      </c>
      <c r="G4480" s="48">
        <f t="shared" si="83"/>
        <v>2.0262549999999999</v>
      </c>
      <c r="H4480" s="33">
        <f>SUM(G4480:G4482)</f>
        <v>2.0262549999999999</v>
      </c>
      <c r="I4480" s="34"/>
      <c r="J4480" s="138">
        <v>0</v>
      </c>
    </row>
    <row r="4481" spans="1:10" ht="15.75" hidden="1" thickBot="1" x14ac:dyDescent="0.3">
      <c r="A4481" s="225"/>
      <c r="B4481" s="223"/>
      <c r="C4481" s="30" t="s">
        <v>1330</v>
      </c>
      <c r="D4481" s="30" t="s">
        <v>1331</v>
      </c>
      <c r="E4481" s="31">
        <v>0.22</v>
      </c>
      <c r="F4481" s="48">
        <v>0</v>
      </c>
      <c r="G4481" s="48">
        <f t="shared" si="83"/>
        <v>0</v>
      </c>
      <c r="H4481" s="67"/>
      <c r="I4481" s="68"/>
      <c r="J4481" s="138">
        <v>0</v>
      </c>
    </row>
    <row r="4482" spans="1:10" ht="15.75" hidden="1" thickBot="1" x14ac:dyDescent="0.3">
      <c r="A4482" s="225"/>
      <c r="B4482" s="223"/>
      <c r="C4482" s="30" t="s">
        <v>1332</v>
      </c>
      <c r="D4482" s="30" t="s">
        <v>102</v>
      </c>
      <c r="E4482" s="31">
        <v>0.4</v>
      </c>
      <c r="F4482" s="48">
        <v>0</v>
      </c>
      <c r="G4482" s="48">
        <f t="shared" si="83"/>
        <v>0</v>
      </c>
      <c r="H4482" s="67"/>
      <c r="I4482" s="68"/>
      <c r="J4482" s="138">
        <v>0</v>
      </c>
    </row>
    <row r="4483" spans="1:10" ht="15.75" hidden="1" thickBot="1" x14ac:dyDescent="0.3">
      <c r="A4483" s="226"/>
      <c r="B4483" s="224"/>
      <c r="C4483" s="49"/>
      <c r="D4483" s="49"/>
      <c r="E4483" s="60"/>
      <c r="F4483" s="70" t="s">
        <v>521</v>
      </c>
      <c r="G4483" s="70" t="str">
        <f t="shared" si="83"/>
        <v/>
      </c>
      <c r="H4483" s="71"/>
      <c r="I4483" s="68"/>
      <c r="J4483" s="138">
        <v>0</v>
      </c>
    </row>
    <row r="4484" spans="1:10" ht="15.75" hidden="1" thickBot="1" x14ac:dyDescent="0.3">
      <c r="A4484" s="220" t="s">
        <v>1333</v>
      </c>
      <c r="B4484" s="222" t="e">
        <f>INDEX(Orçamentária!A:B,MATCH(Composições!A4484,Orçamentária!A:A,0),2)</f>
        <v>#N/A</v>
      </c>
      <c r="C4484" s="35"/>
      <c r="D4484" s="20" t="s">
        <v>20</v>
      </c>
      <c r="E4484" s="21"/>
      <c r="F4484" s="43" t="s">
        <v>521</v>
      </c>
      <c r="G4484" s="22" t="str">
        <f t="shared" si="83"/>
        <v/>
      </c>
      <c r="H4484" s="23"/>
      <c r="I4484" s="24"/>
      <c r="J4484" s="138">
        <v>0</v>
      </c>
    </row>
    <row r="4485" spans="1:10" ht="15.75" hidden="1" thickBot="1" x14ac:dyDescent="0.3">
      <c r="A4485" s="225"/>
      <c r="B4485" s="223"/>
      <c r="C4485" s="26"/>
      <c r="D4485" s="26"/>
      <c r="E4485" s="27"/>
      <c r="F4485" s="48" t="s">
        <v>521</v>
      </c>
      <c r="G4485" s="48" t="str">
        <f t="shared" si="83"/>
        <v/>
      </c>
      <c r="H4485" s="67"/>
      <c r="I4485" s="68"/>
      <c r="J4485" s="138">
        <v>0</v>
      </c>
    </row>
    <row r="4486" spans="1:10" ht="26.25" hidden="1" thickBot="1" x14ac:dyDescent="0.3">
      <c r="A4486" s="225"/>
      <c r="B4486" s="223"/>
      <c r="C4486" s="30" t="s">
        <v>1334</v>
      </c>
      <c r="D4486" s="41" t="s">
        <v>279</v>
      </c>
      <c r="E4486" s="31">
        <v>1</v>
      </c>
      <c r="F4486" s="48">
        <v>11.988999999999999</v>
      </c>
      <c r="G4486" s="48">
        <f t="shared" si="83"/>
        <v>11.988999999999999</v>
      </c>
      <c r="H4486" s="33">
        <f>SUM(G4486:G4500)</f>
        <v>238.07283194999999</v>
      </c>
      <c r="I4486" s="34"/>
      <c r="J4486" s="138">
        <v>0</v>
      </c>
    </row>
    <row r="4487" spans="1:10" ht="26.25" hidden="1" thickBot="1" x14ac:dyDescent="0.3">
      <c r="A4487" s="225"/>
      <c r="B4487" s="223"/>
      <c r="C4487" s="30" t="s">
        <v>1954</v>
      </c>
      <c r="D4487" s="30" t="s">
        <v>279</v>
      </c>
      <c r="E4487" s="31">
        <v>1</v>
      </c>
      <c r="F4487" s="48">
        <v>54.434999999999995</v>
      </c>
      <c r="G4487" s="48">
        <f t="shared" si="83"/>
        <v>54.434999999999995</v>
      </c>
      <c r="H4487" s="67"/>
      <c r="I4487" s="68"/>
      <c r="J4487" s="138">
        <v>0</v>
      </c>
    </row>
    <row r="4488" spans="1:10" ht="39" hidden="1" thickBot="1" x14ac:dyDescent="0.3">
      <c r="A4488" s="225"/>
      <c r="B4488" s="223"/>
      <c r="C4488" s="30" t="s">
        <v>2264</v>
      </c>
      <c r="D4488" s="30" t="s">
        <v>279</v>
      </c>
      <c r="E4488" s="31">
        <v>7.0000000000000007E-2</v>
      </c>
      <c r="F4488" s="48">
        <v>26.998999999999999</v>
      </c>
      <c r="G4488" s="48">
        <f t="shared" si="83"/>
        <v>1.8899300000000001</v>
      </c>
      <c r="H4488" s="67"/>
      <c r="I4488" s="68"/>
      <c r="J4488" s="138">
        <v>0</v>
      </c>
    </row>
    <row r="4489" spans="1:10" ht="26.25" hidden="1" thickBot="1" x14ac:dyDescent="0.3">
      <c r="A4489" s="225"/>
      <c r="B4489" s="223"/>
      <c r="C4489" s="30" t="s">
        <v>949</v>
      </c>
      <c r="D4489" s="30" t="s">
        <v>702</v>
      </c>
      <c r="E4489" s="31">
        <v>0.11</v>
      </c>
      <c r="F4489" s="48">
        <v>19.094999999999999</v>
      </c>
      <c r="G4489" s="48">
        <f t="shared" si="83"/>
        <v>2.1004499999999999</v>
      </c>
      <c r="H4489" s="67"/>
      <c r="I4489" s="68"/>
      <c r="J4489" s="138">
        <v>0</v>
      </c>
    </row>
    <row r="4490" spans="1:10" ht="26.25" hidden="1" thickBot="1" x14ac:dyDescent="0.3">
      <c r="A4490" s="225"/>
      <c r="B4490" s="223"/>
      <c r="C4490" s="30" t="s">
        <v>950</v>
      </c>
      <c r="D4490" s="30" t="s">
        <v>702</v>
      </c>
      <c r="E4490" s="31">
        <v>0.11</v>
      </c>
      <c r="F4490" s="48">
        <v>24.300999999999998</v>
      </c>
      <c r="G4490" s="48">
        <f t="shared" si="83"/>
        <v>2.6731099999999999</v>
      </c>
      <c r="H4490" s="67"/>
      <c r="I4490" s="68"/>
      <c r="J4490" s="138">
        <v>0</v>
      </c>
    </row>
    <row r="4491" spans="1:10" ht="15.75" hidden="1" thickBot="1" x14ac:dyDescent="0.3">
      <c r="A4491" s="225"/>
      <c r="B4491" s="223"/>
      <c r="C4491" s="30" t="s">
        <v>2261</v>
      </c>
      <c r="D4491" s="30" t="s">
        <v>279</v>
      </c>
      <c r="E4491" s="31">
        <v>6.1999999999999998E-3</v>
      </c>
      <c r="F4491" s="48">
        <v>65.417000000000002</v>
      </c>
      <c r="G4491" s="48">
        <f t="shared" si="83"/>
        <v>0.40558539999999998</v>
      </c>
      <c r="H4491" s="67"/>
      <c r="I4491" s="68"/>
      <c r="J4491" s="138">
        <v>0</v>
      </c>
    </row>
    <row r="4492" spans="1:10" ht="26.25" hidden="1" thickBot="1" x14ac:dyDescent="0.3">
      <c r="A4492" s="225"/>
      <c r="B4492" s="223"/>
      <c r="C4492" s="30" t="s">
        <v>1957</v>
      </c>
      <c r="D4492" s="30" t="s">
        <v>479</v>
      </c>
      <c r="E4492" s="31">
        <f>1.04/2</f>
        <v>0.52</v>
      </c>
      <c r="F4492" s="48">
        <v>79.486499999999992</v>
      </c>
      <c r="G4492" s="48">
        <f t="shared" si="83"/>
        <v>41.332979999999999</v>
      </c>
      <c r="H4492" s="67"/>
      <c r="I4492" s="68"/>
      <c r="J4492" s="138">
        <v>0</v>
      </c>
    </row>
    <row r="4493" spans="1:10" ht="26.25" hidden="1" thickBot="1" x14ac:dyDescent="0.3">
      <c r="A4493" s="225"/>
      <c r="B4493" s="223"/>
      <c r="C4493" s="30" t="s">
        <v>2262</v>
      </c>
      <c r="D4493" s="30" t="s">
        <v>279</v>
      </c>
      <c r="E4493" s="31">
        <v>1.0200000000000001E-2</v>
      </c>
      <c r="F4493" s="48">
        <v>74.119</v>
      </c>
      <c r="G4493" s="48">
        <f t="shared" si="83"/>
        <v>0.75601380000000007</v>
      </c>
      <c r="H4493" s="67"/>
      <c r="I4493" s="68"/>
      <c r="J4493" s="138">
        <v>0</v>
      </c>
    </row>
    <row r="4494" spans="1:10" ht="15.75" hidden="1" thickBot="1" x14ac:dyDescent="0.3">
      <c r="A4494" s="225"/>
      <c r="B4494" s="223"/>
      <c r="C4494" s="30" t="s">
        <v>1190</v>
      </c>
      <c r="D4494" s="30" t="s">
        <v>279</v>
      </c>
      <c r="E4494" s="31">
        <v>3.6999999999999998E-2</v>
      </c>
      <c r="F4494" s="48">
        <v>2.0139999999999998</v>
      </c>
      <c r="G4494" s="48">
        <f t="shared" si="83"/>
        <v>7.4517999999999987E-2</v>
      </c>
      <c r="H4494" s="67"/>
      <c r="I4494" s="68"/>
      <c r="J4494" s="138">
        <v>0</v>
      </c>
    </row>
    <row r="4495" spans="1:10" ht="26.25" hidden="1" thickBot="1" x14ac:dyDescent="0.3">
      <c r="A4495" s="225"/>
      <c r="B4495" s="223"/>
      <c r="C4495" s="30" t="s">
        <v>949</v>
      </c>
      <c r="D4495" s="30" t="s">
        <v>702</v>
      </c>
      <c r="E4495" s="31">
        <v>0.18</v>
      </c>
      <c r="F4495" s="48">
        <v>19.094999999999999</v>
      </c>
      <c r="G4495" s="48">
        <f t="shared" ref="G4495:G4558" si="84">IF(ISNUMBER(F4495),E4495*F4495,"")</f>
        <v>3.4370999999999996</v>
      </c>
      <c r="H4495" s="67"/>
      <c r="I4495" s="68"/>
      <c r="J4495" s="138">
        <v>0</v>
      </c>
    </row>
    <row r="4496" spans="1:10" ht="26.25" hidden="1" thickBot="1" x14ac:dyDescent="0.3">
      <c r="A4496" s="225"/>
      <c r="B4496" s="223"/>
      <c r="C4496" s="30" t="s">
        <v>950</v>
      </c>
      <c r="D4496" s="30" t="s">
        <v>702</v>
      </c>
      <c r="E4496" s="31">
        <v>0.18</v>
      </c>
      <c r="F4496" s="48">
        <v>24.300999999999998</v>
      </c>
      <c r="G4496" s="48">
        <f t="shared" si="84"/>
        <v>4.37418</v>
      </c>
      <c r="H4496" s="67"/>
      <c r="I4496" s="68"/>
      <c r="J4496" s="138">
        <v>0</v>
      </c>
    </row>
    <row r="4497" spans="1:10" ht="15.75" hidden="1" thickBot="1" x14ac:dyDescent="0.3">
      <c r="A4497" s="225"/>
      <c r="B4497" s="223"/>
      <c r="C4497" s="30" t="s">
        <v>710</v>
      </c>
      <c r="D4497" s="41" t="s">
        <v>702</v>
      </c>
      <c r="E4497" s="31">
        <v>1</v>
      </c>
      <c r="F4497" s="48">
        <v>24.889999999999997</v>
      </c>
      <c r="G4497" s="48">
        <f t="shared" si="84"/>
        <v>24.889999999999997</v>
      </c>
      <c r="H4497" s="67"/>
      <c r="I4497" s="68"/>
      <c r="J4497" s="138">
        <v>0</v>
      </c>
    </row>
    <row r="4498" spans="1:10" ht="26.25" hidden="1" thickBot="1" x14ac:dyDescent="0.3">
      <c r="A4498" s="225"/>
      <c r="B4498" s="223"/>
      <c r="C4498" s="30" t="s">
        <v>775</v>
      </c>
      <c r="D4498" s="41" t="s">
        <v>897</v>
      </c>
      <c r="E4498" s="31">
        <f>ROUND(1.8*(PI()*(0.25-0.15)*0.1)*10,4)</f>
        <v>0.5655</v>
      </c>
      <c r="F4498" s="48">
        <v>46.844499999999996</v>
      </c>
      <c r="G4498" s="48">
        <f t="shared" si="84"/>
        <v>26.490564749999997</v>
      </c>
      <c r="H4498" s="67"/>
      <c r="I4498" s="68"/>
      <c r="J4498" s="138">
        <v>0</v>
      </c>
    </row>
    <row r="4499" spans="1:10" ht="26.25" hidden="1" thickBot="1" x14ac:dyDescent="0.3">
      <c r="A4499" s="225"/>
      <c r="B4499" s="223"/>
      <c r="C4499" s="30" t="s">
        <v>1059</v>
      </c>
      <c r="D4499" s="31" t="s">
        <v>1060</v>
      </c>
      <c r="E4499" s="31">
        <v>0.2</v>
      </c>
      <c r="F4499" s="48">
        <v>35.444499999999998</v>
      </c>
      <c r="G4499" s="48">
        <f t="shared" si="84"/>
        <v>7.0888999999999998</v>
      </c>
      <c r="H4499" s="67"/>
      <c r="I4499" s="68"/>
      <c r="J4499" s="138">
        <v>0</v>
      </c>
    </row>
    <row r="4500" spans="1:10" ht="15.75" hidden="1" thickBot="1" x14ac:dyDescent="0.3">
      <c r="A4500" s="225"/>
      <c r="B4500" s="223"/>
      <c r="C4500" s="30" t="s">
        <v>1335</v>
      </c>
      <c r="D4500" s="30" t="s">
        <v>279</v>
      </c>
      <c r="E4500" s="31">
        <v>1</v>
      </c>
      <c r="F4500" s="48">
        <v>56.1355</v>
      </c>
      <c r="G4500" s="48">
        <f t="shared" si="84"/>
        <v>56.1355</v>
      </c>
      <c r="H4500" s="67"/>
      <c r="I4500" s="68"/>
      <c r="J4500" s="138">
        <v>0</v>
      </c>
    </row>
    <row r="4501" spans="1:10" ht="15.75" hidden="1" thickBot="1" x14ac:dyDescent="0.3">
      <c r="A4501" s="225"/>
      <c r="B4501" s="223"/>
      <c r="C4501" s="30"/>
      <c r="D4501" s="30"/>
      <c r="E4501" s="31"/>
      <c r="F4501" s="48" t="s">
        <v>521</v>
      </c>
      <c r="G4501" s="48"/>
      <c r="H4501" s="67"/>
      <c r="I4501" s="68"/>
      <c r="J4501" s="138">
        <v>0</v>
      </c>
    </row>
    <row r="4502" spans="1:10" ht="15.75" hidden="1" thickBot="1" x14ac:dyDescent="0.3">
      <c r="A4502" s="225"/>
      <c r="B4502" s="223"/>
      <c r="C4502" s="42" t="s">
        <v>1841</v>
      </c>
      <c r="D4502" s="30"/>
      <c r="E4502" s="31"/>
      <c r="F4502" s="48" t="s">
        <v>521</v>
      </c>
      <c r="G4502" s="48"/>
      <c r="H4502" s="67"/>
      <c r="I4502" s="68"/>
      <c r="J4502" s="138">
        <v>0</v>
      </c>
    </row>
    <row r="4503" spans="1:10" ht="15.75" hidden="1" thickBot="1" x14ac:dyDescent="0.3">
      <c r="A4503" s="226"/>
      <c r="B4503" s="224"/>
      <c r="C4503" s="49"/>
      <c r="D4503" s="49"/>
      <c r="E4503" s="60"/>
      <c r="F4503" s="70" t="s">
        <v>521</v>
      </c>
      <c r="G4503" s="70" t="str">
        <f t="shared" ref="G4503:G4508" si="85">IF(ISNUMBER(F4503),E4503*F4503,"")</f>
        <v/>
      </c>
      <c r="H4503" s="71"/>
      <c r="I4503" s="68"/>
      <c r="J4503" s="138">
        <v>0</v>
      </c>
    </row>
    <row r="4504" spans="1:10" ht="15.75" hidden="1" thickBot="1" x14ac:dyDescent="0.3">
      <c r="A4504" s="220" t="s">
        <v>1336</v>
      </c>
      <c r="B4504" s="222" t="e">
        <f>INDEX(Orçamentária!A:B,MATCH(Composições!A4504,Orçamentária!A:A,0),2)</f>
        <v>#N/A</v>
      </c>
      <c r="C4504" s="35"/>
      <c r="D4504" s="20" t="s">
        <v>20</v>
      </c>
      <c r="E4504" s="21"/>
      <c r="F4504" s="43" t="s">
        <v>521</v>
      </c>
      <c r="G4504" s="22" t="str">
        <f t="shared" si="85"/>
        <v/>
      </c>
      <c r="H4504" s="23"/>
      <c r="I4504" s="24"/>
      <c r="J4504" s="138">
        <v>0</v>
      </c>
    </row>
    <row r="4505" spans="1:10" ht="15.75" hidden="1" thickBot="1" x14ac:dyDescent="0.3">
      <c r="A4505" s="225"/>
      <c r="B4505" s="223"/>
      <c r="C4505" s="26"/>
      <c r="D4505" s="26"/>
      <c r="E4505" s="27"/>
      <c r="F4505" s="48" t="s">
        <v>521</v>
      </c>
      <c r="G4505" s="48" t="str">
        <f t="shared" si="85"/>
        <v/>
      </c>
      <c r="H4505" s="67"/>
      <c r="I4505" s="68"/>
      <c r="J4505" s="138">
        <v>0</v>
      </c>
    </row>
    <row r="4506" spans="1:10" ht="15.75" hidden="1" thickBot="1" x14ac:dyDescent="0.3">
      <c r="A4506" s="225"/>
      <c r="B4506" s="223"/>
      <c r="C4506" s="30" t="s">
        <v>1010</v>
      </c>
      <c r="D4506" s="30" t="s">
        <v>702</v>
      </c>
      <c r="E4506" s="31">
        <v>0.5</v>
      </c>
      <c r="F4506" s="48">
        <v>24.889999999999997</v>
      </c>
      <c r="G4506" s="48">
        <f t="shared" si="85"/>
        <v>12.444999999999999</v>
      </c>
      <c r="H4506" s="33">
        <f>SUM(G4506:G4508)</f>
        <v>46.02446475</v>
      </c>
      <c r="I4506" s="34"/>
      <c r="J4506" s="138">
        <v>0</v>
      </c>
    </row>
    <row r="4507" spans="1:10" ht="26.25" hidden="1" thickBot="1" x14ac:dyDescent="0.3">
      <c r="A4507" s="225"/>
      <c r="B4507" s="223"/>
      <c r="C4507" s="30" t="s">
        <v>775</v>
      </c>
      <c r="D4507" s="41" t="s">
        <v>897</v>
      </c>
      <c r="E4507" s="31">
        <f>ROUND(1.8*(PI()*(0.25-0.15)*0.1)*10,4)</f>
        <v>0.5655</v>
      </c>
      <c r="F4507" s="48">
        <v>46.844499999999996</v>
      </c>
      <c r="G4507" s="48">
        <f t="shared" si="85"/>
        <v>26.490564749999997</v>
      </c>
      <c r="H4507" s="67"/>
      <c r="I4507" s="68"/>
      <c r="J4507" s="138">
        <v>0</v>
      </c>
    </row>
    <row r="4508" spans="1:10" ht="26.25" hidden="1" thickBot="1" x14ac:dyDescent="0.3">
      <c r="A4508" s="225"/>
      <c r="B4508" s="223"/>
      <c r="C4508" s="30" t="s">
        <v>1059</v>
      </c>
      <c r="D4508" s="31" t="s">
        <v>1060</v>
      </c>
      <c r="E4508" s="31">
        <v>0.2</v>
      </c>
      <c r="F4508" s="48">
        <v>35.444499999999998</v>
      </c>
      <c r="G4508" s="48">
        <f t="shared" si="85"/>
        <v>7.0888999999999998</v>
      </c>
      <c r="H4508" s="67"/>
      <c r="I4508" s="68"/>
      <c r="J4508" s="138">
        <v>0</v>
      </c>
    </row>
    <row r="4509" spans="1:10" ht="15.75" hidden="1" thickBot="1" x14ac:dyDescent="0.3">
      <c r="A4509" s="225"/>
      <c r="B4509" s="223"/>
      <c r="C4509" s="30"/>
      <c r="D4509" s="31"/>
      <c r="E4509" s="31"/>
      <c r="F4509" s="48" t="s">
        <v>521</v>
      </c>
      <c r="G4509" s="48"/>
      <c r="H4509" s="67"/>
      <c r="I4509" s="68"/>
      <c r="J4509" s="138">
        <v>0</v>
      </c>
    </row>
    <row r="4510" spans="1:10" ht="15.75" hidden="1" thickBot="1" x14ac:dyDescent="0.3">
      <c r="A4510" s="225"/>
      <c r="B4510" s="223"/>
      <c r="C4510" s="42" t="s">
        <v>1841</v>
      </c>
      <c r="D4510" s="31"/>
      <c r="E4510" s="31"/>
      <c r="F4510" s="48" t="s">
        <v>521</v>
      </c>
      <c r="G4510" s="48"/>
      <c r="H4510" s="67"/>
      <c r="I4510" s="68"/>
      <c r="J4510" s="138">
        <v>0</v>
      </c>
    </row>
    <row r="4511" spans="1:10" ht="15.75" hidden="1" thickBot="1" x14ac:dyDescent="0.3">
      <c r="A4511" s="226"/>
      <c r="B4511" s="224"/>
      <c r="C4511" s="49"/>
      <c r="D4511" s="49"/>
      <c r="E4511" s="60"/>
      <c r="F4511" s="70" t="s">
        <v>521</v>
      </c>
      <c r="G4511" s="70" t="str">
        <f t="shared" ref="G4511:G4574" si="86">IF(ISNUMBER(F4511),E4511*F4511,"")</f>
        <v/>
      </c>
      <c r="H4511" s="71"/>
      <c r="I4511" s="68"/>
      <c r="J4511" s="138">
        <v>0</v>
      </c>
    </row>
    <row r="4512" spans="1:10" ht="15.75" hidden="1" thickBot="1" x14ac:dyDescent="0.3">
      <c r="A4512" s="220" t="s">
        <v>1337</v>
      </c>
      <c r="B4512" s="222" t="e">
        <f>INDEX(Orçamentária!A:B,MATCH(Composições!A4512,Orçamentária!A:A,0),2)</f>
        <v>#N/A</v>
      </c>
      <c r="C4512" s="35"/>
      <c r="D4512" s="20" t="s">
        <v>95</v>
      </c>
      <c r="E4512" s="21"/>
      <c r="F4512" s="43" t="s">
        <v>521</v>
      </c>
      <c r="G4512" s="22" t="str">
        <f t="shared" si="86"/>
        <v/>
      </c>
      <c r="H4512" s="23"/>
      <c r="I4512" s="24"/>
      <c r="J4512" s="138">
        <v>0</v>
      </c>
    </row>
    <row r="4513" spans="1:10" ht="15.75" hidden="1" thickBot="1" x14ac:dyDescent="0.3">
      <c r="A4513" s="225"/>
      <c r="B4513" s="223"/>
      <c r="C4513" s="26"/>
      <c r="D4513" s="26"/>
      <c r="E4513" s="27"/>
      <c r="F4513" s="48" t="s">
        <v>521</v>
      </c>
      <c r="G4513" s="48" t="str">
        <f t="shared" si="86"/>
        <v/>
      </c>
      <c r="H4513" s="67"/>
      <c r="I4513" s="68"/>
      <c r="J4513" s="138">
        <v>0</v>
      </c>
    </row>
    <row r="4514" spans="1:10" ht="15.75" hidden="1" thickBot="1" x14ac:dyDescent="0.3">
      <c r="A4514" s="225"/>
      <c r="B4514" s="223"/>
      <c r="C4514" s="30" t="s">
        <v>747</v>
      </c>
      <c r="D4514" s="30" t="s">
        <v>897</v>
      </c>
      <c r="E4514" s="31">
        <v>0.5</v>
      </c>
      <c r="F4514" s="48">
        <v>0.64600000000000002</v>
      </c>
      <c r="G4514" s="48">
        <f t="shared" si="86"/>
        <v>0.32300000000000001</v>
      </c>
      <c r="H4514" s="33">
        <f>SUM(G4514:G4518)</f>
        <v>43.401631687977599</v>
      </c>
      <c r="I4514" s="34"/>
      <c r="J4514" s="138">
        <v>0</v>
      </c>
    </row>
    <row r="4515" spans="1:10" ht="26.25" hidden="1" thickBot="1" x14ac:dyDescent="0.3">
      <c r="A4515" s="225"/>
      <c r="B4515" s="223"/>
      <c r="C4515" s="30" t="s">
        <v>1338</v>
      </c>
      <c r="D4515" s="30" t="s">
        <v>102</v>
      </c>
      <c r="E4515" s="31">
        <v>0.21</v>
      </c>
      <c r="F4515" s="48">
        <v>16.064499999999999</v>
      </c>
      <c r="G4515" s="48">
        <f t="shared" si="86"/>
        <v>3.3735449999999996</v>
      </c>
      <c r="H4515" s="67"/>
      <c r="I4515" s="68"/>
      <c r="J4515" s="138">
        <v>0</v>
      </c>
    </row>
    <row r="4516" spans="1:10" ht="39" hidden="1" thickBot="1" x14ac:dyDescent="0.3">
      <c r="A4516" s="225"/>
      <c r="B4516" s="223"/>
      <c r="C4516" s="30" t="s">
        <v>1339</v>
      </c>
      <c r="D4516" s="30" t="s">
        <v>120</v>
      </c>
      <c r="E4516" s="31">
        <v>4.3099999999999999E-2</v>
      </c>
      <c r="F4516" s="48">
        <v>727.17668649600012</v>
      </c>
      <c r="G4516" s="48">
        <f t="shared" si="86"/>
        <v>31.341315187977603</v>
      </c>
      <c r="H4516" s="67"/>
      <c r="I4516" s="68"/>
      <c r="J4516" s="138">
        <v>0</v>
      </c>
    </row>
    <row r="4517" spans="1:10" ht="15.75" hidden="1" thickBot="1" x14ac:dyDescent="0.3">
      <c r="A4517" s="225"/>
      <c r="B4517" s="223"/>
      <c r="C4517" s="30" t="s">
        <v>710</v>
      </c>
      <c r="D4517" s="41" t="s">
        <v>702</v>
      </c>
      <c r="E4517" s="31">
        <v>0.245</v>
      </c>
      <c r="F4517" s="48">
        <v>24.889999999999997</v>
      </c>
      <c r="G4517" s="48">
        <f t="shared" si="86"/>
        <v>6.0980499999999989</v>
      </c>
      <c r="H4517" s="67"/>
      <c r="I4517" s="68"/>
      <c r="J4517" s="138">
        <v>0</v>
      </c>
    </row>
    <row r="4518" spans="1:10" ht="15.75" hidden="1" thickBot="1" x14ac:dyDescent="0.3">
      <c r="A4518" s="225"/>
      <c r="B4518" s="223"/>
      <c r="C4518" s="30" t="s">
        <v>703</v>
      </c>
      <c r="D4518" s="30" t="s">
        <v>702</v>
      </c>
      <c r="E4518" s="31">
        <v>0.123</v>
      </c>
      <c r="F4518" s="48">
        <v>18.420500000000001</v>
      </c>
      <c r="G4518" s="48">
        <f t="shared" si="86"/>
        <v>2.2657215000000002</v>
      </c>
      <c r="H4518" s="67"/>
      <c r="I4518" s="68"/>
      <c r="J4518" s="138">
        <v>0</v>
      </c>
    </row>
    <row r="4519" spans="1:10" ht="15.75" hidden="1" thickBot="1" x14ac:dyDescent="0.3">
      <c r="A4519" s="225"/>
      <c r="B4519" s="223"/>
      <c r="C4519" s="30"/>
      <c r="D4519" s="30"/>
      <c r="E4519" s="31"/>
      <c r="F4519" s="48" t="s">
        <v>521</v>
      </c>
      <c r="G4519" s="48" t="str">
        <f t="shared" si="86"/>
        <v/>
      </c>
      <c r="H4519" s="67"/>
      <c r="I4519" s="68"/>
      <c r="J4519" s="138">
        <v>0</v>
      </c>
    </row>
    <row r="4520" spans="1:10" ht="15.75" hidden="1" thickBot="1" x14ac:dyDescent="0.3">
      <c r="A4520" s="220" t="s">
        <v>1340</v>
      </c>
      <c r="B4520" s="222" t="e">
        <f>INDEX(Orçamentária!A:B,MATCH(Composições!A4520,Orçamentária!A:A,0),2)</f>
        <v>#N/A</v>
      </c>
      <c r="C4520" s="35"/>
      <c r="D4520" s="20" t="s">
        <v>95</v>
      </c>
      <c r="E4520" s="21"/>
      <c r="F4520" s="43" t="s">
        <v>521</v>
      </c>
      <c r="G4520" s="22" t="str">
        <f t="shared" si="86"/>
        <v/>
      </c>
      <c r="H4520" s="23"/>
      <c r="I4520" s="24"/>
      <c r="J4520" s="138">
        <v>0</v>
      </c>
    </row>
    <row r="4521" spans="1:10" ht="15.75" hidden="1" thickBot="1" x14ac:dyDescent="0.3">
      <c r="A4521" s="225"/>
      <c r="B4521" s="223"/>
      <c r="C4521" s="26"/>
      <c r="D4521" s="26"/>
      <c r="E4521" s="27"/>
      <c r="F4521" s="48" t="s">
        <v>521</v>
      </c>
      <c r="G4521" s="48" t="str">
        <f t="shared" si="86"/>
        <v/>
      </c>
      <c r="H4521" s="67"/>
      <c r="I4521" s="68"/>
      <c r="J4521" s="138">
        <v>0</v>
      </c>
    </row>
    <row r="4522" spans="1:10" ht="15.75" hidden="1" thickBot="1" x14ac:dyDescent="0.3">
      <c r="A4522" s="225"/>
      <c r="B4522" s="223"/>
      <c r="C4522" s="30" t="s">
        <v>710</v>
      </c>
      <c r="D4522" s="30" t="s">
        <v>12</v>
      </c>
      <c r="E4522" s="31">
        <v>0.29899999999999999</v>
      </c>
      <c r="F4522" s="48">
        <v>24.889999999999997</v>
      </c>
      <c r="G4522" s="48">
        <f t="shared" si="86"/>
        <v>7.4421099999999987</v>
      </c>
      <c r="H4522" s="33">
        <f>SUM(G4522:G4524)</f>
        <v>58.253143477385606</v>
      </c>
      <c r="I4522" s="34"/>
      <c r="J4522" s="138">
        <v>0</v>
      </c>
    </row>
    <row r="4523" spans="1:10" ht="15.75" hidden="1" thickBot="1" x14ac:dyDescent="0.3">
      <c r="A4523" s="225"/>
      <c r="B4523" s="223"/>
      <c r="C4523" s="30" t="s">
        <v>703</v>
      </c>
      <c r="D4523" s="30" t="s">
        <v>12</v>
      </c>
      <c r="E4523" s="31">
        <v>0.14899999999999999</v>
      </c>
      <c r="F4523" s="48">
        <v>18.420500000000001</v>
      </c>
      <c r="G4523" s="48">
        <f t="shared" si="86"/>
        <v>2.7446544999999998</v>
      </c>
      <c r="H4523" s="67"/>
      <c r="I4523" s="68"/>
      <c r="J4523" s="138">
        <v>0</v>
      </c>
    </row>
    <row r="4524" spans="1:10" ht="39" hidden="1" thickBot="1" x14ac:dyDescent="0.3">
      <c r="A4524" s="225"/>
      <c r="B4524" s="223"/>
      <c r="C4524" s="30" t="s">
        <v>1339</v>
      </c>
      <c r="D4524" s="30" t="s">
        <v>120</v>
      </c>
      <c r="E4524" s="31">
        <v>6.6100000000000006E-2</v>
      </c>
      <c r="F4524" s="48">
        <v>727.17668649600012</v>
      </c>
      <c r="G4524" s="48">
        <f t="shared" si="86"/>
        <v>48.066378977385611</v>
      </c>
      <c r="H4524" s="67"/>
      <c r="I4524" s="68"/>
      <c r="J4524" s="138">
        <v>0</v>
      </c>
    </row>
    <row r="4525" spans="1:10" ht="15.75" hidden="1" thickBot="1" x14ac:dyDescent="0.3">
      <c r="A4525" s="226"/>
      <c r="B4525" s="224"/>
      <c r="C4525" s="49"/>
      <c r="D4525" s="49"/>
      <c r="E4525" s="60"/>
      <c r="F4525" s="70" t="s">
        <v>521</v>
      </c>
      <c r="G4525" s="70" t="str">
        <f t="shared" si="86"/>
        <v/>
      </c>
      <c r="H4525" s="71"/>
      <c r="I4525" s="68"/>
      <c r="J4525" s="138">
        <v>0</v>
      </c>
    </row>
    <row r="4526" spans="1:10" ht="15.75" hidden="1" thickBot="1" x14ac:dyDescent="0.3">
      <c r="A4526" s="220" t="s">
        <v>1341</v>
      </c>
      <c r="B4526" s="222" t="e">
        <f>INDEX(Orçamentária!A:B,MATCH(Composições!A4526,Orçamentária!A:A,0),2)</f>
        <v>#N/A</v>
      </c>
      <c r="C4526" s="35"/>
      <c r="D4526" s="20" t="s">
        <v>95</v>
      </c>
      <c r="E4526" s="21"/>
      <c r="F4526" s="43" t="s">
        <v>521</v>
      </c>
      <c r="G4526" s="22" t="str">
        <f t="shared" si="86"/>
        <v/>
      </c>
      <c r="H4526" s="23"/>
      <c r="I4526" s="24"/>
      <c r="J4526" s="138">
        <v>0</v>
      </c>
    </row>
    <row r="4527" spans="1:10" ht="15.75" hidden="1" thickBot="1" x14ac:dyDescent="0.3">
      <c r="A4527" s="225"/>
      <c r="B4527" s="223"/>
      <c r="C4527" s="26"/>
      <c r="D4527" s="26"/>
      <c r="E4527" s="27"/>
      <c r="F4527" s="48" t="s">
        <v>521</v>
      </c>
      <c r="G4527" s="48" t="str">
        <f t="shared" si="86"/>
        <v/>
      </c>
      <c r="H4527" s="67"/>
      <c r="I4527" s="68"/>
      <c r="J4527" s="138">
        <v>0</v>
      </c>
    </row>
    <row r="4528" spans="1:10" ht="15.75" hidden="1" thickBot="1" x14ac:dyDescent="0.3">
      <c r="A4528" s="225"/>
      <c r="B4528" s="223"/>
      <c r="C4528" s="30" t="s">
        <v>703</v>
      </c>
      <c r="D4528" s="30" t="s">
        <v>702</v>
      </c>
      <c r="E4528" s="31">
        <v>0.01</v>
      </c>
      <c r="F4528" s="48">
        <v>18.420500000000001</v>
      </c>
      <c r="G4528" s="48">
        <f t="shared" si="86"/>
        <v>0.18420500000000001</v>
      </c>
      <c r="H4528" s="33">
        <f>SUM(G4528:G4529)</f>
        <v>7.5828050000000013</v>
      </c>
      <c r="I4528" s="34"/>
      <c r="J4528" s="138">
        <v>0</v>
      </c>
    </row>
    <row r="4529" spans="1:10" ht="26.25" hidden="1" thickBot="1" x14ac:dyDescent="0.3">
      <c r="A4529" s="225"/>
      <c r="B4529" s="223"/>
      <c r="C4529" s="30" t="s">
        <v>1342</v>
      </c>
      <c r="D4529" s="30" t="s">
        <v>95</v>
      </c>
      <c r="E4529" s="31">
        <v>1.1000000000000001</v>
      </c>
      <c r="F4529" s="48">
        <v>6.726</v>
      </c>
      <c r="G4529" s="48">
        <f t="shared" si="86"/>
        <v>7.398600000000001</v>
      </c>
      <c r="H4529" s="67"/>
      <c r="I4529" s="68"/>
      <c r="J4529" s="138">
        <v>0</v>
      </c>
    </row>
    <row r="4530" spans="1:10" ht="15.75" hidden="1" thickBot="1" x14ac:dyDescent="0.3">
      <c r="A4530" s="226"/>
      <c r="B4530" s="224"/>
      <c r="C4530" s="49"/>
      <c r="D4530" s="49"/>
      <c r="E4530" s="60"/>
      <c r="F4530" s="70" t="s">
        <v>521</v>
      </c>
      <c r="G4530" s="70" t="str">
        <f t="shared" si="86"/>
        <v/>
      </c>
      <c r="H4530" s="71"/>
      <c r="I4530" s="68"/>
      <c r="J4530" s="138">
        <v>0</v>
      </c>
    </row>
    <row r="4531" spans="1:10" ht="15.75" hidden="1" thickBot="1" x14ac:dyDescent="0.3">
      <c r="A4531" s="220" t="s">
        <v>1343</v>
      </c>
      <c r="B4531" s="222" t="e">
        <f>INDEX(Orçamentária!A:B,MATCH(Composições!A4531,Orçamentária!A:A,0),2)</f>
        <v>#N/A</v>
      </c>
      <c r="C4531" s="35"/>
      <c r="D4531" s="20" t="s">
        <v>95</v>
      </c>
      <c r="E4531" s="21"/>
      <c r="F4531" s="43" t="s">
        <v>521</v>
      </c>
      <c r="G4531" s="22" t="str">
        <f t="shared" si="86"/>
        <v/>
      </c>
      <c r="H4531" s="23"/>
      <c r="I4531" s="24"/>
      <c r="J4531" s="138">
        <v>0</v>
      </c>
    </row>
    <row r="4532" spans="1:10" ht="15.75" hidden="1" thickBot="1" x14ac:dyDescent="0.3">
      <c r="A4532" s="225"/>
      <c r="B4532" s="223"/>
      <c r="C4532" s="26"/>
      <c r="D4532" s="26"/>
      <c r="E4532" s="27"/>
      <c r="F4532" s="48" t="s">
        <v>521</v>
      </c>
      <c r="G4532" s="48" t="str">
        <f t="shared" si="86"/>
        <v/>
      </c>
      <c r="H4532" s="67"/>
      <c r="I4532" s="68"/>
      <c r="J4532" s="138">
        <v>0</v>
      </c>
    </row>
    <row r="4533" spans="1:10" ht="15.75" hidden="1" thickBot="1" x14ac:dyDescent="0.3">
      <c r="A4533" s="225"/>
      <c r="B4533" s="223"/>
      <c r="C4533" s="30" t="s">
        <v>703</v>
      </c>
      <c r="D4533" s="30" t="s">
        <v>702</v>
      </c>
      <c r="E4533" s="31">
        <v>0.05</v>
      </c>
      <c r="F4533" s="48">
        <v>18.420500000000001</v>
      </c>
      <c r="G4533" s="48">
        <f t="shared" si="86"/>
        <v>0.92102500000000009</v>
      </c>
      <c r="H4533" s="33">
        <f>SUM(G4533:G4534)</f>
        <v>8.6017749999999999</v>
      </c>
      <c r="I4533" s="34"/>
      <c r="J4533" s="138">
        <v>0</v>
      </c>
    </row>
    <row r="4534" spans="1:10" ht="26.25" hidden="1" thickBot="1" x14ac:dyDescent="0.3">
      <c r="A4534" s="225"/>
      <c r="B4534" s="223"/>
      <c r="C4534" s="30" t="s">
        <v>1344</v>
      </c>
      <c r="D4534" s="30" t="s">
        <v>95</v>
      </c>
      <c r="E4534" s="31">
        <v>1.05</v>
      </c>
      <c r="F4534" s="48">
        <v>7.3149999999999995</v>
      </c>
      <c r="G4534" s="48">
        <f t="shared" si="86"/>
        <v>7.6807499999999997</v>
      </c>
      <c r="H4534" s="67"/>
      <c r="I4534" s="68"/>
      <c r="J4534" s="138">
        <v>0</v>
      </c>
    </row>
    <row r="4535" spans="1:10" ht="15.75" hidden="1" thickBot="1" x14ac:dyDescent="0.3">
      <c r="A4535" s="226"/>
      <c r="B4535" s="224"/>
      <c r="C4535" s="49"/>
      <c r="D4535" s="49"/>
      <c r="E4535" s="60"/>
      <c r="F4535" s="70" t="s">
        <v>521</v>
      </c>
      <c r="G4535" s="70" t="str">
        <f t="shared" si="86"/>
        <v/>
      </c>
      <c r="H4535" s="71"/>
      <c r="I4535" s="68"/>
      <c r="J4535" s="138">
        <v>0</v>
      </c>
    </row>
    <row r="4536" spans="1:10" ht="15.75" hidden="1" thickBot="1" x14ac:dyDescent="0.3">
      <c r="A4536" s="220" t="s">
        <v>1345</v>
      </c>
      <c r="B4536" s="222" t="e">
        <f>INDEX(Orçamentária!A:B,MATCH(Composições!A4536,Orçamentária!A:A,0),2)</f>
        <v>#N/A</v>
      </c>
      <c r="C4536" s="35"/>
      <c r="D4536" s="20" t="s">
        <v>95</v>
      </c>
      <c r="E4536" s="21"/>
      <c r="F4536" s="43" t="s">
        <v>521</v>
      </c>
      <c r="G4536" s="22" t="str">
        <f t="shared" si="86"/>
        <v/>
      </c>
      <c r="H4536" s="23"/>
      <c r="I4536" s="24"/>
      <c r="J4536" s="138">
        <v>0</v>
      </c>
    </row>
    <row r="4537" spans="1:10" ht="15.75" hidden="1" thickBot="1" x14ac:dyDescent="0.3">
      <c r="A4537" s="225"/>
      <c r="B4537" s="223"/>
      <c r="C4537" s="26"/>
      <c r="D4537" s="26"/>
      <c r="E4537" s="27"/>
      <c r="F4537" s="48" t="s">
        <v>521</v>
      </c>
      <c r="G4537" s="48" t="str">
        <f t="shared" si="86"/>
        <v/>
      </c>
      <c r="H4537" s="67"/>
      <c r="I4537" s="68"/>
      <c r="J4537" s="138">
        <v>0</v>
      </c>
    </row>
    <row r="4538" spans="1:10" ht="15.75" hidden="1" thickBot="1" x14ac:dyDescent="0.3">
      <c r="A4538" s="225"/>
      <c r="B4538" s="223"/>
      <c r="C4538" s="30" t="s">
        <v>710</v>
      </c>
      <c r="D4538" s="30" t="s">
        <v>12</v>
      </c>
      <c r="E4538" s="31">
        <v>0.107</v>
      </c>
      <c r="F4538" s="48">
        <v>24.889999999999997</v>
      </c>
      <c r="G4538" s="48">
        <f t="shared" si="86"/>
        <v>2.6632299999999995</v>
      </c>
      <c r="H4538" s="33">
        <f>SUM(G4538:G4542)</f>
        <v>31.452349892055999</v>
      </c>
      <c r="I4538" s="34"/>
      <c r="J4538" s="138">
        <v>0</v>
      </c>
    </row>
    <row r="4539" spans="1:10" ht="15.75" hidden="1" thickBot="1" x14ac:dyDescent="0.3">
      <c r="A4539" s="225"/>
      <c r="B4539" s="223"/>
      <c r="C4539" s="30" t="s">
        <v>703</v>
      </c>
      <c r="D4539" s="30" t="s">
        <v>12</v>
      </c>
      <c r="E4539" s="31">
        <v>0.214</v>
      </c>
      <c r="F4539" s="48">
        <v>18.420500000000001</v>
      </c>
      <c r="G4539" s="48">
        <f t="shared" si="86"/>
        <v>3.9419870000000001</v>
      </c>
      <c r="H4539" s="67"/>
      <c r="I4539" s="68"/>
      <c r="J4539" s="138">
        <v>0</v>
      </c>
    </row>
    <row r="4540" spans="1:10" ht="15.75" hidden="1" thickBot="1" x14ac:dyDescent="0.3">
      <c r="A4540" s="225"/>
      <c r="B4540" s="223"/>
      <c r="C4540" s="30" t="s">
        <v>747</v>
      </c>
      <c r="D4540" s="30" t="s">
        <v>897</v>
      </c>
      <c r="E4540" s="31">
        <v>0.5</v>
      </c>
      <c r="F4540" s="48">
        <v>0.64600000000000002</v>
      </c>
      <c r="G4540" s="48">
        <f t="shared" si="86"/>
        <v>0.32300000000000001</v>
      </c>
      <c r="H4540" s="67"/>
      <c r="I4540" s="68"/>
      <c r="J4540" s="138">
        <v>0</v>
      </c>
    </row>
    <row r="4541" spans="1:10" ht="26.25" hidden="1" thickBot="1" x14ac:dyDescent="0.3">
      <c r="A4541" s="225"/>
      <c r="B4541" s="223"/>
      <c r="C4541" s="30" t="s">
        <v>1338</v>
      </c>
      <c r="D4541" s="30" t="s">
        <v>102</v>
      </c>
      <c r="E4541" s="31">
        <v>0.21</v>
      </c>
      <c r="F4541" s="48">
        <v>16.064499999999999</v>
      </c>
      <c r="G4541" s="48">
        <f t="shared" si="86"/>
        <v>3.3735449999999996</v>
      </c>
      <c r="H4541" s="67"/>
      <c r="I4541" s="68"/>
      <c r="J4541" s="138">
        <v>0</v>
      </c>
    </row>
    <row r="4542" spans="1:10" ht="51.75" hidden="1" thickBot="1" x14ac:dyDescent="0.3">
      <c r="A4542" s="225"/>
      <c r="B4542" s="223"/>
      <c r="C4542" s="30" t="s">
        <v>153</v>
      </c>
      <c r="D4542" s="30" t="s">
        <v>120</v>
      </c>
      <c r="E4542" s="31">
        <v>3.1E-2</v>
      </c>
      <c r="F4542" s="48">
        <v>682.27702877599995</v>
      </c>
      <c r="G4542" s="48">
        <f t="shared" si="86"/>
        <v>21.150587892055999</v>
      </c>
      <c r="H4542" s="67"/>
      <c r="I4542" s="68"/>
      <c r="J4542" s="138">
        <v>0</v>
      </c>
    </row>
    <row r="4543" spans="1:10" ht="15.75" hidden="1" thickBot="1" x14ac:dyDescent="0.3">
      <c r="A4543" s="226"/>
      <c r="B4543" s="224"/>
      <c r="C4543" s="49"/>
      <c r="D4543" s="49"/>
      <c r="E4543" s="60"/>
      <c r="F4543" s="70" t="s">
        <v>521</v>
      </c>
      <c r="G4543" s="70" t="str">
        <f t="shared" si="86"/>
        <v/>
      </c>
      <c r="H4543" s="71"/>
      <c r="I4543" s="68"/>
      <c r="J4543" s="138">
        <v>0</v>
      </c>
    </row>
    <row r="4544" spans="1:10" ht="15.75" hidden="1" thickBot="1" x14ac:dyDescent="0.3">
      <c r="A4544" s="220" t="s">
        <v>1346</v>
      </c>
      <c r="B4544" s="222" t="e">
        <f>INDEX(Orçamentária!A:B,MATCH(Composições!A4544,Orçamentária!A:A,0),2)</f>
        <v>#N/A</v>
      </c>
      <c r="C4544" s="35"/>
      <c r="D4544" s="20" t="s">
        <v>95</v>
      </c>
      <c r="E4544" s="21"/>
      <c r="F4544" s="43" t="s">
        <v>521</v>
      </c>
      <c r="G4544" s="22" t="str">
        <f t="shared" si="86"/>
        <v/>
      </c>
      <c r="H4544" s="23"/>
      <c r="I4544" s="24"/>
      <c r="J4544" s="138">
        <v>0</v>
      </c>
    </row>
    <row r="4545" spans="1:10" ht="15.75" hidden="1" thickBot="1" x14ac:dyDescent="0.3">
      <c r="A4545" s="225"/>
      <c r="B4545" s="223"/>
      <c r="C4545" s="26"/>
      <c r="D4545" s="26"/>
      <c r="E4545" s="27"/>
      <c r="F4545" s="48" t="s">
        <v>521</v>
      </c>
      <c r="G4545" s="48" t="str">
        <f t="shared" si="86"/>
        <v/>
      </c>
      <c r="H4545" s="67"/>
      <c r="I4545" s="68"/>
      <c r="J4545" s="138">
        <v>0</v>
      </c>
    </row>
    <row r="4546" spans="1:10" ht="15.75" hidden="1" thickBot="1" x14ac:dyDescent="0.3">
      <c r="A4546" s="225"/>
      <c r="B4546" s="223"/>
      <c r="C4546" s="30" t="s">
        <v>1012</v>
      </c>
      <c r="D4546" s="30" t="s">
        <v>988</v>
      </c>
      <c r="E4546" s="31">
        <v>1.04</v>
      </c>
      <c r="F4546" s="48">
        <v>1.843</v>
      </c>
      <c r="G4546" s="48">
        <f t="shared" si="86"/>
        <v>1.91672</v>
      </c>
      <c r="H4546" s="33">
        <f>SUM(G4546:G4550)</f>
        <v>89.062083083000005</v>
      </c>
      <c r="I4546" s="34"/>
      <c r="J4546" s="138">
        <v>0</v>
      </c>
    </row>
    <row r="4547" spans="1:10" ht="26.25" hidden="1" thickBot="1" x14ac:dyDescent="0.3">
      <c r="A4547" s="225"/>
      <c r="B4547" s="223"/>
      <c r="C4547" s="30" t="s">
        <v>1013</v>
      </c>
      <c r="D4547" s="30" t="s">
        <v>120</v>
      </c>
      <c r="E4547" s="31">
        <v>4.3999999999999997E-2</v>
      </c>
      <c r="F4547" s="48">
        <v>888.66413825000006</v>
      </c>
      <c r="G4547" s="48">
        <f t="shared" si="86"/>
        <v>39.101222083000003</v>
      </c>
      <c r="H4547" s="67"/>
      <c r="I4547" s="68"/>
      <c r="J4547" s="138">
        <v>0</v>
      </c>
    </row>
    <row r="4548" spans="1:10" ht="15.75" hidden="1" thickBot="1" x14ac:dyDescent="0.3">
      <c r="A4548" s="225"/>
      <c r="B4548" s="223"/>
      <c r="C4548" s="30" t="s">
        <v>710</v>
      </c>
      <c r="D4548" s="30" t="s">
        <v>702</v>
      </c>
      <c r="E4548" s="31">
        <v>0.89900000000000002</v>
      </c>
      <c r="F4548" s="48">
        <v>24.889999999999997</v>
      </c>
      <c r="G4548" s="48">
        <f t="shared" si="86"/>
        <v>22.376109999999997</v>
      </c>
      <c r="H4548" s="67"/>
      <c r="I4548" s="68"/>
      <c r="J4548" s="138">
        <v>0</v>
      </c>
    </row>
    <row r="4549" spans="1:10" ht="15.75" hidden="1" thickBot="1" x14ac:dyDescent="0.3">
      <c r="A4549" s="225"/>
      <c r="B4549" s="223"/>
      <c r="C4549" s="30" t="s">
        <v>703</v>
      </c>
      <c r="D4549" s="30" t="s">
        <v>702</v>
      </c>
      <c r="E4549" s="31">
        <v>0.182</v>
      </c>
      <c r="F4549" s="48">
        <v>18.420500000000001</v>
      </c>
      <c r="G4549" s="48">
        <f t="shared" si="86"/>
        <v>3.3525309999999999</v>
      </c>
      <c r="H4549" s="67"/>
      <c r="I4549" s="68"/>
      <c r="J4549" s="138">
        <v>0</v>
      </c>
    </row>
    <row r="4550" spans="1:10" ht="39" hidden="1" thickBot="1" x14ac:dyDescent="0.3">
      <c r="A4550" s="225"/>
      <c r="B4550" s="223"/>
      <c r="C4550" s="30" t="s">
        <v>1008</v>
      </c>
      <c r="D4550" s="30" t="s">
        <v>897</v>
      </c>
      <c r="E4550" s="31">
        <f>0.15*2.5*(6/2)</f>
        <v>1.125</v>
      </c>
      <c r="F4550" s="48">
        <v>19.835999999999999</v>
      </c>
      <c r="G4550" s="48">
        <f t="shared" si="86"/>
        <v>22.3155</v>
      </c>
      <c r="H4550" s="67"/>
      <c r="I4550" s="68"/>
      <c r="J4550" s="138">
        <v>0</v>
      </c>
    </row>
    <row r="4551" spans="1:10" ht="15.75" hidden="1" thickBot="1" x14ac:dyDescent="0.3">
      <c r="A4551" s="225"/>
      <c r="B4551" s="223"/>
      <c r="C4551" s="30"/>
      <c r="D4551" s="30"/>
      <c r="E4551" s="31"/>
      <c r="F4551" s="48" t="s">
        <v>521</v>
      </c>
      <c r="G4551" s="48" t="str">
        <f t="shared" si="86"/>
        <v/>
      </c>
      <c r="H4551" s="67"/>
      <c r="I4551" s="68"/>
      <c r="J4551" s="138">
        <v>0</v>
      </c>
    </row>
    <row r="4552" spans="1:10" ht="15.75" hidden="1" thickBot="1" x14ac:dyDescent="0.3">
      <c r="A4552" s="220" t="s">
        <v>1347</v>
      </c>
      <c r="B4552" s="222" t="e">
        <f>INDEX(Orçamentária!A:B,MATCH(Composições!A4552,Orçamentária!A:A,0),2)</f>
        <v>#N/A</v>
      </c>
      <c r="C4552" s="35"/>
      <c r="D4552" s="20" t="s">
        <v>95</v>
      </c>
      <c r="E4552" s="21"/>
      <c r="F4552" s="43" t="s">
        <v>521</v>
      </c>
      <c r="G4552" s="22" t="str">
        <f t="shared" si="86"/>
        <v/>
      </c>
      <c r="H4552" s="23"/>
      <c r="I4552" s="24"/>
      <c r="J4552" s="138">
        <v>0</v>
      </c>
    </row>
    <row r="4553" spans="1:10" ht="15.75" hidden="1" thickBot="1" x14ac:dyDescent="0.3">
      <c r="A4553" s="225"/>
      <c r="B4553" s="223"/>
      <c r="C4553" s="26"/>
      <c r="D4553" s="26"/>
      <c r="E4553" s="27"/>
      <c r="F4553" s="48" t="s">
        <v>521</v>
      </c>
      <c r="G4553" s="48" t="str">
        <f t="shared" si="86"/>
        <v/>
      </c>
      <c r="H4553" s="67"/>
      <c r="I4553" s="68"/>
      <c r="J4553" s="138">
        <v>0</v>
      </c>
    </row>
    <row r="4554" spans="1:10" ht="15.75" hidden="1" thickBot="1" x14ac:dyDescent="0.3">
      <c r="A4554" s="225"/>
      <c r="B4554" s="223"/>
      <c r="C4554" s="30" t="s">
        <v>1348</v>
      </c>
      <c r="D4554" s="30" t="s">
        <v>102</v>
      </c>
      <c r="E4554" s="31">
        <v>0.32569999999999999</v>
      </c>
      <c r="F4554" s="48" t="s">
        <v>521</v>
      </c>
      <c r="G4554" s="48" t="str">
        <f t="shared" si="86"/>
        <v/>
      </c>
      <c r="H4554" s="33">
        <f>SUM(G4554:G4555)</f>
        <v>11.724448750000001</v>
      </c>
      <c r="I4554" s="34"/>
      <c r="J4554" s="138">
        <v>0</v>
      </c>
    </row>
    <row r="4555" spans="1:10" ht="15.75" hidden="1" thickBot="1" x14ac:dyDescent="0.3">
      <c r="A4555" s="225"/>
      <c r="B4555" s="223"/>
      <c r="C4555" s="30" t="s">
        <v>1091</v>
      </c>
      <c r="D4555" s="30" t="s">
        <v>702</v>
      </c>
      <c r="E4555" s="31">
        <v>0.45290000000000002</v>
      </c>
      <c r="F4555" s="48">
        <v>25.887499999999999</v>
      </c>
      <c r="G4555" s="48">
        <f t="shared" si="86"/>
        <v>11.724448750000001</v>
      </c>
      <c r="H4555" s="67"/>
      <c r="I4555" s="68"/>
      <c r="J4555" s="138">
        <v>0</v>
      </c>
    </row>
    <row r="4556" spans="1:10" ht="15.75" hidden="1" thickBot="1" x14ac:dyDescent="0.3">
      <c r="A4556" s="226"/>
      <c r="B4556" s="224"/>
      <c r="C4556" s="49"/>
      <c r="D4556" s="49"/>
      <c r="E4556" s="60"/>
      <c r="F4556" s="70" t="s">
        <v>521</v>
      </c>
      <c r="G4556" s="70" t="str">
        <f t="shared" si="86"/>
        <v/>
      </c>
      <c r="H4556" s="71"/>
      <c r="I4556" s="68"/>
      <c r="J4556" s="138">
        <v>0</v>
      </c>
    </row>
    <row r="4557" spans="1:10" ht="15.75" hidden="1" thickBot="1" x14ac:dyDescent="0.3">
      <c r="A4557" s="220" t="s">
        <v>1349</v>
      </c>
      <c r="B4557" s="222" t="e">
        <f>INDEX(Orçamentária!A:B,MATCH(Composições!A4557,Orçamentária!A:A,0),2)</f>
        <v>#N/A</v>
      </c>
      <c r="C4557" s="35"/>
      <c r="D4557" s="20" t="s">
        <v>95</v>
      </c>
      <c r="E4557" s="21"/>
      <c r="F4557" s="43" t="s">
        <v>521</v>
      </c>
      <c r="G4557" s="22" t="str">
        <f t="shared" si="86"/>
        <v/>
      </c>
      <c r="H4557" s="23"/>
      <c r="I4557" s="24"/>
      <c r="J4557" s="138">
        <v>0</v>
      </c>
    </row>
    <row r="4558" spans="1:10" ht="15.75" hidden="1" thickBot="1" x14ac:dyDescent="0.3">
      <c r="A4558" s="225"/>
      <c r="B4558" s="223"/>
      <c r="C4558" s="26"/>
      <c r="D4558" s="26"/>
      <c r="E4558" s="27"/>
      <c r="F4558" s="48" t="s">
        <v>521</v>
      </c>
      <c r="G4558" s="48" t="str">
        <f t="shared" si="86"/>
        <v/>
      </c>
      <c r="H4558" s="67"/>
      <c r="I4558" s="68"/>
      <c r="J4558" s="138">
        <v>0</v>
      </c>
    </row>
    <row r="4559" spans="1:10" ht="15.75" hidden="1" thickBot="1" x14ac:dyDescent="0.3">
      <c r="A4559" s="225"/>
      <c r="B4559" s="223"/>
      <c r="C4559" s="30" t="s">
        <v>703</v>
      </c>
      <c r="D4559" s="30" t="s">
        <v>702</v>
      </c>
      <c r="E4559" s="31">
        <v>0.02</v>
      </c>
      <c r="F4559" s="48">
        <v>18.420500000000001</v>
      </c>
      <c r="G4559" s="48">
        <f t="shared" si="86"/>
        <v>0.36841000000000002</v>
      </c>
      <c r="H4559" s="33">
        <f>SUM(G4559:G4561)</f>
        <v>7.7670100000000009</v>
      </c>
      <c r="I4559" s="34"/>
      <c r="J4559" s="138">
        <v>0</v>
      </c>
    </row>
    <row r="4560" spans="1:10" ht="26.25" hidden="1" thickBot="1" x14ac:dyDescent="0.3">
      <c r="A4560" s="225"/>
      <c r="B4560" s="223"/>
      <c r="C4560" s="30" t="s">
        <v>1350</v>
      </c>
      <c r="D4560" s="30" t="s">
        <v>95</v>
      </c>
      <c r="E4560" s="31">
        <v>1.05</v>
      </c>
      <c r="F4560" s="48" t="s">
        <v>521</v>
      </c>
      <c r="G4560" s="48" t="str">
        <f t="shared" si="86"/>
        <v/>
      </c>
      <c r="H4560" s="67"/>
      <c r="I4560" s="68"/>
      <c r="J4560" s="138">
        <v>0</v>
      </c>
    </row>
    <row r="4561" spans="1:10" ht="26.25" hidden="1" thickBot="1" x14ac:dyDescent="0.3">
      <c r="A4561" s="225"/>
      <c r="B4561" s="223"/>
      <c r="C4561" s="30" t="s">
        <v>1342</v>
      </c>
      <c r="D4561" s="30" t="s">
        <v>95</v>
      </c>
      <c r="E4561" s="31">
        <v>1.1000000000000001</v>
      </c>
      <c r="F4561" s="48">
        <v>6.726</v>
      </c>
      <c r="G4561" s="48">
        <f t="shared" si="86"/>
        <v>7.398600000000001</v>
      </c>
      <c r="H4561" s="67"/>
      <c r="I4561" s="68"/>
      <c r="J4561" s="138">
        <v>0</v>
      </c>
    </row>
    <row r="4562" spans="1:10" ht="15.75" hidden="1" thickBot="1" x14ac:dyDescent="0.3">
      <c r="A4562" s="226"/>
      <c r="B4562" s="224"/>
      <c r="C4562" s="49"/>
      <c r="D4562" s="49"/>
      <c r="E4562" s="60"/>
      <c r="F4562" s="70" t="s">
        <v>521</v>
      </c>
      <c r="G4562" s="70" t="str">
        <f t="shared" si="86"/>
        <v/>
      </c>
      <c r="H4562" s="71"/>
      <c r="I4562" s="68"/>
      <c r="J4562" s="138">
        <v>0</v>
      </c>
    </row>
    <row r="4563" spans="1:10" ht="15.75" hidden="1" thickBot="1" x14ac:dyDescent="0.3">
      <c r="A4563" s="220" t="s">
        <v>1351</v>
      </c>
      <c r="B4563" s="222" t="e">
        <f>INDEX(Orçamentária!A:B,MATCH(Composições!A4563,Orçamentária!A:A,0),2)</f>
        <v>#N/A</v>
      </c>
      <c r="C4563" s="35"/>
      <c r="D4563" s="20" t="s">
        <v>95</v>
      </c>
      <c r="E4563" s="21"/>
      <c r="F4563" s="43" t="s">
        <v>521</v>
      </c>
      <c r="G4563" s="22" t="str">
        <f t="shared" si="86"/>
        <v/>
      </c>
      <c r="H4563" s="23"/>
      <c r="I4563" s="24"/>
      <c r="J4563" s="138">
        <v>0</v>
      </c>
    </row>
    <row r="4564" spans="1:10" ht="15.75" hidden="1" thickBot="1" x14ac:dyDescent="0.3">
      <c r="A4564" s="225"/>
      <c r="B4564" s="223"/>
      <c r="C4564" s="26"/>
      <c r="D4564" s="26"/>
      <c r="E4564" s="27"/>
      <c r="F4564" s="48" t="s">
        <v>521</v>
      </c>
      <c r="G4564" s="48" t="str">
        <f t="shared" si="86"/>
        <v/>
      </c>
      <c r="H4564" s="67"/>
      <c r="I4564" s="68"/>
      <c r="J4564" s="138">
        <v>0</v>
      </c>
    </row>
    <row r="4565" spans="1:10" ht="26.25" hidden="1" thickBot="1" x14ac:dyDescent="0.3">
      <c r="A4565" s="225"/>
      <c r="B4565" s="223"/>
      <c r="C4565" s="30" t="s">
        <v>1059</v>
      </c>
      <c r="D4565" s="41" t="s">
        <v>1070</v>
      </c>
      <c r="E4565" s="31">
        <v>0.161</v>
      </c>
      <c r="F4565" s="48">
        <v>35.444499999999998</v>
      </c>
      <c r="G4565" s="48">
        <f t="shared" si="86"/>
        <v>5.7065644999999998</v>
      </c>
      <c r="H4565" s="33">
        <f>SUM(G4565:G4573)</f>
        <v>176.07560014999999</v>
      </c>
      <c r="I4565" s="34"/>
      <c r="J4565" s="138">
        <v>0</v>
      </c>
    </row>
    <row r="4566" spans="1:10" ht="15.75" hidden="1" thickBot="1" x14ac:dyDescent="0.3">
      <c r="A4566" s="225"/>
      <c r="B4566" s="223"/>
      <c r="C4566" s="30" t="s">
        <v>1352</v>
      </c>
      <c r="D4566" s="30" t="s">
        <v>897</v>
      </c>
      <c r="E4566" s="31">
        <v>2.5000000000000001E-2</v>
      </c>
      <c r="F4566" s="48">
        <v>21.564999999999998</v>
      </c>
      <c r="G4566" s="48">
        <f t="shared" si="86"/>
        <v>0.53912499999999997</v>
      </c>
      <c r="H4566" s="67"/>
      <c r="I4566" s="68"/>
      <c r="J4566" s="138">
        <v>0</v>
      </c>
    </row>
    <row r="4567" spans="1:10" ht="26.25" hidden="1" thickBot="1" x14ac:dyDescent="0.3">
      <c r="A4567" s="225"/>
      <c r="B4567" s="223"/>
      <c r="C4567" s="30" t="s">
        <v>1353</v>
      </c>
      <c r="D4567" s="30" t="s">
        <v>897</v>
      </c>
      <c r="E4567" s="31">
        <v>4.8999999999999998E-3</v>
      </c>
      <c r="F4567" s="48">
        <v>63.66899999999999</v>
      </c>
      <c r="G4567" s="48">
        <f t="shared" si="86"/>
        <v>0.31197809999999992</v>
      </c>
      <c r="H4567" s="67"/>
      <c r="I4567" s="68"/>
      <c r="J4567" s="138">
        <v>0</v>
      </c>
    </row>
    <row r="4568" spans="1:10" ht="15.75" hidden="1" thickBot="1" x14ac:dyDescent="0.3">
      <c r="A4568" s="225"/>
      <c r="B4568" s="223"/>
      <c r="C4568" s="30" t="s">
        <v>1354</v>
      </c>
      <c r="D4568" s="30" t="s">
        <v>897</v>
      </c>
      <c r="E4568" s="31">
        <v>0.18</v>
      </c>
      <c r="F4568" s="48">
        <v>165.96499999999997</v>
      </c>
      <c r="G4568" s="48">
        <f t="shared" si="86"/>
        <v>29.873699999999996</v>
      </c>
      <c r="H4568" s="67"/>
      <c r="I4568" s="68"/>
      <c r="J4568" s="138">
        <v>0</v>
      </c>
    </row>
    <row r="4569" spans="1:10" ht="26.25" hidden="1" thickBot="1" x14ac:dyDescent="0.3">
      <c r="A4569" s="225"/>
      <c r="B4569" s="223"/>
      <c r="C4569" s="30" t="s">
        <v>1355</v>
      </c>
      <c r="D4569" s="30" t="s">
        <v>479</v>
      </c>
      <c r="E4569" s="31">
        <v>1.05</v>
      </c>
      <c r="F4569" s="48">
        <v>108.756</v>
      </c>
      <c r="G4569" s="48">
        <f t="shared" si="86"/>
        <v>114.19380000000001</v>
      </c>
      <c r="H4569" s="67"/>
      <c r="I4569" s="68"/>
      <c r="J4569" s="138">
        <v>0</v>
      </c>
    </row>
    <row r="4570" spans="1:10" ht="15.75" hidden="1" thickBot="1" x14ac:dyDescent="0.3">
      <c r="A4570" s="225"/>
      <c r="B4570" s="223"/>
      <c r="C4570" s="30" t="s">
        <v>703</v>
      </c>
      <c r="D4570" s="30" t="s">
        <v>702</v>
      </c>
      <c r="E4570" s="31">
        <v>0.63300000000000001</v>
      </c>
      <c r="F4570" s="48">
        <v>18.420500000000001</v>
      </c>
      <c r="G4570" s="48">
        <f t="shared" si="86"/>
        <v>11.6601765</v>
      </c>
      <c r="H4570" s="67"/>
      <c r="I4570" s="68"/>
      <c r="J4570" s="138">
        <v>0</v>
      </c>
    </row>
    <row r="4571" spans="1:10" ht="15.75" hidden="1" thickBot="1" x14ac:dyDescent="0.3">
      <c r="A4571" s="225"/>
      <c r="B4571" s="223"/>
      <c r="C4571" s="30" t="s">
        <v>1299</v>
      </c>
      <c r="D4571" s="30" t="s">
        <v>702</v>
      </c>
      <c r="E4571" s="31">
        <v>0.53900000000000003</v>
      </c>
      <c r="F4571" s="48">
        <v>24.414999999999999</v>
      </c>
      <c r="G4571" s="48">
        <f t="shared" si="86"/>
        <v>13.159685</v>
      </c>
      <c r="H4571" s="67"/>
      <c r="I4571" s="68"/>
      <c r="J4571" s="138">
        <v>0</v>
      </c>
    </row>
    <row r="4572" spans="1:10" ht="26.25" hidden="1" thickBot="1" x14ac:dyDescent="0.3">
      <c r="A4572" s="225"/>
      <c r="B4572" s="223"/>
      <c r="C4572" s="30" t="s">
        <v>1300</v>
      </c>
      <c r="D4572" s="30" t="s">
        <v>938</v>
      </c>
      <c r="E4572" s="31">
        <v>1.32E-2</v>
      </c>
      <c r="F4572" s="48">
        <v>20.415499999999998</v>
      </c>
      <c r="G4572" s="48">
        <f t="shared" si="86"/>
        <v>0.26948459999999996</v>
      </c>
      <c r="H4572" s="67"/>
      <c r="I4572" s="68"/>
      <c r="J4572" s="138">
        <v>0</v>
      </c>
    </row>
    <row r="4573" spans="1:10" ht="26.25" hidden="1" thickBot="1" x14ac:dyDescent="0.3">
      <c r="A4573" s="225"/>
      <c r="B4573" s="223"/>
      <c r="C4573" s="30" t="s">
        <v>1301</v>
      </c>
      <c r="D4573" s="30" t="s">
        <v>940</v>
      </c>
      <c r="E4573" s="31">
        <v>1.83E-2</v>
      </c>
      <c r="F4573" s="48">
        <v>19.731499999999997</v>
      </c>
      <c r="G4573" s="48">
        <f t="shared" si="86"/>
        <v>0.36108644999999995</v>
      </c>
      <c r="H4573" s="67"/>
      <c r="I4573" s="68"/>
      <c r="J4573" s="138">
        <v>0</v>
      </c>
    </row>
    <row r="4574" spans="1:10" ht="15.75" hidden="1" thickBot="1" x14ac:dyDescent="0.3">
      <c r="A4574" s="226"/>
      <c r="B4574" s="224"/>
      <c r="C4574" s="49"/>
      <c r="D4574" s="49"/>
      <c r="E4574" s="60"/>
      <c r="F4574" s="70" t="s">
        <v>521</v>
      </c>
      <c r="G4574" s="70" t="str">
        <f t="shared" si="86"/>
        <v/>
      </c>
      <c r="H4574" s="71"/>
      <c r="I4574" s="68"/>
      <c r="J4574" s="138">
        <v>0</v>
      </c>
    </row>
    <row r="4575" spans="1:10" ht="15.75" hidden="1" thickBot="1" x14ac:dyDescent="0.3">
      <c r="A4575" s="220" t="s">
        <v>1356</v>
      </c>
      <c r="B4575" s="222" t="e">
        <f>INDEX(Orçamentária!A:B,MATCH(Composições!A4575,Orçamentária!A:A,0),2)</f>
        <v>#N/A</v>
      </c>
      <c r="C4575" s="35"/>
      <c r="D4575" s="20" t="s">
        <v>95</v>
      </c>
      <c r="E4575" s="21"/>
      <c r="F4575" s="43" t="s">
        <v>521</v>
      </c>
      <c r="G4575" s="22" t="str">
        <f t="shared" ref="G4575:G4638" si="87">IF(ISNUMBER(F4575),E4575*F4575,"")</f>
        <v/>
      </c>
      <c r="H4575" s="23"/>
      <c r="I4575" s="24"/>
      <c r="J4575" s="138">
        <v>0</v>
      </c>
    </row>
    <row r="4576" spans="1:10" ht="15.75" hidden="1" thickBot="1" x14ac:dyDescent="0.3">
      <c r="A4576" s="225"/>
      <c r="B4576" s="223"/>
      <c r="C4576" s="26"/>
      <c r="D4576" s="26"/>
      <c r="E4576" s="27"/>
      <c r="F4576" s="48" t="s">
        <v>521</v>
      </c>
      <c r="G4576" s="48" t="str">
        <f t="shared" si="87"/>
        <v/>
      </c>
      <c r="H4576" s="67"/>
      <c r="I4576" s="68"/>
      <c r="J4576" s="138">
        <v>0</v>
      </c>
    </row>
    <row r="4577" spans="1:10" ht="26.25" hidden="1" thickBot="1" x14ac:dyDescent="0.3">
      <c r="A4577" s="225"/>
      <c r="B4577" s="223"/>
      <c r="C4577" s="30" t="s">
        <v>1059</v>
      </c>
      <c r="D4577" s="41" t="s">
        <v>1070</v>
      </c>
      <c r="E4577" s="31">
        <f>0.198*4</f>
        <v>0.79200000000000004</v>
      </c>
      <c r="F4577" s="48">
        <v>35.444499999999998</v>
      </c>
      <c r="G4577" s="48">
        <f t="shared" si="87"/>
        <v>28.072043999999998</v>
      </c>
      <c r="H4577" s="33">
        <f>SUM(G4577:G4585)</f>
        <v>202.72030429999998</v>
      </c>
      <c r="I4577" s="34"/>
      <c r="J4577" s="138">
        <v>0</v>
      </c>
    </row>
    <row r="4578" spans="1:10" ht="15.75" hidden="1" thickBot="1" x14ac:dyDescent="0.3">
      <c r="A4578" s="225"/>
      <c r="B4578" s="223"/>
      <c r="C4578" s="30" t="s">
        <v>1352</v>
      </c>
      <c r="D4578" s="30" t="s">
        <v>897</v>
      </c>
      <c r="E4578" s="31">
        <f>0.006*4</f>
        <v>2.4E-2</v>
      </c>
      <c r="F4578" s="48">
        <v>21.564999999999998</v>
      </c>
      <c r="G4578" s="48">
        <f t="shared" si="87"/>
        <v>0.51755999999999991</v>
      </c>
      <c r="H4578" s="67"/>
      <c r="I4578" s="68"/>
      <c r="J4578" s="138">
        <v>0</v>
      </c>
    </row>
    <row r="4579" spans="1:10" ht="26.25" hidden="1" thickBot="1" x14ac:dyDescent="0.3">
      <c r="A4579" s="225"/>
      <c r="B4579" s="223"/>
      <c r="C4579" s="30" t="s">
        <v>1353</v>
      </c>
      <c r="D4579" s="30" t="s">
        <v>897</v>
      </c>
      <c r="E4579" s="31">
        <f>0.0012*4</f>
        <v>4.7999999999999996E-3</v>
      </c>
      <c r="F4579" s="48">
        <v>63.66899999999999</v>
      </c>
      <c r="G4579" s="48">
        <f t="shared" si="87"/>
        <v>0.30561119999999992</v>
      </c>
      <c r="H4579" s="67"/>
      <c r="I4579" s="68"/>
      <c r="J4579" s="138">
        <v>0</v>
      </c>
    </row>
    <row r="4580" spans="1:10" ht="15.75" hidden="1" thickBot="1" x14ac:dyDescent="0.3">
      <c r="A4580" s="225"/>
      <c r="B4580" s="223"/>
      <c r="C4580" s="30" t="s">
        <v>1354</v>
      </c>
      <c r="D4580" s="30" t="s">
        <v>897</v>
      </c>
      <c r="E4580" s="31">
        <f>0.045*4</f>
        <v>0.18</v>
      </c>
      <c r="F4580" s="48">
        <v>165.96499999999997</v>
      </c>
      <c r="G4580" s="48">
        <f t="shared" si="87"/>
        <v>29.873699999999996</v>
      </c>
      <c r="H4580" s="67"/>
      <c r="I4580" s="68"/>
      <c r="J4580" s="138">
        <v>0</v>
      </c>
    </row>
    <row r="4581" spans="1:10" ht="26.25" hidden="1" thickBot="1" x14ac:dyDescent="0.3">
      <c r="A4581" s="225"/>
      <c r="B4581" s="223"/>
      <c r="C4581" s="30" t="s">
        <v>1357</v>
      </c>
      <c r="D4581" s="30" t="s">
        <v>479</v>
      </c>
      <c r="E4581" s="31">
        <f>4*1.05</f>
        <v>4.2</v>
      </c>
      <c r="F4581" s="48">
        <v>30.855999999999995</v>
      </c>
      <c r="G4581" s="48">
        <f t="shared" si="87"/>
        <v>129.59519999999998</v>
      </c>
      <c r="H4581" s="67"/>
      <c r="I4581" s="68"/>
      <c r="J4581" s="138">
        <v>0</v>
      </c>
    </row>
    <row r="4582" spans="1:10" ht="15.75" hidden="1" thickBot="1" x14ac:dyDescent="0.3">
      <c r="A4582" s="225"/>
      <c r="B4582" s="223"/>
      <c r="C4582" s="30" t="s">
        <v>703</v>
      </c>
      <c r="D4582" s="30" t="s">
        <v>702</v>
      </c>
      <c r="E4582" s="31">
        <f>0.207*2</f>
        <v>0.41399999999999998</v>
      </c>
      <c r="F4582" s="48">
        <v>18.420500000000001</v>
      </c>
      <c r="G4582" s="48">
        <f t="shared" si="87"/>
        <v>7.6260870000000001</v>
      </c>
      <c r="H4582" s="67"/>
      <c r="I4582" s="68"/>
      <c r="J4582" s="138">
        <v>0</v>
      </c>
    </row>
    <row r="4583" spans="1:10" ht="15.75" hidden="1" thickBot="1" x14ac:dyDescent="0.3">
      <c r="A4583" s="225"/>
      <c r="B4583" s="223"/>
      <c r="C4583" s="30" t="s">
        <v>1299</v>
      </c>
      <c r="D4583" s="30" t="s">
        <v>702</v>
      </c>
      <c r="E4583" s="31">
        <f>0.112*2</f>
        <v>0.224</v>
      </c>
      <c r="F4583" s="48">
        <v>24.414999999999999</v>
      </c>
      <c r="G4583" s="48">
        <f t="shared" si="87"/>
        <v>5.46896</v>
      </c>
      <c r="H4583" s="67"/>
      <c r="I4583" s="68"/>
      <c r="J4583" s="138">
        <v>0</v>
      </c>
    </row>
    <row r="4584" spans="1:10" ht="26.25" hidden="1" thickBot="1" x14ac:dyDescent="0.3">
      <c r="A4584" s="225"/>
      <c r="B4584" s="223"/>
      <c r="C4584" s="30" t="s">
        <v>1300</v>
      </c>
      <c r="D4584" s="30" t="s">
        <v>938</v>
      </c>
      <c r="E4584" s="31">
        <f>0.0132*2</f>
        <v>2.64E-2</v>
      </c>
      <c r="F4584" s="48">
        <v>20.415499999999998</v>
      </c>
      <c r="G4584" s="48">
        <f t="shared" si="87"/>
        <v>0.53896919999999993</v>
      </c>
      <c r="H4584" s="67"/>
      <c r="I4584" s="68"/>
      <c r="J4584" s="138">
        <v>0</v>
      </c>
    </row>
    <row r="4585" spans="1:10" ht="26.25" hidden="1" thickBot="1" x14ac:dyDescent="0.3">
      <c r="A4585" s="225"/>
      <c r="B4585" s="223"/>
      <c r="C4585" s="30" t="s">
        <v>1301</v>
      </c>
      <c r="D4585" s="30" t="s">
        <v>940</v>
      </c>
      <c r="E4585" s="31">
        <f>0.0183*2</f>
        <v>3.6600000000000001E-2</v>
      </c>
      <c r="F4585" s="48">
        <v>19.731499999999997</v>
      </c>
      <c r="G4585" s="48">
        <f t="shared" si="87"/>
        <v>0.7221728999999999</v>
      </c>
      <c r="H4585" s="67"/>
      <c r="I4585" s="68"/>
      <c r="J4585" s="138">
        <v>0</v>
      </c>
    </row>
    <row r="4586" spans="1:10" ht="15.75" hidden="1" thickBot="1" x14ac:dyDescent="0.3">
      <c r="A4586" s="226"/>
      <c r="B4586" s="224"/>
      <c r="C4586" s="49"/>
      <c r="D4586" s="49"/>
      <c r="E4586" s="60"/>
      <c r="F4586" s="70" t="s">
        <v>521</v>
      </c>
      <c r="G4586" s="70" t="str">
        <f t="shared" si="87"/>
        <v/>
      </c>
      <c r="H4586" s="71"/>
      <c r="I4586" s="68"/>
      <c r="J4586" s="138">
        <v>0</v>
      </c>
    </row>
    <row r="4587" spans="1:10" ht="15.75" hidden="1" thickBot="1" x14ac:dyDescent="0.3">
      <c r="A4587" s="220" t="s">
        <v>1358</v>
      </c>
      <c r="B4587" s="222" t="e">
        <f>INDEX(Orçamentária!A:B,MATCH(Composições!A4587,Orçamentária!A:A,0),2)</f>
        <v>#N/A</v>
      </c>
      <c r="C4587" s="35"/>
      <c r="D4587" s="20" t="s">
        <v>93</v>
      </c>
      <c r="E4587" s="21"/>
      <c r="F4587" s="43" t="s">
        <v>521</v>
      </c>
      <c r="G4587" s="22" t="str">
        <f t="shared" si="87"/>
        <v/>
      </c>
      <c r="H4587" s="23"/>
      <c r="I4587" s="24"/>
      <c r="J4587" s="138">
        <v>0</v>
      </c>
    </row>
    <row r="4588" spans="1:10" ht="15.75" hidden="1" thickBot="1" x14ac:dyDescent="0.3">
      <c r="A4588" s="225"/>
      <c r="B4588" s="223"/>
      <c r="C4588" s="26"/>
      <c r="D4588" s="26"/>
      <c r="E4588" s="27"/>
      <c r="F4588" s="48" t="s">
        <v>521</v>
      </c>
      <c r="G4588" s="48" t="str">
        <f t="shared" si="87"/>
        <v/>
      </c>
      <c r="H4588" s="67"/>
      <c r="I4588" s="68"/>
      <c r="J4588" s="138">
        <v>0</v>
      </c>
    </row>
    <row r="4589" spans="1:10" ht="26.25" hidden="1" thickBot="1" x14ac:dyDescent="0.3">
      <c r="A4589" s="225"/>
      <c r="B4589" s="223"/>
      <c r="C4589" s="30" t="s">
        <v>1808</v>
      </c>
      <c r="D4589" s="30" t="s">
        <v>897</v>
      </c>
      <c r="E4589" s="31">
        <v>0.02</v>
      </c>
      <c r="F4589" s="48">
        <v>22.61</v>
      </c>
      <c r="G4589" s="48">
        <f t="shared" si="87"/>
        <v>0.45219999999999999</v>
      </c>
      <c r="H4589" s="33">
        <f>SUM(G4589:G4602)</f>
        <v>121.70723071800001</v>
      </c>
      <c r="I4589" s="34"/>
      <c r="J4589" s="138">
        <v>0</v>
      </c>
    </row>
    <row r="4590" spans="1:10" ht="26.25" hidden="1" thickBot="1" x14ac:dyDescent="0.3">
      <c r="A4590" s="225"/>
      <c r="B4590" s="223"/>
      <c r="C4590" s="30" t="s">
        <v>1282</v>
      </c>
      <c r="D4590" s="30" t="s">
        <v>109</v>
      </c>
      <c r="E4590" s="31">
        <v>0.04</v>
      </c>
      <c r="F4590" s="48">
        <v>188.59399999999999</v>
      </c>
      <c r="G4590" s="48">
        <f t="shared" si="87"/>
        <v>7.5437599999999998</v>
      </c>
      <c r="H4590" s="67"/>
      <c r="I4590" s="68"/>
      <c r="J4590" s="138">
        <v>0</v>
      </c>
    </row>
    <row r="4591" spans="1:10" ht="15.75" hidden="1" thickBot="1" x14ac:dyDescent="0.3">
      <c r="A4591" s="225"/>
      <c r="B4591" s="223"/>
      <c r="C4591" s="30" t="s">
        <v>900</v>
      </c>
      <c r="D4591" s="30" t="s">
        <v>702</v>
      </c>
      <c r="E4591" s="31">
        <v>0.8</v>
      </c>
      <c r="F4591" s="48">
        <v>24.747499999999999</v>
      </c>
      <c r="G4591" s="48">
        <f t="shared" si="87"/>
        <v>19.798000000000002</v>
      </c>
      <c r="H4591" s="67"/>
      <c r="I4591" s="68"/>
      <c r="J4591" s="138">
        <v>0</v>
      </c>
    </row>
    <row r="4592" spans="1:10" ht="26.25" hidden="1" thickBot="1" x14ac:dyDescent="0.3">
      <c r="A4592" s="225"/>
      <c r="B4592" s="223"/>
      <c r="C4592" s="30" t="s">
        <v>1359</v>
      </c>
      <c r="D4592" s="30" t="s">
        <v>897</v>
      </c>
      <c r="E4592" s="31">
        <v>1.35</v>
      </c>
      <c r="F4592" s="48">
        <v>9.9844999999999988</v>
      </c>
      <c r="G4592" s="48">
        <f t="shared" si="87"/>
        <v>13.479075</v>
      </c>
      <c r="H4592" s="67"/>
      <c r="I4592" s="68"/>
      <c r="J4592" s="138">
        <v>0</v>
      </c>
    </row>
    <row r="4593" spans="1:10" ht="15.75" hidden="1" thickBot="1" x14ac:dyDescent="0.3">
      <c r="A4593" s="225"/>
      <c r="B4593" s="223"/>
      <c r="C4593" s="30" t="s">
        <v>78</v>
      </c>
      <c r="D4593" s="30" t="s">
        <v>702</v>
      </c>
      <c r="E4593" s="31">
        <v>0.7</v>
      </c>
      <c r="F4593" s="48">
        <v>24.633499999999998</v>
      </c>
      <c r="G4593" s="48">
        <f t="shared" si="87"/>
        <v>17.243449999999996</v>
      </c>
      <c r="H4593" s="67"/>
      <c r="I4593" s="68"/>
      <c r="J4593" s="138">
        <v>0</v>
      </c>
    </row>
    <row r="4594" spans="1:10" ht="15.75" hidden="1" thickBot="1" x14ac:dyDescent="0.3">
      <c r="A4594" s="225"/>
      <c r="B4594" s="223"/>
      <c r="C4594" s="30" t="s">
        <v>1360</v>
      </c>
      <c r="D4594" s="30" t="s">
        <v>95</v>
      </c>
      <c r="E4594" s="31">
        <v>1</v>
      </c>
      <c r="F4594" s="48">
        <v>0</v>
      </c>
      <c r="G4594" s="48">
        <f t="shared" si="87"/>
        <v>0</v>
      </c>
      <c r="H4594" s="67"/>
      <c r="I4594" s="68"/>
      <c r="J4594" s="138">
        <v>0</v>
      </c>
    </row>
    <row r="4595" spans="1:10" ht="39" hidden="1" thickBot="1" x14ac:dyDescent="0.3">
      <c r="A4595" s="225"/>
      <c r="B4595" s="223"/>
      <c r="C4595" s="30" t="s">
        <v>1361</v>
      </c>
      <c r="D4595" s="30" t="s">
        <v>938</v>
      </c>
      <c r="E4595" s="31">
        <v>0.02</v>
      </c>
      <c r="F4595" s="48">
        <v>4.3224999999999998</v>
      </c>
      <c r="G4595" s="48">
        <f t="shared" si="87"/>
        <v>8.6449999999999999E-2</v>
      </c>
      <c r="H4595" s="67"/>
      <c r="I4595" s="68"/>
      <c r="J4595" s="138">
        <v>0</v>
      </c>
    </row>
    <row r="4596" spans="1:10" ht="15.75" hidden="1" thickBot="1" x14ac:dyDescent="0.3">
      <c r="A4596" s="225"/>
      <c r="B4596" s="223"/>
      <c r="C4596" s="30" t="s">
        <v>747</v>
      </c>
      <c r="D4596" s="30" t="s">
        <v>897</v>
      </c>
      <c r="E4596" s="31">
        <v>17.36</v>
      </c>
      <c r="F4596" s="48">
        <v>0.64600000000000002</v>
      </c>
      <c r="G4596" s="48">
        <f t="shared" si="87"/>
        <v>11.214560000000001</v>
      </c>
      <c r="H4596" s="67"/>
      <c r="I4596" s="68"/>
      <c r="J4596" s="138">
        <v>0</v>
      </c>
    </row>
    <row r="4597" spans="1:10" ht="26.25" hidden="1" thickBot="1" x14ac:dyDescent="0.3">
      <c r="A4597" s="225"/>
      <c r="B4597" s="223"/>
      <c r="C4597" s="30" t="s">
        <v>756</v>
      </c>
      <c r="D4597" s="30" t="s">
        <v>109</v>
      </c>
      <c r="E4597" s="31">
        <v>0.09</v>
      </c>
      <c r="F4597" s="48">
        <v>174.5625</v>
      </c>
      <c r="G4597" s="48">
        <f t="shared" si="87"/>
        <v>15.710625</v>
      </c>
      <c r="H4597" s="67"/>
      <c r="I4597" s="68"/>
      <c r="J4597" s="138">
        <v>0</v>
      </c>
    </row>
    <row r="4598" spans="1:10" ht="15.75" hidden="1" thickBot="1" x14ac:dyDescent="0.3">
      <c r="A4598" s="225"/>
      <c r="B4598" s="223"/>
      <c r="C4598" s="30" t="s">
        <v>1362</v>
      </c>
      <c r="D4598" s="30" t="s">
        <v>42</v>
      </c>
      <c r="E4598" s="31">
        <v>0.02</v>
      </c>
      <c r="F4598" s="48">
        <v>21.935499999999998</v>
      </c>
      <c r="G4598" s="48">
        <f t="shared" si="87"/>
        <v>0.43870999999999993</v>
      </c>
      <c r="H4598" s="67"/>
      <c r="I4598" s="68"/>
      <c r="J4598" s="138">
        <v>0</v>
      </c>
    </row>
    <row r="4599" spans="1:10" ht="15.75" hidden="1" thickBot="1" x14ac:dyDescent="0.3">
      <c r="A4599" s="225"/>
      <c r="B4599" s="223"/>
      <c r="C4599" s="30" t="s">
        <v>710</v>
      </c>
      <c r="D4599" s="30" t="s">
        <v>12</v>
      </c>
      <c r="E4599" s="31">
        <v>0.3</v>
      </c>
      <c r="F4599" s="48">
        <v>24.889999999999997</v>
      </c>
      <c r="G4599" s="48">
        <f t="shared" si="87"/>
        <v>7.4669999999999987</v>
      </c>
      <c r="H4599" s="67"/>
      <c r="I4599" s="68"/>
      <c r="J4599" s="138">
        <v>0</v>
      </c>
    </row>
    <row r="4600" spans="1:10" ht="15.75" hidden="1" thickBot="1" x14ac:dyDescent="0.3">
      <c r="A4600" s="225"/>
      <c r="B4600" s="223"/>
      <c r="C4600" s="30" t="s">
        <v>703</v>
      </c>
      <c r="D4600" s="30" t="s">
        <v>702</v>
      </c>
      <c r="E4600" s="31">
        <v>1.1000000000000001</v>
      </c>
      <c r="F4600" s="48">
        <v>18.420500000000001</v>
      </c>
      <c r="G4600" s="48">
        <f t="shared" si="87"/>
        <v>20.262550000000001</v>
      </c>
      <c r="H4600" s="67"/>
      <c r="I4600" s="68"/>
      <c r="J4600" s="138">
        <v>0</v>
      </c>
    </row>
    <row r="4601" spans="1:10" ht="51.75" hidden="1" thickBot="1" x14ac:dyDescent="0.3">
      <c r="A4601" s="225"/>
      <c r="B4601" s="223"/>
      <c r="C4601" s="30" t="s">
        <v>1826</v>
      </c>
      <c r="D4601" s="30" t="s">
        <v>109</v>
      </c>
      <c r="E4601" s="31">
        <f>1*(E4590+E4597)</f>
        <v>0.13</v>
      </c>
      <c r="F4601" s="28">
        <v>7.8564315999999996</v>
      </c>
      <c r="G4601" s="28">
        <f t="shared" si="87"/>
        <v>1.0213361080000001</v>
      </c>
      <c r="H4601" s="29"/>
      <c r="I4601" s="25"/>
      <c r="J4601" s="138">
        <v>0</v>
      </c>
    </row>
    <row r="4602" spans="1:10" ht="39" hidden="1" thickBot="1" x14ac:dyDescent="0.3">
      <c r="A4602" s="225"/>
      <c r="B4602" s="223"/>
      <c r="C4602" s="30" t="s">
        <v>121</v>
      </c>
      <c r="D4602" s="30" t="s">
        <v>122</v>
      </c>
      <c r="E4602" s="31">
        <f>(E4590+E4597)*20</f>
        <v>2.6</v>
      </c>
      <c r="F4602" s="48">
        <v>2.6882748499999995</v>
      </c>
      <c r="G4602" s="48">
        <f t="shared" si="87"/>
        <v>6.9895146099999987</v>
      </c>
      <c r="H4602" s="67"/>
      <c r="I4602" s="68"/>
      <c r="J4602" s="138">
        <v>0</v>
      </c>
    </row>
    <row r="4603" spans="1:10" ht="15.75" hidden="1" thickBot="1" x14ac:dyDescent="0.3">
      <c r="A4603" s="225"/>
      <c r="B4603" s="223"/>
      <c r="C4603" s="30"/>
      <c r="D4603" s="30"/>
      <c r="E4603" s="31"/>
      <c r="F4603" s="48" t="s">
        <v>521</v>
      </c>
      <c r="G4603" s="48" t="str">
        <f t="shared" si="87"/>
        <v/>
      </c>
      <c r="H4603" s="67"/>
      <c r="I4603" s="68"/>
      <c r="J4603" s="138">
        <v>0</v>
      </c>
    </row>
    <row r="4604" spans="1:10" ht="26.25" hidden="1" thickBot="1" x14ac:dyDescent="0.3">
      <c r="A4604" s="225"/>
      <c r="B4604" s="223"/>
      <c r="C4604" s="42" t="s">
        <v>1270</v>
      </c>
      <c r="D4604" s="30"/>
      <c r="E4604" s="31"/>
      <c r="F4604" s="48" t="s">
        <v>521</v>
      </c>
      <c r="G4604" s="48" t="str">
        <f t="shared" si="87"/>
        <v/>
      </c>
      <c r="H4604" s="67"/>
      <c r="I4604" s="68"/>
      <c r="J4604" s="138">
        <v>0</v>
      </c>
    </row>
    <row r="4605" spans="1:10" ht="15.75" hidden="1" thickBot="1" x14ac:dyDescent="0.3">
      <c r="A4605" s="226"/>
      <c r="B4605" s="224"/>
      <c r="C4605" s="49"/>
      <c r="D4605" s="49"/>
      <c r="E4605" s="60"/>
      <c r="F4605" s="70" t="s">
        <v>521</v>
      </c>
      <c r="G4605" s="70" t="str">
        <f t="shared" si="87"/>
        <v/>
      </c>
      <c r="H4605" s="71"/>
      <c r="I4605" s="68"/>
      <c r="J4605" s="138">
        <v>0</v>
      </c>
    </row>
    <row r="4606" spans="1:10" ht="15.75" hidden="1" thickBot="1" x14ac:dyDescent="0.3">
      <c r="A4606" s="220" t="s">
        <v>1363</v>
      </c>
      <c r="B4606" s="222" t="e">
        <f>INDEX(Orçamentária!A:B,MATCH(Composições!A4606,Orçamentária!A:A,0),2)</f>
        <v>#N/A</v>
      </c>
      <c r="C4606" s="35"/>
      <c r="D4606" s="20" t="s">
        <v>95</v>
      </c>
      <c r="E4606" s="21"/>
      <c r="F4606" s="43" t="s">
        <v>521</v>
      </c>
      <c r="G4606" s="22" t="str">
        <f t="shared" si="87"/>
        <v/>
      </c>
      <c r="H4606" s="23"/>
      <c r="I4606" s="24"/>
      <c r="J4606" s="138">
        <v>0</v>
      </c>
    </row>
    <row r="4607" spans="1:10" ht="15.75" hidden="1" thickBot="1" x14ac:dyDescent="0.3">
      <c r="A4607" s="225"/>
      <c r="B4607" s="223"/>
      <c r="C4607" s="26"/>
      <c r="D4607" s="26"/>
      <c r="E4607" s="27"/>
      <c r="F4607" s="48" t="s">
        <v>521</v>
      </c>
      <c r="G4607" s="48" t="str">
        <f t="shared" si="87"/>
        <v/>
      </c>
      <c r="H4607" s="67"/>
      <c r="I4607" s="68"/>
      <c r="J4607" s="138">
        <v>0</v>
      </c>
    </row>
    <row r="4608" spans="1:10" ht="39" hidden="1" thickBot="1" x14ac:dyDescent="0.3">
      <c r="A4608" s="225"/>
      <c r="B4608" s="223"/>
      <c r="C4608" s="30" t="s">
        <v>2278</v>
      </c>
      <c r="D4608" s="30" t="s">
        <v>988</v>
      </c>
      <c r="E4608" s="31">
        <f>ROUND(0.712*1.48,4)</f>
        <v>1.0538000000000001</v>
      </c>
      <c r="F4608" s="48">
        <v>16.472999999999999</v>
      </c>
      <c r="G4608" s="48">
        <f t="shared" si="87"/>
        <v>17.359247400000001</v>
      </c>
      <c r="H4608" s="33">
        <f>SUM(G4608:G4612)</f>
        <v>19.728726000000002</v>
      </c>
      <c r="I4608" s="34"/>
      <c r="J4608" s="138">
        <v>0</v>
      </c>
    </row>
    <row r="4609" spans="1:10" ht="39" hidden="1" thickBot="1" x14ac:dyDescent="0.3">
      <c r="A4609" s="225"/>
      <c r="B4609" s="223"/>
      <c r="C4609" s="30" t="s">
        <v>898</v>
      </c>
      <c r="D4609" s="30" t="s">
        <v>279</v>
      </c>
      <c r="E4609" s="31">
        <f>ROUND(1.382*1.48,4)</f>
        <v>2.0453999999999999</v>
      </c>
      <c r="F4609" s="48">
        <v>0.20899999999999999</v>
      </c>
      <c r="G4609" s="48">
        <f t="shared" si="87"/>
        <v>0.42748859999999994</v>
      </c>
      <c r="H4609" s="67"/>
      <c r="I4609" s="68"/>
      <c r="J4609" s="138">
        <v>0</v>
      </c>
    </row>
    <row r="4610" spans="1:10" ht="26.25" hidden="1" thickBot="1" x14ac:dyDescent="0.3">
      <c r="A4610" s="225"/>
      <c r="B4610" s="223"/>
      <c r="C4610" s="30" t="s">
        <v>1808</v>
      </c>
      <c r="D4610" s="30" t="s">
        <v>897</v>
      </c>
      <c r="E4610" s="31">
        <f>ROUND(0.0105*1.48,4)</f>
        <v>1.55E-2</v>
      </c>
      <c r="F4610" s="48">
        <v>22.61</v>
      </c>
      <c r="G4610" s="48">
        <f t="shared" si="87"/>
        <v>0.35045499999999996</v>
      </c>
      <c r="H4610" s="67"/>
      <c r="I4610" s="68"/>
      <c r="J4610" s="138">
        <v>0</v>
      </c>
    </row>
    <row r="4611" spans="1:10" ht="15.75" hidden="1" thickBot="1" x14ac:dyDescent="0.3">
      <c r="A4611" s="225"/>
      <c r="B4611" s="223"/>
      <c r="C4611" s="30" t="s">
        <v>899</v>
      </c>
      <c r="D4611" s="30" t="s">
        <v>702</v>
      </c>
      <c r="E4611" s="31">
        <f>ROUND(0.006*1.48,4)</f>
        <v>8.8999999999999999E-3</v>
      </c>
      <c r="F4611" s="48">
        <v>18.3825</v>
      </c>
      <c r="G4611" s="48">
        <f t="shared" si="87"/>
        <v>0.16360425000000001</v>
      </c>
      <c r="H4611" s="67"/>
      <c r="I4611" s="68"/>
      <c r="J4611" s="138">
        <v>0</v>
      </c>
    </row>
    <row r="4612" spans="1:10" ht="15.75" hidden="1" thickBot="1" x14ac:dyDescent="0.3">
      <c r="A4612" s="225"/>
      <c r="B4612" s="223"/>
      <c r="C4612" s="30" t="s">
        <v>900</v>
      </c>
      <c r="D4612" s="30" t="s">
        <v>702</v>
      </c>
      <c r="E4612" s="31">
        <f>ROUND(0.039*1.48,4)</f>
        <v>5.7700000000000001E-2</v>
      </c>
      <c r="F4612" s="48">
        <v>24.747499999999999</v>
      </c>
      <c r="G4612" s="48">
        <f t="shared" si="87"/>
        <v>1.42793075</v>
      </c>
      <c r="H4612" s="67"/>
      <c r="I4612" s="68"/>
      <c r="J4612" s="138">
        <v>0</v>
      </c>
    </row>
    <row r="4613" spans="1:10" ht="15.75" hidden="1" thickBot="1" x14ac:dyDescent="0.3">
      <c r="A4613" s="225"/>
      <c r="B4613" s="223"/>
      <c r="C4613" s="30"/>
      <c r="D4613" s="30"/>
      <c r="E4613" s="31"/>
      <c r="F4613" s="48" t="s">
        <v>521</v>
      </c>
      <c r="G4613" s="48" t="str">
        <f t="shared" si="87"/>
        <v/>
      </c>
      <c r="H4613" s="67"/>
      <c r="I4613" s="68"/>
      <c r="J4613" s="138">
        <v>0</v>
      </c>
    </row>
    <row r="4614" spans="1:10" ht="15.75" hidden="1" thickBot="1" x14ac:dyDescent="0.3">
      <c r="A4614" s="220" t="s">
        <v>1364</v>
      </c>
      <c r="B4614" s="222" t="e">
        <f>INDEX(Orçamentária!A:B,MATCH(Composições!A4614,Orçamentária!A:A,0),2)</f>
        <v>#N/A</v>
      </c>
      <c r="C4614" s="35"/>
      <c r="D4614" s="20" t="s">
        <v>95</v>
      </c>
      <c r="E4614" s="21"/>
      <c r="F4614" s="43" t="s">
        <v>521</v>
      </c>
      <c r="G4614" s="22" t="str">
        <f t="shared" si="87"/>
        <v/>
      </c>
      <c r="H4614" s="23"/>
      <c r="I4614" s="24"/>
      <c r="J4614" s="138">
        <v>0</v>
      </c>
    </row>
    <row r="4615" spans="1:10" ht="15.75" hidden="1" thickBot="1" x14ac:dyDescent="0.3">
      <c r="A4615" s="225"/>
      <c r="B4615" s="223"/>
      <c r="C4615" s="26"/>
      <c r="D4615" s="26"/>
      <c r="E4615" s="27"/>
      <c r="F4615" s="48" t="s">
        <v>521</v>
      </c>
      <c r="G4615" s="48" t="str">
        <f t="shared" si="87"/>
        <v/>
      </c>
      <c r="H4615" s="67"/>
      <c r="I4615" s="68"/>
      <c r="J4615" s="138">
        <v>0</v>
      </c>
    </row>
    <row r="4616" spans="1:10" ht="26.25" hidden="1" thickBot="1" x14ac:dyDescent="0.3">
      <c r="A4616" s="225"/>
      <c r="B4616" s="223"/>
      <c r="C4616" s="30" t="s">
        <v>1365</v>
      </c>
      <c r="D4616" s="41" t="s">
        <v>1245</v>
      </c>
      <c r="E4616" s="31">
        <v>7.0000000000000001E-3</v>
      </c>
      <c r="F4616" s="48">
        <v>163.59950000000001</v>
      </c>
      <c r="G4616" s="48">
        <f t="shared" si="87"/>
        <v>1.1451965000000002</v>
      </c>
      <c r="H4616" s="33">
        <f>SUM(G4616:G4621)</f>
        <v>69.858772500000001</v>
      </c>
      <c r="I4616" s="34"/>
      <c r="J4616" s="138">
        <v>0</v>
      </c>
    </row>
    <row r="4617" spans="1:10" ht="26.25" hidden="1" thickBot="1" x14ac:dyDescent="0.3">
      <c r="A4617" s="225"/>
      <c r="B4617" s="223"/>
      <c r="C4617" s="30" t="s">
        <v>1366</v>
      </c>
      <c r="D4617" s="30" t="s">
        <v>897</v>
      </c>
      <c r="E4617" s="31">
        <v>4.3330000000000002</v>
      </c>
      <c r="F4617" s="48">
        <v>14.401999999999999</v>
      </c>
      <c r="G4617" s="48">
        <f t="shared" si="87"/>
        <v>62.403866000000001</v>
      </c>
      <c r="H4617" s="67"/>
      <c r="I4617" s="68"/>
      <c r="J4617" s="138">
        <v>0</v>
      </c>
    </row>
    <row r="4618" spans="1:10" ht="26.25" hidden="1" thickBot="1" x14ac:dyDescent="0.3">
      <c r="A4618" s="225"/>
      <c r="B4618" s="223"/>
      <c r="C4618" s="30" t="s">
        <v>981</v>
      </c>
      <c r="D4618" s="30" t="s">
        <v>702</v>
      </c>
      <c r="E4618" s="31">
        <v>0.21299999999999999</v>
      </c>
      <c r="F4618" s="48">
        <v>18.933499999999999</v>
      </c>
      <c r="G4618" s="48">
        <f t="shared" si="87"/>
        <v>4.0328355</v>
      </c>
      <c r="H4618" s="67"/>
      <c r="I4618" s="68"/>
      <c r="J4618" s="138">
        <v>0</v>
      </c>
    </row>
    <row r="4619" spans="1:10" ht="15.75" hidden="1" thickBot="1" x14ac:dyDescent="0.3">
      <c r="A4619" s="225"/>
      <c r="B4619" s="223"/>
      <c r="C4619" s="30" t="s">
        <v>703</v>
      </c>
      <c r="D4619" s="30" t="s">
        <v>702</v>
      </c>
      <c r="E4619" s="31">
        <v>0.106</v>
      </c>
      <c r="F4619" s="48">
        <v>18.420500000000001</v>
      </c>
      <c r="G4619" s="48">
        <f t="shared" si="87"/>
        <v>1.9525729999999999</v>
      </c>
      <c r="H4619" s="67"/>
      <c r="I4619" s="68"/>
      <c r="J4619" s="138">
        <v>0</v>
      </c>
    </row>
    <row r="4620" spans="1:10" ht="26.25" hidden="1" thickBot="1" x14ac:dyDescent="0.3">
      <c r="A4620" s="225"/>
      <c r="B4620" s="223"/>
      <c r="C4620" s="30" t="s">
        <v>1300</v>
      </c>
      <c r="D4620" s="30" t="s">
        <v>938</v>
      </c>
      <c r="E4620" s="31">
        <v>6.7999999999999996E-3</v>
      </c>
      <c r="F4620" s="48">
        <v>20.415499999999998</v>
      </c>
      <c r="G4620" s="48">
        <f t="shared" si="87"/>
        <v>0.13882539999999999</v>
      </c>
      <c r="H4620" s="67"/>
      <c r="I4620" s="68"/>
      <c r="J4620" s="138">
        <v>0</v>
      </c>
    </row>
    <row r="4621" spans="1:10" ht="26.25" hidden="1" thickBot="1" x14ac:dyDescent="0.3">
      <c r="A4621" s="225"/>
      <c r="B4621" s="223"/>
      <c r="C4621" s="30" t="s">
        <v>1301</v>
      </c>
      <c r="D4621" s="30" t="s">
        <v>940</v>
      </c>
      <c r="E4621" s="31">
        <v>9.4000000000000004E-3</v>
      </c>
      <c r="F4621" s="48">
        <v>19.731499999999997</v>
      </c>
      <c r="G4621" s="48">
        <f t="shared" si="87"/>
        <v>0.18547609999999998</v>
      </c>
      <c r="H4621" s="67"/>
      <c r="I4621" s="68"/>
      <c r="J4621" s="138">
        <v>0</v>
      </c>
    </row>
    <row r="4622" spans="1:10" ht="15.75" hidden="1" thickBot="1" x14ac:dyDescent="0.3">
      <c r="A4622" s="226"/>
      <c r="B4622" s="224"/>
      <c r="C4622" s="49"/>
      <c r="D4622" s="49"/>
      <c r="E4622" s="60"/>
      <c r="F4622" s="70" t="s">
        <v>521</v>
      </c>
      <c r="G4622" s="70" t="str">
        <f t="shared" si="87"/>
        <v/>
      </c>
      <c r="H4622" s="71"/>
      <c r="I4622" s="68"/>
      <c r="J4622" s="138">
        <v>0</v>
      </c>
    </row>
    <row r="4623" spans="1:10" ht="15.75" hidden="1" thickBot="1" x14ac:dyDescent="0.3">
      <c r="A4623" s="220" t="s">
        <v>1367</v>
      </c>
      <c r="B4623" s="222" t="e">
        <f>INDEX(Orçamentária!A:B,MATCH(Composições!A4623,Orçamentária!A:A,0),2)</f>
        <v>#N/A</v>
      </c>
      <c r="C4623" s="35"/>
      <c r="D4623" s="20" t="s">
        <v>95</v>
      </c>
      <c r="E4623" s="21"/>
      <c r="F4623" s="43" t="s">
        <v>521</v>
      </c>
      <c r="G4623" s="22" t="str">
        <f t="shared" si="87"/>
        <v/>
      </c>
      <c r="H4623" s="23"/>
      <c r="I4623" s="24"/>
      <c r="J4623" s="138">
        <v>0</v>
      </c>
    </row>
    <row r="4624" spans="1:10" ht="15.75" hidden="1" thickBot="1" x14ac:dyDescent="0.3">
      <c r="A4624" s="225"/>
      <c r="B4624" s="223"/>
      <c r="C4624" s="26"/>
      <c r="D4624" s="26"/>
      <c r="E4624" s="27"/>
      <c r="F4624" s="48" t="s">
        <v>521</v>
      </c>
      <c r="G4624" s="48" t="str">
        <f t="shared" si="87"/>
        <v/>
      </c>
      <c r="H4624" s="67"/>
      <c r="I4624" s="68"/>
      <c r="J4624" s="138">
        <v>0</v>
      </c>
    </row>
    <row r="4625" spans="1:10" ht="15.75" hidden="1" thickBot="1" x14ac:dyDescent="0.3">
      <c r="A4625" s="225"/>
      <c r="B4625" s="223"/>
      <c r="C4625" s="30" t="s">
        <v>1045</v>
      </c>
      <c r="D4625" s="30" t="s">
        <v>702</v>
      </c>
      <c r="E4625" s="31">
        <v>0.1</v>
      </c>
      <c r="F4625" s="48">
        <v>20.700499999999998</v>
      </c>
      <c r="G4625" s="48">
        <f t="shared" si="87"/>
        <v>2.0700499999999997</v>
      </c>
      <c r="H4625" s="33">
        <f>SUM(G4625:G4627)</f>
        <v>7.2475500000000004</v>
      </c>
      <c r="I4625" s="34"/>
      <c r="J4625" s="138">
        <v>0</v>
      </c>
    </row>
    <row r="4626" spans="1:10" ht="15.75" hidden="1" thickBot="1" x14ac:dyDescent="0.3">
      <c r="A4626" s="225"/>
      <c r="B4626" s="223"/>
      <c r="C4626" s="30" t="s">
        <v>1091</v>
      </c>
      <c r="D4626" s="30" t="s">
        <v>702</v>
      </c>
      <c r="E4626" s="31">
        <v>0.2</v>
      </c>
      <c r="F4626" s="48">
        <v>25.887499999999999</v>
      </c>
      <c r="G4626" s="48">
        <f t="shared" si="87"/>
        <v>5.1775000000000002</v>
      </c>
      <c r="H4626" s="67"/>
      <c r="I4626" s="68"/>
      <c r="J4626" s="138">
        <v>0</v>
      </c>
    </row>
    <row r="4627" spans="1:10" ht="15.75" hidden="1" thickBot="1" x14ac:dyDescent="0.3">
      <c r="A4627" s="225"/>
      <c r="B4627" s="223"/>
      <c r="C4627" s="30" t="s">
        <v>1840</v>
      </c>
      <c r="D4627" s="30" t="s">
        <v>102</v>
      </c>
      <c r="E4627" s="31">
        <f>2*3.6/75</f>
        <v>9.6000000000000002E-2</v>
      </c>
      <c r="F4627" s="48" t="s">
        <v>521</v>
      </c>
      <c r="G4627" s="48" t="str">
        <f t="shared" si="87"/>
        <v/>
      </c>
      <c r="H4627" s="67"/>
      <c r="I4627" s="68"/>
      <c r="J4627" s="138">
        <v>0</v>
      </c>
    </row>
    <row r="4628" spans="1:10" ht="15.75" hidden="1" thickBot="1" x14ac:dyDescent="0.3">
      <c r="A4628" s="225"/>
      <c r="B4628" s="223"/>
      <c r="C4628" s="30"/>
      <c r="D4628" s="30"/>
      <c r="E4628" s="31"/>
      <c r="F4628" s="48" t="s">
        <v>521</v>
      </c>
      <c r="G4628" s="48" t="str">
        <f t="shared" si="87"/>
        <v/>
      </c>
      <c r="H4628" s="67"/>
      <c r="I4628" s="68"/>
      <c r="J4628" s="138">
        <v>0</v>
      </c>
    </row>
    <row r="4629" spans="1:10" ht="39" hidden="1" thickBot="1" x14ac:dyDescent="0.3">
      <c r="A4629" s="225"/>
      <c r="B4629" s="223"/>
      <c r="C4629" s="42" t="s">
        <v>1368</v>
      </c>
      <c r="D4629" s="30"/>
      <c r="E4629" s="31"/>
      <c r="F4629" s="48" t="s">
        <v>521</v>
      </c>
      <c r="G4629" s="48" t="str">
        <f t="shared" si="87"/>
        <v/>
      </c>
      <c r="H4629" s="67"/>
      <c r="I4629" s="68"/>
      <c r="J4629" s="138">
        <v>0</v>
      </c>
    </row>
    <row r="4630" spans="1:10" ht="15.75" hidden="1" thickBot="1" x14ac:dyDescent="0.3">
      <c r="A4630" s="225"/>
      <c r="B4630" s="223"/>
      <c r="C4630" s="30"/>
      <c r="D4630" s="30"/>
      <c r="E4630" s="31"/>
      <c r="F4630" s="48" t="s">
        <v>521</v>
      </c>
      <c r="G4630" s="48" t="str">
        <f t="shared" si="87"/>
        <v/>
      </c>
      <c r="H4630" s="67"/>
      <c r="I4630" s="68"/>
      <c r="J4630" s="138">
        <v>0</v>
      </c>
    </row>
    <row r="4631" spans="1:10" ht="15.75" hidden="1" thickBot="1" x14ac:dyDescent="0.3">
      <c r="A4631" s="220" t="s">
        <v>1369</v>
      </c>
      <c r="B4631" s="222" t="e">
        <f>INDEX(Orçamentária!A:B,MATCH(Composições!A4631,Orçamentária!A:A,0),2)</f>
        <v>#N/A</v>
      </c>
      <c r="C4631" s="35"/>
      <c r="D4631" s="20" t="s">
        <v>95</v>
      </c>
      <c r="E4631" s="21"/>
      <c r="F4631" s="43" t="s">
        <v>521</v>
      </c>
      <c r="G4631" s="22" t="str">
        <f t="shared" si="87"/>
        <v/>
      </c>
      <c r="H4631" s="23"/>
      <c r="I4631" s="24"/>
      <c r="J4631" s="138">
        <v>0</v>
      </c>
    </row>
    <row r="4632" spans="1:10" ht="15.75" hidden="1" thickBot="1" x14ac:dyDescent="0.3">
      <c r="A4632" s="225"/>
      <c r="B4632" s="223"/>
      <c r="C4632" s="26"/>
      <c r="D4632" s="26"/>
      <c r="E4632" s="27"/>
      <c r="F4632" s="48" t="s">
        <v>521</v>
      </c>
      <c r="G4632" s="48" t="str">
        <f t="shared" si="87"/>
        <v/>
      </c>
      <c r="H4632" s="67"/>
      <c r="I4632" s="68"/>
      <c r="J4632" s="138">
        <v>0</v>
      </c>
    </row>
    <row r="4633" spans="1:10" ht="15.75" hidden="1" thickBot="1" x14ac:dyDescent="0.3">
      <c r="A4633" s="225"/>
      <c r="B4633" s="223"/>
      <c r="C4633" s="30" t="s">
        <v>1045</v>
      </c>
      <c r="D4633" s="30" t="s">
        <v>702</v>
      </c>
      <c r="E4633" s="31">
        <v>0.1</v>
      </c>
      <c r="F4633" s="48">
        <v>20.700499999999998</v>
      </c>
      <c r="G4633" s="48">
        <f t="shared" si="87"/>
        <v>2.0700499999999997</v>
      </c>
      <c r="H4633" s="33">
        <f>SUM(G4633:G4635)</f>
        <v>7.2475500000000004</v>
      </c>
      <c r="I4633" s="34"/>
      <c r="J4633" s="138">
        <v>0</v>
      </c>
    </row>
    <row r="4634" spans="1:10" ht="15.75" hidden="1" thickBot="1" x14ac:dyDescent="0.3">
      <c r="A4634" s="225"/>
      <c r="B4634" s="223"/>
      <c r="C4634" s="30" t="s">
        <v>1091</v>
      </c>
      <c r="D4634" s="30" t="s">
        <v>702</v>
      </c>
      <c r="E4634" s="31">
        <v>0.2</v>
      </c>
      <c r="F4634" s="48">
        <v>25.887499999999999</v>
      </c>
      <c r="G4634" s="48">
        <f t="shared" si="87"/>
        <v>5.1775000000000002</v>
      </c>
      <c r="H4634" s="67"/>
      <c r="I4634" s="68"/>
      <c r="J4634" s="138">
        <v>0</v>
      </c>
    </row>
    <row r="4635" spans="1:10" ht="15.75" hidden="1" thickBot="1" x14ac:dyDescent="0.3">
      <c r="A4635" s="225"/>
      <c r="B4635" s="223"/>
      <c r="C4635" s="30" t="s">
        <v>1370</v>
      </c>
      <c r="D4635" s="30" t="s">
        <v>102</v>
      </c>
      <c r="E4635" s="31">
        <v>0.5</v>
      </c>
      <c r="F4635" s="48">
        <v>0</v>
      </c>
      <c r="G4635" s="48">
        <f t="shared" si="87"/>
        <v>0</v>
      </c>
      <c r="H4635" s="67"/>
      <c r="I4635" s="68"/>
      <c r="J4635" s="138">
        <v>0</v>
      </c>
    </row>
    <row r="4636" spans="1:10" ht="15.75" hidden="1" thickBot="1" x14ac:dyDescent="0.3">
      <c r="A4636" s="225"/>
      <c r="B4636" s="223"/>
      <c r="C4636" s="30"/>
      <c r="D4636" s="30"/>
      <c r="E4636" s="31"/>
      <c r="F4636" s="48" t="s">
        <v>521</v>
      </c>
      <c r="G4636" s="48" t="str">
        <f t="shared" si="87"/>
        <v/>
      </c>
      <c r="H4636" s="67"/>
      <c r="I4636" s="68"/>
      <c r="J4636" s="138">
        <v>0</v>
      </c>
    </row>
    <row r="4637" spans="1:10" ht="15.75" hidden="1" thickBot="1" x14ac:dyDescent="0.3">
      <c r="A4637" s="220" t="s">
        <v>1371</v>
      </c>
      <c r="B4637" s="222" t="e">
        <f>INDEX(Orçamentária!A:B,MATCH(Composições!A4637,Orçamentária!A:A,0),2)</f>
        <v>#N/A</v>
      </c>
      <c r="C4637" s="35"/>
      <c r="D4637" s="20" t="s">
        <v>109</v>
      </c>
      <c r="E4637" s="21"/>
      <c r="F4637" s="43" t="s">
        <v>521</v>
      </c>
      <c r="G4637" s="22" t="str">
        <f t="shared" si="87"/>
        <v/>
      </c>
      <c r="H4637" s="23"/>
      <c r="I4637" s="24"/>
      <c r="J4637" s="138">
        <v>0</v>
      </c>
    </row>
    <row r="4638" spans="1:10" ht="15.75" hidden="1" thickBot="1" x14ac:dyDescent="0.3">
      <c r="A4638" s="225"/>
      <c r="B4638" s="223"/>
      <c r="C4638" s="26"/>
      <c r="D4638" s="26"/>
      <c r="E4638" s="27"/>
      <c r="F4638" s="48" t="s">
        <v>521</v>
      </c>
      <c r="G4638" s="48" t="str">
        <f t="shared" si="87"/>
        <v/>
      </c>
      <c r="H4638" s="67"/>
      <c r="I4638" s="68"/>
      <c r="J4638" s="138">
        <v>0</v>
      </c>
    </row>
    <row r="4639" spans="1:10" ht="15.75" hidden="1" thickBot="1" x14ac:dyDescent="0.3">
      <c r="A4639" s="225"/>
      <c r="B4639" s="223"/>
      <c r="C4639" s="30" t="s">
        <v>703</v>
      </c>
      <c r="D4639" s="30" t="s">
        <v>702</v>
      </c>
      <c r="E4639" s="31">
        <v>6.5</v>
      </c>
      <c r="F4639" s="48">
        <v>18.420500000000001</v>
      </c>
      <c r="G4639" s="48">
        <f t="shared" ref="G4639:G4702" si="88">IF(ISNUMBER(F4639),E4639*F4639,"")</f>
        <v>119.73325</v>
      </c>
      <c r="H4639" s="33">
        <f>SUM(G4639:G4645)</f>
        <v>910.50814593880011</v>
      </c>
      <c r="I4639" s="34"/>
      <c r="J4639" s="138">
        <v>0</v>
      </c>
    </row>
    <row r="4640" spans="1:10" ht="26.25" hidden="1" thickBot="1" x14ac:dyDescent="0.3">
      <c r="A4640" s="225"/>
      <c r="B4640" s="223"/>
      <c r="C4640" s="30" t="s">
        <v>751</v>
      </c>
      <c r="D4640" s="30" t="s">
        <v>109</v>
      </c>
      <c r="E4640" s="31">
        <v>0.35799999999999998</v>
      </c>
      <c r="F4640" s="48">
        <v>186.16200000000001</v>
      </c>
      <c r="G4640" s="48">
        <f t="shared" si="88"/>
        <v>66.645995999999997</v>
      </c>
      <c r="H4640" s="67"/>
      <c r="I4640" s="68"/>
      <c r="J4640" s="138">
        <v>0</v>
      </c>
    </row>
    <row r="4641" spans="1:10" ht="15.75" hidden="1" thickBot="1" x14ac:dyDescent="0.3">
      <c r="A4641" s="225"/>
      <c r="B4641" s="223"/>
      <c r="C4641" s="30" t="s">
        <v>747</v>
      </c>
      <c r="D4641" s="30" t="s">
        <v>897</v>
      </c>
      <c r="E4641" s="31">
        <v>400</v>
      </c>
      <c r="F4641" s="48">
        <v>0.64600000000000002</v>
      </c>
      <c r="G4641" s="48">
        <f t="shared" si="88"/>
        <v>258.40000000000003</v>
      </c>
      <c r="H4641" s="67"/>
      <c r="I4641" s="68"/>
      <c r="J4641" s="138">
        <v>0</v>
      </c>
    </row>
    <row r="4642" spans="1:10" ht="26.25" hidden="1" thickBot="1" x14ac:dyDescent="0.3">
      <c r="A4642" s="225"/>
      <c r="B4642" s="223"/>
      <c r="C4642" s="30" t="s">
        <v>1372</v>
      </c>
      <c r="D4642" s="30" t="s">
        <v>42</v>
      </c>
      <c r="E4642" s="31">
        <v>10.5</v>
      </c>
      <c r="F4642" s="48">
        <v>42.208500000000001</v>
      </c>
      <c r="G4642" s="48">
        <f t="shared" si="88"/>
        <v>443.18925000000002</v>
      </c>
      <c r="H4642" s="67"/>
      <c r="I4642" s="68"/>
      <c r="J4642" s="138">
        <v>0</v>
      </c>
    </row>
    <row r="4643" spans="1:10" ht="39" hidden="1" thickBot="1" x14ac:dyDescent="0.3">
      <c r="A4643" s="225"/>
      <c r="B4643" s="223"/>
      <c r="C4643" s="30" t="s">
        <v>117</v>
      </c>
      <c r="D4643" s="30" t="s">
        <v>938</v>
      </c>
      <c r="E4643" s="31">
        <v>0.34300000000000003</v>
      </c>
      <c r="F4643" s="48">
        <v>1.3964999999999999</v>
      </c>
      <c r="G4643" s="48">
        <f t="shared" si="88"/>
        <v>0.47899949999999997</v>
      </c>
      <c r="H4643" s="67"/>
      <c r="I4643" s="68"/>
      <c r="J4643" s="138">
        <v>0</v>
      </c>
    </row>
    <row r="4644" spans="1:10" ht="51.75" hidden="1" thickBot="1" x14ac:dyDescent="0.3">
      <c r="A4644" s="225"/>
      <c r="B4644" s="223"/>
      <c r="C4644" s="30" t="s">
        <v>1826</v>
      </c>
      <c r="D4644" s="30" t="s">
        <v>109</v>
      </c>
      <c r="E4644" s="31">
        <f>1*E4640</f>
        <v>0.35799999999999998</v>
      </c>
      <c r="F4644" s="28">
        <v>7.8564315999999996</v>
      </c>
      <c r="G4644" s="28">
        <f t="shared" si="88"/>
        <v>2.8126025127999998</v>
      </c>
      <c r="H4644" s="29"/>
      <c r="I4644" s="25"/>
      <c r="J4644" s="138">
        <v>0</v>
      </c>
    </row>
    <row r="4645" spans="1:10" ht="39" hidden="1" thickBot="1" x14ac:dyDescent="0.3">
      <c r="A4645" s="225"/>
      <c r="B4645" s="223"/>
      <c r="C4645" s="30" t="s">
        <v>121</v>
      </c>
      <c r="D4645" s="30" t="s">
        <v>122</v>
      </c>
      <c r="E4645" s="31">
        <f>E4640*20</f>
        <v>7.16</v>
      </c>
      <c r="F4645" s="48">
        <v>2.6882748499999995</v>
      </c>
      <c r="G4645" s="48">
        <f t="shared" si="88"/>
        <v>19.248047925999998</v>
      </c>
      <c r="H4645" s="67"/>
      <c r="I4645" s="68"/>
      <c r="J4645" s="138">
        <v>0</v>
      </c>
    </row>
    <row r="4646" spans="1:10" ht="15.75" hidden="1" thickBot="1" x14ac:dyDescent="0.3">
      <c r="A4646" s="225"/>
      <c r="B4646" s="223"/>
      <c r="C4646" s="30"/>
      <c r="D4646" s="30"/>
      <c r="E4646" s="31"/>
      <c r="F4646" s="48" t="s">
        <v>521</v>
      </c>
      <c r="G4646" s="48" t="str">
        <f t="shared" si="88"/>
        <v/>
      </c>
      <c r="H4646" s="67"/>
      <c r="I4646" s="68"/>
      <c r="J4646" s="138">
        <v>0</v>
      </c>
    </row>
    <row r="4647" spans="1:10" ht="15.75" hidden="1" thickBot="1" x14ac:dyDescent="0.3">
      <c r="A4647" s="225"/>
      <c r="B4647" s="223"/>
      <c r="C4647" s="42" t="s">
        <v>1373</v>
      </c>
      <c r="D4647" s="30"/>
      <c r="E4647" s="31"/>
      <c r="F4647" s="48" t="s">
        <v>521</v>
      </c>
      <c r="G4647" s="48" t="str">
        <f t="shared" si="88"/>
        <v/>
      </c>
      <c r="H4647" s="67"/>
      <c r="I4647" s="68"/>
      <c r="J4647" s="138">
        <v>0</v>
      </c>
    </row>
    <row r="4648" spans="1:10" ht="15.75" hidden="1" thickBot="1" x14ac:dyDescent="0.3">
      <c r="A4648" s="225"/>
      <c r="B4648" s="223"/>
      <c r="C4648" s="30"/>
      <c r="D4648" s="30"/>
      <c r="E4648" s="31"/>
      <c r="F4648" s="48" t="s">
        <v>521</v>
      </c>
      <c r="G4648" s="48" t="str">
        <f t="shared" si="88"/>
        <v/>
      </c>
      <c r="H4648" s="67"/>
      <c r="I4648" s="68"/>
      <c r="J4648" s="138">
        <v>0</v>
      </c>
    </row>
    <row r="4649" spans="1:10" ht="15.75" hidden="1" thickBot="1" x14ac:dyDescent="0.3">
      <c r="A4649" s="220" t="s">
        <v>1374</v>
      </c>
      <c r="B4649" s="222" t="e">
        <f>INDEX(Orçamentária!A:B,MATCH(Composições!A4649,Orçamentária!A:A,0),2)</f>
        <v>#N/A</v>
      </c>
      <c r="C4649" s="35"/>
      <c r="D4649" s="20" t="s">
        <v>95</v>
      </c>
      <c r="E4649" s="21"/>
      <c r="F4649" s="43" t="s">
        <v>521</v>
      </c>
      <c r="G4649" s="22" t="str">
        <f t="shared" si="88"/>
        <v/>
      </c>
      <c r="H4649" s="23"/>
      <c r="I4649" s="24"/>
      <c r="J4649" s="138">
        <v>0</v>
      </c>
    </row>
    <row r="4650" spans="1:10" ht="15.75" hidden="1" thickBot="1" x14ac:dyDescent="0.3">
      <c r="A4650" s="225"/>
      <c r="B4650" s="223"/>
      <c r="C4650" s="26"/>
      <c r="D4650" s="26"/>
      <c r="E4650" s="27"/>
      <c r="F4650" s="48" t="s">
        <v>521</v>
      </c>
      <c r="G4650" s="48" t="str">
        <f t="shared" si="88"/>
        <v/>
      </c>
      <c r="H4650" s="67"/>
      <c r="I4650" s="68"/>
      <c r="J4650" s="138">
        <v>0</v>
      </c>
    </row>
    <row r="4651" spans="1:10" ht="26.25" hidden="1" thickBot="1" x14ac:dyDescent="0.3">
      <c r="A4651" s="225"/>
      <c r="B4651" s="223"/>
      <c r="C4651" s="30" t="s">
        <v>1375</v>
      </c>
      <c r="D4651" s="30" t="s">
        <v>102</v>
      </c>
      <c r="E4651" s="31">
        <v>0.35</v>
      </c>
      <c r="F4651" s="48">
        <v>15.674999999999999</v>
      </c>
      <c r="G4651" s="48">
        <f t="shared" si="88"/>
        <v>5.4862499999999992</v>
      </c>
      <c r="H4651" s="33">
        <f>SUM(G4651:G4652)</f>
        <v>7.1416249999999994</v>
      </c>
      <c r="I4651" s="34"/>
      <c r="J4651" s="138">
        <v>0</v>
      </c>
    </row>
    <row r="4652" spans="1:10" ht="15.75" hidden="1" thickBot="1" x14ac:dyDescent="0.3">
      <c r="A4652" s="225"/>
      <c r="B4652" s="223"/>
      <c r="C4652" s="30" t="s">
        <v>1376</v>
      </c>
      <c r="D4652" s="30" t="s">
        <v>702</v>
      </c>
      <c r="E4652" s="31">
        <v>8.5000000000000006E-2</v>
      </c>
      <c r="F4652" s="48">
        <v>19.474999999999998</v>
      </c>
      <c r="G4652" s="48">
        <f t="shared" si="88"/>
        <v>1.655375</v>
      </c>
      <c r="H4652" s="67"/>
      <c r="I4652" s="68"/>
      <c r="J4652" s="138">
        <v>0</v>
      </c>
    </row>
    <row r="4653" spans="1:10" ht="15.75" hidden="1" thickBot="1" x14ac:dyDescent="0.3">
      <c r="A4653" s="225"/>
      <c r="B4653" s="223"/>
      <c r="C4653" s="30"/>
      <c r="D4653" s="30"/>
      <c r="E4653" s="31"/>
      <c r="F4653" s="48" t="s">
        <v>521</v>
      </c>
      <c r="G4653" s="48" t="str">
        <f t="shared" si="88"/>
        <v/>
      </c>
      <c r="H4653" s="67"/>
      <c r="I4653" s="68"/>
      <c r="J4653" s="138">
        <v>0</v>
      </c>
    </row>
    <row r="4654" spans="1:10" ht="26.25" hidden="1" thickBot="1" x14ac:dyDescent="0.3">
      <c r="A4654" s="225"/>
      <c r="B4654" s="223"/>
      <c r="C4654" s="42" t="s">
        <v>1377</v>
      </c>
      <c r="D4654" s="30"/>
      <c r="E4654" s="31"/>
      <c r="F4654" s="48" t="s">
        <v>521</v>
      </c>
      <c r="G4654" s="48" t="str">
        <f t="shared" si="88"/>
        <v/>
      </c>
      <c r="H4654" s="67"/>
      <c r="I4654" s="68"/>
      <c r="J4654" s="138">
        <v>0</v>
      </c>
    </row>
    <row r="4655" spans="1:10" ht="15.75" hidden="1" thickBot="1" x14ac:dyDescent="0.3">
      <c r="A4655" s="225"/>
      <c r="B4655" s="223"/>
      <c r="C4655" s="136" t="s">
        <v>1378</v>
      </c>
      <c r="D4655" s="30"/>
      <c r="E4655" s="31"/>
      <c r="F4655" s="48" t="s">
        <v>521</v>
      </c>
      <c r="G4655" s="48" t="str">
        <f t="shared" si="88"/>
        <v/>
      </c>
      <c r="H4655" s="67"/>
      <c r="I4655" s="68"/>
      <c r="J4655" s="138">
        <v>0</v>
      </c>
    </row>
    <row r="4656" spans="1:10" ht="15.75" hidden="1" thickBot="1" x14ac:dyDescent="0.3">
      <c r="A4656" s="226"/>
      <c r="B4656" s="224"/>
      <c r="C4656" s="30"/>
      <c r="D4656" s="30"/>
      <c r="E4656" s="31"/>
      <c r="F4656" s="48" t="s">
        <v>521</v>
      </c>
      <c r="G4656" s="48" t="str">
        <f t="shared" si="88"/>
        <v/>
      </c>
      <c r="H4656" s="67"/>
      <c r="I4656" s="68"/>
      <c r="J4656" s="138">
        <v>0</v>
      </c>
    </row>
    <row r="4657" spans="1:10" ht="15.75" hidden="1" thickBot="1" x14ac:dyDescent="0.3">
      <c r="A4657" s="220" t="s">
        <v>1379</v>
      </c>
      <c r="B4657" s="222" t="e">
        <f>INDEX(Orçamentária!A:B,MATCH(Composições!A4657,Orçamentária!A:A,0),2)</f>
        <v>#N/A</v>
      </c>
      <c r="C4657" s="35"/>
      <c r="D4657" s="20" t="s">
        <v>95</v>
      </c>
      <c r="E4657" s="21"/>
      <c r="F4657" s="43" t="s">
        <v>521</v>
      </c>
      <c r="G4657" s="22" t="str">
        <f t="shared" si="88"/>
        <v/>
      </c>
      <c r="H4657" s="23"/>
      <c r="I4657" s="24"/>
      <c r="J4657" s="138">
        <v>0</v>
      </c>
    </row>
    <row r="4658" spans="1:10" ht="15.75" hidden="1" thickBot="1" x14ac:dyDescent="0.3">
      <c r="A4658" s="225"/>
      <c r="B4658" s="223"/>
      <c r="C4658" s="26"/>
      <c r="D4658" s="26"/>
      <c r="E4658" s="27"/>
      <c r="F4658" s="48" t="s">
        <v>521</v>
      </c>
      <c r="G4658" s="48" t="str">
        <f t="shared" si="88"/>
        <v/>
      </c>
      <c r="H4658" s="67"/>
      <c r="I4658" s="68"/>
      <c r="J4658" s="138">
        <v>0</v>
      </c>
    </row>
    <row r="4659" spans="1:10" ht="15.75" hidden="1" thickBot="1" x14ac:dyDescent="0.3">
      <c r="A4659" s="225"/>
      <c r="B4659" s="223"/>
      <c r="C4659" s="30" t="s">
        <v>1380</v>
      </c>
      <c r="D4659" s="30" t="s">
        <v>897</v>
      </c>
      <c r="E4659" s="31">
        <v>2</v>
      </c>
      <c r="F4659" s="48">
        <v>61.474499999999992</v>
      </c>
      <c r="G4659" s="48">
        <f t="shared" si="88"/>
        <v>122.94899999999998</v>
      </c>
      <c r="H4659" s="33">
        <f>SUM(G4659:G4661)</f>
        <v>136.66623999999999</v>
      </c>
      <c r="I4659" s="34"/>
      <c r="J4659" s="138">
        <v>0</v>
      </c>
    </row>
    <row r="4660" spans="1:10" ht="15.75" hidden="1" thickBot="1" x14ac:dyDescent="0.3">
      <c r="A4660" s="225"/>
      <c r="B4660" s="223"/>
      <c r="C4660" s="30" t="s">
        <v>1376</v>
      </c>
      <c r="D4660" s="30" t="s">
        <v>702</v>
      </c>
      <c r="E4660" s="31">
        <v>9.6000000000000002E-2</v>
      </c>
      <c r="F4660" s="48">
        <v>19.474999999999998</v>
      </c>
      <c r="G4660" s="48">
        <f t="shared" si="88"/>
        <v>1.8695999999999999</v>
      </c>
      <c r="H4660" s="67"/>
      <c r="I4660" s="68"/>
      <c r="J4660" s="138">
        <v>0</v>
      </c>
    </row>
    <row r="4661" spans="1:10" ht="15.75" hidden="1" thickBot="1" x14ac:dyDescent="0.3">
      <c r="A4661" s="225"/>
      <c r="B4661" s="223"/>
      <c r="C4661" s="30" t="s">
        <v>1010</v>
      </c>
      <c r="D4661" s="30" t="s">
        <v>702</v>
      </c>
      <c r="E4661" s="31">
        <v>0.47599999999999998</v>
      </c>
      <c r="F4661" s="48">
        <v>24.889999999999997</v>
      </c>
      <c r="G4661" s="48">
        <f t="shared" si="88"/>
        <v>11.847639999999998</v>
      </c>
      <c r="H4661" s="67"/>
      <c r="I4661" s="68"/>
      <c r="J4661" s="138">
        <v>0</v>
      </c>
    </row>
    <row r="4662" spans="1:10" ht="15.75" hidden="1" thickBot="1" x14ac:dyDescent="0.3">
      <c r="A4662" s="225"/>
      <c r="B4662" s="223"/>
      <c r="C4662" s="30"/>
      <c r="D4662" s="30"/>
      <c r="E4662" s="31"/>
      <c r="F4662" s="48" t="s">
        <v>521</v>
      </c>
      <c r="G4662" s="48" t="str">
        <f t="shared" si="88"/>
        <v/>
      </c>
      <c r="H4662" s="67"/>
      <c r="I4662" s="68"/>
      <c r="J4662" s="138">
        <v>0</v>
      </c>
    </row>
    <row r="4663" spans="1:10" ht="15.75" hidden="1" thickBot="1" x14ac:dyDescent="0.3">
      <c r="A4663" s="220" t="s">
        <v>1381</v>
      </c>
      <c r="B4663" s="222" t="e">
        <f>INDEX(Orçamentária!A:B,MATCH(Composições!A4663,Orçamentária!A:A,0),2)</f>
        <v>#N/A</v>
      </c>
      <c r="C4663" s="35"/>
      <c r="D4663" s="20" t="s">
        <v>95</v>
      </c>
      <c r="E4663" s="21"/>
      <c r="F4663" s="43" t="s">
        <v>521</v>
      </c>
      <c r="G4663" s="22" t="str">
        <f t="shared" si="88"/>
        <v/>
      </c>
      <c r="H4663" s="23"/>
      <c r="I4663" s="24"/>
      <c r="J4663" s="138">
        <v>0</v>
      </c>
    </row>
    <row r="4664" spans="1:10" ht="15.75" hidden="1" thickBot="1" x14ac:dyDescent="0.3">
      <c r="A4664" s="225"/>
      <c r="B4664" s="223"/>
      <c r="C4664" s="26"/>
      <c r="D4664" s="26"/>
      <c r="E4664" s="27"/>
      <c r="F4664" s="48" t="s">
        <v>521</v>
      </c>
      <c r="G4664" s="48" t="str">
        <f t="shared" si="88"/>
        <v/>
      </c>
      <c r="H4664" s="67"/>
      <c r="I4664" s="68"/>
      <c r="J4664" s="138">
        <v>0</v>
      </c>
    </row>
    <row r="4665" spans="1:10" ht="26.25" hidden="1" thickBot="1" x14ac:dyDescent="0.3">
      <c r="A4665" s="225"/>
      <c r="B4665" s="223"/>
      <c r="C4665" s="30" t="s">
        <v>1375</v>
      </c>
      <c r="D4665" s="30" t="s">
        <v>102</v>
      </c>
      <c r="E4665" s="31">
        <v>0.61499999999999999</v>
      </c>
      <c r="F4665" s="48">
        <v>15.674999999999999</v>
      </c>
      <c r="G4665" s="48">
        <f t="shared" si="88"/>
        <v>9.6401249999999994</v>
      </c>
      <c r="H4665" s="33">
        <f>SUM(G4665:G4669)</f>
        <v>104.81487749999999</v>
      </c>
      <c r="I4665" s="34"/>
      <c r="J4665" s="138">
        <v>0</v>
      </c>
    </row>
    <row r="4666" spans="1:10" ht="26.25" hidden="1" thickBot="1" x14ac:dyDescent="0.3">
      <c r="A4666" s="225"/>
      <c r="B4666" s="223"/>
      <c r="C4666" s="30" t="s">
        <v>1382</v>
      </c>
      <c r="D4666" s="30" t="s">
        <v>988</v>
      </c>
      <c r="E4666" s="31">
        <v>1.125</v>
      </c>
      <c r="F4666" s="48">
        <v>58.5105</v>
      </c>
      <c r="G4666" s="48">
        <f t="shared" si="88"/>
        <v>65.824312500000005</v>
      </c>
      <c r="H4666" s="67"/>
      <c r="I4666" s="68"/>
      <c r="J4666" s="138">
        <v>0</v>
      </c>
    </row>
    <row r="4667" spans="1:10" ht="15.75" hidden="1" thickBot="1" x14ac:dyDescent="0.3">
      <c r="A4667" s="225"/>
      <c r="B4667" s="223"/>
      <c r="C4667" s="30" t="s">
        <v>1383</v>
      </c>
      <c r="D4667" s="30" t="s">
        <v>897</v>
      </c>
      <c r="E4667" s="31">
        <v>0.26</v>
      </c>
      <c r="F4667" s="48">
        <v>7.7519999999999998</v>
      </c>
      <c r="G4667" s="48">
        <f t="shared" si="88"/>
        <v>2.01552</v>
      </c>
      <c r="H4667" s="67"/>
      <c r="I4667" s="68"/>
      <c r="J4667" s="138">
        <v>0</v>
      </c>
    </row>
    <row r="4668" spans="1:10" ht="15.75" hidden="1" thickBot="1" x14ac:dyDescent="0.3">
      <c r="A4668" s="225"/>
      <c r="B4668" s="223"/>
      <c r="C4668" s="30" t="s">
        <v>1376</v>
      </c>
      <c r="D4668" s="30" t="s">
        <v>702</v>
      </c>
      <c r="E4668" s="31">
        <v>0.192</v>
      </c>
      <c r="F4668" s="48">
        <v>19.474999999999998</v>
      </c>
      <c r="G4668" s="48">
        <f t="shared" si="88"/>
        <v>3.7391999999999999</v>
      </c>
      <c r="H4668" s="67"/>
      <c r="I4668" s="68"/>
      <c r="J4668" s="138">
        <v>0</v>
      </c>
    </row>
    <row r="4669" spans="1:10" ht="15.75" hidden="1" thickBot="1" x14ac:dyDescent="0.3">
      <c r="A4669" s="225"/>
      <c r="B4669" s="223"/>
      <c r="C4669" s="30" t="s">
        <v>1010</v>
      </c>
      <c r="D4669" s="30" t="s">
        <v>702</v>
      </c>
      <c r="E4669" s="31">
        <v>0.94799999999999995</v>
      </c>
      <c r="F4669" s="48">
        <v>24.889999999999997</v>
      </c>
      <c r="G4669" s="48">
        <f t="shared" si="88"/>
        <v>23.595719999999996</v>
      </c>
      <c r="H4669" s="67"/>
      <c r="I4669" s="68"/>
      <c r="J4669" s="138">
        <v>0</v>
      </c>
    </row>
    <row r="4670" spans="1:10" ht="15.75" hidden="1" thickBot="1" x14ac:dyDescent="0.3">
      <c r="A4670" s="225"/>
      <c r="B4670" s="223"/>
      <c r="C4670" s="30"/>
      <c r="D4670" s="30"/>
      <c r="E4670" s="31"/>
      <c r="F4670" s="48" t="s">
        <v>521</v>
      </c>
      <c r="G4670" s="48" t="str">
        <f t="shared" si="88"/>
        <v/>
      </c>
      <c r="H4670" s="67"/>
      <c r="I4670" s="68"/>
      <c r="J4670" s="138">
        <v>0</v>
      </c>
    </row>
    <row r="4671" spans="1:10" ht="15.75" hidden="1" thickBot="1" x14ac:dyDescent="0.3">
      <c r="A4671" s="220" t="s">
        <v>1384</v>
      </c>
      <c r="B4671" s="222" t="e">
        <f>INDEX(Orçamentária!A:B,MATCH(Composições!A4671,Orçamentária!A:A,0),2)</f>
        <v>#N/A</v>
      </c>
      <c r="C4671" s="35"/>
      <c r="D4671" s="20" t="s">
        <v>95</v>
      </c>
      <c r="E4671" s="21"/>
      <c r="F4671" s="43" t="s">
        <v>521</v>
      </c>
      <c r="G4671" s="22" t="str">
        <f t="shared" si="88"/>
        <v/>
      </c>
      <c r="H4671" s="23"/>
      <c r="I4671" s="24"/>
      <c r="J4671" s="138">
        <v>0</v>
      </c>
    </row>
    <row r="4672" spans="1:10" ht="15.75" hidden="1" thickBot="1" x14ac:dyDescent="0.3">
      <c r="A4672" s="225"/>
      <c r="B4672" s="223"/>
      <c r="C4672" s="26"/>
      <c r="D4672" s="26"/>
      <c r="E4672" s="27"/>
      <c r="F4672" s="48" t="s">
        <v>521</v>
      </c>
      <c r="G4672" s="48" t="str">
        <f t="shared" si="88"/>
        <v/>
      </c>
      <c r="H4672" s="67"/>
      <c r="I4672" s="68"/>
      <c r="J4672" s="138">
        <v>0</v>
      </c>
    </row>
    <row r="4673" spans="1:10" ht="26.25" hidden="1" thickBot="1" x14ac:dyDescent="0.3">
      <c r="A4673" s="225"/>
      <c r="B4673" s="223"/>
      <c r="C4673" s="30" t="s">
        <v>1375</v>
      </c>
      <c r="D4673" s="30" t="s">
        <v>102</v>
      </c>
      <c r="E4673" s="31">
        <v>0.61499999999999999</v>
      </c>
      <c r="F4673" s="48">
        <v>15.674999999999999</v>
      </c>
      <c r="G4673" s="48">
        <f t="shared" si="88"/>
        <v>9.6401249999999994</v>
      </c>
      <c r="H4673" s="33">
        <f>SUM(G4673:G4677)</f>
        <v>38.990564999999997</v>
      </c>
      <c r="I4673" s="34"/>
      <c r="J4673" s="138">
        <v>0</v>
      </c>
    </row>
    <row r="4674" spans="1:10" ht="15.75" hidden="1" thickBot="1" x14ac:dyDescent="0.3">
      <c r="A4674" s="225"/>
      <c r="B4674" s="223"/>
      <c r="C4674" s="30" t="s">
        <v>1385</v>
      </c>
      <c r="D4674" s="30" t="s">
        <v>988</v>
      </c>
      <c r="E4674" s="31">
        <v>1.125</v>
      </c>
      <c r="F4674" s="48">
        <v>0</v>
      </c>
      <c r="G4674" s="48">
        <f t="shared" si="88"/>
        <v>0</v>
      </c>
      <c r="H4674" s="67"/>
      <c r="I4674" s="68"/>
      <c r="J4674" s="138">
        <v>0</v>
      </c>
    </row>
    <row r="4675" spans="1:10" ht="15.75" hidden="1" thickBot="1" x14ac:dyDescent="0.3">
      <c r="A4675" s="225"/>
      <c r="B4675" s="223"/>
      <c r="C4675" s="30" t="s">
        <v>1383</v>
      </c>
      <c r="D4675" s="30" t="s">
        <v>897</v>
      </c>
      <c r="E4675" s="31">
        <v>0.26</v>
      </c>
      <c r="F4675" s="48">
        <v>7.7519999999999998</v>
      </c>
      <c r="G4675" s="48">
        <f t="shared" si="88"/>
        <v>2.01552</v>
      </c>
      <c r="H4675" s="67"/>
      <c r="I4675" s="68"/>
      <c r="J4675" s="138">
        <v>0</v>
      </c>
    </row>
    <row r="4676" spans="1:10" ht="15.75" hidden="1" thickBot="1" x14ac:dyDescent="0.3">
      <c r="A4676" s="225"/>
      <c r="B4676" s="223"/>
      <c r="C4676" s="30" t="s">
        <v>1376</v>
      </c>
      <c r="D4676" s="30" t="s">
        <v>702</v>
      </c>
      <c r="E4676" s="31">
        <v>0.192</v>
      </c>
      <c r="F4676" s="48">
        <v>19.474999999999998</v>
      </c>
      <c r="G4676" s="48">
        <f t="shared" si="88"/>
        <v>3.7391999999999999</v>
      </c>
      <c r="H4676" s="67"/>
      <c r="I4676" s="68"/>
      <c r="J4676" s="138">
        <v>0</v>
      </c>
    </row>
    <row r="4677" spans="1:10" ht="15.75" hidden="1" thickBot="1" x14ac:dyDescent="0.3">
      <c r="A4677" s="225"/>
      <c r="B4677" s="223"/>
      <c r="C4677" s="30" t="s">
        <v>1010</v>
      </c>
      <c r="D4677" s="30" t="s">
        <v>702</v>
      </c>
      <c r="E4677" s="31">
        <v>0.94799999999999995</v>
      </c>
      <c r="F4677" s="48">
        <v>24.889999999999997</v>
      </c>
      <c r="G4677" s="48">
        <f t="shared" si="88"/>
        <v>23.595719999999996</v>
      </c>
      <c r="H4677" s="67"/>
      <c r="I4677" s="68"/>
      <c r="J4677" s="138">
        <v>0</v>
      </c>
    </row>
    <row r="4678" spans="1:10" ht="15.75" hidden="1" thickBot="1" x14ac:dyDescent="0.3">
      <c r="A4678" s="225"/>
      <c r="B4678" s="223"/>
      <c r="C4678" s="30"/>
      <c r="D4678" s="30"/>
      <c r="E4678" s="31"/>
      <c r="F4678" s="48" t="s">
        <v>521</v>
      </c>
      <c r="G4678" s="48" t="str">
        <f t="shared" si="88"/>
        <v/>
      </c>
      <c r="H4678" s="67"/>
      <c r="I4678" s="68"/>
      <c r="J4678" s="138">
        <v>0</v>
      </c>
    </row>
    <row r="4679" spans="1:10" ht="15.75" hidden="1" thickBot="1" x14ac:dyDescent="0.3">
      <c r="A4679" s="220" t="s">
        <v>1386</v>
      </c>
      <c r="B4679" s="222" t="e">
        <f>INDEX(Orçamentária!A:B,MATCH(Composições!A4679,Orçamentária!A:A,0),2)</f>
        <v>#N/A</v>
      </c>
      <c r="C4679" s="35"/>
      <c r="D4679" s="20" t="s">
        <v>95</v>
      </c>
      <c r="E4679" s="21"/>
      <c r="F4679" s="43" t="s">
        <v>521</v>
      </c>
      <c r="G4679" s="22" t="str">
        <f t="shared" si="88"/>
        <v/>
      </c>
      <c r="H4679" s="23"/>
      <c r="I4679" s="24"/>
      <c r="J4679" s="138">
        <v>0</v>
      </c>
    </row>
    <row r="4680" spans="1:10" ht="15.75" hidden="1" thickBot="1" x14ac:dyDescent="0.3">
      <c r="A4680" s="225"/>
      <c r="B4680" s="223"/>
      <c r="C4680" s="26"/>
      <c r="D4680" s="26"/>
      <c r="E4680" s="27"/>
      <c r="F4680" s="48" t="s">
        <v>521</v>
      </c>
      <c r="G4680" s="48" t="str">
        <f t="shared" si="88"/>
        <v/>
      </c>
      <c r="H4680" s="67"/>
      <c r="I4680" s="68"/>
      <c r="J4680" s="138">
        <v>0</v>
      </c>
    </row>
    <row r="4681" spans="1:10" ht="15.75" hidden="1" thickBot="1" x14ac:dyDescent="0.3">
      <c r="A4681" s="225"/>
      <c r="B4681" s="223"/>
      <c r="C4681" s="30" t="s">
        <v>1010</v>
      </c>
      <c r="D4681" s="30" t="s">
        <v>702</v>
      </c>
      <c r="E4681" s="31">
        <v>0.5</v>
      </c>
      <c r="F4681" s="48">
        <v>24.889999999999997</v>
      </c>
      <c r="G4681" s="48">
        <f t="shared" si="88"/>
        <v>12.444999999999999</v>
      </c>
      <c r="H4681" s="33">
        <f>SUM(G4681:G4687)</f>
        <v>22.182499999999997</v>
      </c>
      <c r="I4681" s="34"/>
      <c r="J4681" s="138">
        <v>0</v>
      </c>
    </row>
    <row r="4682" spans="1:10" ht="15.75" hidden="1" thickBot="1" x14ac:dyDescent="0.3">
      <c r="A4682" s="225"/>
      <c r="B4682" s="223"/>
      <c r="C4682" s="30" t="s">
        <v>1376</v>
      </c>
      <c r="D4682" s="30" t="s">
        <v>702</v>
      </c>
      <c r="E4682" s="31">
        <v>0.5</v>
      </c>
      <c r="F4682" s="48">
        <v>19.474999999999998</v>
      </c>
      <c r="G4682" s="48">
        <f t="shared" si="88"/>
        <v>9.7374999999999989</v>
      </c>
      <c r="H4682" s="67"/>
      <c r="I4682" s="68"/>
      <c r="J4682" s="138">
        <v>0</v>
      </c>
    </row>
    <row r="4683" spans="1:10" ht="15.75" hidden="1" thickBot="1" x14ac:dyDescent="0.3">
      <c r="A4683" s="225"/>
      <c r="B4683" s="223"/>
      <c r="C4683" s="30" t="s">
        <v>1387</v>
      </c>
      <c r="D4683" s="30" t="s">
        <v>897</v>
      </c>
      <c r="E4683" s="31">
        <v>0.8</v>
      </c>
      <c r="F4683" s="48">
        <v>0</v>
      </c>
      <c r="G4683" s="48">
        <f t="shared" si="88"/>
        <v>0</v>
      </c>
      <c r="H4683" s="67"/>
      <c r="I4683" s="68"/>
      <c r="J4683" s="138">
        <v>0</v>
      </c>
    </row>
    <row r="4684" spans="1:10" ht="15.75" hidden="1" thickBot="1" x14ac:dyDescent="0.3">
      <c r="A4684" s="225"/>
      <c r="B4684" s="223"/>
      <c r="C4684" s="30" t="s">
        <v>1388</v>
      </c>
      <c r="D4684" s="30" t="s">
        <v>102</v>
      </c>
      <c r="E4684" s="31">
        <v>0.6</v>
      </c>
      <c r="F4684" s="48">
        <v>0</v>
      </c>
      <c r="G4684" s="48">
        <f t="shared" si="88"/>
        <v>0</v>
      </c>
      <c r="H4684" s="67"/>
      <c r="I4684" s="68"/>
      <c r="J4684" s="138">
        <v>0</v>
      </c>
    </row>
    <row r="4685" spans="1:10" ht="15.75" hidden="1" thickBot="1" x14ac:dyDescent="0.3">
      <c r="A4685" s="225"/>
      <c r="B4685" s="223"/>
      <c r="C4685" s="30" t="s">
        <v>1389</v>
      </c>
      <c r="D4685" s="30" t="s">
        <v>95</v>
      </c>
      <c r="E4685" s="31">
        <v>1.1000000000000001</v>
      </c>
      <c r="F4685" s="48">
        <v>0</v>
      </c>
      <c r="G4685" s="48">
        <f t="shared" si="88"/>
        <v>0</v>
      </c>
      <c r="H4685" s="67"/>
      <c r="I4685" s="68"/>
      <c r="J4685" s="138">
        <v>0</v>
      </c>
    </row>
    <row r="4686" spans="1:10" ht="15.75" hidden="1" thickBot="1" x14ac:dyDescent="0.3">
      <c r="A4686" s="225"/>
      <c r="B4686" s="223"/>
      <c r="C4686" s="30" t="s">
        <v>1390</v>
      </c>
      <c r="D4686" s="30" t="s">
        <v>93</v>
      </c>
      <c r="E4686" s="31">
        <v>2</v>
      </c>
      <c r="F4686" s="48">
        <v>0</v>
      </c>
      <c r="G4686" s="48">
        <f t="shared" si="88"/>
        <v>0</v>
      </c>
      <c r="H4686" s="67"/>
      <c r="I4686" s="68"/>
      <c r="J4686" s="138">
        <v>0</v>
      </c>
    </row>
    <row r="4687" spans="1:10" ht="15.75" hidden="1" thickBot="1" x14ac:dyDescent="0.3">
      <c r="A4687" s="225"/>
      <c r="B4687" s="223"/>
      <c r="C4687" s="30" t="s">
        <v>1391</v>
      </c>
      <c r="D4687" s="30" t="s">
        <v>102</v>
      </c>
      <c r="E4687" s="31">
        <v>0.2</v>
      </c>
      <c r="F4687" s="48">
        <v>0</v>
      </c>
      <c r="G4687" s="48">
        <f t="shared" si="88"/>
        <v>0</v>
      </c>
      <c r="H4687" s="67"/>
      <c r="I4687" s="68"/>
      <c r="J4687" s="138">
        <v>0</v>
      </c>
    </row>
    <row r="4688" spans="1:10" ht="15.75" hidden="1" thickBot="1" x14ac:dyDescent="0.3">
      <c r="A4688" s="225"/>
      <c r="B4688" s="223"/>
      <c r="C4688" s="30"/>
      <c r="D4688" s="30"/>
      <c r="E4688" s="31"/>
      <c r="F4688" s="48" t="s">
        <v>521</v>
      </c>
      <c r="G4688" s="48" t="str">
        <f t="shared" si="88"/>
        <v/>
      </c>
      <c r="H4688" s="67"/>
      <c r="I4688" s="68"/>
      <c r="J4688" s="138">
        <v>0</v>
      </c>
    </row>
    <row r="4689" spans="1:10" ht="15.75" hidden="1" thickBot="1" x14ac:dyDescent="0.3">
      <c r="A4689" s="220" t="s">
        <v>1392</v>
      </c>
      <c r="B4689" s="222" t="e">
        <f>INDEX(Orçamentária!A:B,MATCH(Composições!A4689,Orçamentária!A:A,0),2)</f>
        <v>#N/A</v>
      </c>
      <c r="C4689" s="35"/>
      <c r="D4689" s="20" t="s">
        <v>95</v>
      </c>
      <c r="E4689" s="21"/>
      <c r="F4689" s="43" t="s">
        <v>521</v>
      </c>
      <c r="G4689" s="22" t="str">
        <f t="shared" si="88"/>
        <v/>
      </c>
      <c r="H4689" s="23"/>
      <c r="I4689" s="24"/>
      <c r="J4689" s="138">
        <v>0</v>
      </c>
    </row>
    <row r="4690" spans="1:10" ht="15.75" hidden="1" thickBot="1" x14ac:dyDescent="0.3">
      <c r="A4690" s="225"/>
      <c r="B4690" s="223"/>
      <c r="C4690" s="26"/>
      <c r="D4690" s="26"/>
      <c r="E4690" s="27"/>
      <c r="F4690" s="48" t="s">
        <v>521</v>
      </c>
      <c r="G4690" s="48" t="str">
        <f t="shared" si="88"/>
        <v/>
      </c>
      <c r="H4690" s="67"/>
      <c r="I4690" s="68"/>
      <c r="J4690" s="138">
        <v>0</v>
      </c>
    </row>
    <row r="4691" spans="1:10" ht="15.75" hidden="1" thickBot="1" x14ac:dyDescent="0.3">
      <c r="A4691" s="225"/>
      <c r="B4691" s="223"/>
      <c r="C4691" s="30" t="s">
        <v>1393</v>
      </c>
      <c r="D4691" s="30" t="s">
        <v>897</v>
      </c>
      <c r="E4691" s="31">
        <v>1.2</v>
      </c>
      <c r="F4691" s="48">
        <v>23.806999999999999</v>
      </c>
      <c r="G4691" s="48">
        <f t="shared" si="88"/>
        <v>28.568399999999997</v>
      </c>
      <c r="H4691" s="33">
        <f>SUM(G4691:G4693)</f>
        <v>45.233394999999994</v>
      </c>
      <c r="I4691" s="34"/>
      <c r="J4691" s="138">
        <v>0</v>
      </c>
    </row>
    <row r="4692" spans="1:10" ht="15.75" hidden="1" thickBot="1" x14ac:dyDescent="0.3">
      <c r="A4692" s="225"/>
      <c r="B4692" s="223"/>
      <c r="C4692" s="30" t="s">
        <v>1376</v>
      </c>
      <c r="D4692" s="30" t="s">
        <v>702</v>
      </c>
      <c r="E4692" s="31">
        <v>0.11700000000000001</v>
      </c>
      <c r="F4692" s="48">
        <v>19.474999999999998</v>
      </c>
      <c r="G4692" s="48">
        <f t="shared" si="88"/>
        <v>2.278575</v>
      </c>
      <c r="H4692" s="67"/>
      <c r="I4692" s="68"/>
      <c r="J4692" s="138">
        <v>0</v>
      </c>
    </row>
    <row r="4693" spans="1:10" ht="15.75" hidden="1" thickBot="1" x14ac:dyDescent="0.3">
      <c r="A4693" s="225"/>
      <c r="B4693" s="223"/>
      <c r="C4693" s="30" t="s">
        <v>1010</v>
      </c>
      <c r="D4693" s="30" t="s">
        <v>702</v>
      </c>
      <c r="E4693" s="31">
        <v>0.57799999999999996</v>
      </c>
      <c r="F4693" s="48">
        <v>24.889999999999997</v>
      </c>
      <c r="G4693" s="48">
        <f t="shared" si="88"/>
        <v>14.386419999999998</v>
      </c>
      <c r="H4693" s="67"/>
      <c r="I4693" s="68"/>
      <c r="J4693" s="138">
        <v>0</v>
      </c>
    </row>
    <row r="4694" spans="1:10" ht="15.75" hidden="1" thickBot="1" x14ac:dyDescent="0.3">
      <c r="A4694" s="225"/>
      <c r="B4694" s="223"/>
      <c r="C4694" s="30"/>
      <c r="D4694" s="30"/>
      <c r="E4694" s="31"/>
      <c r="F4694" s="48" t="s">
        <v>521</v>
      </c>
      <c r="G4694" s="48" t="str">
        <f t="shared" si="88"/>
        <v/>
      </c>
      <c r="H4694" s="67"/>
      <c r="I4694" s="68"/>
      <c r="J4694" s="138">
        <v>0</v>
      </c>
    </row>
    <row r="4695" spans="1:10" ht="15.75" hidden="1" thickBot="1" x14ac:dyDescent="0.3">
      <c r="A4695" s="220" t="s">
        <v>1394</v>
      </c>
      <c r="B4695" s="222" t="e">
        <f>INDEX(Orçamentária!A:B,MATCH(Composições!A4695,Orçamentária!A:A,0),2)</f>
        <v>#N/A</v>
      </c>
      <c r="C4695" s="35"/>
      <c r="D4695" s="20" t="s">
        <v>95</v>
      </c>
      <c r="E4695" s="21"/>
      <c r="F4695" s="43" t="s">
        <v>521</v>
      </c>
      <c r="G4695" s="22" t="str">
        <f t="shared" si="88"/>
        <v/>
      </c>
      <c r="H4695" s="23"/>
      <c r="I4695" s="24"/>
      <c r="J4695" s="138">
        <v>0</v>
      </c>
    </row>
    <row r="4696" spans="1:10" ht="15.75" hidden="1" thickBot="1" x14ac:dyDescent="0.3">
      <c r="A4696" s="225"/>
      <c r="B4696" s="223"/>
      <c r="C4696" s="26"/>
      <c r="D4696" s="26"/>
      <c r="E4696" s="27"/>
      <c r="F4696" s="48" t="s">
        <v>521</v>
      </c>
      <c r="G4696" s="48" t="str">
        <f t="shared" si="88"/>
        <v/>
      </c>
      <c r="H4696" s="67"/>
      <c r="I4696" s="68"/>
      <c r="J4696" s="138">
        <v>0</v>
      </c>
    </row>
    <row r="4697" spans="1:10" ht="15.75" hidden="1" thickBot="1" x14ac:dyDescent="0.3">
      <c r="A4697" s="225"/>
      <c r="B4697" s="223"/>
      <c r="C4697" s="30" t="s">
        <v>1395</v>
      </c>
      <c r="D4697" s="30" t="s">
        <v>897</v>
      </c>
      <c r="E4697" s="31">
        <v>3</v>
      </c>
      <c r="F4697" s="48" t="s">
        <v>521</v>
      </c>
      <c r="G4697" s="48" t="str">
        <f t="shared" si="88"/>
        <v/>
      </c>
      <c r="H4697" s="33">
        <f>SUM(G4697:G4698)</f>
        <v>4.9779999999999998</v>
      </c>
      <c r="I4697" s="34"/>
      <c r="J4697" s="138">
        <v>0</v>
      </c>
    </row>
    <row r="4698" spans="1:10" ht="15.75" hidden="1" thickBot="1" x14ac:dyDescent="0.3">
      <c r="A4698" s="225"/>
      <c r="B4698" s="223"/>
      <c r="C4698" s="30" t="s">
        <v>1010</v>
      </c>
      <c r="D4698" s="30" t="s">
        <v>702</v>
      </c>
      <c r="E4698" s="31">
        <v>0.2</v>
      </c>
      <c r="F4698" s="48">
        <v>24.889999999999997</v>
      </c>
      <c r="G4698" s="48">
        <f t="shared" si="88"/>
        <v>4.9779999999999998</v>
      </c>
      <c r="H4698" s="67"/>
      <c r="I4698" s="68"/>
      <c r="J4698" s="138">
        <v>0</v>
      </c>
    </row>
    <row r="4699" spans="1:10" ht="15.75" hidden="1" thickBot="1" x14ac:dyDescent="0.3">
      <c r="A4699" s="225"/>
      <c r="B4699" s="223"/>
      <c r="C4699" s="30"/>
      <c r="D4699" s="30"/>
      <c r="E4699" s="31"/>
      <c r="F4699" s="48" t="s">
        <v>521</v>
      </c>
      <c r="G4699" s="48" t="str">
        <f t="shared" si="88"/>
        <v/>
      </c>
      <c r="H4699" s="67"/>
      <c r="I4699" s="68"/>
      <c r="J4699" s="138">
        <v>0</v>
      </c>
    </row>
    <row r="4700" spans="1:10" ht="26.25" hidden="1" thickBot="1" x14ac:dyDescent="0.3">
      <c r="A4700" s="225"/>
      <c r="B4700" s="223"/>
      <c r="C4700" s="42" t="s">
        <v>1396</v>
      </c>
      <c r="D4700" s="30"/>
      <c r="E4700" s="31"/>
      <c r="F4700" s="48" t="s">
        <v>521</v>
      </c>
      <c r="G4700" s="48" t="str">
        <f t="shared" si="88"/>
        <v/>
      </c>
      <c r="H4700" s="67"/>
      <c r="I4700" s="68"/>
      <c r="J4700" s="138">
        <v>0</v>
      </c>
    </row>
    <row r="4701" spans="1:10" ht="25.5" hidden="1" thickBot="1" x14ac:dyDescent="0.3">
      <c r="A4701" s="225"/>
      <c r="B4701" s="223"/>
      <c r="C4701" s="137" t="s">
        <v>1397</v>
      </c>
      <c r="D4701" s="30"/>
      <c r="E4701" s="31"/>
      <c r="F4701" s="48" t="s">
        <v>521</v>
      </c>
      <c r="G4701" s="48" t="str">
        <f t="shared" si="88"/>
        <v/>
      </c>
      <c r="H4701" s="67"/>
      <c r="I4701" s="68"/>
      <c r="J4701" s="138">
        <v>0</v>
      </c>
    </row>
    <row r="4702" spans="1:10" ht="15.75" hidden="1" thickBot="1" x14ac:dyDescent="0.3">
      <c r="A4702" s="225"/>
      <c r="B4702" s="223"/>
      <c r="C4702" s="30"/>
      <c r="D4702" s="30"/>
      <c r="E4702" s="31"/>
      <c r="F4702" s="48" t="s">
        <v>521</v>
      </c>
      <c r="G4702" s="48" t="str">
        <f t="shared" si="88"/>
        <v/>
      </c>
      <c r="H4702" s="67"/>
      <c r="I4702" s="68"/>
      <c r="J4702" s="138">
        <v>0</v>
      </c>
    </row>
    <row r="4703" spans="1:10" ht="15.75" hidden="1" thickBot="1" x14ac:dyDescent="0.3">
      <c r="A4703" s="220" t="s">
        <v>1398</v>
      </c>
      <c r="B4703" s="222" t="e">
        <f>INDEX(Orçamentária!A:B,MATCH(Composições!A4703,Orçamentária!A:A,0),2)</f>
        <v>#N/A</v>
      </c>
      <c r="C4703" s="35"/>
      <c r="D4703" s="20" t="s">
        <v>95</v>
      </c>
      <c r="E4703" s="21"/>
      <c r="F4703" s="43" t="s">
        <v>521</v>
      </c>
      <c r="G4703" s="22" t="str">
        <f t="shared" ref="G4703:G4766" si="89">IF(ISNUMBER(F4703),E4703*F4703,"")</f>
        <v/>
      </c>
      <c r="H4703" s="23"/>
      <c r="I4703" s="24"/>
      <c r="J4703" s="138">
        <v>0</v>
      </c>
    </row>
    <row r="4704" spans="1:10" ht="15.75" hidden="1" thickBot="1" x14ac:dyDescent="0.3">
      <c r="A4704" s="225"/>
      <c r="B4704" s="223"/>
      <c r="C4704" s="26"/>
      <c r="D4704" s="26"/>
      <c r="E4704" s="27"/>
      <c r="F4704" s="48" t="s">
        <v>521</v>
      </c>
      <c r="G4704" s="48" t="str">
        <f t="shared" si="89"/>
        <v/>
      </c>
      <c r="H4704" s="67"/>
      <c r="I4704" s="68"/>
      <c r="J4704" s="138">
        <v>0</v>
      </c>
    </row>
    <row r="4705" spans="1:10" ht="26.25" hidden="1" thickBot="1" x14ac:dyDescent="0.3">
      <c r="A4705" s="225"/>
      <c r="B4705" s="223"/>
      <c r="C4705" s="30" t="s">
        <v>1375</v>
      </c>
      <c r="D4705" s="30" t="s">
        <v>102</v>
      </c>
      <c r="E4705" s="31">
        <v>0.61499999999999999</v>
      </c>
      <c r="F4705" s="48">
        <v>15.674999999999999</v>
      </c>
      <c r="G4705" s="48">
        <f t="shared" si="89"/>
        <v>9.6401249999999994</v>
      </c>
      <c r="H4705" s="33">
        <f>SUM(G4705:G4710)</f>
        <v>172.74177749999998</v>
      </c>
      <c r="I4705" s="34"/>
      <c r="J4705" s="138">
        <v>0</v>
      </c>
    </row>
    <row r="4706" spans="1:10" ht="26.25" hidden="1" thickBot="1" x14ac:dyDescent="0.3">
      <c r="A4706" s="225"/>
      <c r="B4706" s="223"/>
      <c r="C4706" s="30" t="s">
        <v>1399</v>
      </c>
      <c r="D4706" s="30" t="s">
        <v>988</v>
      </c>
      <c r="E4706" s="31">
        <v>1.125</v>
      </c>
      <c r="F4706" s="48">
        <v>47.651999999999994</v>
      </c>
      <c r="G4706" s="48">
        <f t="shared" si="89"/>
        <v>53.608499999999992</v>
      </c>
      <c r="H4706" s="67"/>
      <c r="I4706" s="68"/>
      <c r="J4706" s="138">
        <v>0</v>
      </c>
    </row>
    <row r="4707" spans="1:10" ht="26.25" hidden="1" thickBot="1" x14ac:dyDescent="0.3">
      <c r="A4707" s="225"/>
      <c r="B4707" s="223"/>
      <c r="C4707" s="30" t="s">
        <v>1382</v>
      </c>
      <c r="D4707" s="30" t="s">
        <v>988</v>
      </c>
      <c r="E4707" s="31">
        <v>1.125</v>
      </c>
      <c r="F4707" s="48">
        <v>58.5105</v>
      </c>
      <c r="G4707" s="48">
        <f t="shared" si="89"/>
        <v>65.824312500000005</v>
      </c>
      <c r="H4707" s="67"/>
      <c r="I4707" s="68"/>
      <c r="J4707" s="138">
        <v>0</v>
      </c>
    </row>
    <row r="4708" spans="1:10" ht="15.75" hidden="1" thickBot="1" x14ac:dyDescent="0.3">
      <c r="A4708" s="225"/>
      <c r="B4708" s="223"/>
      <c r="C4708" s="30" t="s">
        <v>1383</v>
      </c>
      <c r="D4708" s="30" t="s">
        <v>897</v>
      </c>
      <c r="E4708" s="31">
        <v>0.52</v>
      </c>
      <c r="F4708" s="48">
        <v>7.7519999999999998</v>
      </c>
      <c r="G4708" s="48">
        <f t="shared" si="89"/>
        <v>4.03104</v>
      </c>
      <c r="H4708" s="67"/>
      <c r="I4708" s="68"/>
      <c r="J4708" s="138">
        <v>0</v>
      </c>
    </row>
    <row r="4709" spans="1:10" ht="15.75" hidden="1" thickBot="1" x14ac:dyDescent="0.3">
      <c r="A4709" s="225"/>
      <c r="B4709" s="223"/>
      <c r="C4709" s="30" t="s">
        <v>1376</v>
      </c>
      <c r="D4709" s="30" t="s">
        <v>702</v>
      </c>
      <c r="E4709" s="31">
        <v>0.27800000000000002</v>
      </c>
      <c r="F4709" s="48">
        <v>19.474999999999998</v>
      </c>
      <c r="G4709" s="48">
        <f t="shared" si="89"/>
        <v>5.4140499999999996</v>
      </c>
      <c r="H4709" s="67"/>
      <c r="I4709" s="68"/>
      <c r="J4709" s="138">
        <v>0</v>
      </c>
    </row>
    <row r="4710" spans="1:10" ht="15.75" hidden="1" thickBot="1" x14ac:dyDescent="0.3">
      <c r="A4710" s="225"/>
      <c r="B4710" s="223"/>
      <c r="C4710" s="30" t="s">
        <v>1010</v>
      </c>
      <c r="D4710" s="30" t="s">
        <v>702</v>
      </c>
      <c r="E4710" s="31">
        <v>1.375</v>
      </c>
      <c r="F4710" s="48">
        <v>24.889999999999997</v>
      </c>
      <c r="G4710" s="48">
        <f t="shared" si="89"/>
        <v>34.223749999999995</v>
      </c>
      <c r="H4710" s="67"/>
      <c r="I4710" s="68"/>
      <c r="J4710" s="138">
        <v>0</v>
      </c>
    </row>
    <row r="4711" spans="1:10" ht="15.75" hidden="1" thickBot="1" x14ac:dyDescent="0.3">
      <c r="A4711" s="225"/>
      <c r="B4711" s="223"/>
      <c r="C4711" s="30"/>
      <c r="D4711" s="30"/>
      <c r="E4711" s="31"/>
      <c r="F4711" s="48" t="s">
        <v>521</v>
      </c>
      <c r="G4711" s="48" t="str">
        <f t="shared" si="89"/>
        <v/>
      </c>
      <c r="H4711" s="67"/>
      <c r="I4711" s="68"/>
      <c r="J4711" s="138">
        <v>0</v>
      </c>
    </row>
    <row r="4712" spans="1:10" ht="15.75" hidden="1" thickBot="1" x14ac:dyDescent="0.3">
      <c r="A4712" s="220" t="s">
        <v>1400</v>
      </c>
      <c r="B4712" s="222" t="e">
        <f>INDEX(Orçamentária!A:B,MATCH(Composições!A4712,Orçamentária!A:A,0),2)</f>
        <v>#N/A</v>
      </c>
      <c r="C4712" s="35"/>
      <c r="D4712" s="20" t="s">
        <v>95</v>
      </c>
      <c r="E4712" s="21"/>
      <c r="F4712" s="43" t="s">
        <v>521</v>
      </c>
      <c r="G4712" s="22" t="str">
        <f t="shared" si="89"/>
        <v/>
      </c>
      <c r="H4712" s="23"/>
      <c r="I4712" s="24"/>
      <c r="J4712" s="138">
        <v>0</v>
      </c>
    </row>
    <row r="4713" spans="1:10" ht="15.75" hidden="1" thickBot="1" x14ac:dyDescent="0.3">
      <c r="A4713" s="225"/>
      <c r="B4713" s="223"/>
      <c r="C4713" s="26"/>
      <c r="D4713" s="26"/>
      <c r="E4713" s="27"/>
      <c r="F4713" s="48" t="s">
        <v>521</v>
      </c>
      <c r="G4713" s="48" t="str">
        <f t="shared" si="89"/>
        <v/>
      </c>
      <c r="H4713" s="67"/>
      <c r="I4713" s="68"/>
      <c r="J4713" s="138">
        <v>0</v>
      </c>
    </row>
    <row r="4714" spans="1:10" ht="26.25" hidden="1" thickBot="1" x14ac:dyDescent="0.3">
      <c r="A4714" s="225"/>
      <c r="B4714" s="223"/>
      <c r="C4714" s="30" t="s">
        <v>1375</v>
      </c>
      <c r="D4714" s="30" t="s">
        <v>102</v>
      </c>
      <c r="E4714" s="31">
        <v>0.61499999999999999</v>
      </c>
      <c r="F4714" s="48">
        <v>15.674999999999999</v>
      </c>
      <c r="G4714" s="48">
        <f t="shared" si="89"/>
        <v>9.6401249999999994</v>
      </c>
      <c r="H4714" s="33">
        <f>SUM(G4714:G4719)</f>
        <v>174.1247875</v>
      </c>
      <c r="I4714" s="34"/>
      <c r="J4714" s="138">
        <v>0</v>
      </c>
    </row>
    <row r="4715" spans="1:10" ht="26.25" hidden="1" thickBot="1" x14ac:dyDescent="0.3">
      <c r="A4715" s="225"/>
      <c r="B4715" s="223"/>
      <c r="C4715" s="30" t="s">
        <v>1399</v>
      </c>
      <c r="D4715" s="30" t="s">
        <v>988</v>
      </c>
      <c r="E4715" s="31">
        <v>1.125</v>
      </c>
      <c r="F4715" s="48">
        <v>47.651999999999994</v>
      </c>
      <c r="G4715" s="48">
        <f t="shared" si="89"/>
        <v>53.608499999999992</v>
      </c>
      <c r="H4715" s="67"/>
      <c r="I4715" s="68"/>
      <c r="J4715" s="138">
        <v>0</v>
      </c>
    </row>
    <row r="4716" spans="1:10" ht="26.25" hidden="1" thickBot="1" x14ac:dyDescent="0.3">
      <c r="A4716" s="225"/>
      <c r="B4716" s="223"/>
      <c r="C4716" s="30" t="s">
        <v>1382</v>
      </c>
      <c r="D4716" s="30" t="s">
        <v>988</v>
      </c>
      <c r="E4716" s="31">
        <v>1.125</v>
      </c>
      <c r="F4716" s="48">
        <v>58.5105</v>
      </c>
      <c r="G4716" s="48">
        <f t="shared" si="89"/>
        <v>65.824312500000005</v>
      </c>
      <c r="H4716" s="67"/>
      <c r="I4716" s="68"/>
      <c r="J4716" s="138">
        <v>0</v>
      </c>
    </row>
    <row r="4717" spans="1:10" ht="15.75" hidden="1" thickBot="1" x14ac:dyDescent="0.3">
      <c r="A4717" s="225"/>
      <c r="B4717" s="223"/>
      <c r="C4717" s="30" t="s">
        <v>1395</v>
      </c>
      <c r="D4717" s="30" t="s">
        <v>897</v>
      </c>
      <c r="E4717" s="31">
        <v>2</v>
      </c>
      <c r="F4717" s="48" t="s">
        <v>521</v>
      </c>
      <c r="G4717" s="48" t="str">
        <f t="shared" si="89"/>
        <v/>
      </c>
      <c r="H4717" s="67"/>
      <c r="I4717" s="68"/>
      <c r="J4717" s="138">
        <v>0</v>
      </c>
    </row>
    <row r="4718" spans="1:10" ht="15.75" hidden="1" thickBot="1" x14ac:dyDescent="0.3">
      <c r="A4718" s="225"/>
      <c r="B4718" s="223"/>
      <c r="C4718" s="30" t="s">
        <v>1376</v>
      </c>
      <c r="D4718" s="30" t="s">
        <v>702</v>
      </c>
      <c r="E4718" s="31">
        <f>0.278*2</f>
        <v>0.55600000000000005</v>
      </c>
      <c r="F4718" s="48">
        <v>19.474999999999998</v>
      </c>
      <c r="G4718" s="48">
        <f t="shared" si="89"/>
        <v>10.828099999999999</v>
      </c>
      <c r="H4718" s="67"/>
      <c r="I4718" s="68"/>
      <c r="J4718" s="138">
        <v>0</v>
      </c>
    </row>
    <row r="4719" spans="1:10" ht="15.75" hidden="1" thickBot="1" x14ac:dyDescent="0.3">
      <c r="A4719" s="225"/>
      <c r="B4719" s="223"/>
      <c r="C4719" s="30" t="s">
        <v>1010</v>
      </c>
      <c r="D4719" s="30" t="s">
        <v>702</v>
      </c>
      <c r="E4719" s="31">
        <v>1.375</v>
      </c>
      <c r="F4719" s="48">
        <v>24.889999999999997</v>
      </c>
      <c r="G4719" s="48">
        <f t="shared" si="89"/>
        <v>34.223749999999995</v>
      </c>
      <c r="H4719" s="67"/>
      <c r="I4719" s="68"/>
      <c r="J4719" s="138">
        <v>0</v>
      </c>
    </row>
    <row r="4720" spans="1:10" ht="15.75" hidden="1" thickBot="1" x14ac:dyDescent="0.3">
      <c r="A4720" s="225"/>
      <c r="B4720" s="223"/>
      <c r="C4720" s="30"/>
      <c r="D4720" s="30"/>
      <c r="E4720" s="31"/>
      <c r="F4720" s="48" t="s">
        <v>521</v>
      </c>
      <c r="G4720" s="48" t="str">
        <f t="shared" si="89"/>
        <v/>
      </c>
      <c r="H4720" s="67"/>
      <c r="I4720" s="68"/>
      <c r="J4720" s="138">
        <v>0</v>
      </c>
    </row>
    <row r="4721" spans="1:10" ht="26.25" hidden="1" thickBot="1" x14ac:dyDescent="0.3">
      <c r="A4721" s="225"/>
      <c r="B4721" s="223"/>
      <c r="C4721" s="42" t="s">
        <v>1396</v>
      </c>
      <c r="D4721" s="30"/>
      <c r="E4721" s="31"/>
      <c r="F4721" s="48" t="s">
        <v>521</v>
      </c>
      <c r="G4721" s="48" t="str">
        <f t="shared" si="89"/>
        <v/>
      </c>
      <c r="H4721" s="67"/>
      <c r="I4721" s="68"/>
      <c r="J4721" s="138">
        <v>0</v>
      </c>
    </row>
    <row r="4722" spans="1:10" ht="25.5" hidden="1" thickBot="1" x14ac:dyDescent="0.3">
      <c r="A4722" s="225"/>
      <c r="B4722" s="223"/>
      <c r="C4722" s="137" t="s">
        <v>1397</v>
      </c>
      <c r="D4722" s="30"/>
      <c r="E4722" s="31"/>
      <c r="F4722" s="48" t="s">
        <v>521</v>
      </c>
      <c r="G4722" s="48" t="str">
        <f t="shared" si="89"/>
        <v/>
      </c>
      <c r="H4722" s="67"/>
      <c r="I4722" s="68"/>
      <c r="J4722" s="138">
        <v>0</v>
      </c>
    </row>
    <row r="4723" spans="1:10" ht="15.75" hidden="1" thickBot="1" x14ac:dyDescent="0.3">
      <c r="A4723" s="225"/>
      <c r="B4723" s="223"/>
      <c r="C4723" s="30"/>
      <c r="D4723" s="30"/>
      <c r="E4723" s="31"/>
      <c r="F4723" s="48" t="s">
        <v>521</v>
      </c>
      <c r="G4723" s="48" t="str">
        <f t="shared" si="89"/>
        <v/>
      </c>
      <c r="H4723" s="67"/>
      <c r="I4723" s="68"/>
      <c r="J4723" s="138">
        <v>0</v>
      </c>
    </row>
    <row r="4724" spans="1:10" ht="15.75" hidden="1" thickBot="1" x14ac:dyDescent="0.3">
      <c r="A4724" s="220" t="s">
        <v>1539</v>
      </c>
      <c r="B4724" s="222" t="e">
        <f>INDEX(Orçamentária!A:B,MATCH(Composições!A4724,Orçamentária!A:A,0),2)</f>
        <v>#N/A</v>
      </c>
      <c r="C4724" s="35"/>
      <c r="D4724" s="20" t="s">
        <v>42</v>
      </c>
      <c r="E4724" s="21"/>
      <c r="F4724" s="43" t="s">
        <v>521</v>
      </c>
      <c r="G4724" s="22" t="str">
        <f t="shared" si="89"/>
        <v/>
      </c>
      <c r="H4724" s="23"/>
      <c r="I4724" s="24"/>
      <c r="J4724" s="138">
        <v>0</v>
      </c>
    </row>
    <row r="4725" spans="1:10" ht="15.75" hidden="1" thickBot="1" x14ac:dyDescent="0.3">
      <c r="A4725" s="225"/>
      <c r="B4725" s="223"/>
      <c r="C4725" s="26"/>
      <c r="D4725" s="26"/>
      <c r="E4725" s="27"/>
      <c r="F4725" s="48" t="s">
        <v>521</v>
      </c>
      <c r="G4725" s="48" t="str">
        <f t="shared" si="89"/>
        <v/>
      </c>
      <c r="H4725" s="67"/>
      <c r="I4725" s="68"/>
      <c r="J4725" s="138">
        <v>0</v>
      </c>
    </row>
    <row r="4726" spans="1:10" ht="26.25" hidden="1" thickBot="1" x14ac:dyDescent="0.3">
      <c r="A4726" s="225"/>
      <c r="B4726" s="223"/>
      <c r="C4726" s="30" t="s">
        <v>2756</v>
      </c>
      <c r="D4726" s="30" t="s">
        <v>42</v>
      </c>
      <c r="E4726" s="31">
        <v>1</v>
      </c>
      <c r="F4726" s="48">
        <v>0</v>
      </c>
      <c r="G4726" s="48">
        <f t="shared" si="89"/>
        <v>0</v>
      </c>
      <c r="H4726" s="33">
        <f>SUM(G4726:G4726)</f>
        <v>0</v>
      </c>
      <c r="I4726" s="34"/>
      <c r="J4726" s="138">
        <v>0</v>
      </c>
    </row>
    <row r="4727" spans="1:10" ht="15.75" hidden="1" thickBot="1" x14ac:dyDescent="0.3">
      <c r="A4727" s="225"/>
      <c r="B4727" s="223"/>
      <c r="C4727" s="30"/>
      <c r="D4727" s="30"/>
      <c r="E4727" s="31"/>
      <c r="F4727" s="48" t="s">
        <v>521</v>
      </c>
      <c r="G4727" s="48" t="str">
        <f t="shared" si="89"/>
        <v/>
      </c>
      <c r="H4727" s="67"/>
      <c r="I4727" s="68"/>
      <c r="J4727" s="138">
        <v>0</v>
      </c>
    </row>
    <row r="4728" spans="1:10" ht="15.75" hidden="1" thickBot="1" x14ac:dyDescent="0.3">
      <c r="A4728" s="220" t="s">
        <v>1401</v>
      </c>
      <c r="B4728" s="222" t="e">
        <f>INDEX(Orçamentária!A:B,MATCH(Composições!A4728,Orçamentária!A:A,0),2)</f>
        <v>#N/A</v>
      </c>
      <c r="C4728" s="35"/>
      <c r="D4728" s="20" t="s">
        <v>42</v>
      </c>
      <c r="E4728" s="21"/>
      <c r="F4728" s="43" t="s">
        <v>521</v>
      </c>
      <c r="G4728" s="22" t="str">
        <f t="shared" si="89"/>
        <v/>
      </c>
      <c r="H4728" s="23"/>
      <c r="I4728" s="24"/>
      <c r="J4728" s="138">
        <v>0</v>
      </c>
    </row>
    <row r="4729" spans="1:10" ht="15.75" hidden="1" thickBot="1" x14ac:dyDescent="0.3">
      <c r="A4729" s="225"/>
      <c r="B4729" s="223"/>
      <c r="C4729" s="26"/>
      <c r="D4729" s="26"/>
      <c r="E4729" s="27"/>
      <c r="F4729" s="48" t="s">
        <v>521</v>
      </c>
      <c r="G4729" s="48" t="str">
        <f t="shared" si="89"/>
        <v/>
      </c>
      <c r="H4729" s="67"/>
      <c r="I4729" s="68"/>
      <c r="J4729" s="138">
        <v>0</v>
      </c>
    </row>
    <row r="4730" spans="1:10" ht="26.25" hidden="1" thickBot="1" x14ac:dyDescent="0.3">
      <c r="A4730" s="225"/>
      <c r="B4730" s="223"/>
      <c r="C4730" s="30" t="s">
        <v>1402</v>
      </c>
      <c r="D4730" s="30" t="s">
        <v>102</v>
      </c>
      <c r="E4730" s="31">
        <v>1.01</v>
      </c>
      <c r="F4730" s="48">
        <v>7.3244999999999996</v>
      </c>
      <c r="G4730" s="48">
        <f t="shared" si="89"/>
        <v>7.3977449999999996</v>
      </c>
      <c r="H4730" s="33">
        <f>SUM(G4730:G4730)</f>
        <v>7.3977449999999996</v>
      </c>
      <c r="I4730" s="34"/>
      <c r="J4730" s="138">
        <v>0</v>
      </c>
    </row>
    <row r="4731" spans="1:10" ht="15.75" hidden="1" thickBot="1" x14ac:dyDescent="0.3">
      <c r="A4731" s="225"/>
      <c r="B4731" s="223"/>
      <c r="C4731" s="30"/>
      <c r="D4731" s="30"/>
      <c r="E4731" s="31"/>
      <c r="F4731" s="48" t="s">
        <v>521</v>
      </c>
      <c r="G4731" s="48" t="str">
        <f t="shared" si="89"/>
        <v/>
      </c>
      <c r="H4731" s="67"/>
      <c r="I4731" s="68"/>
      <c r="J4731" s="138">
        <v>0</v>
      </c>
    </row>
    <row r="4732" spans="1:10" ht="26.25" hidden="1" thickBot="1" x14ac:dyDescent="0.3">
      <c r="A4732" s="225"/>
      <c r="B4732" s="223"/>
      <c r="C4732" s="42" t="s">
        <v>1403</v>
      </c>
      <c r="D4732" s="30"/>
      <c r="E4732" s="31"/>
      <c r="F4732" s="48" t="s">
        <v>521</v>
      </c>
      <c r="G4732" s="48" t="str">
        <f t="shared" si="89"/>
        <v/>
      </c>
      <c r="H4732" s="67"/>
      <c r="I4732" s="68"/>
      <c r="J4732" s="138">
        <v>0</v>
      </c>
    </row>
    <row r="4733" spans="1:10" ht="15.75" hidden="1" thickBot="1" x14ac:dyDescent="0.3">
      <c r="A4733" s="225"/>
      <c r="B4733" s="223"/>
      <c r="C4733" s="49"/>
      <c r="D4733" s="49"/>
      <c r="E4733" s="60"/>
      <c r="F4733" s="70" t="s">
        <v>521</v>
      </c>
      <c r="G4733" s="70" t="str">
        <f t="shared" si="89"/>
        <v/>
      </c>
      <c r="H4733" s="71"/>
      <c r="I4733" s="68"/>
      <c r="J4733" s="138">
        <v>0</v>
      </c>
    </row>
    <row r="4734" spans="1:10" ht="15.75" hidden="1" thickBot="1" x14ac:dyDescent="0.3">
      <c r="A4734" s="220" t="s">
        <v>1404</v>
      </c>
      <c r="B4734" s="222" t="e">
        <f>INDEX(Orçamentária!A:B,MATCH(Composições!A4734,Orçamentária!A:A,0),2)</f>
        <v>#N/A</v>
      </c>
      <c r="C4734" s="35"/>
      <c r="D4734" s="20" t="s">
        <v>109</v>
      </c>
      <c r="E4734" s="21"/>
      <c r="F4734" s="43" t="s">
        <v>521</v>
      </c>
      <c r="G4734" s="22" t="str">
        <f t="shared" si="89"/>
        <v/>
      </c>
      <c r="H4734" s="23"/>
      <c r="I4734" s="24"/>
      <c r="J4734" s="138">
        <v>0</v>
      </c>
    </row>
    <row r="4735" spans="1:10" ht="15.75" hidden="1" thickBot="1" x14ac:dyDescent="0.3">
      <c r="A4735" s="225"/>
      <c r="B4735" s="223"/>
      <c r="C4735" s="26"/>
      <c r="D4735" s="26"/>
      <c r="E4735" s="27"/>
      <c r="F4735" s="48" t="s">
        <v>521</v>
      </c>
      <c r="G4735" s="48" t="str">
        <f t="shared" si="89"/>
        <v/>
      </c>
      <c r="H4735" s="67"/>
      <c r="I4735" s="68"/>
      <c r="J4735" s="138">
        <v>0</v>
      </c>
    </row>
    <row r="4736" spans="1:10" ht="26.25" hidden="1" thickBot="1" x14ac:dyDescent="0.3">
      <c r="A4736" s="225"/>
      <c r="B4736" s="223"/>
      <c r="C4736" s="30" t="s">
        <v>1096</v>
      </c>
      <c r="D4736" s="30" t="s">
        <v>109</v>
      </c>
      <c r="E4736" s="31">
        <v>1</v>
      </c>
      <c r="F4736" s="48">
        <v>152</v>
      </c>
      <c r="G4736" s="48">
        <f t="shared" si="89"/>
        <v>152</v>
      </c>
      <c r="H4736" s="33">
        <f>SUM(G4736:G4738)</f>
        <v>213.62192859999999</v>
      </c>
      <c r="I4736" s="34"/>
      <c r="J4736" s="138">
        <v>0</v>
      </c>
    </row>
    <row r="4737" spans="1:10" ht="51.75" hidden="1" thickBot="1" x14ac:dyDescent="0.3">
      <c r="A4737" s="225"/>
      <c r="B4737" s="223"/>
      <c r="C4737" s="30" t="s">
        <v>1826</v>
      </c>
      <c r="D4737" s="30" t="s">
        <v>109</v>
      </c>
      <c r="E4737" s="31">
        <f>1*E4736</f>
        <v>1</v>
      </c>
      <c r="F4737" s="28">
        <v>7.8564315999999996</v>
      </c>
      <c r="G4737" s="28">
        <f t="shared" si="89"/>
        <v>7.8564315999999996</v>
      </c>
      <c r="H4737" s="29"/>
      <c r="I4737" s="25"/>
      <c r="J4737" s="138">
        <v>0</v>
      </c>
    </row>
    <row r="4738" spans="1:10" ht="39" hidden="1" thickBot="1" x14ac:dyDescent="0.3">
      <c r="A4738" s="225"/>
      <c r="B4738" s="223"/>
      <c r="C4738" s="30" t="s">
        <v>121</v>
      </c>
      <c r="D4738" s="30" t="s">
        <v>122</v>
      </c>
      <c r="E4738" s="31">
        <f>E4736*20</f>
        <v>20</v>
      </c>
      <c r="F4738" s="48">
        <v>2.6882748499999995</v>
      </c>
      <c r="G4738" s="48">
        <f t="shared" si="89"/>
        <v>53.765496999999989</v>
      </c>
      <c r="H4738" s="67"/>
      <c r="I4738" s="68"/>
      <c r="J4738" s="138">
        <v>0</v>
      </c>
    </row>
    <row r="4739" spans="1:10" ht="15.75" hidden="1" thickBot="1" x14ac:dyDescent="0.3">
      <c r="A4739" s="225"/>
      <c r="B4739" s="223"/>
      <c r="C4739" s="30"/>
      <c r="D4739" s="30"/>
      <c r="E4739" s="31"/>
      <c r="F4739" s="48" t="s">
        <v>521</v>
      </c>
      <c r="G4739" s="48" t="str">
        <f t="shared" si="89"/>
        <v/>
      </c>
      <c r="H4739" s="67"/>
      <c r="I4739" s="68"/>
      <c r="J4739" s="138">
        <v>0</v>
      </c>
    </row>
    <row r="4740" spans="1:10" ht="15.75" hidden="1" thickBot="1" x14ac:dyDescent="0.3">
      <c r="A4740" s="225"/>
      <c r="B4740" s="223"/>
      <c r="C4740" s="42" t="s">
        <v>1405</v>
      </c>
      <c r="D4740" s="30"/>
      <c r="E4740" s="31"/>
      <c r="F4740" s="48" t="s">
        <v>521</v>
      </c>
      <c r="G4740" s="48" t="str">
        <f t="shared" si="89"/>
        <v/>
      </c>
      <c r="H4740" s="67"/>
      <c r="I4740" s="68"/>
      <c r="J4740" s="138">
        <v>0</v>
      </c>
    </row>
    <row r="4741" spans="1:10" ht="15.75" hidden="1" thickBot="1" x14ac:dyDescent="0.3">
      <c r="A4741" s="226"/>
      <c r="B4741" s="224"/>
      <c r="C4741" s="49"/>
      <c r="D4741" s="49"/>
      <c r="E4741" s="60"/>
      <c r="F4741" s="70" t="s">
        <v>521</v>
      </c>
      <c r="G4741" s="70" t="str">
        <f t="shared" si="89"/>
        <v/>
      </c>
      <c r="H4741" s="71"/>
      <c r="I4741" s="68"/>
      <c r="J4741" s="138">
        <v>0</v>
      </c>
    </row>
    <row r="4742" spans="1:10" ht="15.75" hidden="1" thickBot="1" x14ac:dyDescent="0.3">
      <c r="A4742" s="220" t="s">
        <v>1540</v>
      </c>
      <c r="B4742" s="222" t="e">
        <f>INDEX(Orçamentária!A:B,MATCH(Composições!A4742,Orçamentária!A:A,0),2)</f>
        <v>#N/A</v>
      </c>
      <c r="C4742" s="35"/>
      <c r="D4742" s="20" t="s">
        <v>93</v>
      </c>
      <c r="E4742" s="21"/>
      <c r="F4742" s="43" t="s">
        <v>521</v>
      </c>
      <c r="G4742" s="22" t="str">
        <f t="shared" si="89"/>
        <v/>
      </c>
      <c r="H4742" s="23"/>
      <c r="I4742" s="24"/>
      <c r="J4742" s="138">
        <v>0</v>
      </c>
    </row>
    <row r="4743" spans="1:10" ht="15.75" hidden="1" thickBot="1" x14ac:dyDescent="0.3">
      <c r="A4743" s="225"/>
      <c r="B4743" s="223"/>
      <c r="C4743" s="26"/>
      <c r="D4743" s="26"/>
      <c r="E4743" s="27"/>
      <c r="F4743" s="48" t="s">
        <v>521</v>
      </c>
      <c r="G4743" s="48" t="str">
        <f t="shared" si="89"/>
        <v/>
      </c>
      <c r="H4743" s="67"/>
      <c r="I4743" s="68"/>
      <c r="J4743" s="138">
        <v>0</v>
      </c>
    </row>
    <row r="4744" spans="1:10" ht="26.25" hidden="1" thickBot="1" x14ac:dyDescent="0.3">
      <c r="A4744" s="225"/>
      <c r="B4744" s="223"/>
      <c r="C4744" s="30" t="s">
        <v>2572</v>
      </c>
      <c r="D4744" s="30" t="s">
        <v>93</v>
      </c>
      <c r="E4744" s="31">
        <f>65/50</f>
        <v>1.3</v>
      </c>
      <c r="F4744" s="48">
        <v>55.594000000000001</v>
      </c>
      <c r="G4744" s="48">
        <f t="shared" si="89"/>
        <v>72.272199999999998</v>
      </c>
      <c r="H4744" s="33">
        <f>SUM(G4744:G4744)</f>
        <v>72.272199999999998</v>
      </c>
      <c r="I4744" s="34"/>
      <c r="J4744" s="138">
        <v>0</v>
      </c>
    </row>
    <row r="4745" spans="1:10" ht="15.75" hidden="1" thickBot="1" x14ac:dyDescent="0.3">
      <c r="A4745" s="226"/>
      <c r="B4745" s="224"/>
      <c r="C4745" s="49"/>
      <c r="D4745" s="49"/>
      <c r="E4745" s="60"/>
      <c r="F4745" s="70" t="s">
        <v>521</v>
      </c>
      <c r="G4745" s="70" t="str">
        <f t="shared" si="89"/>
        <v/>
      </c>
      <c r="H4745" s="71"/>
      <c r="I4745" s="68"/>
      <c r="J4745" s="138">
        <v>0</v>
      </c>
    </row>
    <row r="4746" spans="1:10" ht="15.75" hidden="1" thickBot="1" x14ac:dyDescent="0.3">
      <c r="A4746" s="220" t="s">
        <v>1541</v>
      </c>
      <c r="B4746" s="222" t="e">
        <f>INDEX(Orçamentária!A:B,MATCH(Composições!A4746,Orçamentária!A:A,0),2)</f>
        <v>#N/A</v>
      </c>
      <c r="C4746" s="35"/>
      <c r="D4746" s="20" t="s">
        <v>93</v>
      </c>
      <c r="E4746" s="21"/>
      <c r="F4746" s="43" t="s">
        <v>521</v>
      </c>
      <c r="G4746" s="22" t="str">
        <f t="shared" si="89"/>
        <v/>
      </c>
      <c r="H4746" s="23"/>
      <c r="I4746" s="24"/>
      <c r="J4746" s="138">
        <v>0</v>
      </c>
    </row>
    <row r="4747" spans="1:10" ht="15.75" hidden="1" thickBot="1" x14ac:dyDescent="0.3">
      <c r="A4747" s="225"/>
      <c r="B4747" s="223"/>
      <c r="C4747" s="26"/>
      <c r="D4747" s="26"/>
      <c r="E4747" s="27"/>
      <c r="F4747" s="48" t="s">
        <v>521</v>
      </c>
      <c r="G4747" s="48" t="str">
        <f t="shared" si="89"/>
        <v/>
      </c>
      <c r="H4747" s="67"/>
      <c r="I4747" s="68"/>
      <c r="J4747" s="138">
        <v>0</v>
      </c>
    </row>
    <row r="4748" spans="1:10" ht="26.25" hidden="1" thickBot="1" x14ac:dyDescent="0.3">
      <c r="A4748" s="225"/>
      <c r="B4748" s="223"/>
      <c r="C4748" s="30" t="s">
        <v>1355</v>
      </c>
      <c r="D4748" s="30" t="s">
        <v>93</v>
      </c>
      <c r="E4748" s="31">
        <v>1.1000000000000001</v>
      </c>
      <c r="F4748" s="48">
        <v>108.756</v>
      </c>
      <c r="G4748" s="48">
        <f t="shared" si="89"/>
        <v>119.63160000000001</v>
      </c>
      <c r="H4748" s="33">
        <f>SUM(G4748:G4748)</f>
        <v>119.63160000000001</v>
      </c>
      <c r="I4748" s="34"/>
      <c r="J4748" s="138">
        <v>0</v>
      </c>
    </row>
    <row r="4749" spans="1:10" ht="15.75" hidden="1" thickBot="1" x14ac:dyDescent="0.3">
      <c r="A4749" s="226"/>
      <c r="B4749" s="224"/>
      <c r="C4749" s="49"/>
      <c r="D4749" s="49"/>
      <c r="E4749" s="60"/>
      <c r="F4749" s="70" t="s">
        <v>521</v>
      </c>
      <c r="G4749" s="70" t="str">
        <f t="shared" si="89"/>
        <v/>
      </c>
      <c r="H4749" s="71"/>
      <c r="I4749" s="68"/>
      <c r="J4749" s="138">
        <v>0</v>
      </c>
    </row>
    <row r="4750" spans="1:10" ht="15.75" hidden="1" thickBot="1" x14ac:dyDescent="0.3">
      <c r="A4750" s="220" t="s">
        <v>1542</v>
      </c>
      <c r="B4750" s="222" t="e">
        <f>INDEX(Orçamentária!A:B,MATCH(Composições!A4750,Orçamentária!A:A,0),2)</f>
        <v>#N/A</v>
      </c>
      <c r="C4750" s="35"/>
      <c r="D4750" s="20" t="s">
        <v>20</v>
      </c>
      <c r="E4750" s="21"/>
      <c r="F4750" s="43" t="s">
        <v>521</v>
      </c>
      <c r="G4750" s="22" t="str">
        <f t="shared" si="89"/>
        <v/>
      </c>
      <c r="H4750" s="23"/>
      <c r="I4750" s="24"/>
      <c r="J4750" s="138">
        <v>0</v>
      </c>
    </row>
    <row r="4751" spans="1:10" ht="15.75" hidden="1" thickBot="1" x14ac:dyDescent="0.3">
      <c r="A4751" s="225"/>
      <c r="B4751" s="223"/>
      <c r="C4751" s="26"/>
      <c r="D4751" s="26"/>
      <c r="E4751" s="27"/>
      <c r="F4751" s="48" t="s">
        <v>521</v>
      </c>
      <c r="G4751" s="48" t="str">
        <f t="shared" si="89"/>
        <v/>
      </c>
      <c r="H4751" s="67"/>
      <c r="I4751" s="68"/>
      <c r="J4751" s="138">
        <v>0</v>
      </c>
    </row>
    <row r="4752" spans="1:10" ht="15.75" hidden="1" thickBot="1" x14ac:dyDescent="0.3">
      <c r="A4752" s="225"/>
      <c r="B4752" s="223"/>
      <c r="C4752" s="30" t="s">
        <v>2643</v>
      </c>
      <c r="D4752" s="30" t="s">
        <v>279</v>
      </c>
      <c r="E4752" s="31">
        <v>1</v>
      </c>
      <c r="F4752" s="48">
        <v>37.154499999999999</v>
      </c>
      <c r="G4752" s="48">
        <f t="shared" si="89"/>
        <v>37.154499999999999</v>
      </c>
      <c r="H4752" s="33">
        <f>SUM(G4752:G4752)</f>
        <v>37.154499999999999</v>
      </c>
      <c r="I4752" s="34"/>
      <c r="J4752" s="138">
        <v>0</v>
      </c>
    </row>
    <row r="4753" spans="1:10" ht="15.75" hidden="1" thickBot="1" x14ac:dyDescent="0.3">
      <c r="A4753" s="226"/>
      <c r="B4753" s="224"/>
      <c r="C4753" s="49"/>
      <c r="D4753" s="49"/>
      <c r="E4753" s="60"/>
      <c r="F4753" s="70" t="s">
        <v>521</v>
      </c>
      <c r="G4753" s="70" t="str">
        <f t="shared" si="89"/>
        <v/>
      </c>
      <c r="H4753" s="71"/>
      <c r="I4753" s="68"/>
      <c r="J4753" s="138">
        <v>0</v>
      </c>
    </row>
    <row r="4754" spans="1:10" ht="15.75" hidden="1" thickBot="1" x14ac:dyDescent="0.3">
      <c r="A4754" s="220" t="s">
        <v>1543</v>
      </c>
      <c r="B4754" s="222" t="e">
        <f>INDEX(Orçamentária!A:B,MATCH(Composições!A4754,Orçamentária!A:A,0),2)</f>
        <v>#N/A</v>
      </c>
      <c r="C4754" s="35"/>
      <c r="D4754" s="20" t="s">
        <v>20</v>
      </c>
      <c r="E4754" s="21"/>
      <c r="F4754" s="43" t="s">
        <v>521</v>
      </c>
      <c r="G4754" s="22" t="str">
        <f t="shared" si="89"/>
        <v/>
      </c>
      <c r="H4754" s="23"/>
      <c r="I4754" s="24"/>
      <c r="J4754" s="138">
        <v>0</v>
      </c>
    </row>
    <row r="4755" spans="1:10" ht="15.75" hidden="1" thickBot="1" x14ac:dyDescent="0.3">
      <c r="A4755" s="225"/>
      <c r="B4755" s="223"/>
      <c r="C4755" s="26"/>
      <c r="D4755" s="26"/>
      <c r="E4755" s="27"/>
      <c r="F4755" s="48" t="s">
        <v>521</v>
      </c>
      <c r="G4755" s="48" t="str">
        <f t="shared" si="89"/>
        <v/>
      </c>
      <c r="H4755" s="67"/>
      <c r="I4755" s="68"/>
      <c r="J4755" s="138">
        <v>0</v>
      </c>
    </row>
    <row r="4756" spans="1:10" ht="15.75" hidden="1" thickBot="1" x14ac:dyDescent="0.3">
      <c r="A4756" s="225"/>
      <c r="B4756" s="223"/>
      <c r="C4756" s="30" t="s">
        <v>2588</v>
      </c>
      <c r="D4756" s="30" t="s">
        <v>279</v>
      </c>
      <c r="E4756" s="31">
        <v>1</v>
      </c>
      <c r="F4756" s="48">
        <v>61.892500000000005</v>
      </c>
      <c r="G4756" s="48">
        <f t="shared" si="89"/>
        <v>61.892500000000005</v>
      </c>
      <c r="H4756" s="33">
        <f>SUM(G4756:G4756)</f>
        <v>61.892500000000005</v>
      </c>
      <c r="I4756" s="34"/>
      <c r="J4756" s="138">
        <v>0</v>
      </c>
    </row>
    <row r="4757" spans="1:10" ht="15.75" hidden="1" thickBot="1" x14ac:dyDescent="0.3">
      <c r="A4757" s="226"/>
      <c r="B4757" s="224"/>
      <c r="C4757" s="49"/>
      <c r="D4757" s="49"/>
      <c r="E4757" s="60"/>
      <c r="F4757" s="70" t="s">
        <v>521</v>
      </c>
      <c r="G4757" s="70" t="str">
        <f t="shared" si="89"/>
        <v/>
      </c>
      <c r="H4757" s="71"/>
      <c r="I4757" s="68"/>
      <c r="J4757" s="138">
        <v>0</v>
      </c>
    </row>
    <row r="4758" spans="1:10" ht="15.75" hidden="1" thickBot="1" x14ac:dyDescent="0.3">
      <c r="A4758" s="220" t="s">
        <v>1544</v>
      </c>
      <c r="B4758" s="222" t="e">
        <f>INDEX(Orçamentária!A:B,MATCH(Composições!A4758,Orçamentária!A:A,0),2)</f>
        <v>#N/A</v>
      </c>
      <c r="C4758" s="35"/>
      <c r="D4758" s="20" t="s">
        <v>20</v>
      </c>
      <c r="E4758" s="21"/>
      <c r="F4758" s="43" t="s">
        <v>521</v>
      </c>
      <c r="G4758" s="22" t="str">
        <f t="shared" si="89"/>
        <v/>
      </c>
      <c r="H4758" s="23"/>
      <c r="I4758" s="24"/>
      <c r="J4758" s="138">
        <v>0</v>
      </c>
    </row>
    <row r="4759" spans="1:10" ht="15.75" hidden="1" thickBot="1" x14ac:dyDescent="0.3">
      <c r="A4759" s="225"/>
      <c r="B4759" s="223"/>
      <c r="C4759" s="26"/>
      <c r="D4759" s="26"/>
      <c r="E4759" s="27"/>
      <c r="F4759" s="48" t="s">
        <v>521</v>
      </c>
      <c r="G4759" s="48" t="str">
        <f t="shared" si="89"/>
        <v/>
      </c>
      <c r="H4759" s="67"/>
      <c r="I4759" s="68"/>
      <c r="J4759" s="138">
        <v>0</v>
      </c>
    </row>
    <row r="4760" spans="1:10" ht="26.25" hidden="1" thickBot="1" x14ac:dyDescent="0.3">
      <c r="A4760" s="225"/>
      <c r="B4760" s="223"/>
      <c r="C4760" s="30" t="s">
        <v>2589</v>
      </c>
      <c r="D4760" s="30" t="s">
        <v>279</v>
      </c>
      <c r="E4760" s="31">
        <v>1</v>
      </c>
      <c r="F4760" s="48">
        <v>465.17700000000002</v>
      </c>
      <c r="G4760" s="48">
        <f t="shared" si="89"/>
        <v>465.17700000000002</v>
      </c>
      <c r="H4760" s="33">
        <f>SUM(G4760:G4760)</f>
        <v>465.17700000000002</v>
      </c>
      <c r="I4760" s="34"/>
      <c r="J4760" s="138">
        <v>0</v>
      </c>
    </row>
    <row r="4761" spans="1:10" ht="15.75" hidden="1" thickBot="1" x14ac:dyDescent="0.3">
      <c r="A4761" s="226"/>
      <c r="B4761" s="224"/>
      <c r="C4761" s="49"/>
      <c r="D4761" s="49"/>
      <c r="E4761" s="60"/>
      <c r="F4761" s="70" t="s">
        <v>521</v>
      </c>
      <c r="G4761" s="70" t="str">
        <f t="shared" si="89"/>
        <v/>
      </c>
      <c r="H4761" s="71"/>
      <c r="I4761" s="68"/>
      <c r="J4761" s="138">
        <v>0</v>
      </c>
    </row>
    <row r="4762" spans="1:10" ht="15.75" hidden="1" thickBot="1" x14ac:dyDescent="0.3">
      <c r="A4762" s="220" t="s">
        <v>1545</v>
      </c>
      <c r="B4762" s="222" t="e">
        <f>INDEX(Orçamentária!A:B,MATCH(Composições!A4762,Orçamentária!A:A,0),2)</f>
        <v>#N/A</v>
      </c>
      <c r="C4762" s="35"/>
      <c r="D4762" s="20" t="s">
        <v>20</v>
      </c>
      <c r="E4762" s="21"/>
      <c r="F4762" s="43" t="s">
        <v>521</v>
      </c>
      <c r="G4762" s="22" t="str">
        <f t="shared" si="89"/>
        <v/>
      </c>
      <c r="H4762" s="23"/>
      <c r="I4762" s="24"/>
      <c r="J4762" s="138">
        <v>0</v>
      </c>
    </row>
    <row r="4763" spans="1:10" ht="15.75" hidden="1" thickBot="1" x14ac:dyDescent="0.3">
      <c r="A4763" s="225"/>
      <c r="B4763" s="223"/>
      <c r="C4763" s="26"/>
      <c r="D4763" s="26"/>
      <c r="E4763" s="27"/>
      <c r="F4763" s="48" t="s">
        <v>521</v>
      </c>
      <c r="G4763" s="48" t="str">
        <f t="shared" si="89"/>
        <v/>
      </c>
      <c r="H4763" s="67"/>
      <c r="I4763" s="68"/>
      <c r="J4763" s="138">
        <v>0</v>
      </c>
    </row>
    <row r="4764" spans="1:10" ht="26.25" hidden="1" thickBot="1" x14ac:dyDescent="0.3">
      <c r="A4764" s="225"/>
      <c r="B4764" s="223"/>
      <c r="C4764" s="30" t="s">
        <v>2607</v>
      </c>
      <c r="D4764" s="30" t="s">
        <v>93</v>
      </c>
      <c r="E4764" s="31">
        <v>20</v>
      </c>
      <c r="F4764" s="48">
        <v>2.1374999999999997</v>
      </c>
      <c r="G4764" s="48">
        <f t="shared" si="89"/>
        <v>42.749999999999993</v>
      </c>
      <c r="H4764" s="33">
        <f>SUM(G4764:G4764)</f>
        <v>42.749999999999993</v>
      </c>
      <c r="I4764" s="34"/>
      <c r="J4764" s="138">
        <v>0</v>
      </c>
    </row>
    <row r="4765" spans="1:10" ht="15.75" hidden="1" thickBot="1" x14ac:dyDescent="0.3">
      <c r="A4765" s="226"/>
      <c r="B4765" s="224"/>
      <c r="C4765" s="49"/>
      <c r="D4765" s="49"/>
      <c r="E4765" s="60"/>
      <c r="F4765" s="70" t="s">
        <v>521</v>
      </c>
      <c r="G4765" s="70" t="str">
        <f t="shared" si="89"/>
        <v/>
      </c>
      <c r="H4765" s="71"/>
      <c r="I4765" s="68"/>
      <c r="J4765" s="138">
        <v>0</v>
      </c>
    </row>
    <row r="4766" spans="1:10" ht="15.75" hidden="1" thickBot="1" x14ac:dyDescent="0.3">
      <c r="A4766" s="220" t="s">
        <v>1546</v>
      </c>
      <c r="B4766" s="222" t="e">
        <f>INDEX(Orçamentária!A:B,MATCH(Composições!A4766,Orçamentária!A:A,0),2)</f>
        <v>#N/A</v>
      </c>
      <c r="C4766" s="35"/>
      <c r="D4766" s="20" t="s">
        <v>20</v>
      </c>
      <c r="E4766" s="21"/>
      <c r="F4766" s="43" t="s">
        <v>521</v>
      </c>
      <c r="G4766" s="22" t="str">
        <f t="shared" si="89"/>
        <v/>
      </c>
      <c r="H4766" s="23"/>
      <c r="I4766" s="24"/>
      <c r="J4766" s="138">
        <v>0</v>
      </c>
    </row>
    <row r="4767" spans="1:10" ht="15.75" hidden="1" thickBot="1" x14ac:dyDescent="0.3">
      <c r="A4767" s="225"/>
      <c r="B4767" s="223"/>
      <c r="C4767" s="26"/>
      <c r="D4767" s="26"/>
      <c r="E4767" s="27"/>
      <c r="F4767" s="48" t="s">
        <v>521</v>
      </c>
      <c r="G4767" s="48" t="str">
        <f t="shared" ref="G4767:G4830" si="90">IF(ISNUMBER(F4767),E4767*F4767,"")</f>
        <v/>
      </c>
      <c r="H4767" s="67"/>
      <c r="I4767" s="68"/>
      <c r="J4767" s="138">
        <v>0</v>
      </c>
    </row>
    <row r="4768" spans="1:10" ht="26.25" hidden="1" thickBot="1" x14ac:dyDescent="0.3">
      <c r="A4768" s="225"/>
      <c r="B4768" s="223"/>
      <c r="C4768" s="30" t="s">
        <v>2642</v>
      </c>
      <c r="D4768" s="30" t="s">
        <v>279</v>
      </c>
      <c r="E4768" s="31">
        <v>1</v>
      </c>
      <c r="F4768" s="48">
        <v>1084.615</v>
      </c>
      <c r="G4768" s="48">
        <f t="shared" si="90"/>
        <v>1084.615</v>
      </c>
      <c r="H4768" s="33">
        <f>SUM(G4768:G4768)</f>
        <v>1084.615</v>
      </c>
      <c r="I4768" s="34"/>
      <c r="J4768" s="138">
        <v>0</v>
      </c>
    </row>
    <row r="4769" spans="1:10" ht="15.75" hidden="1" thickBot="1" x14ac:dyDescent="0.3">
      <c r="A4769" s="226"/>
      <c r="B4769" s="224"/>
      <c r="C4769" s="49"/>
      <c r="D4769" s="49"/>
      <c r="E4769" s="60"/>
      <c r="F4769" s="70" t="s">
        <v>521</v>
      </c>
      <c r="G4769" s="70" t="str">
        <f t="shared" si="90"/>
        <v/>
      </c>
      <c r="H4769" s="71"/>
      <c r="I4769" s="68"/>
      <c r="J4769" s="138">
        <v>0</v>
      </c>
    </row>
    <row r="4770" spans="1:10" ht="15.75" hidden="1" thickBot="1" x14ac:dyDescent="0.3">
      <c r="A4770" s="220" t="s">
        <v>1547</v>
      </c>
      <c r="B4770" s="222" t="e">
        <f>INDEX(Orçamentária!A:B,MATCH(Composições!A4770,Orçamentária!A:A,0),2)</f>
        <v>#N/A</v>
      </c>
      <c r="C4770" s="35"/>
      <c r="D4770" s="20" t="s">
        <v>95</v>
      </c>
      <c r="E4770" s="21"/>
      <c r="F4770" s="43" t="s">
        <v>521</v>
      </c>
      <c r="G4770" s="22" t="str">
        <f t="shared" si="90"/>
        <v/>
      </c>
      <c r="H4770" s="23"/>
      <c r="I4770" s="24"/>
      <c r="J4770" s="138">
        <v>0</v>
      </c>
    </row>
    <row r="4771" spans="1:10" ht="15.75" hidden="1" thickBot="1" x14ac:dyDescent="0.3">
      <c r="A4771" s="225"/>
      <c r="B4771" s="223"/>
      <c r="C4771" s="26"/>
      <c r="D4771" s="26"/>
      <c r="E4771" s="27"/>
      <c r="F4771" s="48" t="s">
        <v>521</v>
      </c>
      <c r="G4771" s="48" t="str">
        <f t="shared" si="90"/>
        <v/>
      </c>
      <c r="H4771" s="67"/>
      <c r="I4771" s="68"/>
      <c r="J4771" s="138">
        <v>0</v>
      </c>
    </row>
    <row r="4772" spans="1:10" ht="26.25" hidden="1" thickBot="1" x14ac:dyDescent="0.3">
      <c r="A4772" s="225"/>
      <c r="B4772" s="223"/>
      <c r="C4772" s="30" t="s">
        <v>2611</v>
      </c>
      <c r="D4772" s="30" t="s">
        <v>95</v>
      </c>
      <c r="E4772" s="31">
        <v>1</v>
      </c>
      <c r="F4772" s="48">
        <v>46.055999999999997</v>
      </c>
      <c r="G4772" s="48">
        <f t="shared" si="90"/>
        <v>46.055999999999997</v>
      </c>
      <c r="H4772" s="33">
        <f>SUM(G4772:G4772)</f>
        <v>46.055999999999997</v>
      </c>
      <c r="I4772" s="34"/>
      <c r="J4772" s="138">
        <v>0</v>
      </c>
    </row>
    <row r="4773" spans="1:10" ht="15.75" hidden="1" thickBot="1" x14ac:dyDescent="0.3">
      <c r="A4773" s="226"/>
      <c r="B4773" s="224"/>
      <c r="C4773" s="49"/>
      <c r="D4773" s="49"/>
      <c r="E4773" s="60"/>
      <c r="F4773" s="70" t="s">
        <v>521</v>
      </c>
      <c r="G4773" s="70" t="str">
        <f t="shared" si="90"/>
        <v/>
      </c>
      <c r="H4773" s="71"/>
      <c r="I4773" s="68"/>
      <c r="J4773" s="138">
        <v>0</v>
      </c>
    </row>
    <row r="4774" spans="1:10" ht="15.75" hidden="1" thickBot="1" x14ac:dyDescent="0.3">
      <c r="A4774" s="220" t="s">
        <v>1548</v>
      </c>
      <c r="B4774" s="222" t="e">
        <f>INDEX(Orçamentária!A:B,MATCH(Composições!A4774,Orçamentária!A:A,0),2)</f>
        <v>#N/A</v>
      </c>
      <c r="C4774" s="35"/>
      <c r="D4774" s="20" t="s">
        <v>102</v>
      </c>
      <c r="E4774" s="21"/>
      <c r="F4774" s="43" t="s">
        <v>521</v>
      </c>
      <c r="G4774" s="22" t="str">
        <f t="shared" si="90"/>
        <v/>
      </c>
      <c r="H4774" s="23"/>
      <c r="I4774" s="24"/>
      <c r="J4774" s="138">
        <v>0</v>
      </c>
    </row>
    <row r="4775" spans="1:10" ht="15.75" hidden="1" thickBot="1" x14ac:dyDescent="0.3">
      <c r="A4775" s="225"/>
      <c r="B4775" s="223"/>
      <c r="C4775" s="26"/>
      <c r="D4775" s="26"/>
      <c r="E4775" s="27"/>
      <c r="F4775" s="48" t="s">
        <v>521</v>
      </c>
      <c r="G4775" s="48" t="str">
        <f t="shared" si="90"/>
        <v/>
      </c>
      <c r="H4775" s="67"/>
      <c r="I4775" s="68"/>
      <c r="J4775" s="138">
        <v>0</v>
      </c>
    </row>
    <row r="4776" spans="1:10" ht="26.25" hidden="1" thickBot="1" x14ac:dyDescent="0.3">
      <c r="A4776" s="225"/>
      <c r="B4776" s="223"/>
      <c r="C4776" s="30" t="s">
        <v>1375</v>
      </c>
      <c r="D4776" s="30" t="s">
        <v>102</v>
      </c>
      <c r="E4776" s="31">
        <v>1</v>
      </c>
      <c r="F4776" s="48">
        <v>15.674999999999999</v>
      </c>
      <c r="G4776" s="48">
        <f t="shared" si="90"/>
        <v>15.674999999999999</v>
      </c>
      <c r="H4776" s="33">
        <f>SUM(G4776:G4776)</f>
        <v>15.674999999999999</v>
      </c>
      <c r="I4776" s="34"/>
      <c r="J4776" s="138">
        <v>0</v>
      </c>
    </row>
    <row r="4777" spans="1:10" ht="15.75" hidden="1" thickBot="1" x14ac:dyDescent="0.3">
      <c r="A4777" s="226"/>
      <c r="B4777" s="224"/>
      <c r="C4777" s="49"/>
      <c r="D4777" s="49"/>
      <c r="E4777" s="60"/>
      <c r="F4777" s="70" t="s">
        <v>521</v>
      </c>
      <c r="G4777" s="70" t="str">
        <f t="shared" si="90"/>
        <v/>
      </c>
      <c r="H4777" s="71"/>
      <c r="I4777" s="68"/>
      <c r="J4777" s="138">
        <v>0</v>
      </c>
    </row>
    <row r="4778" spans="1:10" ht="15.75" hidden="1" thickBot="1" x14ac:dyDescent="0.3">
      <c r="A4778" s="220" t="s">
        <v>1406</v>
      </c>
      <c r="B4778" s="222" t="e">
        <f>INDEX(Orçamentária!A:B,MATCH(Composições!A4778,Orçamentária!A:A,0),2)</f>
        <v>#N/A</v>
      </c>
      <c r="C4778" s="35"/>
      <c r="D4778" s="20" t="s">
        <v>95</v>
      </c>
      <c r="E4778" s="21"/>
      <c r="F4778" s="43" t="s">
        <v>521</v>
      </c>
      <c r="G4778" s="22" t="str">
        <f t="shared" si="90"/>
        <v/>
      </c>
      <c r="H4778" s="23"/>
      <c r="I4778" s="24"/>
      <c r="J4778" s="138">
        <v>0</v>
      </c>
    </row>
    <row r="4779" spans="1:10" ht="15.75" hidden="1" thickBot="1" x14ac:dyDescent="0.3">
      <c r="A4779" s="225"/>
      <c r="B4779" s="223"/>
      <c r="C4779" s="26"/>
      <c r="D4779" s="26"/>
      <c r="E4779" s="27"/>
      <c r="F4779" s="48" t="s">
        <v>521</v>
      </c>
      <c r="G4779" s="48" t="str">
        <f t="shared" si="90"/>
        <v/>
      </c>
      <c r="H4779" s="67"/>
      <c r="I4779" s="68"/>
      <c r="J4779" s="138">
        <v>0</v>
      </c>
    </row>
    <row r="4780" spans="1:10" ht="15.75" hidden="1" thickBot="1" x14ac:dyDescent="0.3">
      <c r="A4780" s="225"/>
      <c r="B4780" s="223"/>
      <c r="C4780" s="30" t="s">
        <v>710</v>
      </c>
      <c r="D4780" s="30" t="s">
        <v>702</v>
      </c>
      <c r="E4780" s="31">
        <v>0.1</v>
      </c>
      <c r="F4780" s="48">
        <v>24.889999999999997</v>
      </c>
      <c r="G4780" s="48">
        <f t="shared" si="90"/>
        <v>2.4889999999999999</v>
      </c>
      <c r="H4780" s="33">
        <f>SUM(G4780:G4787)</f>
        <v>13.962149999999999</v>
      </c>
      <c r="I4780" s="34"/>
      <c r="J4780" s="138">
        <v>0</v>
      </c>
    </row>
    <row r="4781" spans="1:10" ht="15.75" hidden="1" thickBot="1" x14ac:dyDescent="0.3">
      <c r="A4781" s="225"/>
      <c r="B4781" s="223"/>
      <c r="C4781" s="30" t="s">
        <v>703</v>
      </c>
      <c r="D4781" s="30" t="s">
        <v>702</v>
      </c>
      <c r="E4781" s="31">
        <v>0.1</v>
      </c>
      <c r="F4781" s="48">
        <v>18.420500000000001</v>
      </c>
      <c r="G4781" s="48">
        <f t="shared" si="90"/>
        <v>1.8420500000000002</v>
      </c>
      <c r="H4781" s="67"/>
      <c r="I4781" s="68"/>
      <c r="J4781" s="138">
        <v>0</v>
      </c>
    </row>
    <row r="4782" spans="1:10" ht="15.75" hidden="1" thickBot="1" x14ac:dyDescent="0.3">
      <c r="A4782" s="225"/>
      <c r="B4782" s="223"/>
      <c r="C4782" s="30" t="s">
        <v>2243</v>
      </c>
      <c r="D4782" s="30" t="s">
        <v>897</v>
      </c>
      <c r="E4782" s="31">
        <v>0.1</v>
      </c>
      <c r="F4782" s="48" t="s">
        <v>521</v>
      </c>
      <c r="G4782" s="48" t="str">
        <f t="shared" si="90"/>
        <v/>
      </c>
      <c r="H4782" s="67"/>
      <c r="I4782" s="68"/>
      <c r="J4782" s="138">
        <v>0</v>
      </c>
    </row>
    <row r="4783" spans="1:10" ht="26.25" hidden="1" thickBot="1" x14ac:dyDescent="0.3">
      <c r="A4783" s="225"/>
      <c r="B4783" s="223"/>
      <c r="C4783" s="30" t="s">
        <v>1408</v>
      </c>
      <c r="D4783" s="30" t="s">
        <v>95</v>
      </c>
      <c r="E4783" s="31">
        <v>1.1000000000000001</v>
      </c>
      <c r="F4783" s="48" t="s">
        <v>521</v>
      </c>
      <c r="G4783" s="48" t="str">
        <f t="shared" si="90"/>
        <v/>
      </c>
      <c r="H4783" s="67"/>
      <c r="I4783" s="68"/>
      <c r="J4783" s="138">
        <v>0</v>
      </c>
    </row>
    <row r="4784" spans="1:10" ht="15.75" hidden="1" thickBot="1" x14ac:dyDescent="0.3">
      <c r="A4784" s="225"/>
      <c r="B4784" s="223"/>
      <c r="C4784" s="30" t="s">
        <v>710</v>
      </c>
      <c r="D4784" s="30" t="s">
        <v>702</v>
      </c>
      <c r="E4784" s="31">
        <v>0.2</v>
      </c>
      <c r="F4784" s="48">
        <v>24.889999999999997</v>
      </c>
      <c r="G4784" s="48">
        <f t="shared" si="90"/>
        <v>4.9779999999999998</v>
      </c>
      <c r="H4784" s="67"/>
      <c r="I4784" s="34"/>
      <c r="J4784" s="138">
        <v>0</v>
      </c>
    </row>
    <row r="4785" spans="1:10" ht="15.75" hidden="1" thickBot="1" x14ac:dyDescent="0.3">
      <c r="A4785" s="225"/>
      <c r="B4785" s="223"/>
      <c r="C4785" s="30" t="s">
        <v>703</v>
      </c>
      <c r="D4785" s="30" t="s">
        <v>702</v>
      </c>
      <c r="E4785" s="31">
        <v>0.2</v>
      </c>
      <c r="F4785" s="48">
        <v>18.420500000000001</v>
      </c>
      <c r="G4785" s="48">
        <f t="shared" si="90"/>
        <v>3.6841000000000004</v>
      </c>
      <c r="H4785" s="67"/>
      <c r="I4785" s="68"/>
      <c r="J4785" s="138">
        <v>0</v>
      </c>
    </row>
    <row r="4786" spans="1:10" ht="15.75" hidden="1" thickBot="1" x14ac:dyDescent="0.3">
      <c r="A4786" s="225"/>
      <c r="B4786" s="223"/>
      <c r="C4786" s="30" t="s">
        <v>747</v>
      </c>
      <c r="D4786" s="30" t="s">
        <v>897</v>
      </c>
      <c r="E4786" s="31">
        <v>1.5</v>
      </c>
      <c r="F4786" s="48">
        <v>0.64600000000000002</v>
      </c>
      <c r="G4786" s="48">
        <f t="shared" si="90"/>
        <v>0.96900000000000008</v>
      </c>
      <c r="H4786" s="67"/>
      <c r="I4786" s="68"/>
      <c r="J4786" s="138">
        <v>0</v>
      </c>
    </row>
    <row r="4787" spans="1:10" ht="15.75" hidden="1" thickBot="1" x14ac:dyDescent="0.3">
      <c r="A4787" s="225"/>
      <c r="B4787" s="223"/>
      <c r="C4787" s="30" t="s">
        <v>1407</v>
      </c>
      <c r="D4787" s="30" t="s">
        <v>897</v>
      </c>
      <c r="E4787" s="31">
        <f>ROUND(E4786*0.1,2)</f>
        <v>0.15</v>
      </c>
      <c r="F4787" s="48" t="s">
        <v>521</v>
      </c>
      <c r="G4787" s="48" t="str">
        <f t="shared" si="90"/>
        <v/>
      </c>
      <c r="H4787" s="67"/>
      <c r="I4787" s="68"/>
      <c r="J4787" s="138">
        <v>0</v>
      </c>
    </row>
    <row r="4788" spans="1:10" ht="15.75" hidden="1" thickBot="1" x14ac:dyDescent="0.3">
      <c r="A4788" s="225"/>
      <c r="B4788" s="223"/>
      <c r="C4788" s="30"/>
      <c r="D4788" s="30"/>
      <c r="E4788" s="31"/>
      <c r="F4788" s="48" t="s">
        <v>521</v>
      </c>
      <c r="G4788" s="48" t="str">
        <f t="shared" si="90"/>
        <v/>
      </c>
      <c r="H4788" s="67"/>
      <c r="I4788" s="68"/>
      <c r="J4788" s="138">
        <v>0</v>
      </c>
    </row>
    <row r="4789" spans="1:10" ht="15.75" hidden="1" thickBot="1" x14ac:dyDescent="0.3">
      <c r="A4789" s="220" t="s">
        <v>1409</v>
      </c>
      <c r="B4789" s="222" t="e">
        <f>INDEX(Orçamentária!A:B,MATCH(Composições!A4789,Orçamentária!A:A,0),2)</f>
        <v>#N/A</v>
      </c>
      <c r="C4789" s="35"/>
      <c r="D4789" s="20" t="s">
        <v>95</v>
      </c>
      <c r="E4789" s="21"/>
      <c r="F4789" s="43" t="s">
        <v>521</v>
      </c>
      <c r="G4789" s="22" t="str">
        <f t="shared" si="90"/>
        <v/>
      </c>
      <c r="H4789" s="23"/>
      <c r="I4789" s="24"/>
      <c r="J4789" s="138">
        <v>0</v>
      </c>
    </row>
    <row r="4790" spans="1:10" ht="15.75" hidden="1" thickBot="1" x14ac:dyDescent="0.3">
      <c r="A4790" s="225"/>
      <c r="B4790" s="223"/>
      <c r="C4790" s="26"/>
      <c r="D4790" s="26"/>
      <c r="E4790" s="27"/>
      <c r="F4790" s="48" t="s">
        <v>521</v>
      </c>
      <c r="G4790" s="48" t="str">
        <f t="shared" si="90"/>
        <v/>
      </c>
      <c r="H4790" s="67"/>
      <c r="I4790" s="68"/>
      <c r="J4790" s="138">
        <v>0</v>
      </c>
    </row>
    <row r="4791" spans="1:10" ht="15.75" hidden="1" thickBot="1" x14ac:dyDescent="0.3">
      <c r="A4791" s="225"/>
      <c r="B4791" s="223"/>
      <c r="C4791" s="30" t="s">
        <v>710</v>
      </c>
      <c r="D4791" s="30" t="s">
        <v>702</v>
      </c>
      <c r="E4791" s="31">
        <v>0.01</v>
      </c>
      <c r="F4791" s="48">
        <v>24.889999999999997</v>
      </c>
      <c r="G4791" s="48">
        <f t="shared" si="90"/>
        <v>0.24889999999999998</v>
      </c>
      <c r="H4791" s="33">
        <f>SUM(G4791:G4792)</f>
        <v>2.0909500000000003</v>
      </c>
      <c r="I4791" s="34"/>
      <c r="J4791" s="138">
        <v>0</v>
      </c>
    </row>
    <row r="4792" spans="1:10" ht="15.75" hidden="1" thickBot="1" x14ac:dyDescent="0.3">
      <c r="A4792" s="225"/>
      <c r="B4792" s="223"/>
      <c r="C4792" s="30" t="s">
        <v>703</v>
      </c>
      <c r="D4792" s="30" t="s">
        <v>702</v>
      </c>
      <c r="E4792" s="31">
        <v>0.1</v>
      </c>
      <c r="F4792" s="48">
        <v>18.420500000000001</v>
      </c>
      <c r="G4792" s="48">
        <f t="shared" si="90"/>
        <v>1.8420500000000002</v>
      </c>
      <c r="H4792" s="67"/>
      <c r="I4792" s="68"/>
      <c r="J4792" s="138">
        <v>0</v>
      </c>
    </row>
    <row r="4793" spans="1:10" ht="15.75" hidden="1" thickBot="1" x14ac:dyDescent="0.3">
      <c r="A4793" s="226"/>
      <c r="B4793" s="224"/>
      <c r="C4793" s="49"/>
      <c r="D4793" s="49"/>
      <c r="E4793" s="60"/>
      <c r="F4793" s="70" t="s">
        <v>521</v>
      </c>
      <c r="G4793" s="70" t="str">
        <f t="shared" si="90"/>
        <v/>
      </c>
      <c r="H4793" s="71"/>
      <c r="I4793" s="68"/>
      <c r="J4793" s="138">
        <v>0</v>
      </c>
    </row>
    <row r="4794" spans="1:10" ht="15.75" hidden="1" thickBot="1" x14ac:dyDescent="0.3">
      <c r="A4794" s="220" t="s">
        <v>1762</v>
      </c>
      <c r="B4794" s="222" t="e">
        <f>INDEX(Orçamentária!A:B,MATCH(Composições!A4794,Orçamentária!A:A,0),2)</f>
        <v>#N/A</v>
      </c>
      <c r="C4794" s="35"/>
      <c r="D4794" s="20" t="s">
        <v>20</v>
      </c>
      <c r="E4794" s="21"/>
      <c r="F4794" s="43" t="s">
        <v>521</v>
      </c>
      <c r="G4794" s="22" t="str">
        <f t="shared" si="90"/>
        <v/>
      </c>
      <c r="H4794" s="23"/>
      <c r="I4794" s="24"/>
      <c r="J4794" s="138">
        <v>0</v>
      </c>
    </row>
    <row r="4795" spans="1:10" ht="15.75" hidden="1" thickBot="1" x14ac:dyDescent="0.3">
      <c r="A4795" s="225"/>
      <c r="B4795" s="223"/>
      <c r="C4795" s="26"/>
      <c r="D4795" s="26"/>
      <c r="E4795" s="27"/>
      <c r="F4795" s="48" t="s">
        <v>521</v>
      </c>
      <c r="G4795" s="48" t="str">
        <f t="shared" si="90"/>
        <v/>
      </c>
      <c r="H4795" s="67"/>
      <c r="I4795" s="68"/>
      <c r="J4795" s="138">
        <v>0</v>
      </c>
    </row>
    <row r="4796" spans="1:10" ht="15.75" hidden="1" thickBot="1" x14ac:dyDescent="0.3">
      <c r="A4796" s="225"/>
      <c r="B4796" s="223"/>
      <c r="C4796" s="30" t="s">
        <v>1714</v>
      </c>
      <c r="D4796" s="30" t="s">
        <v>897</v>
      </c>
      <c r="E4796" s="31">
        <f>0.5228*2.4/1.5</f>
        <v>0.83648</v>
      </c>
      <c r="F4796" s="48">
        <v>39.909499999999994</v>
      </c>
      <c r="G4796" s="48">
        <f t="shared" si="90"/>
        <v>33.383498559999992</v>
      </c>
      <c r="H4796" s="33">
        <f>SUM(G4796:G4802)</f>
        <v>940.69847969999989</v>
      </c>
      <c r="I4796" s="34"/>
      <c r="J4796" s="138">
        <v>0</v>
      </c>
    </row>
    <row r="4797" spans="1:10" ht="39" hidden="1" thickBot="1" x14ac:dyDescent="0.3">
      <c r="A4797" s="225"/>
      <c r="B4797" s="223"/>
      <c r="C4797" s="30" t="s">
        <v>1128</v>
      </c>
      <c r="D4797" s="30" t="s">
        <v>279</v>
      </c>
      <c r="E4797" s="31">
        <v>9</v>
      </c>
      <c r="F4797" s="48">
        <v>1.2255</v>
      </c>
      <c r="G4797" s="48">
        <f t="shared" si="90"/>
        <v>11.029500000000001</v>
      </c>
      <c r="H4797" s="67"/>
      <c r="I4797" s="68"/>
      <c r="J4797" s="138">
        <v>0</v>
      </c>
    </row>
    <row r="4798" spans="1:10" ht="39" hidden="1" thickBot="1" x14ac:dyDescent="0.3">
      <c r="A4798" s="225"/>
      <c r="B4798" s="223"/>
      <c r="C4798" s="30" t="s">
        <v>2279</v>
      </c>
      <c r="D4798" s="30" t="s">
        <v>988</v>
      </c>
      <c r="E4798" s="31">
        <f>1.005*2.4/1.5</f>
        <v>1.6079999999999997</v>
      </c>
      <c r="F4798" s="48">
        <v>458.85949999999997</v>
      </c>
      <c r="G4798" s="48">
        <f t="shared" si="90"/>
        <v>737.84607599999981</v>
      </c>
      <c r="H4798" s="67"/>
      <c r="I4798" s="68"/>
      <c r="J4798" s="138">
        <v>0</v>
      </c>
    </row>
    <row r="4799" spans="1:10" ht="15.75" hidden="1" thickBot="1" x14ac:dyDescent="0.3">
      <c r="A4799" s="225"/>
      <c r="B4799" s="223"/>
      <c r="C4799" s="30" t="s">
        <v>1816</v>
      </c>
      <c r="D4799" s="30" t="s">
        <v>897</v>
      </c>
      <c r="E4799" s="31">
        <f>0.0211*2.4/1.5</f>
        <v>3.3759999999999998E-2</v>
      </c>
      <c r="F4799" s="48">
        <v>64.619</v>
      </c>
      <c r="G4799" s="48">
        <f t="shared" si="90"/>
        <v>2.18153744</v>
      </c>
      <c r="H4799" s="67"/>
      <c r="I4799" s="68"/>
      <c r="J4799" s="138">
        <v>0</v>
      </c>
    </row>
    <row r="4800" spans="1:10" ht="26.25" hidden="1" thickBot="1" x14ac:dyDescent="0.3">
      <c r="A4800" s="225"/>
      <c r="B4800" s="223"/>
      <c r="C4800" s="30" t="s">
        <v>1730</v>
      </c>
      <c r="D4800" s="30" t="s">
        <v>279</v>
      </c>
      <c r="E4800" s="31">
        <v>3</v>
      </c>
      <c r="F4800" s="48">
        <v>33.6965</v>
      </c>
      <c r="G4800" s="48">
        <f t="shared" si="90"/>
        <v>101.0895</v>
      </c>
      <c r="H4800" s="67"/>
      <c r="I4800" s="34"/>
      <c r="J4800" s="138">
        <v>0</v>
      </c>
    </row>
    <row r="4801" spans="1:10" ht="15.75" hidden="1" thickBot="1" x14ac:dyDescent="0.3">
      <c r="A4801" s="225"/>
      <c r="B4801" s="223"/>
      <c r="C4801" s="30" t="s">
        <v>1607</v>
      </c>
      <c r="D4801" s="30" t="s">
        <v>702</v>
      </c>
      <c r="E4801" s="31">
        <v>1.4944</v>
      </c>
      <c r="F4801" s="48">
        <v>24.795000000000002</v>
      </c>
      <c r="G4801" s="48">
        <f t="shared" si="90"/>
        <v>37.053648000000003</v>
      </c>
      <c r="H4801" s="67"/>
      <c r="I4801" s="68"/>
      <c r="J4801" s="138">
        <v>0</v>
      </c>
    </row>
    <row r="4802" spans="1:10" ht="15.75" hidden="1" thickBot="1" x14ac:dyDescent="0.3">
      <c r="A4802" s="225"/>
      <c r="B4802" s="223"/>
      <c r="C4802" s="30" t="s">
        <v>703</v>
      </c>
      <c r="D4802" s="30" t="s">
        <v>702</v>
      </c>
      <c r="E4802" s="31">
        <v>0.98340000000000005</v>
      </c>
      <c r="F4802" s="48">
        <v>18.420500000000001</v>
      </c>
      <c r="G4802" s="48">
        <f t="shared" si="90"/>
        <v>18.114719700000002</v>
      </c>
      <c r="H4802" s="67"/>
      <c r="I4802" s="68"/>
      <c r="J4802" s="138">
        <v>0</v>
      </c>
    </row>
    <row r="4803" spans="1:10" ht="15.75" hidden="1" thickBot="1" x14ac:dyDescent="0.3">
      <c r="A4803" s="225"/>
      <c r="B4803" s="223"/>
      <c r="C4803" s="30"/>
      <c r="D4803" s="30"/>
      <c r="E4803" s="31"/>
      <c r="F4803" s="48" t="s">
        <v>521</v>
      </c>
      <c r="G4803" s="48" t="str">
        <f t="shared" si="90"/>
        <v/>
      </c>
      <c r="H4803" s="67"/>
      <c r="I4803" s="68"/>
      <c r="J4803" s="138">
        <v>0</v>
      </c>
    </row>
    <row r="4804" spans="1:10" ht="15.75" hidden="1" thickBot="1" x14ac:dyDescent="0.3">
      <c r="A4804" s="220" t="s">
        <v>1763</v>
      </c>
      <c r="B4804" s="222" t="e">
        <f>INDEX(Orçamentária!A:B,MATCH(Composições!A4804,Orçamentária!A:A,0),2)</f>
        <v>#N/A</v>
      </c>
      <c r="C4804" s="35"/>
      <c r="D4804" s="20" t="s">
        <v>20</v>
      </c>
      <c r="E4804" s="21"/>
      <c r="F4804" s="43" t="s">
        <v>521</v>
      </c>
      <c r="G4804" s="22" t="str">
        <f t="shared" si="90"/>
        <v/>
      </c>
      <c r="H4804" s="23"/>
      <c r="I4804" s="24"/>
      <c r="J4804" s="138">
        <v>0</v>
      </c>
    </row>
    <row r="4805" spans="1:10" ht="15.75" hidden="1" thickBot="1" x14ac:dyDescent="0.3">
      <c r="A4805" s="225"/>
      <c r="B4805" s="223"/>
      <c r="C4805" s="26"/>
      <c r="D4805" s="26"/>
      <c r="E4805" s="27"/>
      <c r="F4805" s="48" t="s">
        <v>521</v>
      </c>
      <c r="G4805" s="48" t="str">
        <f t="shared" si="90"/>
        <v/>
      </c>
      <c r="H4805" s="67"/>
      <c r="I4805" s="68"/>
      <c r="J4805" s="138">
        <v>0</v>
      </c>
    </row>
    <row r="4806" spans="1:10" ht="15.75" hidden="1" thickBot="1" x14ac:dyDescent="0.3">
      <c r="A4806" s="225"/>
      <c r="B4806" s="223"/>
      <c r="C4806" s="30" t="s">
        <v>1714</v>
      </c>
      <c r="D4806" s="30" t="s">
        <v>897</v>
      </c>
      <c r="E4806" s="31">
        <f>0.5228*2.5/1.5</f>
        <v>0.8713333333333334</v>
      </c>
      <c r="F4806" s="48">
        <v>39.909499999999994</v>
      </c>
      <c r="G4806" s="48">
        <f t="shared" si="90"/>
        <v>34.774477666666662</v>
      </c>
      <c r="H4806" s="33">
        <f>SUM(G4806:G4812)</f>
        <v>972.9239427</v>
      </c>
      <c r="I4806" s="34"/>
      <c r="J4806" s="138">
        <v>0</v>
      </c>
    </row>
    <row r="4807" spans="1:10" ht="39" hidden="1" thickBot="1" x14ac:dyDescent="0.3">
      <c r="A4807" s="225"/>
      <c r="B4807" s="223"/>
      <c r="C4807" s="30" t="s">
        <v>1128</v>
      </c>
      <c r="D4807" s="30" t="s">
        <v>279</v>
      </c>
      <c r="E4807" s="31">
        <v>9</v>
      </c>
      <c r="F4807" s="48">
        <v>1.2255</v>
      </c>
      <c r="G4807" s="48">
        <f t="shared" si="90"/>
        <v>11.029500000000001</v>
      </c>
      <c r="H4807" s="67"/>
      <c r="I4807" s="68"/>
      <c r="J4807" s="138">
        <v>0</v>
      </c>
    </row>
    <row r="4808" spans="1:10" ht="39" hidden="1" thickBot="1" x14ac:dyDescent="0.3">
      <c r="A4808" s="225"/>
      <c r="B4808" s="223"/>
      <c r="C4808" s="30" t="s">
        <v>2279</v>
      </c>
      <c r="D4808" s="30" t="s">
        <v>988</v>
      </c>
      <c r="E4808" s="31">
        <f>1.005*2.5/1.5</f>
        <v>1.6749999999999998</v>
      </c>
      <c r="F4808" s="48">
        <v>458.85949999999997</v>
      </c>
      <c r="G4808" s="48">
        <f t="shared" si="90"/>
        <v>768.58966249999992</v>
      </c>
      <c r="H4808" s="67"/>
      <c r="I4808" s="68"/>
      <c r="J4808" s="138">
        <v>0</v>
      </c>
    </row>
    <row r="4809" spans="1:10" ht="15.75" hidden="1" thickBot="1" x14ac:dyDescent="0.3">
      <c r="A4809" s="225"/>
      <c r="B4809" s="223"/>
      <c r="C4809" s="30" t="s">
        <v>1816</v>
      </c>
      <c r="D4809" s="30" t="s">
        <v>897</v>
      </c>
      <c r="E4809" s="31">
        <f>0.0211*2.5/1.5</f>
        <v>3.5166666666666672E-2</v>
      </c>
      <c r="F4809" s="48">
        <v>64.619</v>
      </c>
      <c r="G4809" s="48">
        <f t="shared" si="90"/>
        <v>2.2724348333333335</v>
      </c>
      <c r="H4809" s="67"/>
      <c r="I4809" s="68"/>
      <c r="J4809" s="138">
        <v>0</v>
      </c>
    </row>
    <row r="4810" spans="1:10" ht="26.25" hidden="1" thickBot="1" x14ac:dyDescent="0.3">
      <c r="A4810" s="225"/>
      <c r="B4810" s="223"/>
      <c r="C4810" s="30" t="s">
        <v>1730</v>
      </c>
      <c r="D4810" s="30" t="s">
        <v>279</v>
      </c>
      <c r="E4810" s="31">
        <v>3</v>
      </c>
      <c r="F4810" s="48">
        <v>33.6965</v>
      </c>
      <c r="G4810" s="48">
        <f t="shared" si="90"/>
        <v>101.0895</v>
      </c>
      <c r="H4810" s="67"/>
      <c r="I4810" s="34"/>
      <c r="J4810" s="138">
        <v>0</v>
      </c>
    </row>
    <row r="4811" spans="1:10" ht="15.75" hidden="1" thickBot="1" x14ac:dyDescent="0.3">
      <c r="A4811" s="225"/>
      <c r="B4811" s="223"/>
      <c r="C4811" s="30" t="s">
        <v>1607</v>
      </c>
      <c r="D4811" s="30" t="s">
        <v>702</v>
      </c>
      <c r="E4811" s="31">
        <v>1.4944</v>
      </c>
      <c r="F4811" s="48">
        <v>24.795000000000002</v>
      </c>
      <c r="G4811" s="48">
        <f t="shared" si="90"/>
        <v>37.053648000000003</v>
      </c>
      <c r="H4811" s="67"/>
      <c r="I4811" s="68"/>
      <c r="J4811" s="138">
        <v>0</v>
      </c>
    </row>
    <row r="4812" spans="1:10" ht="15.75" hidden="1" thickBot="1" x14ac:dyDescent="0.3">
      <c r="A4812" s="225"/>
      <c r="B4812" s="223"/>
      <c r="C4812" s="30" t="s">
        <v>703</v>
      </c>
      <c r="D4812" s="30" t="s">
        <v>702</v>
      </c>
      <c r="E4812" s="31">
        <v>0.98340000000000005</v>
      </c>
      <c r="F4812" s="48">
        <v>18.420500000000001</v>
      </c>
      <c r="G4812" s="48">
        <f t="shared" si="90"/>
        <v>18.114719700000002</v>
      </c>
      <c r="H4812" s="67"/>
      <c r="I4812" s="68"/>
      <c r="J4812" s="138">
        <v>0</v>
      </c>
    </row>
    <row r="4813" spans="1:10" ht="15.75" hidden="1" thickBot="1" x14ac:dyDescent="0.3">
      <c r="A4813" s="225"/>
      <c r="B4813" s="223"/>
      <c r="C4813" s="30"/>
      <c r="D4813" s="30"/>
      <c r="E4813" s="31"/>
      <c r="F4813" s="48" t="s">
        <v>521</v>
      </c>
      <c r="G4813" s="48" t="str">
        <f t="shared" si="90"/>
        <v/>
      </c>
      <c r="H4813" s="67"/>
      <c r="I4813" s="68"/>
      <c r="J4813" s="138">
        <v>0</v>
      </c>
    </row>
    <row r="4814" spans="1:10" ht="15.75" hidden="1" thickBot="1" x14ac:dyDescent="0.3">
      <c r="A4814" s="220" t="s">
        <v>1764</v>
      </c>
      <c r="B4814" s="222" t="e">
        <f>INDEX(Orçamentária!A:B,MATCH(Composições!A4814,Orçamentária!A:A,0),2)</f>
        <v>#N/A</v>
      </c>
      <c r="C4814" s="35"/>
      <c r="D4814" s="20" t="s">
        <v>20</v>
      </c>
      <c r="E4814" s="21"/>
      <c r="F4814" s="36" t="s">
        <v>521</v>
      </c>
      <c r="G4814" s="22" t="str">
        <f t="shared" si="90"/>
        <v/>
      </c>
      <c r="H4814" s="23"/>
      <c r="I4814" s="24"/>
      <c r="J4814" s="138">
        <v>0</v>
      </c>
    </row>
    <row r="4815" spans="1:10" ht="15.75" hidden="1" thickBot="1" x14ac:dyDescent="0.3">
      <c r="A4815" s="221"/>
      <c r="B4815" s="223"/>
      <c r="C4815" s="26"/>
      <c r="D4815" s="26"/>
      <c r="E4815" s="27"/>
      <c r="F4815" s="37" t="s">
        <v>521</v>
      </c>
      <c r="G4815" s="28" t="str">
        <f t="shared" si="90"/>
        <v/>
      </c>
      <c r="H4815" s="29"/>
      <c r="I4815" s="25"/>
      <c r="J4815" s="138">
        <v>0</v>
      </c>
    </row>
    <row r="4816" spans="1:10" ht="15.75" hidden="1" thickBot="1" x14ac:dyDescent="0.3">
      <c r="A4816" s="221"/>
      <c r="B4816" s="223"/>
      <c r="C4816" s="30" t="s">
        <v>68</v>
      </c>
      <c r="D4816" s="30" t="s">
        <v>12</v>
      </c>
      <c r="E4816" s="31">
        <v>0.15</v>
      </c>
      <c r="F4816" s="28">
        <v>22.961500000000001</v>
      </c>
      <c r="G4816" s="28">
        <f t="shared" si="90"/>
        <v>3.4442249999999999</v>
      </c>
      <c r="H4816" s="33">
        <f>SUM(G4816:G4817)</f>
        <v>3.4442249999999999</v>
      </c>
      <c r="I4816" s="34"/>
      <c r="J4816" s="138">
        <v>0</v>
      </c>
    </row>
    <row r="4817" spans="1:10" ht="26.25" hidden="1" thickBot="1" x14ac:dyDescent="0.3">
      <c r="A4817" s="221"/>
      <c r="B4817" s="223"/>
      <c r="C4817" s="30" t="s">
        <v>1843</v>
      </c>
      <c r="D4817" s="30" t="s">
        <v>20</v>
      </c>
      <c r="E4817" s="31">
        <v>1</v>
      </c>
      <c r="F4817" s="25" t="s">
        <v>521</v>
      </c>
      <c r="G4817" s="28" t="str">
        <f t="shared" si="90"/>
        <v/>
      </c>
      <c r="H4817" s="29"/>
      <c r="I4817" s="25"/>
      <c r="J4817" s="138">
        <v>0</v>
      </c>
    </row>
    <row r="4818" spans="1:10" ht="15.75" hidden="1" thickBot="1" x14ac:dyDescent="0.3">
      <c r="A4818" s="227"/>
      <c r="B4818" s="224"/>
      <c r="C4818" s="30"/>
      <c r="D4818" s="30"/>
      <c r="E4818" s="31"/>
      <c r="F4818" s="25" t="s">
        <v>521</v>
      </c>
      <c r="G4818" s="28" t="str">
        <f t="shared" si="90"/>
        <v/>
      </c>
      <c r="H4818" s="29"/>
      <c r="I4818" s="25"/>
      <c r="J4818" s="138">
        <v>0</v>
      </c>
    </row>
    <row r="4819" spans="1:10" ht="15.75" hidden="1" thickBot="1" x14ac:dyDescent="0.3">
      <c r="A4819" s="220" t="s">
        <v>1765</v>
      </c>
      <c r="B4819" s="222" t="e">
        <f>INDEX(Orçamentária!A:B,MATCH(Composições!A4819,Orçamentária!A:A,0),2)</f>
        <v>#N/A</v>
      </c>
      <c r="C4819" s="35"/>
      <c r="D4819" s="20" t="s">
        <v>20</v>
      </c>
      <c r="E4819" s="21"/>
      <c r="F4819" s="36" t="s">
        <v>521</v>
      </c>
      <c r="G4819" s="22" t="str">
        <f t="shared" si="90"/>
        <v/>
      </c>
      <c r="H4819" s="23"/>
      <c r="I4819" s="24"/>
      <c r="J4819" s="138">
        <v>0</v>
      </c>
    </row>
    <row r="4820" spans="1:10" ht="15.75" hidden="1" thickBot="1" x14ac:dyDescent="0.3">
      <c r="A4820" s="221"/>
      <c r="B4820" s="223"/>
      <c r="C4820" s="26"/>
      <c r="D4820" s="26"/>
      <c r="E4820" s="27"/>
      <c r="F4820" s="37" t="s">
        <v>521</v>
      </c>
      <c r="G4820" s="28" t="str">
        <f t="shared" si="90"/>
        <v/>
      </c>
      <c r="H4820" s="29"/>
      <c r="I4820" s="25"/>
      <c r="J4820" s="138">
        <v>0</v>
      </c>
    </row>
    <row r="4821" spans="1:10" ht="15.75" hidden="1" thickBot="1" x14ac:dyDescent="0.3">
      <c r="A4821" s="221"/>
      <c r="B4821" s="223"/>
      <c r="C4821" s="30" t="s">
        <v>68</v>
      </c>
      <c r="D4821" s="30" t="s">
        <v>12</v>
      </c>
      <c r="E4821" s="31">
        <v>0.15</v>
      </c>
      <c r="F4821" s="28">
        <v>22.961500000000001</v>
      </c>
      <c r="G4821" s="28">
        <f t="shared" si="90"/>
        <v>3.4442249999999999</v>
      </c>
      <c r="H4821" s="33">
        <f>SUM(G4821:G4822)</f>
        <v>3.4442249999999999</v>
      </c>
      <c r="I4821" s="34"/>
      <c r="J4821" s="138">
        <v>0</v>
      </c>
    </row>
    <row r="4822" spans="1:10" ht="15.75" hidden="1" thickBot="1" x14ac:dyDescent="0.3">
      <c r="A4822" s="221"/>
      <c r="B4822" s="223"/>
      <c r="C4822" s="30" t="s">
        <v>1844</v>
      </c>
      <c r="D4822" s="30" t="s">
        <v>20</v>
      </c>
      <c r="E4822" s="31">
        <v>1</v>
      </c>
      <c r="F4822" s="25" t="s">
        <v>521</v>
      </c>
      <c r="G4822" s="28" t="str">
        <f t="shared" si="90"/>
        <v/>
      </c>
      <c r="H4822" s="29"/>
      <c r="I4822" s="25"/>
      <c r="J4822" s="138">
        <v>0</v>
      </c>
    </row>
    <row r="4823" spans="1:10" ht="15.75" hidden="1" thickBot="1" x14ac:dyDescent="0.3">
      <c r="A4823" s="227"/>
      <c r="B4823" s="224"/>
      <c r="C4823" s="30"/>
      <c r="D4823" s="30"/>
      <c r="E4823" s="31"/>
      <c r="F4823" s="25" t="s">
        <v>521</v>
      </c>
      <c r="G4823" s="28" t="str">
        <f t="shared" si="90"/>
        <v/>
      </c>
      <c r="H4823" s="29"/>
      <c r="I4823" s="25"/>
      <c r="J4823" s="138">
        <v>0</v>
      </c>
    </row>
    <row r="4824" spans="1:10" ht="15.75" hidden="1" thickBot="1" x14ac:dyDescent="0.3">
      <c r="A4824" s="220" t="s">
        <v>1766</v>
      </c>
      <c r="B4824" s="222" t="e">
        <f>INDEX(Orçamentária!A:B,MATCH(Composições!A4824,Orçamentária!A:A,0),2)</f>
        <v>#N/A</v>
      </c>
      <c r="C4824" s="35"/>
      <c r="D4824" s="20" t="s">
        <v>20</v>
      </c>
      <c r="E4824" s="21"/>
      <c r="F4824" s="36" t="s">
        <v>521</v>
      </c>
      <c r="G4824" s="22" t="str">
        <f t="shared" si="90"/>
        <v/>
      </c>
      <c r="H4824" s="23"/>
      <c r="I4824" s="24"/>
      <c r="J4824" s="138">
        <v>0</v>
      </c>
    </row>
    <row r="4825" spans="1:10" ht="15.75" hidden="1" thickBot="1" x14ac:dyDescent="0.3">
      <c r="A4825" s="221"/>
      <c r="B4825" s="223"/>
      <c r="C4825" s="26"/>
      <c r="D4825" s="26"/>
      <c r="E4825" s="27"/>
      <c r="F4825" s="37" t="s">
        <v>521</v>
      </c>
      <c r="G4825" s="28" t="str">
        <f t="shared" si="90"/>
        <v/>
      </c>
      <c r="H4825" s="29"/>
      <c r="I4825" s="25"/>
      <c r="J4825" s="138">
        <v>0</v>
      </c>
    </row>
    <row r="4826" spans="1:10" ht="15.75" hidden="1" thickBot="1" x14ac:dyDescent="0.3">
      <c r="A4826" s="221"/>
      <c r="B4826" s="223"/>
      <c r="C4826" s="30" t="s">
        <v>68</v>
      </c>
      <c r="D4826" s="30" t="s">
        <v>12</v>
      </c>
      <c r="E4826" s="31">
        <v>0.15</v>
      </c>
      <c r="F4826" s="28">
        <v>22.961500000000001</v>
      </c>
      <c r="G4826" s="28">
        <f t="shared" si="90"/>
        <v>3.4442249999999999</v>
      </c>
      <c r="H4826" s="33">
        <f>SUM(G4826:G4827)</f>
        <v>3.4442249999999999</v>
      </c>
      <c r="I4826" s="34"/>
      <c r="J4826" s="138">
        <v>0</v>
      </c>
    </row>
    <row r="4827" spans="1:10" ht="26.25" hidden="1" thickBot="1" x14ac:dyDescent="0.3">
      <c r="A4827" s="221"/>
      <c r="B4827" s="223"/>
      <c r="C4827" s="30" t="s">
        <v>1845</v>
      </c>
      <c r="D4827" s="30" t="s">
        <v>20</v>
      </c>
      <c r="E4827" s="31">
        <v>1</v>
      </c>
      <c r="F4827" s="25" t="s">
        <v>521</v>
      </c>
      <c r="G4827" s="28" t="str">
        <f t="shared" si="90"/>
        <v/>
      </c>
      <c r="H4827" s="29"/>
      <c r="I4827" s="25"/>
      <c r="J4827" s="138">
        <v>0</v>
      </c>
    </row>
    <row r="4828" spans="1:10" ht="15.75" hidden="1" thickBot="1" x14ac:dyDescent="0.3">
      <c r="A4828" s="227"/>
      <c r="B4828" s="224"/>
      <c r="C4828" s="30"/>
      <c r="D4828" s="30"/>
      <c r="E4828" s="31"/>
      <c r="F4828" s="25" t="s">
        <v>521</v>
      </c>
      <c r="G4828" s="28" t="str">
        <f t="shared" si="90"/>
        <v/>
      </c>
      <c r="H4828" s="29"/>
      <c r="I4828" s="25"/>
      <c r="J4828" s="138">
        <v>0</v>
      </c>
    </row>
    <row r="4829" spans="1:10" ht="15.75" hidden="1" customHeight="1" thickBot="1" x14ac:dyDescent="0.3">
      <c r="A4829" s="220" t="s">
        <v>1767</v>
      </c>
      <c r="B4829" s="222" t="e">
        <f>INDEX(Orçamentária!A:B,MATCH(Composições!A4829,Orçamentária!A:A,0),2)</f>
        <v>#N/A</v>
      </c>
      <c r="C4829" s="35"/>
      <c r="D4829" s="20" t="s">
        <v>93</v>
      </c>
      <c r="E4829" s="21"/>
      <c r="F4829" s="36" t="s">
        <v>521</v>
      </c>
      <c r="G4829" s="22" t="str">
        <f t="shared" si="90"/>
        <v/>
      </c>
      <c r="H4829" s="23"/>
      <c r="I4829" s="24"/>
      <c r="J4829" s="138">
        <v>0</v>
      </c>
    </row>
    <row r="4830" spans="1:10" ht="15.75" hidden="1" thickBot="1" x14ac:dyDescent="0.3">
      <c r="A4830" s="225"/>
      <c r="B4830" s="223"/>
      <c r="C4830" s="26"/>
      <c r="D4830" s="26"/>
      <c r="E4830" s="27"/>
      <c r="F4830" s="37" t="s">
        <v>521</v>
      </c>
      <c r="G4830" s="28" t="str">
        <f t="shared" si="90"/>
        <v/>
      </c>
      <c r="H4830" s="29"/>
      <c r="I4830" s="25"/>
      <c r="J4830" s="138">
        <v>0</v>
      </c>
    </row>
    <row r="4831" spans="1:10" ht="15.75" hidden="1" thickBot="1" x14ac:dyDescent="0.3">
      <c r="A4831" s="225"/>
      <c r="B4831" s="223"/>
      <c r="C4831" s="30" t="s">
        <v>68</v>
      </c>
      <c r="D4831" s="30" t="s">
        <v>12</v>
      </c>
      <c r="E4831" s="31">
        <v>0.2</v>
      </c>
      <c r="F4831" s="28">
        <v>22.961500000000001</v>
      </c>
      <c r="G4831" s="28">
        <f t="shared" ref="G4831:G4894" si="91">IF(ISNUMBER(F4831),E4831*F4831,"")</f>
        <v>4.5923000000000007</v>
      </c>
      <c r="H4831" s="33">
        <f>SUM(G4831:G4832)</f>
        <v>9.5131669999999993</v>
      </c>
      <c r="I4831" s="34"/>
      <c r="J4831" s="138">
        <v>0</v>
      </c>
    </row>
    <row r="4832" spans="1:10" ht="15.75" hidden="1" thickBot="1" x14ac:dyDescent="0.3">
      <c r="A4832" s="225"/>
      <c r="B4832" s="223"/>
      <c r="C4832" s="30" t="s">
        <v>834</v>
      </c>
      <c r="D4832" s="30" t="s">
        <v>42</v>
      </c>
      <c r="E4832" s="31">
        <v>0.126</v>
      </c>
      <c r="F4832" s="25">
        <v>39.054499999999997</v>
      </c>
      <c r="G4832" s="28">
        <f t="shared" si="91"/>
        <v>4.9208669999999994</v>
      </c>
      <c r="H4832" s="29"/>
      <c r="I4832" s="25"/>
      <c r="J4832" s="138">
        <v>0</v>
      </c>
    </row>
    <row r="4833" spans="1:10" ht="15.75" hidden="1" thickBot="1" x14ac:dyDescent="0.3">
      <c r="A4833" s="225"/>
      <c r="B4833" s="223"/>
      <c r="C4833" s="30"/>
      <c r="D4833" s="30"/>
      <c r="E4833" s="31"/>
      <c r="F4833" s="25" t="s">
        <v>521</v>
      </c>
      <c r="G4833" s="28"/>
      <c r="H4833" s="29"/>
      <c r="I4833" s="25"/>
      <c r="J4833" s="138">
        <v>0</v>
      </c>
    </row>
    <row r="4834" spans="1:10" ht="15.75" hidden="1" thickBot="1" x14ac:dyDescent="0.3">
      <c r="A4834" s="225"/>
      <c r="B4834" s="223"/>
      <c r="C4834" s="46" t="s">
        <v>1847</v>
      </c>
      <c r="D4834" s="30"/>
      <c r="E4834" s="31"/>
      <c r="F4834" s="25" t="s">
        <v>521</v>
      </c>
      <c r="G4834" s="28"/>
      <c r="H4834" s="29"/>
      <c r="I4834" s="25"/>
      <c r="J4834" s="138">
        <v>0</v>
      </c>
    </row>
    <row r="4835" spans="1:10" ht="15.75" hidden="1" thickBot="1" x14ac:dyDescent="0.3">
      <c r="A4835" s="225"/>
      <c r="B4835" s="223"/>
      <c r="C4835" s="46" t="s">
        <v>1846</v>
      </c>
      <c r="D4835" s="30"/>
      <c r="E4835" s="31"/>
      <c r="F4835" s="25" t="s">
        <v>521</v>
      </c>
      <c r="G4835" s="28" t="str">
        <f>IF(ISNUMBER(F4835),E4835*F4835,"")</f>
        <v/>
      </c>
      <c r="H4835" s="29"/>
      <c r="I4835" s="25"/>
      <c r="J4835" s="138">
        <v>0</v>
      </c>
    </row>
    <row r="4836" spans="1:10" ht="15.75" hidden="1" thickBot="1" x14ac:dyDescent="0.3">
      <c r="A4836" s="226"/>
      <c r="B4836" s="224"/>
      <c r="C4836" s="46"/>
      <c r="D4836" s="30"/>
      <c r="E4836" s="31"/>
      <c r="F4836" s="25" t="s">
        <v>521</v>
      </c>
      <c r="G4836" s="28"/>
      <c r="H4836" s="29"/>
      <c r="I4836" s="25"/>
      <c r="J4836" s="138">
        <v>0</v>
      </c>
    </row>
    <row r="4837" spans="1:10" ht="15.75" hidden="1" thickBot="1" x14ac:dyDescent="0.3">
      <c r="A4837" s="220" t="s">
        <v>1768</v>
      </c>
      <c r="B4837" s="222" t="e">
        <f>INDEX(Orçamentária!A:B,MATCH(Composições!A4837,Orçamentária!A:A,0),2)</f>
        <v>#N/A</v>
      </c>
      <c r="C4837" s="35"/>
      <c r="D4837" s="20" t="s">
        <v>93</v>
      </c>
      <c r="E4837" s="21"/>
      <c r="F4837" s="36" t="s">
        <v>521</v>
      </c>
      <c r="G4837" s="22" t="str">
        <f>IF(ISNUMBER(F4837),E4837*F4837,"")</f>
        <v/>
      </c>
      <c r="H4837" s="23"/>
      <c r="I4837" s="24"/>
      <c r="J4837" s="138">
        <v>0</v>
      </c>
    </row>
    <row r="4838" spans="1:10" ht="15.75" hidden="1" thickBot="1" x14ac:dyDescent="0.3">
      <c r="A4838" s="221"/>
      <c r="B4838" s="223"/>
      <c r="C4838" s="26"/>
      <c r="D4838" s="26"/>
      <c r="E4838" s="27"/>
      <c r="F4838" s="37" t="s">
        <v>521</v>
      </c>
      <c r="G4838" s="28" t="str">
        <f>IF(ISNUMBER(F4838),E4838*F4838,"")</f>
        <v/>
      </c>
      <c r="H4838" s="29"/>
      <c r="I4838" s="25"/>
      <c r="J4838" s="138">
        <v>0</v>
      </c>
    </row>
    <row r="4839" spans="1:10" ht="15.75" hidden="1" thickBot="1" x14ac:dyDescent="0.3">
      <c r="A4839" s="221"/>
      <c r="B4839" s="223"/>
      <c r="C4839" s="30" t="s">
        <v>68</v>
      </c>
      <c r="D4839" s="30" t="s">
        <v>12</v>
      </c>
      <c r="E4839" s="31">
        <v>0.2</v>
      </c>
      <c r="F4839" s="28">
        <v>22.961500000000001</v>
      </c>
      <c r="G4839" s="28">
        <f>IF(ISNUMBER(F4839),E4839*F4839,"")</f>
        <v>4.5923000000000007</v>
      </c>
      <c r="H4839" s="33">
        <f>SUM(G4839:G4840)</f>
        <v>13.379562499999999</v>
      </c>
      <c r="I4839" s="34"/>
      <c r="J4839" s="138">
        <v>0</v>
      </c>
    </row>
    <row r="4840" spans="1:10" ht="15.75" hidden="1" thickBot="1" x14ac:dyDescent="0.3">
      <c r="A4840" s="221"/>
      <c r="B4840" s="223"/>
      <c r="C4840" s="30" t="s">
        <v>834</v>
      </c>
      <c r="D4840" s="30" t="s">
        <v>42</v>
      </c>
      <c r="E4840" s="31">
        <v>0.22500000000000001</v>
      </c>
      <c r="F4840" s="25">
        <v>39.054499999999997</v>
      </c>
      <c r="G4840" s="28">
        <f>IF(ISNUMBER(F4840),E4840*F4840,"")</f>
        <v>8.7872624999999989</v>
      </c>
      <c r="H4840" s="29"/>
      <c r="I4840" s="25"/>
      <c r="J4840" s="138">
        <v>0</v>
      </c>
    </row>
    <row r="4841" spans="1:10" ht="15.75" hidden="1" thickBot="1" x14ac:dyDescent="0.3">
      <c r="A4841" s="221"/>
      <c r="B4841" s="223"/>
      <c r="C4841" s="30"/>
      <c r="D4841" s="30"/>
      <c r="E4841" s="31"/>
      <c r="F4841" s="25" t="s">
        <v>521</v>
      </c>
      <c r="G4841" s="28"/>
      <c r="H4841" s="29"/>
      <c r="I4841" s="25"/>
      <c r="J4841" s="138">
        <v>0</v>
      </c>
    </row>
    <row r="4842" spans="1:10" ht="15.75" hidden="1" thickBot="1" x14ac:dyDescent="0.3">
      <c r="A4842" s="221"/>
      <c r="B4842" s="223"/>
      <c r="C4842" s="46" t="s">
        <v>1848</v>
      </c>
      <c r="D4842" s="30"/>
      <c r="E4842" s="31"/>
      <c r="F4842" s="25" t="s">
        <v>521</v>
      </c>
      <c r="G4842" s="28"/>
      <c r="H4842" s="29"/>
      <c r="I4842" s="25"/>
      <c r="J4842" s="138">
        <v>0</v>
      </c>
    </row>
    <row r="4843" spans="1:10" ht="15.75" hidden="1" thickBot="1" x14ac:dyDescent="0.3">
      <c r="A4843" s="221"/>
      <c r="B4843" s="223"/>
      <c r="C4843" s="46" t="s">
        <v>1846</v>
      </c>
      <c r="D4843" s="30"/>
      <c r="E4843" s="31"/>
      <c r="F4843" s="25" t="s">
        <v>521</v>
      </c>
      <c r="G4843" s="28"/>
      <c r="H4843" s="29"/>
      <c r="I4843" s="25"/>
      <c r="J4843" s="138">
        <v>0</v>
      </c>
    </row>
    <row r="4844" spans="1:10" ht="15.75" hidden="1" thickBot="1" x14ac:dyDescent="0.3">
      <c r="A4844" s="227"/>
      <c r="B4844" s="224"/>
      <c r="C4844" s="30"/>
      <c r="D4844" s="30"/>
      <c r="E4844" s="31"/>
      <c r="F4844" s="25" t="s">
        <v>521</v>
      </c>
      <c r="G4844" s="28" t="str">
        <f>IF(ISNUMBER(F4844),E4844*F4844,"")</f>
        <v/>
      </c>
      <c r="H4844" s="29"/>
      <c r="I4844" s="25"/>
      <c r="J4844" s="138">
        <v>0</v>
      </c>
    </row>
    <row r="4845" spans="1:10" ht="15.75" hidden="1" thickBot="1" x14ac:dyDescent="0.3">
      <c r="A4845" s="220" t="s">
        <v>1769</v>
      </c>
      <c r="B4845" s="222" t="e">
        <f>INDEX(Orçamentária!A:B,MATCH(Composições!A4845,Orçamentária!A:A,0),2)</f>
        <v>#N/A</v>
      </c>
      <c r="C4845" s="35"/>
      <c r="D4845" s="20" t="s">
        <v>93</v>
      </c>
      <c r="E4845" s="21"/>
      <c r="F4845" s="36" t="s">
        <v>521</v>
      </c>
      <c r="G4845" s="22" t="str">
        <f>IF(ISNUMBER(F4845),E4845*F4845,"")</f>
        <v/>
      </c>
      <c r="H4845" s="23"/>
      <c r="I4845" s="24"/>
      <c r="J4845" s="138">
        <v>0</v>
      </c>
    </row>
    <row r="4846" spans="1:10" ht="15.75" hidden="1" thickBot="1" x14ac:dyDescent="0.3">
      <c r="A4846" s="221"/>
      <c r="B4846" s="223"/>
      <c r="C4846" s="26"/>
      <c r="D4846" s="26"/>
      <c r="E4846" s="27"/>
      <c r="F4846" s="37" t="s">
        <v>521</v>
      </c>
      <c r="G4846" s="28" t="str">
        <f>IF(ISNUMBER(F4846),E4846*F4846,"")</f>
        <v/>
      </c>
      <c r="H4846" s="29"/>
      <c r="I4846" s="25"/>
      <c r="J4846" s="138">
        <v>0</v>
      </c>
    </row>
    <row r="4847" spans="1:10" ht="15.75" hidden="1" thickBot="1" x14ac:dyDescent="0.3">
      <c r="A4847" s="221"/>
      <c r="B4847" s="223"/>
      <c r="C4847" s="30" t="s">
        <v>68</v>
      </c>
      <c r="D4847" s="30" t="s">
        <v>12</v>
      </c>
      <c r="E4847" s="31">
        <v>0.15</v>
      </c>
      <c r="F4847" s="28">
        <v>22.961500000000001</v>
      </c>
      <c r="G4847" s="28">
        <f>IF(ISNUMBER(F4847),E4847*F4847,"")</f>
        <v>3.4442249999999999</v>
      </c>
      <c r="H4847" s="33">
        <f>SUM(G4847:G4848)</f>
        <v>5.5922225000000001</v>
      </c>
      <c r="I4847" s="34"/>
      <c r="J4847" s="138">
        <v>0</v>
      </c>
    </row>
    <row r="4848" spans="1:10" ht="15.75" hidden="1" thickBot="1" x14ac:dyDescent="0.3">
      <c r="A4848" s="221"/>
      <c r="B4848" s="223"/>
      <c r="C4848" s="30" t="s">
        <v>834</v>
      </c>
      <c r="D4848" s="30" t="s">
        <v>42</v>
      </c>
      <c r="E4848" s="31">
        <v>5.5E-2</v>
      </c>
      <c r="F4848" s="25">
        <v>39.054499999999997</v>
      </c>
      <c r="G4848" s="28">
        <f>IF(ISNUMBER(F4848),E4848*F4848,"")</f>
        <v>2.1479974999999998</v>
      </c>
      <c r="H4848" s="29"/>
      <c r="I4848" s="25"/>
      <c r="J4848" s="138">
        <v>0</v>
      </c>
    </row>
    <row r="4849" spans="1:10" ht="15.75" hidden="1" thickBot="1" x14ac:dyDescent="0.3">
      <c r="A4849" s="221"/>
      <c r="B4849" s="223"/>
      <c r="C4849" s="30"/>
      <c r="D4849" s="30"/>
      <c r="E4849" s="31"/>
      <c r="F4849" s="25" t="s">
        <v>521</v>
      </c>
      <c r="G4849" s="28"/>
      <c r="H4849" s="29"/>
      <c r="I4849" s="25"/>
      <c r="J4849" s="138">
        <v>0</v>
      </c>
    </row>
    <row r="4850" spans="1:10" ht="15.75" hidden="1" thickBot="1" x14ac:dyDescent="0.3">
      <c r="A4850" s="221"/>
      <c r="B4850" s="223"/>
      <c r="C4850" s="46" t="s">
        <v>1849</v>
      </c>
      <c r="D4850" s="30"/>
      <c r="E4850" s="31"/>
      <c r="F4850" s="25" t="s">
        <v>521</v>
      </c>
      <c r="G4850" s="28"/>
      <c r="H4850" s="29"/>
      <c r="I4850" s="25"/>
      <c r="J4850" s="138">
        <v>0</v>
      </c>
    </row>
    <row r="4851" spans="1:10" ht="15.75" hidden="1" thickBot="1" x14ac:dyDescent="0.3">
      <c r="A4851" s="221"/>
      <c r="B4851" s="223"/>
      <c r="C4851" s="46" t="s">
        <v>1846</v>
      </c>
      <c r="D4851" s="30"/>
      <c r="E4851" s="31"/>
      <c r="F4851" s="25" t="s">
        <v>521</v>
      </c>
      <c r="G4851" s="28"/>
      <c r="H4851" s="29"/>
      <c r="I4851" s="25"/>
      <c r="J4851" s="138">
        <v>0</v>
      </c>
    </row>
    <row r="4852" spans="1:10" ht="15.75" hidden="1" thickBot="1" x14ac:dyDescent="0.3">
      <c r="A4852" s="227"/>
      <c r="B4852" s="224"/>
      <c r="C4852" s="30"/>
      <c r="D4852" s="30"/>
      <c r="E4852" s="31"/>
      <c r="F4852" s="25" t="s">
        <v>521</v>
      </c>
      <c r="G4852" s="28" t="str">
        <f>IF(ISNUMBER(F4852),E4852*F4852,"")</f>
        <v/>
      </c>
      <c r="H4852" s="29"/>
      <c r="I4852" s="25"/>
      <c r="J4852" s="138">
        <v>0</v>
      </c>
    </row>
    <row r="4853" spans="1:10" ht="15.75" hidden="1" thickBot="1" x14ac:dyDescent="0.3">
      <c r="A4853" s="220" t="s">
        <v>1770</v>
      </c>
      <c r="B4853" s="222" t="e">
        <f>INDEX(Orçamentária!A:B,MATCH(Composições!A4853,Orçamentária!A:A,0),2)</f>
        <v>#N/A</v>
      </c>
      <c r="C4853" s="35"/>
      <c r="D4853" s="20" t="s">
        <v>93</v>
      </c>
      <c r="E4853" s="21"/>
      <c r="F4853" s="36" t="s">
        <v>521</v>
      </c>
      <c r="G4853" s="22" t="str">
        <f>IF(ISNUMBER(F4853),E4853*F4853,"")</f>
        <v/>
      </c>
      <c r="H4853" s="23"/>
      <c r="I4853" s="24"/>
      <c r="J4853" s="138">
        <v>0</v>
      </c>
    </row>
    <row r="4854" spans="1:10" ht="15.75" hidden="1" thickBot="1" x14ac:dyDescent="0.3">
      <c r="A4854" s="221"/>
      <c r="B4854" s="223"/>
      <c r="C4854" s="26"/>
      <c r="D4854" s="26"/>
      <c r="E4854" s="27"/>
      <c r="F4854" s="37" t="s">
        <v>521</v>
      </c>
      <c r="G4854" s="28" t="str">
        <f>IF(ISNUMBER(F4854),E4854*F4854,"")</f>
        <v/>
      </c>
      <c r="H4854" s="29"/>
      <c r="I4854" s="25"/>
      <c r="J4854" s="138">
        <v>0</v>
      </c>
    </row>
    <row r="4855" spans="1:10" ht="15.75" hidden="1" thickBot="1" x14ac:dyDescent="0.3">
      <c r="A4855" s="221"/>
      <c r="B4855" s="223"/>
      <c r="C4855" s="30" t="s">
        <v>68</v>
      </c>
      <c r="D4855" s="30" t="s">
        <v>12</v>
      </c>
      <c r="E4855" s="31">
        <v>0.3</v>
      </c>
      <c r="F4855" s="28">
        <v>22.961500000000001</v>
      </c>
      <c r="G4855" s="28">
        <f>IF(ISNUMBER(F4855),E4855*F4855,"")</f>
        <v>6.8884499999999997</v>
      </c>
      <c r="H4855" s="33">
        <f>SUM(G4855:G4856)</f>
        <v>15.011785999999997</v>
      </c>
      <c r="I4855" s="34"/>
      <c r="J4855" s="138">
        <v>0</v>
      </c>
    </row>
    <row r="4856" spans="1:10" ht="15.75" hidden="1" thickBot="1" x14ac:dyDescent="0.3">
      <c r="A4856" s="221"/>
      <c r="B4856" s="223"/>
      <c r="C4856" s="30" t="s">
        <v>834</v>
      </c>
      <c r="D4856" s="30" t="s">
        <v>42</v>
      </c>
      <c r="E4856" s="31">
        <v>0.20799999999999999</v>
      </c>
      <c r="F4856" s="25">
        <v>39.054499999999997</v>
      </c>
      <c r="G4856" s="28">
        <f>IF(ISNUMBER(F4856),E4856*F4856,"")</f>
        <v>8.1233359999999983</v>
      </c>
      <c r="H4856" s="29"/>
      <c r="I4856" s="25"/>
      <c r="J4856" s="138">
        <v>0</v>
      </c>
    </row>
    <row r="4857" spans="1:10" ht="15.75" hidden="1" thickBot="1" x14ac:dyDescent="0.3">
      <c r="A4857" s="221"/>
      <c r="B4857" s="223"/>
      <c r="C4857" s="30"/>
      <c r="D4857" s="30"/>
      <c r="E4857" s="31"/>
      <c r="F4857" s="25" t="s">
        <v>521</v>
      </c>
      <c r="G4857" s="28"/>
      <c r="H4857" s="29"/>
      <c r="I4857" s="25"/>
      <c r="J4857" s="138">
        <v>0</v>
      </c>
    </row>
    <row r="4858" spans="1:10" ht="15.75" hidden="1" thickBot="1" x14ac:dyDescent="0.3">
      <c r="A4858" s="221"/>
      <c r="B4858" s="223"/>
      <c r="C4858" s="46" t="s">
        <v>1850</v>
      </c>
      <c r="D4858" s="30"/>
      <c r="E4858" s="31"/>
      <c r="F4858" s="25" t="s">
        <v>521</v>
      </c>
      <c r="G4858" s="28"/>
      <c r="H4858" s="29"/>
      <c r="I4858" s="25"/>
      <c r="J4858" s="138">
        <v>0</v>
      </c>
    </row>
    <row r="4859" spans="1:10" ht="15.75" hidden="1" thickBot="1" x14ac:dyDescent="0.3">
      <c r="A4859" s="221"/>
      <c r="B4859" s="223"/>
      <c r="C4859" s="46" t="s">
        <v>1846</v>
      </c>
      <c r="D4859" s="30"/>
      <c r="E4859" s="31"/>
      <c r="F4859" s="25" t="s">
        <v>521</v>
      </c>
      <c r="G4859" s="28"/>
      <c r="H4859" s="29"/>
      <c r="I4859" s="25"/>
      <c r="J4859" s="138">
        <v>0</v>
      </c>
    </row>
    <row r="4860" spans="1:10" ht="15.75" hidden="1" thickBot="1" x14ac:dyDescent="0.3">
      <c r="A4860" s="227"/>
      <c r="B4860" s="224"/>
      <c r="C4860" s="30"/>
      <c r="D4860" s="30"/>
      <c r="E4860" s="31"/>
      <c r="F4860" s="25" t="s">
        <v>521</v>
      </c>
      <c r="G4860" s="28" t="str">
        <f>IF(ISNUMBER(F4860),E4860*F4860,"")</f>
        <v/>
      </c>
      <c r="H4860" s="29"/>
      <c r="I4860" s="25"/>
      <c r="J4860" s="138">
        <v>0</v>
      </c>
    </row>
    <row r="4861" spans="1:10" ht="15.75" hidden="1" thickBot="1" x14ac:dyDescent="0.3">
      <c r="A4861" s="220" t="s">
        <v>1771</v>
      </c>
      <c r="B4861" s="222" t="e">
        <f>INDEX(Orçamentária!A:B,MATCH(Composições!A4861,Orçamentária!A:A,0),2)</f>
        <v>#N/A</v>
      </c>
      <c r="C4861" s="35"/>
      <c r="D4861" s="20" t="s">
        <v>93</v>
      </c>
      <c r="E4861" s="21"/>
      <c r="F4861" s="36" t="s">
        <v>521</v>
      </c>
      <c r="G4861" s="22" t="str">
        <f>IF(ISNUMBER(F4861),E4861*F4861,"")</f>
        <v/>
      </c>
      <c r="H4861" s="23"/>
      <c r="I4861" s="24"/>
      <c r="J4861" s="138">
        <v>0</v>
      </c>
    </row>
    <row r="4862" spans="1:10" ht="15.75" hidden="1" thickBot="1" x14ac:dyDescent="0.3">
      <c r="A4862" s="221"/>
      <c r="B4862" s="223"/>
      <c r="C4862" s="26"/>
      <c r="D4862" s="26"/>
      <c r="E4862" s="27"/>
      <c r="F4862" s="37" t="s">
        <v>521</v>
      </c>
      <c r="G4862" s="28" t="str">
        <f>IF(ISNUMBER(F4862),E4862*F4862,"")</f>
        <v/>
      </c>
      <c r="H4862" s="29"/>
      <c r="I4862" s="25"/>
      <c r="J4862" s="138">
        <v>0</v>
      </c>
    </row>
    <row r="4863" spans="1:10" ht="15.75" hidden="1" thickBot="1" x14ac:dyDescent="0.3">
      <c r="A4863" s="221"/>
      <c r="B4863" s="223"/>
      <c r="C4863" s="30" t="s">
        <v>68</v>
      </c>
      <c r="D4863" s="30" t="s">
        <v>12</v>
      </c>
      <c r="E4863" s="31">
        <v>0.3</v>
      </c>
      <c r="F4863" s="28">
        <v>22.961500000000001</v>
      </c>
      <c r="G4863" s="28">
        <f>IF(ISNUMBER(F4863),E4863*F4863,"")</f>
        <v>6.8884499999999997</v>
      </c>
      <c r="H4863" s="33">
        <f>SUM(G4863:G4864)</f>
        <v>17.003565500000001</v>
      </c>
      <c r="I4863" s="34"/>
      <c r="J4863" s="138">
        <v>0</v>
      </c>
    </row>
    <row r="4864" spans="1:10" ht="15.75" hidden="1" thickBot="1" x14ac:dyDescent="0.3">
      <c r="A4864" s="221"/>
      <c r="B4864" s="223"/>
      <c r="C4864" s="30" t="s">
        <v>834</v>
      </c>
      <c r="D4864" s="30" t="s">
        <v>42</v>
      </c>
      <c r="E4864" s="31">
        <v>0.25900000000000001</v>
      </c>
      <c r="F4864" s="25">
        <v>39.054499999999997</v>
      </c>
      <c r="G4864" s="28">
        <f>IF(ISNUMBER(F4864),E4864*F4864,"")</f>
        <v>10.1151155</v>
      </c>
      <c r="H4864" s="29"/>
      <c r="I4864" s="25"/>
      <c r="J4864" s="138">
        <v>0</v>
      </c>
    </row>
    <row r="4865" spans="1:10" ht="15.75" hidden="1" thickBot="1" x14ac:dyDescent="0.3">
      <c r="A4865" s="221"/>
      <c r="B4865" s="223"/>
      <c r="C4865" s="30"/>
      <c r="D4865" s="30"/>
      <c r="E4865" s="31"/>
      <c r="F4865" s="25" t="s">
        <v>521</v>
      </c>
      <c r="G4865" s="28"/>
      <c r="H4865" s="29"/>
      <c r="I4865" s="25"/>
      <c r="J4865" s="138">
        <v>0</v>
      </c>
    </row>
    <row r="4866" spans="1:10" ht="15.75" hidden="1" thickBot="1" x14ac:dyDescent="0.3">
      <c r="A4866" s="221"/>
      <c r="B4866" s="223"/>
      <c r="C4866" s="46" t="s">
        <v>1851</v>
      </c>
      <c r="D4866" s="30"/>
      <c r="E4866" s="31"/>
      <c r="F4866" s="25" t="s">
        <v>521</v>
      </c>
      <c r="G4866" s="28"/>
      <c r="H4866" s="29"/>
      <c r="I4866" s="25"/>
      <c r="J4866" s="138">
        <v>0</v>
      </c>
    </row>
    <row r="4867" spans="1:10" ht="15.75" hidden="1" thickBot="1" x14ac:dyDescent="0.3">
      <c r="A4867" s="221"/>
      <c r="B4867" s="223"/>
      <c r="C4867" s="46" t="s">
        <v>1846</v>
      </c>
      <c r="D4867" s="30"/>
      <c r="E4867" s="31"/>
      <c r="F4867" s="25" t="s">
        <v>521</v>
      </c>
      <c r="G4867" s="28"/>
      <c r="H4867" s="29"/>
      <c r="I4867" s="25"/>
      <c r="J4867" s="138">
        <v>0</v>
      </c>
    </row>
    <row r="4868" spans="1:10" ht="15.75" hidden="1" thickBot="1" x14ac:dyDescent="0.3">
      <c r="A4868" s="227"/>
      <c r="B4868" s="224"/>
      <c r="C4868" s="30"/>
      <c r="D4868" s="30"/>
      <c r="E4868" s="31"/>
      <c r="F4868" s="25" t="s">
        <v>521</v>
      </c>
      <c r="G4868" s="28" t="str">
        <f>IF(ISNUMBER(F4868),E4868*F4868,"")</f>
        <v/>
      </c>
      <c r="H4868" s="29"/>
      <c r="I4868" s="25"/>
      <c r="J4868" s="138">
        <v>0</v>
      </c>
    </row>
    <row r="4869" spans="1:10" ht="15.75" hidden="1" thickBot="1" x14ac:dyDescent="0.3">
      <c r="A4869" s="220" t="s">
        <v>1772</v>
      </c>
      <c r="B4869" s="222" t="e">
        <f>INDEX(Orçamentária!A:B,MATCH(Composições!A4869,Orçamentária!A:A,0),2)</f>
        <v>#N/A</v>
      </c>
      <c r="C4869" s="35"/>
      <c r="D4869" s="20" t="s">
        <v>93</v>
      </c>
      <c r="E4869" s="21"/>
      <c r="F4869" s="36" t="s">
        <v>521</v>
      </c>
      <c r="G4869" s="22" t="str">
        <f>IF(ISNUMBER(F4869),E4869*F4869,"")</f>
        <v/>
      </c>
      <c r="H4869" s="23"/>
      <c r="I4869" s="24"/>
      <c r="J4869" s="138">
        <v>0</v>
      </c>
    </row>
    <row r="4870" spans="1:10" ht="15.75" hidden="1" thickBot="1" x14ac:dyDescent="0.3">
      <c r="A4870" s="221"/>
      <c r="B4870" s="223"/>
      <c r="C4870" s="26"/>
      <c r="D4870" s="26"/>
      <c r="E4870" s="27"/>
      <c r="F4870" s="37" t="s">
        <v>521</v>
      </c>
      <c r="G4870" s="28" t="str">
        <f>IF(ISNUMBER(F4870),E4870*F4870,"")</f>
        <v/>
      </c>
      <c r="H4870" s="29"/>
      <c r="I4870" s="25"/>
      <c r="J4870" s="138">
        <v>0</v>
      </c>
    </row>
    <row r="4871" spans="1:10" ht="15.75" hidden="1" thickBot="1" x14ac:dyDescent="0.3">
      <c r="A4871" s="221"/>
      <c r="B4871" s="223"/>
      <c r="C4871" s="30" t="s">
        <v>68</v>
      </c>
      <c r="D4871" s="30" t="s">
        <v>12</v>
      </c>
      <c r="E4871" s="31">
        <v>0.3</v>
      </c>
      <c r="F4871" s="28">
        <v>22.961500000000001</v>
      </c>
      <c r="G4871" s="28">
        <f>IF(ISNUMBER(F4871),E4871*F4871,"")</f>
        <v>6.8884499999999997</v>
      </c>
      <c r="H4871" s="33">
        <f>SUM(G4871:G4872)</f>
        <v>27.821662</v>
      </c>
      <c r="I4871" s="34"/>
      <c r="J4871" s="138">
        <v>0</v>
      </c>
    </row>
    <row r="4872" spans="1:10" ht="15.75" hidden="1" thickBot="1" x14ac:dyDescent="0.3">
      <c r="A4872" s="221"/>
      <c r="B4872" s="223"/>
      <c r="C4872" s="30" t="s">
        <v>834</v>
      </c>
      <c r="D4872" s="30" t="s">
        <v>42</v>
      </c>
      <c r="E4872" s="31">
        <v>0.53600000000000003</v>
      </c>
      <c r="F4872" s="25">
        <v>39.054499999999997</v>
      </c>
      <c r="G4872" s="28">
        <f>IF(ISNUMBER(F4872),E4872*F4872,"")</f>
        <v>20.933212000000001</v>
      </c>
      <c r="H4872" s="29"/>
      <c r="I4872" s="25"/>
      <c r="J4872" s="138">
        <v>0</v>
      </c>
    </row>
    <row r="4873" spans="1:10" ht="15.75" hidden="1" thickBot="1" x14ac:dyDescent="0.3">
      <c r="A4873" s="221"/>
      <c r="B4873" s="223"/>
      <c r="C4873" s="30"/>
      <c r="D4873" s="30"/>
      <c r="E4873" s="31"/>
      <c r="F4873" s="25" t="s">
        <v>521</v>
      </c>
      <c r="G4873" s="28"/>
      <c r="H4873" s="29"/>
      <c r="I4873" s="25"/>
      <c r="J4873" s="138">
        <v>0</v>
      </c>
    </row>
    <row r="4874" spans="1:10" ht="15.75" hidden="1" thickBot="1" x14ac:dyDescent="0.3">
      <c r="A4874" s="221"/>
      <c r="B4874" s="223"/>
      <c r="C4874" s="46" t="s">
        <v>1852</v>
      </c>
      <c r="D4874" s="30"/>
      <c r="E4874" s="31"/>
      <c r="F4874" s="25" t="s">
        <v>521</v>
      </c>
      <c r="G4874" s="28"/>
      <c r="H4874" s="29"/>
      <c r="I4874" s="25"/>
      <c r="J4874" s="138">
        <v>0</v>
      </c>
    </row>
    <row r="4875" spans="1:10" ht="15.75" hidden="1" thickBot="1" x14ac:dyDescent="0.3">
      <c r="A4875" s="221"/>
      <c r="B4875" s="223"/>
      <c r="C4875" s="46" t="s">
        <v>1846</v>
      </c>
      <c r="D4875" s="30"/>
      <c r="E4875" s="31"/>
      <c r="F4875" s="25" t="s">
        <v>521</v>
      </c>
      <c r="G4875" s="28"/>
      <c r="H4875" s="29"/>
      <c r="I4875" s="25"/>
      <c r="J4875" s="138">
        <v>0</v>
      </c>
    </row>
    <row r="4876" spans="1:10" ht="15.75" hidden="1" thickBot="1" x14ac:dyDescent="0.3">
      <c r="A4876" s="227"/>
      <c r="B4876" s="224"/>
      <c r="C4876" s="30"/>
      <c r="D4876" s="30"/>
      <c r="E4876" s="31"/>
      <c r="F4876" s="25" t="s">
        <v>521</v>
      </c>
      <c r="G4876" s="28" t="str">
        <f>IF(ISNUMBER(F4876),E4876*F4876,"")</f>
        <v/>
      </c>
      <c r="H4876" s="29"/>
      <c r="I4876" s="25"/>
      <c r="J4876" s="138">
        <v>0</v>
      </c>
    </row>
    <row r="4877" spans="1:10" ht="15.75" hidden="1" thickBot="1" x14ac:dyDescent="0.3">
      <c r="A4877" s="220" t="s">
        <v>1773</v>
      </c>
      <c r="B4877" s="222" t="e">
        <f>INDEX(Orçamentária!A:B,MATCH(Composições!A4877,Orçamentária!A:A,0),2)</f>
        <v>#N/A</v>
      </c>
      <c r="C4877" s="35"/>
      <c r="D4877" s="20" t="s">
        <v>93</v>
      </c>
      <c r="E4877" s="21"/>
      <c r="F4877" s="36" t="s">
        <v>521</v>
      </c>
      <c r="G4877" s="22" t="str">
        <f>IF(ISNUMBER(F4877),E4877*F4877,"")</f>
        <v/>
      </c>
      <c r="H4877" s="23"/>
      <c r="I4877" s="24"/>
      <c r="J4877" s="138">
        <v>0</v>
      </c>
    </row>
    <row r="4878" spans="1:10" ht="15.75" hidden="1" thickBot="1" x14ac:dyDescent="0.3">
      <c r="A4878" s="221"/>
      <c r="B4878" s="223"/>
      <c r="C4878" s="26"/>
      <c r="D4878" s="26"/>
      <c r="E4878" s="27"/>
      <c r="F4878" s="37" t="s">
        <v>521</v>
      </c>
      <c r="G4878" s="28" t="str">
        <f>IF(ISNUMBER(F4878),E4878*F4878,"")</f>
        <v/>
      </c>
      <c r="H4878" s="29"/>
      <c r="I4878" s="25"/>
      <c r="J4878" s="138">
        <v>0</v>
      </c>
    </row>
    <row r="4879" spans="1:10" ht="15.75" hidden="1" thickBot="1" x14ac:dyDescent="0.3">
      <c r="A4879" s="221"/>
      <c r="B4879" s="223"/>
      <c r="C4879" s="30" t="s">
        <v>68</v>
      </c>
      <c r="D4879" s="30" t="s">
        <v>12</v>
      </c>
      <c r="E4879" s="31">
        <v>0.2</v>
      </c>
      <c r="F4879" s="28">
        <v>22.961500000000001</v>
      </c>
      <c r="G4879" s="28">
        <f>IF(ISNUMBER(F4879),E4879*F4879,"")</f>
        <v>4.5923000000000007</v>
      </c>
      <c r="H4879" s="33">
        <f>SUM(G4879:G4880)</f>
        <v>8.6930225000000014</v>
      </c>
      <c r="I4879" s="34"/>
      <c r="J4879" s="138">
        <v>0</v>
      </c>
    </row>
    <row r="4880" spans="1:10" ht="15.75" hidden="1" thickBot="1" x14ac:dyDescent="0.3">
      <c r="A4880" s="221"/>
      <c r="B4880" s="223"/>
      <c r="C4880" s="30" t="s">
        <v>834</v>
      </c>
      <c r="D4880" s="30" t="s">
        <v>42</v>
      </c>
      <c r="E4880" s="31">
        <v>0.105</v>
      </c>
      <c r="F4880" s="25">
        <v>39.054499999999997</v>
      </c>
      <c r="G4880" s="28">
        <f>IF(ISNUMBER(F4880),E4880*F4880,"")</f>
        <v>4.1007224999999998</v>
      </c>
      <c r="H4880" s="29"/>
      <c r="I4880" s="25"/>
      <c r="J4880" s="138">
        <v>0</v>
      </c>
    </row>
    <row r="4881" spans="1:10" ht="15.75" hidden="1" thickBot="1" x14ac:dyDescent="0.3">
      <c r="A4881" s="221"/>
      <c r="B4881" s="223"/>
      <c r="C4881" s="30"/>
      <c r="D4881" s="30"/>
      <c r="E4881" s="31"/>
      <c r="F4881" s="25" t="s">
        <v>521</v>
      </c>
      <c r="G4881" s="28"/>
      <c r="H4881" s="29"/>
      <c r="I4881" s="25"/>
      <c r="J4881" s="138">
        <v>0</v>
      </c>
    </row>
    <row r="4882" spans="1:10" ht="15.75" hidden="1" thickBot="1" x14ac:dyDescent="0.3">
      <c r="A4882" s="221"/>
      <c r="B4882" s="223"/>
      <c r="C4882" s="46" t="s">
        <v>1853</v>
      </c>
      <c r="D4882" s="30"/>
      <c r="E4882" s="31"/>
      <c r="F4882" s="25" t="s">
        <v>521</v>
      </c>
      <c r="G4882" s="28"/>
      <c r="H4882" s="29"/>
      <c r="I4882" s="25"/>
      <c r="J4882" s="138">
        <v>0</v>
      </c>
    </row>
    <row r="4883" spans="1:10" ht="15.75" hidden="1" thickBot="1" x14ac:dyDescent="0.3">
      <c r="A4883" s="221"/>
      <c r="B4883" s="223"/>
      <c r="C4883" s="46" t="s">
        <v>1846</v>
      </c>
      <c r="D4883" s="30"/>
      <c r="E4883" s="31"/>
      <c r="F4883" s="25" t="s">
        <v>521</v>
      </c>
      <c r="G4883" s="28"/>
      <c r="H4883" s="29"/>
      <c r="I4883" s="25"/>
      <c r="J4883" s="138">
        <v>0</v>
      </c>
    </row>
    <row r="4884" spans="1:10" ht="15.75" hidden="1" thickBot="1" x14ac:dyDescent="0.3">
      <c r="A4884" s="227"/>
      <c r="B4884" s="224"/>
      <c r="C4884" s="30"/>
      <c r="D4884" s="30"/>
      <c r="E4884" s="31"/>
      <c r="F4884" s="25" t="s">
        <v>521</v>
      </c>
      <c r="G4884" s="28" t="str">
        <f>IF(ISNUMBER(F4884),E4884*F4884,"")</f>
        <v/>
      </c>
      <c r="H4884" s="29"/>
      <c r="I4884" s="25"/>
      <c r="J4884" s="138">
        <v>0</v>
      </c>
    </row>
    <row r="4885" spans="1:10" ht="15.75" hidden="1" thickBot="1" x14ac:dyDescent="0.3">
      <c r="A4885" s="220" t="s">
        <v>1774</v>
      </c>
      <c r="B4885" s="222" t="e">
        <f>INDEX(Orçamentária!A:B,MATCH(Composições!A4885,Orçamentária!A:A,0),2)</f>
        <v>#N/A</v>
      </c>
      <c r="C4885" s="35"/>
      <c r="D4885" s="20" t="s">
        <v>93</v>
      </c>
      <c r="E4885" s="21"/>
      <c r="F4885" s="36" t="s">
        <v>521</v>
      </c>
      <c r="G4885" s="22" t="str">
        <f>IF(ISNUMBER(F4885),E4885*F4885,"")</f>
        <v/>
      </c>
      <c r="H4885" s="23"/>
      <c r="I4885" s="24"/>
      <c r="J4885" s="138">
        <v>0</v>
      </c>
    </row>
    <row r="4886" spans="1:10" ht="15.75" hidden="1" thickBot="1" x14ac:dyDescent="0.3">
      <c r="A4886" s="221"/>
      <c r="B4886" s="223"/>
      <c r="C4886" s="26"/>
      <c r="D4886" s="26"/>
      <c r="E4886" s="27"/>
      <c r="F4886" s="37" t="s">
        <v>521</v>
      </c>
      <c r="G4886" s="28" t="str">
        <f>IF(ISNUMBER(F4886),E4886*F4886,"")</f>
        <v/>
      </c>
      <c r="H4886" s="29"/>
      <c r="I4886" s="25"/>
      <c r="J4886" s="138">
        <v>0</v>
      </c>
    </row>
    <row r="4887" spans="1:10" ht="15.75" hidden="1" thickBot="1" x14ac:dyDescent="0.3">
      <c r="A4887" s="221"/>
      <c r="B4887" s="223"/>
      <c r="C4887" s="30" t="s">
        <v>68</v>
      </c>
      <c r="D4887" s="30" t="s">
        <v>12</v>
      </c>
      <c r="E4887" s="31">
        <v>0.2</v>
      </c>
      <c r="F4887" s="28">
        <v>22.961500000000001</v>
      </c>
      <c r="G4887" s="28">
        <f>IF(ISNUMBER(F4887),E4887*F4887,"")</f>
        <v>4.5923000000000007</v>
      </c>
      <c r="H4887" s="33">
        <f>SUM(G4887:G4888)</f>
        <v>9.2397855</v>
      </c>
      <c r="I4887" s="34"/>
      <c r="J4887" s="138">
        <v>0</v>
      </c>
    </row>
    <row r="4888" spans="1:10" ht="15.75" hidden="1" thickBot="1" x14ac:dyDescent="0.3">
      <c r="A4888" s="221"/>
      <c r="B4888" s="223"/>
      <c r="C4888" s="30" t="s">
        <v>834</v>
      </c>
      <c r="D4888" s="30" t="s">
        <v>42</v>
      </c>
      <c r="E4888" s="31">
        <v>0.11899999999999999</v>
      </c>
      <c r="F4888" s="25">
        <v>39.054499999999997</v>
      </c>
      <c r="G4888" s="28">
        <f>IF(ISNUMBER(F4888),E4888*F4888,"")</f>
        <v>4.6474854999999993</v>
      </c>
      <c r="H4888" s="29"/>
      <c r="I4888" s="25"/>
      <c r="J4888" s="138">
        <v>0</v>
      </c>
    </row>
    <row r="4889" spans="1:10" ht="15.75" hidden="1" thickBot="1" x14ac:dyDescent="0.3">
      <c r="A4889" s="221"/>
      <c r="B4889" s="223"/>
      <c r="C4889" s="30"/>
      <c r="D4889" s="30"/>
      <c r="E4889" s="31"/>
      <c r="F4889" s="25" t="s">
        <v>521</v>
      </c>
      <c r="G4889" s="28"/>
      <c r="H4889" s="29"/>
      <c r="I4889" s="25"/>
      <c r="J4889" s="138">
        <v>0</v>
      </c>
    </row>
    <row r="4890" spans="1:10" ht="15.75" hidden="1" thickBot="1" x14ac:dyDescent="0.3">
      <c r="A4890" s="221"/>
      <c r="B4890" s="223"/>
      <c r="C4890" s="46" t="s">
        <v>1854</v>
      </c>
      <c r="D4890" s="30"/>
      <c r="E4890" s="31"/>
      <c r="F4890" s="25" t="s">
        <v>521</v>
      </c>
      <c r="G4890" s="28"/>
      <c r="H4890" s="29"/>
      <c r="I4890" s="25"/>
      <c r="J4890" s="138">
        <v>0</v>
      </c>
    </row>
    <row r="4891" spans="1:10" ht="15.75" hidden="1" thickBot="1" x14ac:dyDescent="0.3">
      <c r="A4891" s="221"/>
      <c r="B4891" s="223"/>
      <c r="C4891" s="46" t="s">
        <v>1846</v>
      </c>
      <c r="D4891" s="30"/>
      <c r="E4891" s="31"/>
      <c r="F4891" s="25" t="s">
        <v>521</v>
      </c>
      <c r="G4891" s="28"/>
      <c r="H4891" s="29"/>
      <c r="I4891" s="25"/>
      <c r="J4891" s="138">
        <v>0</v>
      </c>
    </row>
    <row r="4892" spans="1:10" ht="15.75" hidden="1" thickBot="1" x14ac:dyDescent="0.3">
      <c r="A4892" s="227"/>
      <c r="B4892" s="224"/>
      <c r="C4892" s="30"/>
      <c r="D4892" s="30"/>
      <c r="E4892" s="31"/>
      <c r="F4892" s="25" t="s">
        <v>521</v>
      </c>
      <c r="G4892" s="28" t="str">
        <f t="shared" ref="G4892:G4955" si="92">IF(ISNUMBER(F4892),E4892*F4892,"")</f>
        <v/>
      </c>
      <c r="H4892" s="29"/>
      <c r="I4892" s="25"/>
      <c r="J4892" s="138">
        <v>0</v>
      </c>
    </row>
    <row r="4893" spans="1:10" ht="15.75" hidden="1" thickBot="1" x14ac:dyDescent="0.3">
      <c r="A4893" s="220" t="s">
        <v>1775</v>
      </c>
      <c r="B4893" s="222" t="e">
        <f>INDEX(Orçamentária!A:B,MATCH(Composições!A4893,Orçamentária!A:A,0),2)</f>
        <v>#N/A</v>
      </c>
      <c r="C4893" s="35"/>
      <c r="D4893" s="20" t="s">
        <v>20</v>
      </c>
      <c r="E4893" s="21"/>
      <c r="F4893" s="36" t="s">
        <v>521</v>
      </c>
      <c r="G4893" s="22" t="str">
        <f t="shared" si="92"/>
        <v/>
      </c>
      <c r="H4893" s="23"/>
      <c r="I4893" s="24"/>
      <c r="J4893" s="138">
        <v>0</v>
      </c>
    </row>
    <row r="4894" spans="1:10" ht="15.75" hidden="1" thickBot="1" x14ac:dyDescent="0.3">
      <c r="A4894" s="221"/>
      <c r="B4894" s="223"/>
      <c r="C4894" s="26"/>
      <c r="D4894" s="26"/>
      <c r="E4894" s="27"/>
      <c r="F4894" s="37" t="s">
        <v>521</v>
      </c>
      <c r="G4894" s="25" t="str">
        <f t="shared" si="92"/>
        <v/>
      </c>
      <c r="H4894" s="29"/>
      <c r="I4894" s="25"/>
      <c r="J4894" s="138">
        <v>0</v>
      </c>
    </row>
    <row r="4895" spans="1:10" ht="26.25" hidden="1" thickBot="1" x14ac:dyDescent="0.3">
      <c r="A4895" s="221"/>
      <c r="B4895" s="223"/>
      <c r="C4895" s="30" t="s">
        <v>1859</v>
      </c>
      <c r="D4895" s="41" t="s">
        <v>279</v>
      </c>
      <c r="E4895" s="31">
        <v>1</v>
      </c>
      <c r="F4895" s="28" t="s">
        <v>521</v>
      </c>
      <c r="G4895" s="28" t="str">
        <f t="shared" si="92"/>
        <v/>
      </c>
      <c r="H4895" s="33">
        <f>SUM(G4895:G4901)</f>
        <v>78.268135450000003</v>
      </c>
      <c r="I4895" s="34"/>
      <c r="J4895" s="138">
        <v>0</v>
      </c>
    </row>
    <row r="4896" spans="1:10" ht="26.25" hidden="1" thickBot="1" x14ac:dyDescent="0.3">
      <c r="A4896" s="221"/>
      <c r="B4896" s="223"/>
      <c r="C4896" s="30" t="s">
        <v>302</v>
      </c>
      <c r="D4896" s="30" t="s">
        <v>20</v>
      </c>
      <c r="E4896" s="31">
        <v>1</v>
      </c>
      <c r="F4896" s="28" t="s">
        <v>521</v>
      </c>
      <c r="G4896" s="28" t="str">
        <f t="shared" si="92"/>
        <v/>
      </c>
      <c r="H4896" s="29"/>
      <c r="I4896" s="25"/>
      <c r="J4896" s="138">
        <v>0</v>
      </c>
    </row>
    <row r="4897" spans="1:10" ht="26.25" hidden="1" thickBot="1" x14ac:dyDescent="0.3">
      <c r="A4897" s="221"/>
      <c r="B4897" s="223"/>
      <c r="C4897" s="30" t="s">
        <v>329</v>
      </c>
      <c r="D4897" s="41" t="s">
        <v>279</v>
      </c>
      <c r="E4897" s="31">
        <v>2</v>
      </c>
      <c r="F4897" s="28">
        <v>19.835999999999999</v>
      </c>
      <c r="G4897" s="28">
        <f t="shared" si="92"/>
        <v>39.671999999999997</v>
      </c>
      <c r="H4897" s="29"/>
      <c r="I4897" s="25"/>
      <c r="J4897" s="138">
        <v>0</v>
      </c>
    </row>
    <row r="4898" spans="1:10" ht="26.25" hidden="1" thickBot="1" x14ac:dyDescent="0.3">
      <c r="A4898" s="221"/>
      <c r="B4898" s="223"/>
      <c r="C4898" s="30" t="s">
        <v>2260</v>
      </c>
      <c r="D4898" s="41" t="s">
        <v>20</v>
      </c>
      <c r="E4898" s="31">
        <v>1</v>
      </c>
      <c r="F4898" s="28">
        <v>14.3925</v>
      </c>
      <c r="G4898" s="48">
        <f t="shared" si="92"/>
        <v>14.3925</v>
      </c>
      <c r="H4898" s="29"/>
      <c r="I4898" s="25"/>
      <c r="J4898" s="138">
        <v>0</v>
      </c>
    </row>
    <row r="4899" spans="1:10" ht="15.75" hidden="1" thickBot="1" x14ac:dyDescent="0.3">
      <c r="A4899" s="221"/>
      <c r="B4899" s="223"/>
      <c r="C4899" s="30" t="s">
        <v>1833</v>
      </c>
      <c r="D4899" s="41" t="s">
        <v>42</v>
      </c>
      <c r="E4899" s="31">
        <v>8.8099999999999998E-2</v>
      </c>
      <c r="F4899" s="28">
        <v>64.619</v>
      </c>
      <c r="G4899" s="28">
        <f t="shared" si="92"/>
        <v>5.6929338999999999</v>
      </c>
      <c r="H4899" s="29"/>
      <c r="I4899" s="25"/>
      <c r="J4899" s="138">
        <v>0</v>
      </c>
    </row>
    <row r="4900" spans="1:10" ht="15.75" hidden="1" thickBot="1" x14ac:dyDescent="0.3">
      <c r="A4900" s="221"/>
      <c r="B4900" s="223"/>
      <c r="C4900" s="30" t="s">
        <v>39</v>
      </c>
      <c r="D4900" s="41" t="s">
        <v>12</v>
      </c>
      <c r="E4900" s="31">
        <v>0.49680000000000002</v>
      </c>
      <c r="F4900" s="25">
        <v>24.300999999999998</v>
      </c>
      <c r="G4900" s="28">
        <f t="shared" si="92"/>
        <v>12.072736799999999</v>
      </c>
      <c r="H4900" s="29"/>
      <c r="I4900" s="25"/>
      <c r="J4900" s="138">
        <v>0</v>
      </c>
    </row>
    <row r="4901" spans="1:10" ht="15.75" hidden="1" thickBot="1" x14ac:dyDescent="0.3">
      <c r="A4901" s="221"/>
      <c r="B4901" s="223"/>
      <c r="C4901" s="30" t="s">
        <v>23</v>
      </c>
      <c r="D4901" s="41" t="s">
        <v>12</v>
      </c>
      <c r="E4901" s="31">
        <v>0.34949999999999998</v>
      </c>
      <c r="F4901" s="25">
        <v>18.420500000000001</v>
      </c>
      <c r="G4901" s="28">
        <f t="shared" si="92"/>
        <v>6.4379647499999999</v>
      </c>
      <c r="H4901" s="29"/>
      <c r="I4901" s="25"/>
      <c r="J4901" s="138">
        <v>0</v>
      </c>
    </row>
    <row r="4902" spans="1:10" ht="15.75" hidden="1" thickBot="1" x14ac:dyDescent="0.3">
      <c r="A4902" s="227"/>
      <c r="B4902" s="224"/>
      <c r="C4902" s="30"/>
      <c r="D4902" s="30"/>
      <c r="E4902" s="31"/>
      <c r="F4902" s="25" t="s">
        <v>521</v>
      </c>
      <c r="G4902" s="25" t="str">
        <f t="shared" si="92"/>
        <v/>
      </c>
      <c r="H4902" s="29"/>
      <c r="I4902" s="25"/>
      <c r="J4902" s="138">
        <v>0</v>
      </c>
    </row>
    <row r="4903" spans="1:10" ht="15.75" hidden="1" thickBot="1" x14ac:dyDescent="0.3">
      <c r="A4903" s="220" t="s">
        <v>1776</v>
      </c>
      <c r="B4903" s="222" t="e">
        <f>INDEX(Orçamentária!A:B,MATCH(Composições!A4903,Orçamentária!A:A,0),2)</f>
        <v>#N/A</v>
      </c>
      <c r="C4903" s="35"/>
      <c r="D4903" s="20" t="s">
        <v>20</v>
      </c>
      <c r="E4903" s="21"/>
      <c r="F4903" s="36" t="s">
        <v>521</v>
      </c>
      <c r="G4903" s="22" t="str">
        <f t="shared" si="92"/>
        <v/>
      </c>
      <c r="H4903" s="23"/>
      <c r="I4903" s="24"/>
      <c r="J4903" s="138">
        <v>0</v>
      </c>
    </row>
    <row r="4904" spans="1:10" ht="15.75" hidden="1" thickBot="1" x14ac:dyDescent="0.3">
      <c r="A4904" s="221"/>
      <c r="B4904" s="223"/>
      <c r="C4904" s="26"/>
      <c r="D4904" s="26"/>
      <c r="E4904" s="27"/>
      <c r="F4904" s="37" t="s">
        <v>521</v>
      </c>
      <c r="G4904" s="25" t="str">
        <f t="shared" si="92"/>
        <v/>
      </c>
      <c r="H4904" s="29"/>
      <c r="I4904" s="25"/>
      <c r="J4904" s="138">
        <v>0</v>
      </c>
    </row>
    <row r="4905" spans="1:10" ht="15.75" hidden="1" thickBot="1" x14ac:dyDescent="0.3">
      <c r="A4905" s="221"/>
      <c r="B4905" s="223"/>
      <c r="C4905" s="30" t="s">
        <v>1857</v>
      </c>
      <c r="D4905" s="41" t="s">
        <v>279</v>
      </c>
      <c r="E4905" s="31">
        <v>1</v>
      </c>
      <c r="F4905" s="28" t="s">
        <v>521</v>
      </c>
      <c r="G4905" s="28" t="str">
        <f t="shared" si="92"/>
        <v/>
      </c>
      <c r="H4905" s="33">
        <f>SUM(G4905:G4910)</f>
        <v>78.268135450000003</v>
      </c>
      <c r="I4905" s="34"/>
      <c r="J4905" s="138">
        <v>0</v>
      </c>
    </row>
    <row r="4906" spans="1:10" ht="26.25" hidden="1" thickBot="1" x14ac:dyDescent="0.3">
      <c r="A4906" s="221"/>
      <c r="B4906" s="223"/>
      <c r="C4906" s="30" t="s">
        <v>2260</v>
      </c>
      <c r="D4906" s="41" t="s">
        <v>20</v>
      </c>
      <c r="E4906" s="31">
        <v>1</v>
      </c>
      <c r="F4906" s="28">
        <v>14.3925</v>
      </c>
      <c r="G4906" s="48">
        <f t="shared" si="92"/>
        <v>14.3925</v>
      </c>
      <c r="H4906" s="29"/>
      <c r="I4906" s="25"/>
      <c r="J4906" s="138">
        <v>0</v>
      </c>
    </row>
    <row r="4907" spans="1:10" ht="26.25" hidden="1" thickBot="1" x14ac:dyDescent="0.3">
      <c r="A4907" s="221"/>
      <c r="B4907" s="223"/>
      <c r="C4907" s="30" t="s">
        <v>329</v>
      </c>
      <c r="D4907" s="41" t="s">
        <v>279</v>
      </c>
      <c r="E4907" s="31">
        <v>2</v>
      </c>
      <c r="F4907" s="28">
        <v>19.835999999999999</v>
      </c>
      <c r="G4907" s="28">
        <f t="shared" si="92"/>
        <v>39.671999999999997</v>
      </c>
      <c r="H4907" s="29"/>
      <c r="I4907" s="25"/>
      <c r="J4907" s="138">
        <v>0</v>
      </c>
    </row>
    <row r="4908" spans="1:10" ht="15.75" hidden="1" thickBot="1" x14ac:dyDescent="0.3">
      <c r="A4908" s="221"/>
      <c r="B4908" s="223"/>
      <c r="C4908" s="30" t="s">
        <v>1833</v>
      </c>
      <c r="D4908" s="41" t="s">
        <v>42</v>
      </c>
      <c r="E4908" s="31">
        <v>8.8099999999999998E-2</v>
      </c>
      <c r="F4908" s="28">
        <v>64.619</v>
      </c>
      <c r="G4908" s="28">
        <f t="shared" si="92"/>
        <v>5.6929338999999999</v>
      </c>
      <c r="H4908" s="29"/>
      <c r="I4908" s="25"/>
      <c r="J4908" s="138">
        <v>0</v>
      </c>
    </row>
    <row r="4909" spans="1:10" ht="15.75" hidden="1" thickBot="1" x14ac:dyDescent="0.3">
      <c r="A4909" s="221"/>
      <c r="B4909" s="223"/>
      <c r="C4909" s="30" t="s">
        <v>39</v>
      </c>
      <c r="D4909" s="41" t="s">
        <v>12</v>
      </c>
      <c r="E4909" s="31">
        <v>0.49680000000000002</v>
      </c>
      <c r="F4909" s="25">
        <v>24.300999999999998</v>
      </c>
      <c r="G4909" s="28">
        <f t="shared" si="92"/>
        <v>12.072736799999999</v>
      </c>
      <c r="H4909" s="29"/>
      <c r="I4909" s="25"/>
      <c r="J4909" s="138">
        <v>0</v>
      </c>
    </row>
    <row r="4910" spans="1:10" ht="15.75" hidden="1" thickBot="1" x14ac:dyDescent="0.3">
      <c r="A4910" s="221"/>
      <c r="B4910" s="223"/>
      <c r="C4910" s="30" t="s">
        <v>23</v>
      </c>
      <c r="D4910" s="41" t="s">
        <v>12</v>
      </c>
      <c r="E4910" s="31">
        <v>0.34949999999999998</v>
      </c>
      <c r="F4910" s="25">
        <v>18.420500000000001</v>
      </c>
      <c r="G4910" s="28">
        <f t="shared" si="92"/>
        <v>6.4379647499999999</v>
      </c>
      <c r="H4910" s="29"/>
      <c r="I4910" s="25"/>
      <c r="J4910" s="138">
        <v>0</v>
      </c>
    </row>
    <row r="4911" spans="1:10" ht="15.75" hidden="1" thickBot="1" x14ac:dyDescent="0.3">
      <c r="A4911" s="227"/>
      <c r="B4911" s="224"/>
      <c r="C4911" s="30"/>
      <c r="D4911" s="30"/>
      <c r="E4911" s="31"/>
      <c r="F4911" s="25" t="s">
        <v>521</v>
      </c>
      <c r="G4911" s="25" t="str">
        <f t="shared" si="92"/>
        <v/>
      </c>
      <c r="H4911" s="29"/>
      <c r="I4911" s="25"/>
      <c r="J4911" s="138">
        <v>0</v>
      </c>
    </row>
    <row r="4912" spans="1:10" ht="15.75" hidden="1" thickBot="1" x14ac:dyDescent="0.3">
      <c r="A4912" s="220" t="s">
        <v>1777</v>
      </c>
      <c r="B4912" s="222" t="e">
        <f>INDEX(Orçamentária!A:B,MATCH(Composições!A4912,Orçamentária!A:A,0),2)</f>
        <v>#N/A</v>
      </c>
      <c r="C4912" s="35"/>
      <c r="D4912" s="20" t="s">
        <v>20</v>
      </c>
      <c r="E4912" s="21"/>
      <c r="F4912" s="43" t="s">
        <v>521</v>
      </c>
      <c r="G4912" s="22" t="str">
        <f t="shared" si="92"/>
        <v/>
      </c>
      <c r="H4912" s="23"/>
      <c r="I4912" s="24"/>
      <c r="J4912" s="138">
        <v>0</v>
      </c>
    </row>
    <row r="4913" spans="1:10" ht="15.75" hidden="1" thickBot="1" x14ac:dyDescent="0.3">
      <c r="A4913" s="225"/>
      <c r="B4913" s="223"/>
      <c r="C4913" s="26"/>
      <c r="D4913" s="26"/>
      <c r="E4913" s="27"/>
      <c r="F4913" s="48" t="s">
        <v>521</v>
      </c>
      <c r="G4913" s="48" t="str">
        <f t="shared" si="92"/>
        <v/>
      </c>
      <c r="H4913" s="67"/>
      <c r="I4913" s="68"/>
      <c r="J4913" s="138">
        <v>0</v>
      </c>
    </row>
    <row r="4914" spans="1:10" ht="26.25" hidden="1" thickBot="1" x14ac:dyDescent="0.3">
      <c r="A4914" s="225"/>
      <c r="B4914" s="223"/>
      <c r="C4914" s="30" t="s">
        <v>1858</v>
      </c>
      <c r="D4914" s="30" t="s">
        <v>279</v>
      </c>
      <c r="E4914" s="31">
        <v>1</v>
      </c>
      <c r="F4914" s="48" t="s">
        <v>521</v>
      </c>
      <c r="G4914" s="48" t="str">
        <f t="shared" si="92"/>
        <v/>
      </c>
      <c r="H4914" s="33">
        <f>SUM(G4914:G4917)</f>
        <v>13.534801049999999</v>
      </c>
      <c r="I4914" s="34"/>
      <c r="J4914" s="138">
        <v>0</v>
      </c>
    </row>
    <row r="4915" spans="1:10" ht="15.75" hidden="1" thickBot="1" x14ac:dyDescent="0.3">
      <c r="A4915" s="225"/>
      <c r="B4915" s="223"/>
      <c r="C4915" s="30" t="s">
        <v>1064</v>
      </c>
      <c r="D4915" s="30" t="s">
        <v>279</v>
      </c>
      <c r="E4915" s="31">
        <v>2.1000000000000001E-2</v>
      </c>
      <c r="F4915" s="48">
        <v>4.18</v>
      </c>
      <c r="G4915" s="48">
        <f t="shared" si="92"/>
        <v>8.7779999999999997E-2</v>
      </c>
      <c r="H4915" s="67"/>
      <c r="I4915" s="68"/>
      <c r="J4915" s="138">
        <v>0</v>
      </c>
    </row>
    <row r="4916" spans="1:10" ht="26.25" hidden="1" thickBot="1" x14ac:dyDescent="0.3">
      <c r="A4916" s="225"/>
      <c r="B4916" s="223"/>
      <c r="C4916" s="30" t="s">
        <v>950</v>
      </c>
      <c r="D4916" s="30" t="s">
        <v>702</v>
      </c>
      <c r="E4916" s="31">
        <v>0.44669999999999999</v>
      </c>
      <c r="F4916" s="48">
        <v>24.300999999999998</v>
      </c>
      <c r="G4916" s="48">
        <f t="shared" si="92"/>
        <v>10.855256699999998</v>
      </c>
      <c r="H4916" s="67"/>
      <c r="I4916" s="68"/>
      <c r="J4916" s="138">
        <v>0</v>
      </c>
    </row>
    <row r="4917" spans="1:10" ht="15.75" hidden="1" thickBot="1" x14ac:dyDescent="0.3">
      <c r="A4917" s="225"/>
      <c r="B4917" s="223"/>
      <c r="C4917" s="30" t="s">
        <v>703</v>
      </c>
      <c r="D4917" s="30" t="s">
        <v>702</v>
      </c>
      <c r="E4917" s="31">
        <v>0.14069999999999999</v>
      </c>
      <c r="F4917" s="48">
        <v>18.420500000000001</v>
      </c>
      <c r="G4917" s="48">
        <f t="shared" si="92"/>
        <v>2.5917643500000001</v>
      </c>
      <c r="H4917" s="67"/>
      <c r="I4917" s="68"/>
      <c r="J4917" s="138">
        <v>0</v>
      </c>
    </row>
    <row r="4918" spans="1:10" ht="15.75" hidden="1" thickBot="1" x14ac:dyDescent="0.3">
      <c r="A4918" s="226"/>
      <c r="B4918" s="224"/>
      <c r="C4918" s="30"/>
      <c r="D4918" s="30"/>
      <c r="E4918" s="31"/>
      <c r="F4918" s="48" t="s">
        <v>521</v>
      </c>
      <c r="G4918" s="48" t="str">
        <f t="shared" si="92"/>
        <v/>
      </c>
      <c r="H4918" s="67"/>
      <c r="I4918" s="68"/>
      <c r="J4918" s="138">
        <v>0</v>
      </c>
    </row>
    <row r="4919" spans="1:10" ht="15.75" hidden="1" thickBot="1" x14ac:dyDescent="0.3">
      <c r="A4919" s="220" t="s">
        <v>1778</v>
      </c>
      <c r="B4919" s="222" t="e">
        <f>INDEX(Orçamentária!A:B,MATCH(Composições!A4919,Orçamentária!A:A,0),2)</f>
        <v>#N/A</v>
      </c>
      <c r="C4919" s="35"/>
      <c r="D4919" s="20" t="s">
        <v>20</v>
      </c>
      <c r="E4919" s="21"/>
      <c r="F4919" s="43" t="s">
        <v>521</v>
      </c>
      <c r="G4919" s="22" t="str">
        <f t="shared" si="92"/>
        <v/>
      </c>
      <c r="H4919" s="23"/>
      <c r="I4919" s="24"/>
      <c r="J4919" s="138">
        <v>0</v>
      </c>
    </row>
    <row r="4920" spans="1:10" ht="15.75" hidden="1" thickBot="1" x14ac:dyDescent="0.3">
      <c r="A4920" s="225"/>
      <c r="B4920" s="223"/>
      <c r="C4920" s="26"/>
      <c r="D4920" s="26"/>
      <c r="E4920" s="27"/>
      <c r="F4920" s="48" t="s">
        <v>521</v>
      </c>
      <c r="G4920" s="48" t="str">
        <f t="shared" si="92"/>
        <v/>
      </c>
      <c r="H4920" s="67"/>
      <c r="I4920" s="68"/>
      <c r="J4920" s="138">
        <v>0</v>
      </c>
    </row>
    <row r="4921" spans="1:10" ht="15.75" hidden="1" thickBot="1" x14ac:dyDescent="0.3">
      <c r="A4921" s="225"/>
      <c r="B4921" s="223"/>
      <c r="C4921" s="30" t="s">
        <v>1064</v>
      </c>
      <c r="D4921" s="30" t="s">
        <v>279</v>
      </c>
      <c r="E4921" s="31">
        <v>4.2000000000000003E-2</v>
      </c>
      <c r="F4921" s="48">
        <v>4.18</v>
      </c>
      <c r="G4921" s="48">
        <f t="shared" si="92"/>
        <v>0.17555999999999999</v>
      </c>
      <c r="H4921" s="33">
        <f>SUM(G4921:G4924)</f>
        <v>14.123606299999999</v>
      </c>
      <c r="I4921" s="34"/>
      <c r="J4921" s="138">
        <v>0</v>
      </c>
    </row>
    <row r="4922" spans="1:10" ht="15.75" hidden="1" thickBot="1" x14ac:dyDescent="0.3">
      <c r="A4922" s="225"/>
      <c r="B4922" s="223"/>
      <c r="C4922" s="30" t="s">
        <v>1856</v>
      </c>
      <c r="D4922" s="30" t="s">
        <v>279</v>
      </c>
      <c r="E4922" s="31">
        <v>1</v>
      </c>
      <c r="F4922" s="48" t="s">
        <v>521</v>
      </c>
      <c r="G4922" s="48" t="str">
        <f t="shared" si="92"/>
        <v/>
      </c>
      <c r="H4922" s="67"/>
      <c r="I4922" s="68"/>
      <c r="J4922" s="138">
        <v>0</v>
      </c>
    </row>
    <row r="4923" spans="1:10" ht="26.25" hidden="1" thickBot="1" x14ac:dyDescent="0.3">
      <c r="A4923" s="225"/>
      <c r="B4923" s="223"/>
      <c r="C4923" s="30" t="s">
        <v>950</v>
      </c>
      <c r="D4923" s="30" t="s">
        <v>702</v>
      </c>
      <c r="E4923" s="31">
        <v>0.46329999999999999</v>
      </c>
      <c r="F4923" s="48">
        <v>24.300999999999998</v>
      </c>
      <c r="G4923" s="48">
        <f t="shared" si="92"/>
        <v>11.258653299999999</v>
      </c>
      <c r="H4923" s="67"/>
      <c r="I4923" s="68"/>
      <c r="J4923" s="138">
        <v>0</v>
      </c>
    </row>
    <row r="4924" spans="1:10" ht="15.75" hidden="1" thickBot="1" x14ac:dyDescent="0.3">
      <c r="A4924" s="225"/>
      <c r="B4924" s="223"/>
      <c r="C4924" s="30" t="s">
        <v>703</v>
      </c>
      <c r="D4924" s="30" t="s">
        <v>702</v>
      </c>
      <c r="E4924" s="31">
        <v>0.14599999999999999</v>
      </c>
      <c r="F4924" s="48">
        <v>18.420500000000001</v>
      </c>
      <c r="G4924" s="48">
        <f t="shared" si="92"/>
        <v>2.6893929999999999</v>
      </c>
      <c r="H4924" s="67"/>
      <c r="I4924" s="68"/>
      <c r="J4924" s="138">
        <v>0</v>
      </c>
    </row>
    <row r="4925" spans="1:10" ht="15.75" hidden="1" thickBot="1" x14ac:dyDescent="0.3">
      <c r="A4925" s="226"/>
      <c r="B4925" s="224"/>
      <c r="C4925" s="30"/>
      <c r="D4925" s="30"/>
      <c r="E4925" s="31"/>
      <c r="F4925" s="48" t="s">
        <v>521</v>
      </c>
      <c r="G4925" s="48" t="str">
        <f t="shared" si="92"/>
        <v/>
      </c>
      <c r="H4925" s="67"/>
      <c r="I4925" s="68"/>
      <c r="J4925" s="138">
        <v>0</v>
      </c>
    </row>
    <row r="4926" spans="1:10" ht="15.75" hidden="1" thickBot="1" x14ac:dyDescent="0.3">
      <c r="A4926" s="220" t="s">
        <v>1779</v>
      </c>
      <c r="B4926" s="222" t="e">
        <f>INDEX(Orçamentária!A:B,MATCH(Composições!A4926,Orçamentária!A:A,0),2)</f>
        <v>#N/A</v>
      </c>
      <c r="C4926" s="35"/>
      <c r="D4926" s="20" t="s">
        <v>20</v>
      </c>
      <c r="E4926" s="21"/>
      <c r="F4926" s="43" t="s">
        <v>521</v>
      </c>
      <c r="G4926" s="22" t="str">
        <f t="shared" si="92"/>
        <v/>
      </c>
      <c r="H4926" s="23"/>
      <c r="I4926" s="24"/>
      <c r="J4926" s="138">
        <v>0</v>
      </c>
    </row>
    <row r="4927" spans="1:10" ht="15.75" hidden="1" thickBot="1" x14ac:dyDescent="0.3">
      <c r="A4927" s="225"/>
      <c r="B4927" s="223"/>
      <c r="C4927" s="26"/>
      <c r="D4927" s="26"/>
      <c r="E4927" s="27"/>
      <c r="F4927" s="48" t="s">
        <v>521</v>
      </c>
      <c r="G4927" s="48" t="str">
        <f t="shared" si="92"/>
        <v/>
      </c>
      <c r="H4927" s="67"/>
      <c r="I4927" s="68"/>
      <c r="J4927" s="138">
        <v>0</v>
      </c>
    </row>
    <row r="4928" spans="1:10" ht="15.75" hidden="1" thickBot="1" x14ac:dyDescent="0.3">
      <c r="A4928" s="225"/>
      <c r="B4928" s="223"/>
      <c r="C4928" s="30" t="s">
        <v>1064</v>
      </c>
      <c r="D4928" s="30" t="s">
        <v>279</v>
      </c>
      <c r="E4928" s="31">
        <v>4.2000000000000003E-2</v>
      </c>
      <c r="F4928" s="48">
        <v>4.18</v>
      </c>
      <c r="G4928" s="48">
        <f t="shared" si="92"/>
        <v>0.17555999999999999</v>
      </c>
      <c r="H4928" s="33">
        <f>SUM(G4928:G4931)</f>
        <v>6.9973902999999993</v>
      </c>
      <c r="I4928" s="34"/>
      <c r="J4928" s="138">
        <v>0</v>
      </c>
    </row>
    <row r="4929" spans="1:10" ht="26.25" hidden="1" thickBot="1" x14ac:dyDescent="0.3">
      <c r="A4929" s="225"/>
      <c r="B4929" s="223"/>
      <c r="C4929" s="30" t="s">
        <v>1855</v>
      </c>
      <c r="D4929" s="30" t="s">
        <v>279</v>
      </c>
      <c r="E4929" s="31">
        <v>1</v>
      </c>
      <c r="F4929" s="48" t="s">
        <v>521</v>
      </c>
      <c r="G4929" s="48" t="str">
        <f t="shared" si="92"/>
        <v/>
      </c>
      <c r="H4929" s="67"/>
      <c r="I4929" s="68"/>
      <c r="J4929" s="138">
        <v>0</v>
      </c>
    </row>
    <row r="4930" spans="1:10" ht="26.25" hidden="1" thickBot="1" x14ac:dyDescent="0.3">
      <c r="A4930" s="225"/>
      <c r="B4930" s="223"/>
      <c r="C4930" s="30" t="s">
        <v>950</v>
      </c>
      <c r="D4930" s="30" t="s">
        <v>702</v>
      </c>
      <c r="E4930" s="31">
        <v>0.2266</v>
      </c>
      <c r="F4930" s="48">
        <v>24.300999999999998</v>
      </c>
      <c r="G4930" s="48">
        <f t="shared" si="92"/>
        <v>5.5066065999999996</v>
      </c>
      <c r="H4930" s="67"/>
      <c r="I4930" s="68"/>
      <c r="J4930" s="138">
        <v>0</v>
      </c>
    </row>
    <row r="4931" spans="1:10" ht="15.75" hidden="1" thickBot="1" x14ac:dyDescent="0.3">
      <c r="A4931" s="225"/>
      <c r="B4931" s="223"/>
      <c r="C4931" s="30" t="s">
        <v>703</v>
      </c>
      <c r="D4931" s="30" t="s">
        <v>702</v>
      </c>
      <c r="E4931" s="31">
        <v>7.1400000000000005E-2</v>
      </c>
      <c r="F4931" s="48">
        <v>18.420500000000001</v>
      </c>
      <c r="G4931" s="48">
        <f t="shared" si="92"/>
        <v>1.3152237000000002</v>
      </c>
      <c r="H4931" s="67"/>
      <c r="I4931" s="68"/>
      <c r="J4931" s="138">
        <v>0</v>
      </c>
    </row>
    <row r="4932" spans="1:10" ht="15.75" hidden="1" thickBot="1" x14ac:dyDescent="0.3">
      <c r="A4932" s="226"/>
      <c r="B4932" s="224"/>
      <c r="C4932" s="30"/>
      <c r="D4932" s="30"/>
      <c r="E4932" s="31"/>
      <c r="F4932" s="48" t="s">
        <v>521</v>
      </c>
      <c r="G4932" s="48" t="str">
        <f t="shared" si="92"/>
        <v/>
      </c>
      <c r="H4932" s="67"/>
      <c r="I4932" s="68"/>
      <c r="J4932" s="138">
        <v>0</v>
      </c>
    </row>
    <row r="4933" spans="1:10" ht="15.75" hidden="1" thickBot="1" x14ac:dyDescent="0.3">
      <c r="A4933" s="220" t="s">
        <v>1780</v>
      </c>
      <c r="B4933" s="222" t="e">
        <f>INDEX(Orçamentária!A:B,MATCH(Composições!A4933,Orçamentária!A:A,0),2)</f>
        <v>#N/A</v>
      </c>
      <c r="C4933" s="35"/>
      <c r="D4933" s="20" t="s">
        <v>20</v>
      </c>
      <c r="E4933" s="21"/>
      <c r="F4933" s="43" t="s">
        <v>521</v>
      </c>
      <c r="G4933" s="22" t="str">
        <f t="shared" si="92"/>
        <v/>
      </c>
      <c r="H4933" s="23"/>
      <c r="I4933" s="24"/>
      <c r="J4933" s="138">
        <v>0</v>
      </c>
    </row>
    <row r="4934" spans="1:10" ht="15.75" hidden="1" thickBot="1" x14ac:dyDescent="0.3">
      <c r="A4934" s="225"/>
      <c r="B4934" s="223"/>
      <c r="C4934" s="26"/>
      <c r="D4934" s="26"/>
      <c r="E4934" s="27"/>
      <c r="F4934" s="48" t="s">
        <v>521</v>
      </c>
      <c r="G4934" s="48" t="str">
        <f t="shared" si="92"/>
        <v/>
      </c>
      <c r="H4934" s="67"/>
      <c r="I4934" s="68"/>
      <c r="J4934" s="138">
        <v>0</v>
      </c>
    </row>
    <row r="4935" spans="1:10" ht="15.75" hidden="1" thickBot="1" x14ac:dyDescent="0.3">
      <c r="A4935" s="225"/>
      <c r="B4935" s="223"/>
      <c r="C4935" s="30" t="s">
        <v>1064</v>
      </c>
      <c r="D4935" s="30" t="s">
        <v>279</v>
      </c>
      <c r="E4935" s="31">
        <v>4.2000000000000003E-2</v>
      </c>
      <c r="F4935" s="48">
        <v>4.18</v>
      </c>
      <c r="G4935" s="48">
        <f t="shared" si="92"/>
        <v>0.17555999999999999</v>
      </c>
      <c r="H4935" s="33">
        <f>SUM(G4935:G4938)</f>
        <v>14.123606299999999</v>
      </c>
      <c r="I4935" s="34"/>
      <c r="J4935" s="138">
        <v>0</v>
      </c>
    </row>
    <row r="4936" spans="1:10" ht="26.25" hidden="1" thickBot="1" x14ac:dyDescent="0.3">
      <c r="A4936" s="225"/>
      <c r="B4936" s="223"/>
      <c r="C4936" s="30" t="s">
        <v>1860</v>
      </c>
      <c r="D4936" s="30" t="s">
        <v>279</v>
      </c>
      <c r="E4936" s="31">
        <v>1</v>
      </c>
      <c r="F4936" s="48" t="s">
        <v>521</v>
      </c>
      <c r="G4936" s="48" t="str">
        <f t="shared" si="92"/>
        <v/>
      </c>
      <c r="H4936" s="67"/>
      <c r="I4936" s="68"/>
      <c r="J4936" s="138">
        <v>0</v>
      </c>
    </row>
    <row r="4937" spans="1:10" ht="26.25" hidden="1" thickBot="1" x14ac:dyDescent="0.3">
      <c r="A4937" s="225"/>
      <c r="B4937" s="223"/>
      <c r="C4937" s="30" t="s">
        <v>950</v>
      </c>
      <c r="D4937" s="30" t="s">
        <v>702</v>
      </c>
      <c r="E4937" s="31">
        <v>0.46329999999999999</v>
      </c>
      <c r="F4937" s="48">
        <v>24.300999999999998</v>
      </c>
      <c r="G4937" s="48">
        <f t="shared" si="92"/>
        <v>11.258653299999999</v>
      </c>
      <c r="H4937" s="67"/>
      <c r="I4937" s="68"/>
      <c r="J4937" s="138">
        <v>0</v>
      </c>
    </row>
    <row r="4938" spans="1:10" ht="15.75" hidden="1" thickBot="1" x14ac:dyDescent="0.3">
      <c r="A4938" s="225"/>
      <c r="B4938" s="223"/>
      <c r="C4938" s="30" t="s">
        <v>703</v>
      </c>
      <c r="D4938" s="30" t="s">
        <v>702</v>
      </c>
      <c r="E4938" s="31">
        <v>0.14599999999999999</v>
      </c>
      <c r="F4938" s="48">
        <v>18.420500000000001</v>
      </c>
      <c r="G4938" s="48">
        <f t="shared" si="92"/>
        <v>2.6893929999999999</v>
      </c>
      <c r="H4938" s="67"/>
      <c r="I4938" s="68"/>
      <c r="J4938" s="138">
        <v>0</v>
      </c>
    </row>
    <row r="4939" spans="1:10" ht="15.75" hidden="1" thickBot="1" x14ac:dyDescent="0.3">
      <c r="A4939" s="226"/>
      <c r="B4939" s="224"/>
      <c r="C4939" s="30"/>
      <c r="D4939" s="30"/>
      <c r="E4939" s="31"/>
      <c r="F4939" s="48" t="s">
        <v>521</v>
      </c>
      <c r="G4939" s="48" t="str">
        <f t="shared" si="92"/>
        <v/>
      </c>
      <c r="H4939" s="67"/>
      <c r="I4939" s="68"/>
      <c r="J4939" s="138">
        <v>0</v>
      </c>
    </row>
    <row r="4940" spans="1:10" ht="15.75" hidden="1" thickBot="1" x14ac:dyDescent="0.3">
      <c r="A4940" s="220" t="s">
        <v>1781</v>
      </c>
      <c r="B4940" s="222" t="e">
        <f>INDEX(Orçamentária!A:B,MATCH(Composições!A4940,Orçamentária!A:A,0),2)</f>
        <v>#N/A</v>
      </c>
      <c r="C4940" s="35"/>
      <c r="D4940" s="20" t="s">
        <v>20</v>
      </c>
      <c r="E4940" s="21"/>
      <c r="F4940" s="43" t="s">
        <v>521</v>
      </c>
      <c r="G4940" s="22" t="str">
        <f t="shared" si="92"/>
        <v/>
      </c>
      <c r="H4940" s="23"/>
      <c r="I4940" s="24"/>
      <c r="J4940" s="138">
        <v>0</v>
      </c>
    </row>
    <row r="4941" spans="1:10" ht="15.75" hidden="1" thickBot="1" x14ac:dyDescent="0.3">
      <c r="A4941" s="225"/>
      <c r="B4941" s="223"/>
      <c r="C4941" s="26"/>
      <c r="D4941" s="26"/>
      <c r="E4941" s="27"/>
      <c r="F4941" s="48" t="s">
        <v>521</v>
      </c>
      <c r="G4941" s="48" t="str">
        <f t="shared" si="92"/>
        <v/>
      </c>
      <c r="H4941" s="67"/>
      <c r="I4941" s="68"/>
      <c r="J4941" s="138">
        <v>0</v>
      </c>
    </row>
    <row r="4942" spans="1:10" ht="15.75" hidden="1" thickBot="1" x14ac:dyDescent="0.3">
      <c r="A4942" s="225"/>
      <c r="B4942" s="223"/>
      <c r="C4942" s="30" t="s">
        <v>1064</v>
      </c>
      <c r="D4942" s="30" t="s">
        <v>279</v>
      </c>
      <c r="E4942" s="31">
        <v>4.2000000000000003E-2</v>
      </c>
      <c r="F4942" s="48">
        <v>4.18</v>
      </c>
      <c r="G4942" s="48">
        <f t="shared" si="92"/>
        <v>0.17555999999999999</v>
      </c>
      <c r="H4942" s="33">
        <f>SUM(G4942:G4945)</f>
        <v>6.9973902999999993</v>
      </c>
      <c r="I4942" s="34"/>
      <c r="J4942" s="138">
        <v>0</v>
      </c>
    </row>
    <row r="4943" spans="1:10" ht="26.25" hidden="1" thickBot="1" x14ac:dyDescent="0.3">
      <c r="A4943" s="225"/>
      <c r="B4943" s="223"/>
      <c r="C4943" s="30" t="s">
        <v>1861</v>
      </c>
      <c r="D4943" s="30" t="s">
        <v>279</v>
      </c>
      <c r="E4943" s="31">
        <v>1</v>
      </c>
      <c r="F4943" s="48" t="s">
        <v>521</v>
      </c>
      <c r="G4943" s="48" t="str">
        <f t="shared" si="92"/>
        <v/>
      </c>
      <c r="H4943" s="67"/>
      <c r="I4943" s="68"/>
      <c r="J4943" s="138">
        <v>0</v>
      </c>
    </row>
    <row r="4944" spans="1:10" ht="26.25" hidden="1" thickBot="1" x14ac:dyDescent="0.3">
      <c r="A4944" s="225"/>
      <c r="B4944" s="223"/>
      <c r="C4944" s="30" t="s">
        <v>950</v>
      </c>
      <c r="D4944" s="30" t="s">
        <v>702</v>
      </c>
      <c r="E4944" s="31">
        <v>0.2266</v>
      </c>
      <c r="F4944" s="48">
        <v>24.300999999999998</v>
      </c>
      <c r="G4944" s="48">
        <f t="shared" si="92"/>
        <v>5.5066065999999996</v>
      </c>
      <c r="H4944" s="67"/>
      <c r="I4944" s="68"/>
      <c r="J4944" s="138">
        <v>0</v>
      </c>
    </row>
    <row r="4945" spans="1:10" ht="15.75" hidden="1" thickBot="1" x14ac:dyDescent="0.3">
      <c r="A4945" s="225"/>
      <c r="B4945" s="223"/>
      <c r="C4945" s="30" t="s">
        <v>703</v>
      </c>
      <c r="D4945" s="30" t="s">
        <v>702</v>
      </c>
      <c r="E4945" s="31">
        <v>7.1400000000000005E-2</v>
      </c>
      <c r="F4945" s="48">
        <v>18.420500000000001</v>
      </c>
      <c r="G4945" s="48">
        <f t="shared" si="92"/>
        <v>1.3152237000000002</v>
      </c>
      <c r="H4945" s="67"/>
      <c r="I4945" s="68"/>
      <c r="J4945" s="138">
        <v>0</v>
      </c>
    </row>
    <row r="4946" spans="1:10" ht="15.75" hidden="1" thickBot="1" x14ac:dyDescent="0.3">
      <c r="A4946" s="226"/>
      <c r="B4946" s="224"/>
      <c r="C4946" s="30"/>
      <c r="D4946" s="30"/>
      <c r="E4946" s="31"/>
      <c r="F4946" s="48" t="s">
        <v>521</v>
      </c>
      <c r="G4946" s="48" t="str">
        <f t="shared" si="92"/>
        <v/>
      </c>
      <c r="H4946" s="67"/>
      <c r="I4946" s="68"/>
      <c r="J4946" s="138">
        <v>0</v>
      </c>
    </row>
    <row r="4947" spans="1:10" ht="15.75" hidden="1" thickBot="1" x14ac:dyDescent="0.3">
      <c r="A4947" s="220" t="s">
        <v>1782</v>
      </c>
      <c r="B4947" s="222" t="e">
        <f>INDEX(Orçamentária!A:B,MATCH(Composições!A4947,Orçamentária!A:A,0),2)</f>
        <v>#N/A</v>
      </c>
      <c r="C4947" s="35"/>
      <c r="D4947" s="20" t="s">
        <v>20</v>
      </c>
      <c r="E4947" s="21"/>
      <c r="F4947" s="36" t="s">
        <v>521</v>
      </c>
      <c r="G4947" s="22" t="str">
        <f t="shared" si="92"/>
        <v/>
      </c>
      <c r="H4947" s="23"/>
      <c r="I4947" s="24"/>
      <c r="J4947" s="138">
        <v>0</v>
      </c>
    </row>
    <row r="4948" spans="1:10" ht="15.75" hidden="1" thickBot="1" x14ac:dyDescent="0.3">
      <c r="A4948" s="221"/>
      <c r="B4948" s="223"/>
      <c r="C4948" s="26"/>
      <c r="D4948" s="26"/>
      <c r="E4948" s="27"/>
      <c r="F4948" s="37" t="s">
        <v>521</v>
      </c>
      <c r="G4948" s="28" t="str">
        <f t="shared" si="92"/>
        <v/>
      </c>
      <c r="H4948" s="29"/>
      <c r="I4948" s="25"/>
      <c r="J4948" s="138">
        <v>0</v>
      </c>
    </row>
    <row r="4949" spans="1:10" ht="15.75" hidden="1" thickBot="1" x14ac:dyDescent="0.3">
      <c r="A4949" s="221"/>
      <c r="B4949" s="223"/>
      <c r="C4949" s="30" t="s">
        <v>68</v>
      </c>
      <c r="D4949" s="30" t="s">
        <v>12</v>
      </c>
      <c r="E4949" s="31">
        <v>0.3</v>
      </c>
      <c r="F4949" s="28">
        <v>22.961500000000001</v>
      </c>
      <c r="G4949" s="28">
        <f t="shared" si="92"/>
        <v>6.8884499999999997</v>
      </c>
      <c r="H4949" s="33">
        <f>SUM(G4949:G4950)</f>
        <v>6.8884499999999997</v>
      </c>
      <c r="I4949" s="34"/>
      <c r="J4949" s="138">
        <v>0</v>
      </c>
    </row>
    <row r="4950" spans="1:10" ht="26.25" hidden="1" thickBot="1" x14ac:dyDescent="0.3">
      <c r="A4950" s="221"/>
      <c r="B4950" s="223"/>
      <c r="C4950" s="30" t="s">
        <v>1862</v>
      </c>
      <c r="D4950" s="41" t="s">
        <v>20</v>
      </c>
      <c r="E4950" s="31">
        <v>1</v>
      </c>
      <c r="F4950" s="25" t="s">
        <v>521</v>
      </c>
      <c r="G4950" s="28" t="str">
        <f t="shared" si="92"/>
        <v/>
      </c>
      <c r="H4950" s="29"/>
      <c r="I4950" s="25"/>
      <c r="J4950" s="138">
        <v>0</v>
      </c>
    </row>
    <row r="4951" spans="1:10" ht="15.75" hidden="1" thickBot="1" x14ac:dyDescent="0.3">
      <c r="A4951" s="227"/>
      <c r="B4951" s="224"/>
      <c r="C4951" s="30"/>
      <c r="D4951" s="30"/>
      <c r="E4951" s="31"/>
      <c r="F4951" s="25" t="s">
        <v>521</v>
      </c>
      <c r="G4951" s="28" t="str">
        <f t="shared" si="92"/>
        <v/>
      </c>
      <c r="H4951" s="29"/>
      <c r="I4951" s="25"/>
      <c r="J4951" s="138">
        <v>0</v>
      </c>
    </row>
    <row r="4952" spans="1:10" ht="15.75" hidden="1" thickBot="1" x14ac:dyDescent="0.3">
      <c r="A4952" s="220" t="s">
        <v>1783</v>
      </c>
      <c r="B4952" s="222" t="e">
        <f>INDEX(Orçamentária!A:B,MATCH(Composições!A4952,Orçamentária!A:A,0),2)</f>
        <v>#N/A</v>
      </c>
      <c r="C4952" s="35"/>
      <c r="D4952" s="20" t="s">
        <v>20</v>
      </c>
      <c r="E4952" s="21"/>
      <c r="F4952" s="36" t="s">
        <v>521</v>
      </c>
      <c r="G4952" s="22" t="str">
        <f t="shared" si="92"/>
        <v/>
      </c>
      <c r="H4952" s="23"/>
      <c r="I4952" s="24"/>
      <c r="J4952" s="138">
        <v>0</v>
      </c>
    </row>
    <row r="4953" spans="1:10" ht="15.75" hidden="1" thickBot="1" x14ac:dyDescent="0.3">
      <c r="A4953" s="221"/>
      <c r="B4953" s="223"/>
      <c r="C4953" s="26"/>
      <c r="D4953" s="26"/>
      <c r="E4953" s="27"/>
      <c r="F4953" s="37" t="s">
        <v>521</v>
      </c>
      <c r="G4953" s="25" t="str">
        <f t="shared" si="92"/>
        <v/>
      </c>
      <c r="H4953" s="29"/>
      <c r="I4953" s="25"/>
      <c r="J4953" s="138">
        <v>0</v>
      </c>
    </row>
    <row r="4954" spans="1:10" ht="26.25" hidden="1" thickBot="1" x14ac:dyDescent="0.3">
      <c r="A4954" s="221"/>
      <c r="B4954" s="223"/>
      <c r="C4954" s="30" t="s">
        <v>1864</v>
      </c>
      <c r="D4954" s="30" t="s">
        <v>144</v>
      </c>
      <c r="E4954" s="31">
        <v>1</v>
      </c>
      <c r="F4954" s="28" t="s">
        <v>521</v>
      </c>
      <c r="G4954" s="28" t="str">
        <f t="shared" si="92"/>
        <v/>
      </c>
      <c r="H4954" s="33">
        <f>SUM(G4954:G4957)</f>
        <v>15.726679999999998</v>
      </c>
      <c r="I4954" s="34"/>
      <c r="J4954" s="138">
        <v>0</v>
      </c>
    </row>
    <row r="4955" spans="1:10" ht="26.25" hidden="1" thickBot="1" x14ac:dyDescent="0.3">
      <c r="A4955" s="221"/>
      <c r="B4955" s="223"/>
      <c r="C4955" s="30" t="s">
        <v>1863</v>
      </c>
      <c r="D4955" s="30" t="s">
        <v>144</v>
      </c>
      <c r="E4955" s="31">
        <v>1</v>
      </c>
      <c r="F4955" s="28" t="s">
        <v>521</v>
      </c>
      <c r="G4955" s="28" t="str">
        <f t="shared" si="92"/>
        <v/>
      </c>
      <c r="H4955" s="39"/>
      <c r="I4955" s="40"/>
      <c r="J4955" s="138">
        <v>0</v>
      </c>
    </row>
    <row r="4956" spans="1:10" ht="15.75" hidden="1" thickBot="1" x14ac:dyDescent="0.3">
      <c r="A4956" s="221"/>
      <c r="B4956" s="223"/>
      <c r="C4956" s="30" t="s">
        <v>74</v>
      </c>
      <c r="D4956" s="41" t="s">
        <v>12</v>
      </c>
      <c r="E4956" s="31">
        <v>0.19719999999999999</v>
      </c>
      <c r="F4956" s="25">
        <v>19.4085</v>
      </c>
      <c r="G4956" s="25">
        <f t="shared" ref="G4956:G5019" si="93">IF(ISNUMBER(F4956),E4956*F4956,"")</f>
        <v>3.8273561999999997</v>
      </c>
      <c r="H4956" s="29"/>
      <c r="I4956" s="25"/>
      <c r="J4956" s="138">
        <v>0</v>
      </c>
    </row>
    <row r="4957" spans="1:10" ht="15.75" hidden="1" thickBot="1" x14ac:dyDescent="0.3">
      <c r="A4957" s="221"/>
      <c r="B4957" s="223"/>
      <c r="C4957" s="30" t="s">
        <v>30</v>
      </c>
      <c r="D4957" s="30" t="s">
        <v>12</v>
      </c>
      <c r="E4957" s="31">
        <v>0.47320000000000001</v>
      </c>
      <c r="F4957" s="25">
        <v>25.146499999999996</v>
      </c>
      <c r="G4957" s="25">
        <f t="shared" si="93"/>
        <v>11.899323799999998</v>
      </c>
      <c r="H4957" s="29"/>
      <c r="I4957" s="25"/>
      <c r="J4957" s="138">
        <v>0</v>
      </c>
    </row>
    <row r="4958" spans="1:10" ht="15.75" hidden="1" thickBot="1" x14ac:dyDescent="0.3">
      <c r="A4958" s="227"/>
      <c r="B4958" s="224"/>
      <c r="C4958" s="30"/>
      <c r="D4958" s="30"/>
      <c r="E4958" s="31"/>
      <c r="F4958" s="25" t="s">
        <v>521</v>
      </c>
      <c r="G4958" s="25" t="str">
        <f t="shared" si="93"/>
        <v/>
      </c>
      <c r="H4958" s="29"/>
      <c r="I4958" s="25"/>
      <c r="J4958" s="138">
        <v>0</v>
      </c>
    </row>
    <row r="4959" spans="1:10" ht="15.75" hidden="1" thickBot="1" x14ac:dyDescent="0.3">
      <c r="A4959" s="220" t="s">
        <v>1784</v>
      </c>
      <c r="B4959" s="222" t="e">
        <f>INDEX(Orçamentária!A:B,MATCH(Composições!A4959,Orçamentária!A:A,0),2)</f>
        <v>#N/A</v>
      </c>
      <c r="C4959" s="35"/>
      <c r="D4959" s="20" t="s">
        <v>20</v>
      </c>
      <c r="E4959" s="21"/>
      <c r="F4959" s="36" t="s">
        <v>521</v>
      </c>
      <c r="G4959" s="22" t="str">
        <f t="shared" si="93"/>
        <v/>
      </c>
      <c r="H4959" s="23"/>
      <c r="I4959" s="24"/>
      <c r="J4959" s="138">
        <v>0</v>
      </c>
    </row>
    <row r="4960" spans="1:10" ht="15.75" hidden="1" thickBot="1" x14ac:dyDescent="0.3">
      <c r="A4960" s="221"/>
      <c r="B4960" s="223"/>
      <c r="C4960" s="26"/>
      <c r="D4960" s="26"/>
      <c r="E4960" s="27"/>
      <c r="F4960" s="37" t="s">
        <v>521</v>
      </c>
      <c r="G4960" s="25" t="str">
        <f t="shared" si="93"/>
        <v/>
      </c>
      <c r="H4960" s="29"/>
      <c r="I4960" s="25"/>
      <c r="J4960" s="138">
        <v>0</v>
      </c>
    </row>
    <row r="4961" spans="1:10" ht="15.75" hidden="1" thickBot="1" x14ac:dyDescent="0.3">
      <c r="A4961" s="221"/>
      <c r="B4961" s="223"/>
      <c r="C4961" s="30" t="s">
        <v>1618</v>
      </c>
      <c r="D4961" s="30" t="s">
        <v>279</v>
      </c>
      <c r="E4961" s="31">
        <v>1.2E-2</v>
      </c>
      <c r="F4961" s="28">
        <v>33.544499999999999</v>
      </c>
      <c r="G4961" s="28">
        <f t="shared" si="93"/>
        <v>0.402534</v>
      </c>
      <c r="H4961" s="33">
        <f>SUM(G4961:G4964)</f>
        <v>39.162001999999994</v>
      </c>
      <c r="I4961" s="34"/>
      <c r="J4961" s="138">
        <v>0</v>
      </c>
    </row>
    <row r="4962" spans="1:10" ht="26.25" hidden="1" thickBot="1" x14ac:dyDescent="0.3">
      <c r="A4962" s="221"/>
      <c r="B4962" s="223"/>
      <c r="C4962" s="30" t="s">
        <v>1736</v>
      </c>
      <c r="D4962" s="30" t="s">
        <v>279</v>
      </c>
      <c r="E4962" s="31">
        <v>1</v>
      </c>
      <c r="F4962" s="28">
        <v>30.817999999999998</v>
      </c>
      <c r="G4962" s="28">
        <f t="shared" si="93"/>
        <v>30.817999999999998</v>
      </c>
      <c r="H4962" s="39"/>
      <c r="I4962" s="40"/>
      <c r="J4962" s="138">
        <v>0</v>
      </c>
    </row>
    <row r="4963" spans="1:10" ht="26.25" hidden="1" thickBot="1" x14ac:dyDescent="0.3">
      <c r="A4963" s="221"/>
      <c r="B4963" s="223"/>
      <c r="C4963" s="30" t="s">
        <v>949</v>
      </c>
      <c r="D4963" s="41" t="s">
        <v>702</v>
      </c>
      <c r="E4963" s="31">
        <v>0.183</v>
      </c>
      <c r="F4963" s="25">
        <v>19.094999999999999</v>
      </c>
      <c r="G4963" s="25">
        <f t="shared" si="93"/>
        <v>3.4943849999999999</v>
      </c>
      <c r="H4963" s="29"/>
      <c r="I4963" s="25"/>
      <c r="J4963" s="138">
        <v>0</v>
      </c>
    </row>
    <row r="4964" spans="1:10" ht="26.25" hidden="1" thickBot="1" x14ac:dyDescent="0.3">
      <c r="A4964" s="221"/>
      <c r="B4964" s="223"/>
      <c r="C4964" s="30" t="s">
        <v>950</v>
      </c>
      <c r="D4964" s="30" t="s">
        <v>702</v>
      </c>
      <c r="E4964" s="31">
        <v>0.183</v>
      </c>
      <c r="F4964" s="25">
        <v>24.300999999999998</v>
      </c>
      <c r="G4964" s="25">
        <f t="shared" si="93"/>
        <v>4.4470829999999992</v>
      </c>
      <c r="H4964" s="29"/>
      <c r="I4964" s="25"/>
      <c r="J4964" s="138">
        <v>0</v>
      </c>
    </row>
    <row r="4965" spans="1:10" ht="15.75" hidden="1" thickBot="1" x14ac:dyDescent="0.3">
      <c r="A4965" s="227"/>
      <c r="B4965" s="224"/>
      <c r="C4965" s="30"/>
      <c r="D4965" s="30"/>
      <c r="E4965" s="31"/>
      <c r="F4965" s="25" t="s">
        <v>521</v>
      </c>
      <c r="G4965" s="25" t="str">
        <f t="shared" si="93"/>
        <v/>
      </c>
      <c r="H4965" s="29"/>
      <c r="I4965" s="25"/>
      <c r="J4965" s="138">
        <v>0</v>
      </c>
    </row>
    <row r="4966" spans="1:10" ht="15.75" hidden="1" thickBot="1" x14ac:dyDescent="0.3">
      <c r="A4966" s="220" t="s">
        <v>1785</v>
      </c>
      <c r="B4966" s="222" t="e">
        <f>INDEX(Orçamentária!A:B,MATCH(Composições!A4966,Orçamentária!A:A,0),2)</f>
        <v>#N/A</v>
      </c>
      <c r="C4966" s="35"/>
      <c r="D4966" s="20" t="s">
        <v>20</v>
      </c>
      <c r="E4966" s="21"/>
      <c r="F4966" s="36" t="s">
        <v>521</v>
      </c>
      <c r="G4966" s="22" t="str">
        <f t="shared" si="93"/>
        <v/>
      </c>
      <c r="H4966" s="23"/>
      <c r="I4966" s="24"/>
      <c r="J4966" s="138">
        <v>0</v>
      </c>
    </row>
    <row r="4967" spans="1:10" ht="15.75" hidden="1" thickBot="1" x14ac:dyDescent="0.3">
      <c r="A4967" s="221"/>
      <c r="B4967" s="223"/>
      <c r="C4967" s="26"/>
      <c r="D4967" s="26"/>
      <c r="E4967" s="27"/>
      <c r="F4967" s="37" t="s">
        <v>521</v>
      </c>
      <c r="G4967" s="25" t="str">
        <f t="shared" si="93"/>
        <v/>
      </c>
      <c r="H4967" s="29"/>
      <c r="I4967" s="25"/>
      <c r="J4967" s="138">
        <v>0</v>
      </c>
    </row>
    <row r="4968" spans="1:10" ht="15.75" hidden="1" thickBot="1" x14ac:dyDescent="0.3">
      <c r="A4968" s="221"/>
      <c r="B4968" s="223"/>
      <c r="C4968" s="30" t="s">
        <v>318</v>
      </c>
      <c r="D4968" s="30" t="s">
        <v>279</v>
      </c>
      <c r="E4968" s="31">
        <v>1.9199999999999998E-2</v>
      </c>
      <c r="F4968" s="28">
        <v>15.408999999999999</v>
      </c>
      <c r="G4968" s="28">
        <f t="shared" si="93"/>
        <v>0.29585279999999997</v>
      </c>
      <c r="H4968" s="33">
        <f>SUM(G4968:G4971)</f>
        <v>32.404553199999995</v>
      </c>
      <c r="I4968" s="34"/>
      <c r="J4968" s="138">
        <v>0</v>
      </c>
    </row>
    <row r="4969" spans="1:10" ht="15.75" hidden="1" thickBot="1" x14ac:dyDescent="0.3">
      <c r="A4969" s="221"/>
      <c r="B4969" s="223"/>
      <c r="C4969" s="30" t="s">
        <v>1865</v>
      </c>
      <c r="D4969" s="30" t="s">
        <v>279</v>
      </c>
      <c r="E4969" s="31">
        <v>1</v>
      </c>
      <c r="F4969" s="28" t="s">
        <v>521</v>
      </c>
      <c r="G4969" s="28" t="str">
        <f t="shared" si="93"/>
        <v/>
      </c>
      <c r="H4969" s="39"/>
      <c r="I4969" s="40"/>
      <c r="J4969" s="138">
        <v>0</v>
      </c>
    </row>
    <row r="4970" spans="1:10" ht="26.25" hidden="1" thickBot="1" x14ac:dyDescent="0.3">
      <c r="A4970" s="221"/>
      <c r="B4970" s="223"/>
      <c r="C4970" s="30" t="s">
        <v>949</v>
      </c>
      <c r="D4970" s="41" t="s">
        <v>702</v>
      </c>
      <c r="E4970" s="31">
        <f>ROUND(0.9249*0.8,4)</f>
        <v>0.7399</v>
      </c>
      <c r="F4970" s="25">
        <v>19.094999999999999</v>
      </c>
      <c r="G4970" s="25">
        <f t="shared" si="93"/>
        <v>14.1283905</v>
      </c>
      <c r="H4970" s="29"/>
      <c r="I4970" s="25"/>
      <c r="J4970" s="138">
        <v>0</v>
      </c>
    </row>
    <row r="4971" spans="1:10" ht="26.25" hidden="1" thickBot="1" x14ac:dyDescent="0.3">
      <c r="A4971" s="221"/>
      <c r="B4971" s="223"/>
      <c r="C4971" s="30" t="s">
        <v>950</v>
      </c>
      <c r="D4971" s="30" t="s">
        <v>702</v>
      </c>
      <c r="E4971" s="31">
        <f>ROUND(0.9249*0.8,4)</f>
        <v>0.7399</v>
      </c>
      <c r="F4971" s="25">
        <v>24.300999999999998</v>
      </c>
      <c r="G4971" s="25">
        <f t="shared" si="93"/>
        <v>17.980309899999998</v>
      </c>
      <c r="H4971" s="29"/>
      <c r="I4971" s="25"/>
      <c r="J4971" s="138">
        <v>0</v>
      </c>
    </row>
    <row r="4972" spans="1:10" ht="15.75" hidden="1" thickBot="1" x14ac:dyDescent="0.3">
      <c r="A4972" s="227"/>
      <c r="B4972" s="224"/>
      <c r="C4972" s="30"/>
      <c r="D4972" s="30"/>
      <c r="E4972" s="31"/>
      <c r="F4972" s="25" t="s">
        <v>521</v>
      </c>
      <c r="G4972" s="25" t="str">
        <f t="shared" si="93"/>
        <v/>
      </c>
      <c r="H4972" s="29"/>
      <c r="I4972" s="25"/>
      <c r="J4972" s="138">
        <v>0</v>
      </c>
    </row>
    <row r="4973" spans="1:10" ht="15.75" hidden="1" thickBot="1" x14ac:dyDescent="0.3">
      <c r="A4973" s="220" t="s">
        <v>1786</v>
      </c>
      <c r="B4973" s="222" t="e">
        <f>INDEX(Orçamentária!A:B,MATCH(Composições!A4973,Orçamentária!A:A,0),2)</f>
        <v>#N/A</v>
      </c>
      <c r="C4973" s="35"/>
      <c r="D4973" s="20" t="s">
        <v>20</v>
      </c>
      <c r="E4973" s="21"/>
      <c r="F4973" s="36" t="s">
        <v>521</v>
      </c>
      <c r="G4973" s="22" t="str">
        <f t="shared" si="93"/>
        <v/>
      </c>
      <c r="H4973" s="23"/>
      <c r="I4973" s="24"/>
      <c r="J4973" s="138">
        <v>0</v>
      </c>
    </row>
    <row r="4974" spans="1:10" ht="15.75" hidden="1" thickBot="1" x14ac:dyDescent="0.3">
      <c r="A4974" s="221"/>
      <c r="B4974" s="223"/>
      <c r="C4974" s="26"/>
      <c r="D4974" s="26"/>
      <c r="E4974" s="27"/>
      <c r="F4974" s="37" t="s">
        <v>521</v>
      </c>
      <c r="G4974" s="25" t="str">
        <f t="shared" si="93"/>
        <v/>
      </c>
      <c r="H4974" s="29"/>
      <c r="I4974" s="25"/>
      <c r="J4974" s="138">
        <v>0</v>
      </c>
    </row>
    <row r="4975" spans="1:10" ht="15.75" hidden="1" thickBot="1" x14ac:dyDescent="0.3">
      <c r="A4975" s="221"/>
      <c r="B4975" s="223"/>
      <c r="C4975" s="30" t="s">
        <v>318</v>
      </c>
      <c r="D4975" s="30" t="s">
        <v>279</v>
      </c>
      <c r="E4975" s="31">
        <v>1.9199999999999998E-2</v>
      </c>
      <c r="F4975" s="28">
        <v>15.408999999999999</v>
      </c>
      <c r="G4975" s="28">
        <f t="shared" si="93"/>
        <v>0.29585279999999997</v>
      </c>
      <c r="H4975" s="33">
        <f>SUM(G4975:G4978)</f>
        <v>32.404553199999995</v>
      </c>
      <c r="I4975" s="34"/>
      <c r="J4975" s="138">
        <v>0</v>
      </c>
    </row>
    <row r="4976" spans="1:10" ht="15.75" hidden="1" thickBot="1" x14ac:dyDescent="0.3">
      <c r="A4976" s="221"/>
      <c r="B4976" s="223"/>
      <c r="C4976" s="30" t="s">
        <v>1866</v>
      </c>
      <c r="D4976" s="30" t="s">
        <v>279</v>
      </c>
      <c r="E4976" s="31">
        <v>1</v>
      </c>
      <c r="F4976" s="28" t="s">
        <v>521</v>
      </c>
      <c r="G4976" s="28" t="str">
        <f t="shared" si="93"/>
        <v/>
      </c>
      <c r="H4976" s="39"/>
      <c r="I4976" s="40"/>
      <c r="J4976" s="138">
        <v>0</v>
      </c>
    </row>
    <row r="4977" spans="1:10" ht="26.25" hidden="1" thickBot="1" x14ac:dyDescent="0.3">
      <c r="A4977" s="221"/>
      <c r="B4977" s="223"/>
      <c r="C4977" s="30" t="s">
        <v>949</v>
      </c>
      <c r="D4977" s="41" t="s">
        <v>702</v>
      </c>
      <c r="E4977" s="31">
        <f t="shared" ref="E4977:E4978" si="94">ROUND(0.9249*0.8,4)</f>
        <v>0.7399</v>
      </c>
      <c r="F4977" s="25">
        <v>19.094999999999999</v>
      </c>
      <c r="G4977" s="25">
        <f t="shared" si="93"/>
        <v>14.1283905</v>
      </c>
      <c r="H4977" s="29"/>
      <c r="I4977" s="25"/>
      <c r="J4977" s="138">
        <v>0</v>
      </c>
    </row>
    <row r="4978" spans="1:10" ht="26.25" hidden="1" thickBot="1" x14ac:dyDescent="0.3">
      <c r="A4978" s="221"/>
      <c r="B4978" s="223"/>
      <c r="C4978" s="30" t="s">
        <v>950</v>
      </c>
      <c r="D4978" s="30" t="s">
        <v>702</v>
      </c>
      <c r="E4978" s="31">
        <f t="shared" si="94"/>
        <v>0.7399</v>
      </c>
      <c r="F4978" s="25">
        <v>24.300999999999998</v>
      </c>
      <c r="G4978" s="25">
        <f t="shared" si="93"/>
        <v>17.980309899999998</v>
      </c>
      <c r="H4978" s="29"/>
      <c r="I4978" s="25"/>
      <c r="J4978" s="138">
        <v>0</v>
      </c>
    </row>
    <row r="4979" spans="1:10" ht="15.75" hidden="1" thickBot="1" x14ac:dyDescent="0.3">
      <c r="A4979" s="227"/>
      <c r="B4979" s="224"/>
      <c r="C4979" s="30"/>
      <c r="D4979" s="30"/>
      <c r="E4979" s="31"/>
      <c r="F4979" s="25" t="s">
        <v>521</v>
      </c>
      <c r="G4979" s="25" t="str">
        <f t="shared" si="93"/>
        <v/>
      </c>
      <c r="H4979" s="29"/>
      <c r="I4979" s="25"/>
      <c r="J4979" s="138">
        <v>0</v>
      </c>
    </row>
    <row r="4980" spans="1:10" ht="15.75" hidden="1" thickBot="1" x14ac:dyDescent="0.3">
      <c r="A4980" s="220" t="s">
        <v>1787</v>
      </c>
      <c r="B4980" s="222" t="e">
        <f>INDEX(Orçamentária!A:B,MATCH(Composições!A4980,Orçamentária!A:A,0),2)</f>
        <v>#N/A</v>
      </c>
      <c r="C4980" s="35"/>
      <c r="D4980" s="20" t="s">
        <v>20</v>
      </c>
      <c r="E4980" s="21"/>
      <c r="F4980" s="36" t="s">
        <v>521</v>
      </c>
      <c r="G4980" s="22" t="str">
        <f t="shared" si="93"/>
        <v/>
      </c>
      <c r="H4980" s="23"/>
      <c r="I4980" s="24"/>
      <c r="J4980" s="138">
        <v>0</v>
      </c>
    </row>
    <row r="4981" spans="1:10" ht="15.75" hidden="1" thickBot="1" x14ac:dyDescent="0.3">
      <c r="A4981" s="221"/>
      <c r="B4981" s="223"/>
      <c r="C4981" s="26"/>
      <c r="D4981" s="26"/>
      <c r="E4981" s="27"/>
      <c r="F4981" s="37" t="s">
        <v>521</v>
      </c>
      <c r="G4981" s="28" t="str">
        <f t="shared" si="93"/>
        <v/>
      </c>
      <c r="H4981" s="29"/>
      <c r="I4981" s="25"/>
      <c r="J4981" s="138">
        <v>0</v>
      </c>
    </row>
    <row r="4982" spans="1:10" ht="26.25" hidden="1" thickBot="1" x14ac:dyDescent="0.3">
      <c r="A4982" s="221"/>
      <c r="B4982" s="223"/>
      <c r="C4982" s="30" t="s">
        <v>2260</v>
      </c>
      <c r="D4982" s="41" t="s">
        <v>20</v>
      </c>
      <c r="E4982" s="31">
        <v>1</v>
      </c>
      <c r="F4982" s="28">
        <v>14.3925</v>
      </c>
      <c r="G4982" s="48">
        <f t="shared" si="93"/>
        <v>14.3925</v>
      </c>
      <c r="H4982" s="33">
        <f>SUM(G4982:G4983)</f>
        <v>16.822600000000001</v>
      </c>
      <c r="I4982" s="25"/>
      <c r="J4982" s="138">
        <v>0</v>
      </c>
    </row>
    <row r="4983" spans="1:10" ht="26.25" hidden="1" thickBot="1" x14ac:dyDescent="0.3">
      <c r="A4983" s="221"/>
      <c r="B4983" s="223"/>
      <c r="C4983" s="30" t="s">
        <v>950</v>
      </c>
      <c r="D4983" s="30" t="s">
        <v>702</v>
      </c>
      <c r="E4983" s="31">
        <v>0.1</v>
      </c>
      <c r="F4983" s="25">
        <v>24.300999999999998</v>
      </c>
      <c r="G4983" s="25">
        <f t="shared" si="93"/>
        <v>2.4300999999999999</v>
      </c>
      <c r="H4983" s="29"/>
      <c r="I4983" s="25"/>
      <c r="J4983" s="138">
        <v>0</v>
      </c>
    </row>
    <row r="4984" spans="1:10" ht="15.75" hidden="1" thickBot="1" x14ac:dyDescent="0.3">
      <c r="A4984" s="227"/>
      <c r="B4984" s="224"/>
      <c r="C4984" s="30"/>
      <c r="D4984" s="30"/>
      <c r="E4984" s="31"/>
      <c r="F4984" s="25" t="s">
        <v>521</v>
      </c>
      <c r="G4984" s="28" t="str">
        <f t="shared" si="93"/>
        <v/>
      </c>
      <c r="H4984" s="29"/>
      <c r="I4984" s="25"/>
      <c r="J4984" s="138">
        <v>0</v>
      </c>
    </row>
    <row r="4985" spans="1:10" ht="15.75" hidden="1" thickBot="1" x14ac:dyDescent="0.3">
      <c r="A4985" s="228" t="s">
        <v>1788</v>
      </c>
      <c r="B4985" s="222" t="e">
        <f>INDEX(Orçamentária!A:B,MATCH(Composições!A4985,Orçamentária!A:A,0),2)</f>
        <v>#N/A</v>
      </c>
      <c r="C4985" s="35"/>
      <c r="D4985" s="20" t="s">
        <v>20</v>
      </c>
      <c r="E4985" s="21"/>
      <c r="F4985" s="36" t="s">
        <v>521</v>
      </c>
      <c r="G4985" s="22" t="str">
        <f t="shared" si="93"/>
        <v/>
      </c>
      <c r="H4985" s="23"/>
      <c r="I4985" s="24"/>
      <c r="J4985" s="138">
        <v>0</v>
      </c>
    </row>
    <row r="4986" spans="1:10" ht="15.75" hidden="1" thickBot="1" x14ac:dyDescent="0.3">
      <c r="A4986" s="229"/>
      <c r="B4986" s="223"/>
      <c r="C4986" s="26"/>
      <c r="D4986" s="26"/>
      <c r="E4986" s="27"/>
      <c r="F4986" s="37" t="s">
        <v>521</v>
      </c>
      <c r="G4986" s="25" t="str">
        <f t="shared" si="93"/>
        <v/>
      </c>
      <c r="H4986" s="29"/>
      <c r="I4986" s="25"/>
      <c r="J4986" s="138">
        <v>0</v>
      </c>
    </row>
    <row r="4987" spans="1:10" ht="51.75" hidden="1" thickBot="1" x14ac:dyDescent="0.3">
      <c r="A4987" s="229"/>
      <c r="B4987" s="223"/>
      <c r="C4987" s="30" t="s">
        <v>1949</v>
      </c>
      <c r="D4987" s="41" t="s">
        <v>279</v>
      </c>
      <c r="E4987" s="31">
        <v>1</v>
      </c>
      <c r="F4987" s="28">
        <v>238.55449999999999</v>
      </c>
      <c r="G4987" s="28">
        <f t="shared" si="93"/>
        <v>238.55449999999999</v>
      </c>
      <c r="H4987" s="33">
        <f>SUM(G4987:G4989)</f>
        <v>272.22212759999996</v>
      </c>
      <c r="I4987" s="34"/>
      <c r="J4987" s="138">
        <v>0</v>
      </c>
    </row>
    <row r="4988" spans="1:10" ht="15.75" hidden="1" thickBot="1" x14ac:dyDescent="0.3">
      <c r="A4988" s="229"/>
      <c r="B4988" s="223"/>
      <c r="C4988" s="30" t="s">
        <v>701</v>
      </c>
      <c r="D4988" s="41" t="s">
        <v>702</v>
      </c>
      <c r="E4988" s="31">
        <f>ROUND(1.282*0.8,4)</f>
        <v>1.0256000000000001</v>
      </c>
      <c r="F4988" s="25">
        <v>23.616999999999997</v>
      </c>
      <c r="G4988" s="28">
        <f t="shared" si="93"/>
        <v>24.221595199999999</v>
      </c>
      <c r="H4988" s="29"/>
      <c r="I4988" s="25"/>
      <c r="J4988" s="138">
        <v>0</v>
      </c>
    </row>
    <row r="4989" spans="1:10" ht="15.75" hidden="1" thickBot="1" x14ac:dyDescent="0.3">
      <c r="A4989" s="229"/>
      <c r="B4989" s="223"/>
      <c r="C4989" s="30" t="s">
        <v>703</v>
      </c>
      <c r="D4989" s="41" t="s">
        <v>702</v>
      </c>
      <c r="E4989" s="31">
        <f>ROUND(0.641*0.8,4)</f>
        <v>0.51280000000000003</v>
      </c>
      <c r="F4989" s="25">
        <v>18.420500000000001</v>
      </c>
      <c r="G4989" s="28">
        <f t="shared" si="93"/>
        <v>9.4460324000000018</v>
      </c>
      <c r="H4989" s="29"/>
      <c r="I4989" s="25"/>
      <c r="J4989" s="138">
        <v>0</v>
      </c>
    </row>
    <row r="4990" spans="1:10" ht="15.75" hidden="1" thickBot="1" x14ac:dyDescent="0.3">
      <c r="A4990" s="229"/>
      <c r="B4990" s="223"/>
      <c r="C4990" s="30"/>
      <c r="D4990" s="41"/>
      <c r="E4990" s="31"/>
      <c r="F4990" s="28" t="s">
        <v>521</v>
      </c>
      <c r="G4990" s="28" t="str">
        <f t="shared" si="93"/>
        <v/>
      </c>
      <c r="H4990" s="29"/>
      <c r="I4990" s="25"/>
      <c r="J4990" s="138">
        <v>0</v>
      </c>
    </row>
    <row r="4991" spans="1:10" ht="15.75" hidden="1" thickBot="1" x14ac:dyDescent="0.3">
      <c r="A4991" s="228" t="s">
        <v>1789</v>
      </c>
      <c r="B4991" s="222" t="e">
        <f>INDEX(Orçamentária!A:B,MATCH(Composições!A4991,Orçamentária!A:A,0),2)</f>
        <v>#N/A</v>
      </c>
      <c r="C4991" s="35"/>
      <c r="D4991" s="20" t="s">
        <v>20</v>
      </c>
      <c r="E4991" s="21"/>
      <c r="F4991" s="36" t="s">
        <v>521</v>
      </c>
      <c r="G4991" s="22" t="str">
        <f t="shared" si="93"/>
        <v/>
      </c>
      <c r="H4991" s="23"/>
      <c r="I4991" s="24"/>
      <c r="J4991" s="138">
        <v>0</v>
      </c>
    </row>
    <row r="4992" spans="1:10" ht="15.75" hidden="1" thickBot="1" x14ac:dyDescent="0.3">
      <c r="A4992" s="229"/>
      <c r="B4992" s="223"/>
      <c r="C4992" s="26"/>
      <c r="D4992" s="26"/>
      <c r="E4992" s="27"/>
      <c r="F4992" s="37" t="s">
        <v>521</v>
      </c>
      <c r="G4992" s="25" t="str">
        <f t="shared" si="93"/>
        <v/>
      </c>
      <c r="H4992" s="29"/>
      <c r="I4992" s="25"/>
      <c r="J4992" s="138">
        <v>0</v>
      </c>
    </row>
    <row r="4993" spans="1:10" ht="51.75" hidden="1" thickBot="1" x14ac:dyDescent="0.3">
      <c r="A4993" s="229"/>
      <c r="B4993" s="223"/>
      <c r="C4993" s="30" t="s">
        <v>1944</v>
      </c>
      <c r="D4993" s="41" t="s">
        <v>279</v>
      </c>
      <c r="E4993" s="31">
        <v>1</v>
      </c>
      <c r="F4993" s="28">
        <v>259.31199999999995</v>
      </c>
      <c r="G4993" s="28">
        <f t="shared" si="93"/>
        <v>259.31199999999995</v>
      </c>
      <c r="H4993" s="33">
        <f>SUM(G4993:G4995)</f>
        <v>296.44618519999995</v>
      </c>
      <c r="I4993" s="34"/>
      <c r="J4993" s="138">
        <v>0</v>
      </c>
    </row>
    <row r="4994" spans="1:10" ht="15.75" hidden="1" thickBot="1" x14ac:dyDescent="0.3">
      <c r="A4994" s="229"/>
      <c r="B4994" s="223"/>
      <c r="C4994" s="30" t="s">
        <v>701</v>
      </c>
      <c r="D4994" s="41" t="s">
        <v>702</v>
      </c>
      <c r="E4994" s="31">
        <f>ROUND(1.414*0.8,4)</f>
        <v>1.1312</v>
      </c>
      <c r="F4994" s="25">
        <v>23.616999999999997</v>
      </c>
      <c r="G4994" s="28">
        <f t="shared" si="93"/>
        <v>26.715550399999998</v>
      </c>
      <c r="H4994" s="29"/>
      <c r="I4994" s="25"/>
      <c r="J4994" s="138">
        <v>0</v>
      </c>
    </row>
    <row r="4995" spans="1:10" ht="15.75" hidden="1" thickBot="1" x14ac:dyDescent="0.3">
      <c r="A4995" s="229"/>
      <c r="B4995" s="223"/>
      <c r="C4995" s="30" t="s">
        <v>703</v>
      </c>
      <c r="D4995" s="41" t="s">
        <v>702</v>
      </c>
      <c r="E4995" s="31">
        <f>ROUND(0.707*0.8,4)</f>
        <v>0.56559999999999999</v>
      </c>
      <c r="F4995" s="25">
        <v>18.420500000000001</v>
      </c>
      <c r="G4995" s="28">
        <f t="shared" si="93"/>
        <v>10.4186348</v>
      </c>
      <c r="H4995" s="29"/>
      <c r="I4995" s="25"/>
      <c r="J4995" s="138">
        <v>0</v>
      </c>
    </row>
    <row r="4996" spans="1:10" ht="15.75" hidden="1" thickBot="1" x14ac:dyDescent="0.3">
      <c r="A4996" s="229"/>
      <c r="B4996" s="223"/>
      <c r="C4996" s="30"/>
      <c r="D4996" s="41"/>
      <c r="E4996" s="31"/>
      <c r="F4996" s="28" t="s">
        <v>521</v>
      </c>
      <c r="G4996" s="28" t="str">
        <f t="shared" si="93"/>
        <v/>
      </c>
      <c r="H4996" s="29"/>
      <c r="I4996" s="25"/>
      <c r="J4996" s="138">
        <v>0</v>
      </c>
    </row>
    <row r="4997" spans="1:10" ht="15.75" hidden="1" thickBot="1" x14ac:dyDescent="0.3">
      <c r="A4997" s="228" t="s">
        <v>1790</v>
      </c>
      <c r="B4997" s="222" t="e">
        <f>INDEX(Orçamentária!A:B,MATCH(Composições!A4997,Orçamentária!A:A,0),2)</f>
        <v>#N/A</v>
      </c>
      <c r="C4997" s="35"/>
      <c r="D4997" s="20" t="s">
        <v>20</v>
      </c>
      <c r="E4997" s="21"/>
      <c r="F4997" s="36" t="s">
        <v>521</v>
      </c>
      <c r="G4997" s="22" t="str">
        <f t="shared" si="93"/>
        <v/>
      </c>
      <c r="H4997" s="23"/>
      <c r="I4997" s="24"/>
      <c r="J4997" s="138">
        <v>0</v>
      </c>
    </row>
    <row r="4998" spans="1:10" ht="15.75" hidden="1" thickBot="1" x14ac:dyDescent="0.3">
      <c r="A4998" s="229"/>
      <c r="B4998" s="223"/>
      <c r="C4998" s="26"/>
      <c r="D4998" s="26"/>
      <c r="E4998" s="27"/>
      <c r="F4998" s="37" t="s">
        <v>521</v>
      </c>
      <c r="G4998" s="25" t="str">
        <f t="shared" si="93"/>
        <v/>
      </c>
      <c r="H4998" s="29"/>
      <c r="I4998" s="25"/>
      <c r="J4998" s="138">
        <v>0</v>
      </c>
    </row>
    <row r="4999" spans="1:10" ht="51.75" hidden="1" thickBot="1" x14ac:dyDescent="0.3">
      <c r="A4999" s="229"/>
      <c r="B4999" s="223"/>
      <c r="C4999" s="30" t="s">
        <v>1946</v>
      </c>
      <c r="D4999" s="41" t="s">
        <v>279</v>
      </c>
      <c r="E4999" s="31">
        <v>1</v>
      </c>
      <c r="F4999" s="28">
        <v>292.85649999999998</v>
      </c>
      <c r="G4999" s="28">
        <f t="shared" si="93"/>
        <v>292.85649999999998</v>
      </c>
      <c r="H4999" s="33">
        <f>SUM(G4999:G5001)</f>
        <v>333.45724279999996</v>
      </c>
      <c r="I4999" s="34"/>
      <c r="J4999" s="138">
        <v>0</v>
      </c>
    </row>
    <row r="5000" spans="1:10" ht="15.75" hidden="1" thickBot="1" x14ac:dyDescent="0.3">
      <c r="A5000" s="229"/>
      <c r="B5000" s="223"/>
      <c r="C5000" s="30" t="s">
        <v>701</v>
      </c>
      <c r="D5000" s="41" t="s">
        <v>702</v>
      </c>
      <c r="E5000" s="31">
        <f>ROUND(1.546*0.8,4)</f>
        <v>1.2367999999999999</v>
      </c>
      <c r="F5000" s="25">
        <v>23.616999999999997</v>
      </c>
      <c r="G5000" s="28">
        <f t="shared" si="93"/>
        <v>29.209505599999993</v>
      </c>
      <c r="H5000" s="29"/>
      <c r="I5000" s="25"/>
      <c r="J5000" s="138">
        <v>0</v>
      </c>
    </row>
    <row r="5001" spans="1:10" ht="15.75" hidden="1" thickBot="1" x14ac:dyDescent="0.3">
      <c r="A5001" s="229"/>
      <c r="B5001" s="223"/>
      <c r="C5001" s="30" t="s">
        <v>703</v>
      </c>
      <c r="D5001" s="41" t="s">
        <v>702</v>
      </c>
      <c r="E5001" s="31">
        <f>ROUND(0.773*0.8,4)</f>
        <v>0.61839999999999995</v>
      </c>
      <c r="F5001" s="25">
        <v>18.420500000000001</v>
      </c>
      <c r="G5001" s="28">
        <f t="shared" si="93"/>
        <v>11.391237199999999</v>
      </c>
      <c r="H5001" s="29"/>
      <c r="I5001" s="25"/>
      <c r="J5001" s="138">
        <v>0</v>
      </c>
    </row>
    <row r="5002" spans="1:10" ht="15.75" hidden="1" thickBot="1" x14ac:dyDescent="0.3">
      <c r="A5002" s="229"/>
      <c r="B5002" s="223"/>
      <c r="C5002" s="30"/>
      <c r="D5002" s="41"/>
      <c r="E5002" s="31"/>
      <c r="F5002" s="28" t="s">
        <v>521</v>
      </c>
      <c r="G5002" s="28" t="str">
        <f t="shared" si="93"/>
        <v/>
      </c>
      <c r="H5002" s="29"/>
      <c r="I5002" s="25"/>
      <c r="J5002" s="138">
        <v>0</v>
      </c>
    </row>
    <row r="5003" spans="1:10" ht="15.75" hidden="1" thickBot="1" x14ac:dyDescent="0.3">
      <c r="A5003" s="228" t="s">
        <v>1791</v>
      </c>
      <c r="B5003" s="222" t="e">
        <f>INDEX(Orçamentária!A:B,MATCH(Composições!A5003,Orçamentária!A:A,0),2)</f>
        <v>#N/A</v>
      </c>
      <c r="C5003" s="35"/>
      <c r="D5003" s="20" t="s">
        <v>20</v>
      </c>
      <c r="E5003" s="21"/>
      <c r="F5003" s="36" t="s">
        <v>521</v>
      </c>
      <c r="G5003" s="22" t="str">
        <f t="shared" si="93"/>
        <v/>
      </c>
      <c r="H5003" s="23"/>
      <c r="I5003" s="24"/>
      <c r="J5003" s="138">
        <v>0</v>
      </c>
    </row>
    <row r="5004" spans="1:10" ht="15.75" hidden="1" thickBot="1" x14ac:dyDescent="0.3">
      <c r="A5004" s="229"/>
      <c r="B5004" s="223"/>
      <c r="C5004" s="26"/>
      <c r="D5004" s="26"/>
      <c r="E5004" s="27"/>
      <c r="F5004" s="37" t="s">
        <v>521</v>
      </c>
      <c r="G5004" s="25" t="str">
        <f t="shared" si="93"/>
        <v/>
      </c>
      <c r="H5004" s="29"/>
      <c r="I5004" s="25"/>
      <c r="J5004" s="138">
        <v>0</v>
      </c>
    </row>
    <row r="5005" spans="1:10" ht="51.75" hidden="1" thickBot="1" x14ac:dyDescent="0.3">
      <c r="A5005" s="229"/>
      <c r="B5005" s="223"/>
      <c r="C5005" s="30" t="s">
        <v>1948</v>
      </c>
      <c r="D5005" s="41" t="s">
        <v>279</v>
      </c>
      <c r="E5005" s="31">
        <v>1</v>
      </c>
      <c r="F5005" s="28">
        <v>327.28449999999998</v>
      </c>
      <c r="G5005" s="28">
        <f t="shared" si="93"/>
        <v>327.28449999999998</v>
      </c>
      <c r="H5005" s="33">
        <f>SUM(G5005:G5007)</f>
        <v>371.3518004</v>
      </c>
      <c r="I5005" s="34"/>
      <c r="J5005" s="138">
        <v>0</v>
      </c>
    </row>
    <row r="5006" spans="1:10" ht="15.75" hidden="1" thickBot="1" x14ac:dyDescent="0.3">
      <c r="A5006" s="229"/>
      <c r="B5006" s="223"/>
      <c r="C5006" s="30" t="s">
        <v>701</v>
      </c>
      <c r="D5006" s="41" t="s">
        <v>702</v>
      </c>
      <c r="E5006" s="31">
        <f>ROUND(1.678*0.8,4)</f>
        <v>1.3424</v>
      </c>
      <c r="F5006" s="25">
        <v>23.616999999999997</v>
      </c>
      <c r="G5006" s="28">
        <f t="shared" si="93"/>
        <v>31.703460799999998</v>
      </c>
      <c r="H5006" s="29"/>
      <c r="I5006" s="25"/>
      <c r="J5006" s="138">
        <v>0</v>
      </c>
    </row>
    <row r="5007" spans="1:10" ht="15.75" hidden="1" thickBot="1" x14ac:dyDescent="0.3">
      <c r="A5007" s="229"/>
      <c r="B5007" s="223"/>
      <c r="C5007" s="30" t="s">
        <v>703</v>
      </c>
      <c r="D5007" s="41" t="s">
        <v>702</v>
      </c>
      <c r="E5007" s="31">
        <f>ROUND(0.839*0.8,4)</f>
        <v>0.67120000000000002</v>
      </c>
      <c r="F5007" s="25">
        <v>18.420500000000001</v>
      </c>
      <c r="G5007" s="28">
        <f t="shared" si="93"/>
        <v>12.3638396</v>
      </c>
      <c r="H5007" s="29"/>
      <c r="I5007" s="25"/>
      <c r="J5007" s="138">
        <v>0</v>
      </c>
    </row>
    <row r="5008" spans="1:10" ht="15.75" hidden="1" thickBot="1" x14ac:dyDescent="0.3">
      <c r="A5008" s="229"/>
      <c r="B5008" s="223"/>
      <c r="C5008" s="30"/>
      <c r="D5008" s="41"/>
      <c r="E5008" s="31"/>
      <c r="F5008" s="28" t="s">
        <v>521</v>
      </c>
      <c r="G5008" s="28" t="str">
        <f t="shared" si="93"/>
        <v/>
      </c>
      <c r="H5008" s="29"/>
      <c r="I5008" s="25"/>
      <c r="J5008" s="138">
        <v>0</v>
      </c>
    </row>
    <row r="5009" spans="1:10" ht="15.75" hidden="1" thickBot="1" x14ac:dyDescent="0.3">
      <c r="A5009" s="228" t="s">
        <v>1792</v>
      </c>
      <c r="B5009" s="222" t="e">
        <f>INDEX(Orçamentária!A:B,MATCH(Composições!A5009,Orçamentária!A:A,0),2)</f>
        <v>#N/A</v>
      </c>
      <c r="C5009" s="35"/>
      <c r="D5009" s="20" t="s">
        <v>20</v>
      </c>
      <c r="E5009" s="21"/>
      <c r="F5009" s="36" t="s">
        <v>521</v>
      </c>
      <c r="G5009" s="22" t="str">
        <f t="shared" si="93"/>
        <v/>
      </c>
      <c r="H5009" s="23"/>
      <c r="I5009" s="24"/>
      <c r="J5009" s="138">
        <v>0</v>
      </c>
    </row>
    <row r="5010" spans="1:10" ht="15.75" hidden="1" thickBot="1" x14ac:dyDescent="0.3">
      <c r="A5010" s="229"/>
      <c r="B5010" s="223"/>
      <c r="C5010" s="26"/>
      <c r="D5010" s="26"/>
      <c r="E5010" s="27"/>
      <c r="F5010" s="37" t="s">
        <v>521</v>
      </c>
      <c r="G5010" s="25" t="str">
        <f t="shared" si="93"/>
        <v/>
      </c>
      <c r="H5010" s="29"/>
      <c r="I5010" s="25"/>
      <c r="J5010" s="138">
        <v>0</v>
      </c>
    </row>
    <row r="5011" spans="1:10" ht="26.25" hidden="1" thickBot="1" x14ac:dyDescent="0.3">
      <c r="A5011" s="229"/>
      <c r="B5011" s="223"/>
      <c r="C5011" s="30" t="s">
        <v>949</v>
      </c>
      <c r="D5011" s="41" t="s">
        <v>702</v>
      </c>
      <c r="E5011" s="31">
        <f>4*0.3</f>
        <v>1.2</v>
      </c>
      <c r="F5011" s="25">
        <v>19.094999999999999</v>
      </c>
      <c r="G5011" s="25">
        <f t="shared" si="93"/>
        <v>22.913999999999998</v>
      </c>
      <c r="H5011" s="33">
        <f>SUM(G5011:G5014)</f>
        <v>78.808199999999999</v>
      </c>
      <c r="I5011" s="34"/>
      <c r="J5011" s="138">
        <v>0</v>
      </c>
    </row>
    <row r="5012" spans="1:10" ht="26.25" hidden="1" thickBot="1" x14ac:dyDescent="0.3">
      <c r="A5012" s="229"/>
      <c r="B5012" s="223"/>
      <c r="C5012" s="30" t="s">
        <v>950</v>
      </c>
      <c r="D5012" s="30" t="s">
        <v>702</v>
      </c>
      <c r="E5012" s="31">
        <f>4*0.3</f>
        <v>1.2</v>
      </c>
      <c r="F5012" s="25">
        <v>24.300999999999998</v>
      </c>
      <c r="G5012" s="25">
        <f t="shared" si="93"/>
        <v>29.161199999999997</v>
      </c>
      <c r="H5012" s="39"/>
      <c r="I5012" s="40"/>
      <c r="J5012" s="138">
        <v>0</v>
      </c>
    </row>
    <row r="5013" spans="1:10" ht="15.75" hidden="1" thickBot="1" x14ac:dyDescent="0.3">
      <c r="A5013" s="229"/>
      <c r="B5013" s="223"/>
      <c r="C5013" s="30" t="s">
        <v>74</v>
      </c>
      <c r="D5013" s="41" t="s">
        <v>702</v>
      </c>
      <c r="E5013" s="31">
        <f>2*0.3</f>
        <v>0.6</v>
      </c>
      <c r="F5013" s="25">
        <v>19.4085</v>
      </c>
      <c r="G5013" s="25">
        <f t="shared" si="93"/>
        <v>11.645099999999999</v>
      </c>
      <c r="H5013" s="29"/>
      <c r="I5013" s="25"/>
      <c r="J5013" s="138">
        <v>0</v>
      </c>
    </row>
    <row r="5014" spans="1:10" ht="15.75" hidden="1" thickBot="1" x14ac:dyDescent="0.3">
      <c r="A5014" s="229"/>
      <c r="B5014" s="223"/>
      <c r="C5014" s="30" t="s">
        <v>30</v>
      </c>
      <c r="D5014" s="30" t="s">
        <v>702</v>
      </c>
      <c r="E5014" s="31">
        <f>2*0.3</f>
        <v>0.6</v>
      </c>
      <c r="F5014" s="25">
        <v>25.146499999999996</v>
      </c>
      <c r="G5014" s="25">
        <f t="shared" si="93"/>
        <v>15.087899999999998</v>
      </c>
      <c r="H5014" s="29"/>
      <c r="I5014" s="25"/>
      <c r="J5014" s="138">
        <v>0</v>
      </c>
    </row>
    <row r="5015" spans="1:10" ht="15.75" hidden="1" thickBot="1" x14ac:dyDescent="0.3">
      <c r="A5015" s="230"/>
      <c r="B5015" s="224"/>
      <c r="C5015" s="30"/>
      <c r="D5015" s="30"/>
      <c r="E5015" s="31"/>
      <c r="F5015" s="25" t="s">
        <v>521</v>
      </c>
      <c r="G5015" s="25" t="str">
        <f t="shared" si="93"/>
        <v/>
      </c>
      <c r="H5015" s="29"/>
      <c r="I5015" s="25"/>
      <c r="J5015" s="138">
        <v>0</v>
      </c>
    </row>
    <row r="5016" spans="1:10" ht="15.75" hidden="1" thickBot="1" x14ac:dyDescent="0.3">
      <c r="A5016" s="220" t="s">
        <v>1793</v>
      </c>
      <c r="B5016" s="222" t="e">
        <f>INDEX(Orçamentária!A:B,MATCH(Composições!A5016,Orçamentária!A:A,0),2)</f>
        <v>#N/A</v>
      </c>
      <c r="C5016" s="35"/>
      <c r="D5016" s="20" t="s">
        <v>95</v>
      </c>
      <c r="E5016" s="21"/>
      <c r="F5016" s="36" t="s">
        <v>521</v>
      </c>
      <c r="G5016" s="22" t="str">
        <f t="shared" si="93"/>
        <v/>
      </c>
      <c r="H5016" s="23"/>
      <c r="I5016" s="24"/>
      <c r="J5016" s="138">
        <v>0</v>
      </c>
    </row>
    <row r="5017" spans="1:10" ht="15.75" hidden="1" thickBot="1" x14ac:dyDescent="0.3">
      <c r="A5017" s="221"/>
      <c r="B5017" s="223"/>
      <c r="C5017" s="26"/>
      <c r="D5017" s="26"/>
      <c r="E5017" s="27"/>
      <c r="F5017" s="37" t="s">
        <v>521</v>
      </c>
      <c r="G5017" s="25" t="str">
        <f t="shared" si="93"/>
        <v/>
      </c>
      <c r="H5017" s="29"/>
      <c r="I5017" s="25"/>
      <c r="J5017" s="138">
        <v>0</v>
      </c>
    </row>
    <row r="5018" spans="1:10" ht="15.75" hidden="1" thickBot="1" x14ac:dyDescent="0.3">
      <c r="A5018" s="221"/>
      <c r="B5018" s="223"/>
      <c r="C5018" s="30" t="s">
        <v>701</v>
      </c>
      <c r="D5018" s="30" t="s">
        <v>702</v>
      </c>
      <c r="E5018" s="31">
        <v>0.12</v>
      </c>
      <c r="F5018" s="28">
        <v>23.616999999999997</v>
      </c>
      <c r="G5018" s="28">
        <f t="shared" si="93"/>
        <v>2.8340399999999994</v>
      </c>
      <c r="H5018" s="33">
        <f>SUM(G5018:G5019)</f>
        <v>26.226839999999996</v>
      </c>
      <c r="I5018" s="34"/>
      <c r="J5018" s="138">
        <v>0</v>
      </c>
    </row>
    <row r="5019" spans="1:10" ht="15.75" hidden="1" thickBot="1" x14ac:dyDescent="0.3">
      <c r="A5019" s="221"/>
      <c r="B5019" s="223"/>
      <c r="C5019" s="30" t="s">
        <v>785</v>
      </c>
      <c r="D5019" s="30" t="s">
        <v>702</v>
      </c>
      <c r="E5019" s="31">
        <v>1.2</v>
      </c>
      <c r="F5019" s="28">
        <v>19.494</v>
      </c>
      <c r="G5019" s="28">
        <f t="shared" si="93"/>
        <v>23.392799999999998</v>
      </c>
      <c r="H5019" s="39"/>
      <c r="I5019" s="40"/>
      <c r="J5019" s="138">
        <v>0</v>
      </c>
    </row>
    <row r="5020" spans="1:10" ht="15.75" hidden="1" thickBot="1" x14ac:dyDescent="0.3">
      <c r="A5020" s="227"/>
      <c r="B5020" s="224"/>
      <c r="C5020" s="30"/>
      <c r="D5020" s="30"/>
      <c r="E5020" s="31"/>
      <c r="F5020" s="25" t="s">
        <v>521</v>
      </c>
      <c r="G5020" s="25" t="str">
        <f t="shared" ref="G5020:G5083" si="95">IF(ISNUMBER(F5020),E5020*F5020,"")</f>
        <v/>
      </c>
      <c r="H5020" s="29"/>
      <c r="I5020" s="25"/>
      <c r="J5020" s="138">
        <v>0</v>
      </c>
    </row>
    <row r="5021" spans="1:10" ht="15.75" hidden="1" thickBot="1" x14ac:dyDescent="0.3">
      <c r="A5021" s="220" t="s">
        <v>1794</v>
      </c>
      <c r="B5021" s="222" t="e">
        <f>INDEX(Orçamentária!A:B,MATCH(Composições!A5021,Orçamentária!A:A,0),2)</f>
        <v>#N/A</v>
      </c>
      <c r="C5021" s="35"/>
      <c r="D5021" s="20" t="s">
        <v>95</v>
      </c>
      <c r="E5021" s="21"/>
      <c r="F5021" s="43" t="s">
        <v>521</v>
      </c>
      <c r="G5021" s="22" t="str">
        <f t="shared" si="95"/>
        <v/>
      </c>
      <c r="H5021" s="23"/>
      <c r="I5021" s="24"/>
      <c r="J5021" s="138">
        <v>0</v>
      </c>
    </row>
    <row r="5022" spans="1:10" ht="15.75" hidden="1" thickBot="1" x14ac:dyDescent="0.3">
      <c r="A5022" s="225"/>
      <c r="B5022" s="223"/>
      <c r="C5022" s="26"/>
      <c r="D5022" s="26"/>
      <c r="E5022" s="27"/>
      <c r="F5022" s="48" t="s">
        <v>521</v>
      </c>
      <c r="G5022" s="48" t="str">
        <f t="shared" si="95"/>
        <v/>
      </c>
      <c r="H5022" s="67"/>
      <c r="I5022" s="68"/>
      <c r="J5022" s="138">
        <v>0</v>
      </c>
    </row>
    <row r="5023" spans="1:10" ht="26.25" hidden="1" thickBot="1" x14ac:dyDescent="0.3">
      <c r="A5023" s="225"/>
      <c r="B5023" s="223"/>
      <c r="C5023" s="30" t="s">
        <v>1867</v>
      </c>
      <c r="D5023" s="30" t="s">
        <v>95</v>
      </c>
      <c r="E5023" s="31">
        <v>1.08</v>
      </c>
      <c r="F5023" s="48" t="s">
        <v>521</v>
      </c>
      <c r="G5023" s="48" t="str">
        <f t="shared" si="95"/>
        <v/>
      </c>
      <c r="H5023" s="33">
        <f>SUM(G5023:G5027)</f>
        <v>29.618720000000003</v>
      </c>
      <c r="I5023" s="34"/>
      <c r="J5023" s="138">
        <v>0</v>
      </c>
    </row>
    <row r="5024" spans="1:10" ht="15.75" hidden="1" thickBot="1" x14ac:dyDescent="0.3">
      <c r="A5024" s="225"/>
      <c r="B5024" s="223"/>
      <c r="C5024" s="30" t="s">
        <v>1832</v>
      </c>
      <c r="D5024" s="30" t="s">
        <v>42</v>
      </c>
      <c r="E5024" s="31">
        <v>6.14</v>
      </c>
      <c r="F5024" s="48">
        <v>0.96899999999999997</v>
      </c>
      <c r="G5024" s="48">
        <f t="shared" si="95"/>
        <v>5.9496599999999997</v>
      </c>
      <c r="H5024" s="67"/>
      <c r="I5024" s="68"/>
      <c r="J5024" s="138">
        <v>0</v>
      </c>
    </row>
    <row r="5025" spans="1:10" ht="15.75" hidden="1" thickBot="1" x14ac:dyDescent="0.3">
      <c r="A5025" s="225"/>
      <c r="B5025" s="223"/>
      <c r="C5025" s="30" t="s">
        <v>1830</v>
      </c>
      <c r="D5025" s="30" t="s">
        <v>42</v>
      </c>
      <c r="E5025" s="31">
        <v>0.22</v>
      </c>
      <c r="F5025" s="48">
        <v>3.0590000000000002</v>
      </c>
      <c r="G5025" s="48">
        <f t="shared" si="95"/>
        <v>0.67298000000000002</v>
      </c>
      <c r="H5025" s="67"/>
      <c r="I5025" s="68"/>
      <c r="J5025" s="138">
        <v>0</v>
      </c>
    </row>
    <row r="5026" spans="1:10" ht="15.75" hidden="1" thickBot="1" x14ac:dyDescent="0.3">
      <c r="A5026" s="225"/>
      <c r="B5026" s="223"/>
      <c r="C5026" s="30" t="s">
        <v>36</v>
      </c>
      <c r="D5026" s="30" t="s">
        <v>12</v>
      </c>
      <c r="E5026" s="31">
        <v>0.66</v>
      </c>
      <c r="F5026" s="48">
        <v>24.795000000000002</v>
      </c>
      <c r="G5026" s="48">
        <f t="shared" si="95"/>
        <v>16.364700000000003</v>
      </c>
      <c r="H5026" s="67"/>
      <c r="I5026" s="68"/>
      <c r="J5026" s="138">
        <v>0</v>
      </c>
    </row>
    <row r="5027" spans="1:10" ht="15.75" hidden="1" thickBot="1" x14ac:dyDescent="0.3">
      <c r="A5027" s="225"/>
      <c r="B5027" s="223"/>
      <c r="C5027" s="30" t="s">
        <v>23</v>
      </c>
      <c r="D5027" s="30" t="s">
        <v>12</v>
      </c>
      <c r="E5027" s="31">
        <v>0.36</v>
      </c>
      <c r="F5027" s="48">
        <v>18.420500000000001</v>
      </c>
      <c r="G5027" s="48">
        <f t="shared" si="95"/>
        <v>6.6313800000000001</v>
      </c>
      <c r="H5027" s="67"/>
      <c r="I5027" s="68"/>
      <c r="J5027" s="138">
        <v>0</v>
      </c>
    </row>
    <row r="5028" spans="1:10" ht="15.75" hidden="1" thickBot="1" x14ac:dyDescent="0.3">
      <c r="A5028" s="225"/>
      <c r="B5028" s="223"/>
      <c r="C5028" s="30"/>
      <c r="D5028" s="41"/>
      <c r="E5028" s="31"/>
      <c r="F5028" s="48" t="s">
        <v>521</v>
      </c>
      <c r="G5028" s="48" t="str">
        <f t="shared" si="95"/>
        <v/>
      </c>
      <c r="H5028" s="67"/>
      <c r="I5028" s="68"/>
      <c r="J5028" s="138">
        <v>0</v>
      </c>
    </row>
    <row r="5029" spans="1:10" ht="15.75" hidden="1" thickBot="1" x14ac:dyDescent="0.3">
      <c r="A5029" s="228" t="s">
        <v>1795</v>
      </c>
      <c r="B5029" s="222" t="e">
        <f>INDEX(Orçamentária!A:B,MATCH(Composições!A5029,Orçamentária!A:A,0),2)</f>
        <v>#N/A</v>
      </c>
      <c r="C5029" s="35"/>
      <c r="D5029" s="20" t="s">
        <v>95</v>
      </c>
      <c r="E5029" s="21"/>
      <c r="F5029" s="36" t="s">
        <v>521</v>
      </c>
      <c r="G5029" s="22" t="str">
        <f t="shared" si="95"/>
        <v/>
      </c>
      <c r="H5029" s="23"/>
      <c r="I5029" s="24"/>
      <c r="J5029" s="138">
        <v>0</v>
      </c>
    </row>
    <row r="5030" spans="1:10" ht="15.75" hidden="1" thickBot="1" x14ac:dyDescent="0.3">
      <c r="A5030" s="229"/>
      <c r="B5030" s="223"/>
      <c r="C5030" s="26"/>
      <c r="D5030" s="26"/>
      <c r="E5030" s="27"/>
      <c r="F5030" s="37" t="s">
        <v>521</v>
      </c>
      <c r="G5030" s="25" t="str">
        <f t="shared" si="95"/>
        <v/>
      </c>
      <c r="H5030" s="29"/>
      <c r="I5030" s="25"/>
      <c r="J5030" s="138">
        <v>0</v>
      </c>
    </row>
    <row r="5031" spans="1:10" ht="15.75" hidden="1" thickBot="1" x14ac:dyDescent="0.3">
      <c r="A5031" s="229"/>
      <c r="B5031" s="223"/>
      <c r="C5031" s="30" t="s">
        <v>1234</v>
      </c>
      <c r="D5031" s="30" t="s">
        <v>42</v>
      </c>
      <c r="E5031" s="31">
        <v>0.57499999999999996</v>
      </c>
      <c r="F5031" s="28">
        <v>39.282499999999999</v>
      </c>
      <c r="G5031" s="28">
        <f t="shared" si="95"/>
        <v>22.587437499999997</v>
      </c>
      <c r="H5031" s="33">
        <f>SUM(G5031:G5033)</f>
        <v>41.192948099999995</v>
      </c>
      <c r="I5031" s="34"/>
      <c r="J5031" s="138">
        <v>0</v>
      </c>
    </row>
    <row r="5032" spans="1:10" ht="15.75" hidden="1" thickBot="1" x14ac:dyDescent="0.3">
      <c r="A5032" s="229"/>
      <c r="B5032" s="223"/>
      <c r="C5032" s="30" t="s">
        <v>703</v>
      </c>
      <c r="D5032" s="30" t="s">
        <v>702</v>
      </c>
      <c r="E5032" s="31">
        <v>0.2399</v>
      </c>
      <c r="F5032" s="28">
        <v>18.420500000000001</v>
      </c>
      <c r="G5032" s="28">
        <f t="shared" si="95"/>
        <v>4.4190779500000001</v>
      </c>
      <c r="H5032" s="39"/>
      <c r="I5032" s="40"/>
      <c r="J5032" s="138">
        <v>0</v>
      </c>
    </row>
    <row r="5033" spans="1:10" ht="15.75" hidden="1" thickBot="1" x14ac:dyDescent="0.3">
      <c r="A5033" s="229"/>
      <c r="B5033" s="223"/>
      <c r="C5033" s="30" t="s">
        <v>1213</v>
      </c>
      <c r="D5033" s="41" t="s">
        <v>702</v>
      </c>
      <c r="E5033" s="31">
        <v>0.57589999999999997</v>
      </c>
      <c r="F5033" s="25">
        <v>24.633499999999998</v>
      </c>
      <c r="G5033" s="25">
        <f t="shared" si="95"/>
        <v>14.186432649999999</v>
      </c>
      <c r="H5033" s="29"/>
      <c r="I5033" s="25"/>
      <c r="J5033" s="138">
        <v>0</v>
      </c>
    </row>
    <row r="5034" spans="1:10" ht="15.75" hidden="1" thickBot="1" x14ac:dyDescent="0.3">
      <c r="A5034" s="230"/>
      <c r="B5034" s="224"/>
      <c r="C5034" s="30"/>
      <c r="D5034" s="30"/>
      <c r="E5034" s="31"/>
      <c r="F5034" s="25" t="s">
        <v>521</v>
      </c>
      <c r="G5034" s="25" t="str">
        <f t="shared" si="95"/>
        <v/>
      </c>
      <c r="H5034" s="29"/>
      <c r="I5034" s="25"/>
      <c r="J5034" s="138">
        <v>0</v>
      </c>
    </row>
    <row r="5035" spans="1:10" ht="15.75" hidden="1" thickBot="1" x14ac:dyDescent="0.3">
      <c r="A5035" s="228" t="s">
        <v>1796</v>
      </c>
      <c r="B5035" s="222" t="e">
        <f>INDEX(Orçamentária!A:B,MATCH(Composições!A5035,Orçamentária!A:A,0),2)</f>
        <v>#N/A</v>
      </c>
      <c r="C5035" s="35"/>
      <c r="D5035" s="20" t="s">
        <v>93</v>
      </c>
      <c r="E5035" s="21"/>
      <c r="F5035" s="36" t="s">
        <v>521</v>
      </c>
      <c r="G5035" s="22" t="str">
        <f t="shared" si="95"/>
        <v/>
      </c>
      <c r="H5035" s="23"/>
      <c r="I5035" s="24"/>
      <c r="J5035" s="138">
        <v>0</v>
      </c>
    </row>
    <row r="5036" spans="1:10" ht="15.75" hidden="1" thickBot="1" x14ac:dyDescent="0.3">
      <c r="A5036" s="229"/>
      <c r="B5036" s="223"/>
      <c r="C5036" s="26"/>
      <c r="D5036" s="26"/>
      <c r="E5036" s="27"/>
      <c r="F5036" s="37" t="s">
        <v>521</v>
      </c>
      <c r="G5036" s="25" t="str">
        <f t="shared" si="95"/>
        <v/>
      </c>
      <c r="H5036" s="29"/>
      <c r="I5036" s="25"/>
      <c r="J5036" s="138">
        <v>0</v>
      </c>
    </row>
    <row r="5037" spans="1:10" ht="15.75" hidden="1" thickBot="1" x14ac:dyDescent="0.3">
      <c r="A5037" s="229"/>
      <c r="B5037" s="223"/>
      <c r="C5037" s="30" t="s">
        <v>1376</v>
      </c>
      <c r="D5037" s="30" t="s">
        <v>702</v>
      </c>
      <c r="E5037" s="31">
        <v>0.5</v>
      </c>
      <c r="F5037" s="28">
        <v>19.474999999999998</v>
      </c>
      <c r="G5037" s="28">
        <f t="shared" si="95"/>
        <v>9.7374999999999989</v>
      </c>
      <c r="H5037" s="33">
        <f>SUM(G5037:G5037)</f>
        <v>9.7374999999999989</v>
      </c>
      <c r="I5037" s="34"/>
      <c r="J5037" s="138">
        <v>0</v>
      </c>
    </row>
    <row r="5038" spans="1:10" ht="15.75" hidden="1" thickBot="1" x14ac:dyDescent="0.3">
      <c r="A5038" s="230"/>
      <c r="B5038" s="224"/>
      <c r="C5038" s="30"/>
      <c r="D5038" s="30"/>
      <c r="E5038" s="31"/>
      <c r="F5038" s="25" t="s">
        <v>521</v>
      </c>
      <c r="G5038" s="25" t="str">
        <f t="shared" si="95"/>
        <v/>
      </c>
      <c r="H5038" s="29"/>
      <c r="I5038" s="25"/>
      <c r="J5038" s="138">
        <v>0</v>
      </c>
    </row>
    <row r="5039" spans="1:10" ht="15.75" hidden="1" thickBot="1" x14ac:dyDescent="0.3">
      <c r="A5039" s="228" t="s">
        <v>1797</v>
      </c>
      <c r="B5039" s="222" t="e">
        <f>INDEX(Orçamentária!A:B,MATCH(Composições!A5039,Orçamentária!A:A,0),2)</f>
        <v>#N/A</v>
      </c>
      <c r="C5039" s="35"/>
      <c r="D5039" s="20" t="s">
        <v>93</v>
      </c>
      <c r="E5039" s="21"/>
      <c r="F5039" s="36" t="s">
        <v>521</v>
      </c>
      <c r="G5039" s="22" t="str">
        <f t="shared" si="95"/>
        <v/>
      </c>
      <c r="H5039" s="23"/>
      <c r="I5039" s="24"/>
      <c r="J5039" s="138">
        <v>0</v>
      </c>
    </row>
    <row r="5040" spans="1:10" ht="15.75" hidden="1" thickBot="1" x14ac:dyDescent="0.3">
      <c r="A5040" s="229"/>
      <c r="B5040" s="223"/>
      <c r="C5040" s="26"/>
      <c r="D5040" s="26"/>
      <c r="E5040" s="27"/>
      <c r="F5040" s="37" t="s">
        <v>521</v>
      </c>
      <c r="G5040" s="25" t="str">
        <f t="shared" si="95"/>
        <v/>
      </c>
      <c r="H5040" s="29"/>
      <c r="I5040" s="25"/>
      <c r="J5040" s="138">
        <v>0</v>
      </c>
    </row>
    <row r="5041" spans="1:10" ht="15.75" hidden="1" thickBot="1" x14ac:dyDescent="0.3">
      <c r="A5041" s="229"/>
      <c r="B5041" s="223"/>
      <c r="C5041" s="30" t="s">
        <v>1755</v>
      </c>
      <c r="D5041" s="30" t="s">
        <v>479</v>
      </c>
      <c r="E5041" s="31">
        <v>1.0609999999999999</v>
      </c>
      <c r="F5041" s="28">
        <v>13.575499999999998</v>
      </c>
      <c r="G5041" s="28">
        <f t="shared" si="95"/>
        <v>14.403605499999998</v>
      </c>
      <c r="H5041" s="33">
        <f>SUM(G5041:G5043)</f>
        <v>29.114849499999998</v>
      </c>
      <c r="I5041" s="34"/>
      <c r="J5041" s="138">
        <v>0</v>
      </c>
    </row>
    <row r="5042" spans="1:10" ht="26.25" hidden="1" thickBot="1" x14ac:dyDescent="0.3">
      <c r="A5042" s="229"/>
      <c r="B5042" s="223"/>
      <c r="C5042" s="30" t="s">
        <v>949</v>
      </c>
      <c r="D5042" s="30" t="s">
        <v>702</v>
      </c>
      <c r="E5042" s="31">
        <v>0.33900000000000002</v>
      </c>
      <c r="F5042" s="28">
        <v>19.094999999999999</v>
      </c>
      <c r="G5042" s="28">
        <f t="shared" si="95"/>
        <v>6.4732050000000001</v>
      </c>
      <c r="H5042" s="39"/>
      <c r="I5042" s="40"/>
      <c r="J5042" s="138">
        <v>0</v>
      </c>
    </row>
    <row r="5043" spans="1:10" ht="26.25" hidden="1" thickBot="1" x14ac:dyDescent="0.3">
      <c r="A5043" s="229"/>
      <c r="B5043" s="223"/>
      <c r="C5043" s="30" t="s">
        <v>950</v>
      </c>
      <c r="D5043" s="41" t="s">
        <v>702</v>
      </c>
      <c r="E5043" s="31">
        <v>0.33900000000000002</v>
      </c>
      <c r="F5043" s="25">
        <v>24.300999999999998</v>
      </c>
      <c r="G5043" s="25">
        <f t="shared" si="95"/>
        <v>8.2380390000000006</v>
      </c>
      <c r="H5043" s="29"/>
      <c r="I5043" s="25"/>
      <c r="J5043" s="138">
        <v>0</v>
      </c>
    </row>
    <row r="5044" spans="1:10" ht="15.75" hidden="1" thickBot="1" x14ac:dyDescent="0.3">
      <c r="A5044" s="230"/>
      <c r="B5044" s="224"/>
      <c r="C5044" s="30"/>
      <c r="D5044" s="30"/>
      <c r="E5044" s="31"/>
      <c r="F5044" s="25" t="s">
        <v>521</v>
      </c>
      <c r="G5044" s="25" t="str">
        <f t="shared" si="95"/>
        <v/>
      </c>
      <c r="H5044" s="29"/>
      <c r="I5044" s="25"/>
      <c r="J5044" s="138">
        <v>0</v>
      </c>
    </row>
    <row r="5045" spans="1:10" ht="15.75" hidden="1" thickBot="1" x14ac:dyDescent="0.3">
      <c r="A5045" s="228" t="s">
        <v>1798</v>
      </c>
      <c r="B5045" s="222" t="e">
        <f>INDEX(Orçamentária!A:B,MATCH(Composições!A5045,Orçamentária!A:A,0),2)</f>
        <v>#N/A</v>
      </c>
      <c r="C5045" s="35"/>
      <c r="D5045" s="20" t="s">
        <v>93</v>
      </c>
      <c r="E5045" s="21"/>
      <c r="F5045" s="36" t="s">
        <v>521</v>
      </c>
      <c r="G5045" s="22" t="str">
        <f t="shared" si="95"/>
        <v/>
      </c>
      <c r="H5045" s="23"/>
      <c r="I5045" s="24"/>
      <c r="J5045" s="138">
        <v>0</v>
      </c>
    </row>
    <row r="5046" spans="1:10" ht="15.75" hidden="1" thickBot="1" x14ac:dyDescent="0.3">
      <c r="A5046" s="229"/>
      <c r="B5046" s="223"/>
      <c r="C5046" s="26"/>
      <c r="D5046" s="26"/>
      <c r="E5046" s="27"/>
      <c r="F5046" s="37" t="s">
        <v>521</v>
      </c>
      <c r="G5046" s="25" t="str">
        <f t="shared" si="95"/>
        <v/>
      </c>
      <c r="H5046" s="29"/>
      <c r="I5046" s="25"/>
      <c r="J5046" s="138">
        <v>0</v>
      </c>
    </row>
    <row r="5047" spans="1:10" ht="15.75" hidden="1" thickBot="1" x14ac:dyDescent="0.3">
      <c r="A5047" s="229"/>
      <c r="B5047" s="223"/>
      <c r="C5047" s="30" t="s">
        <v>1756</v>
      </c>
      <c r="D5047" s="30" t="s">
        <v>479</v>
      </c>
      <c r="E5047" s="31">
        <v>1.0609999999999999</v>
      </c>
      <c r="F5047" s="28">
        <v>21.792999999999999</v>
      </c>
      <c r="G5047" s="28">
        <f t="shared" si="95"/>
        <v>23.122373</v>
      </c>
      <c r="H5047" s="33">
        <f>SUM(G5047:G5049)</f>
        <v>40.480772999999999</v>
      </c>
      <c r="I5047" s="34"/>
      <c r="J5047" s="138">
        <v>0</v>
      </c>
    </row>
    <row r="5048" spans="1:10" ht="26.25" hidden="1" thickBot="1" x14ac:dyDescent="0.3">
      <c r="A5048" s="229"/>
      <c r="B5048" s="223"/>
      <c r="C5048" s="30" t="s">
        <v>949</v>
      </c>
      <c r="D5048" s="30" t="s">
        <v>702</v>
      </c>
      <c r="E5048" s="31">
        <v>0.4</v>
      </c>
      <c r="F5048" s="28">
        <v>19.094999999999999</v>
      </c>
      <c r="G5048" s="28">
        <f t="shared" si="95"/>
        <v>7.6379999999999999</v>
      </c>
      <c r="H5048" s="39"/>
      <c r="I5048" s="40"/>
      <c r="J5048" s="138">
        <v>0</v>
      </c>
    </row>
    <row r="5049" spans="1:10" ht="26.25" hidden="1" thickBot="1" x14ac:dyDescent="0.3">
      <c r="A5049" s="229"/>
      <c r="B5049" s="223"/>
      <c r="C5049" s="30" t="s">
        <v>950</v>
      </c>
      <c r="D5049" s="41" t="s">
        <v>702</v>
      </c>
      <c r="E5049" s="31">
        <v>0.4</v>
      </c>
      <c r="F5049" s="25">
        <v>24.300999999999998</v>
      </c>
      <c r="G5049" s="25">
        <f t="shared" si="95"/>
        <v>9.7203999999999997</v>
      </c>
      <c r="H5049" s="29"/>
      <c r="I5049" s="25"/>
      <c r="J5049" s="138">
        <v>0</v>
      </c>
    </row>
    <row r="5050" spans="1:10" ht="15.75" hidden="1" thickBot="1" x14ac:dyDescent="0.3">
      <c r="A5050" s="230"/>
      <c r="B5050" s="224"/>
      <c r="C5050" s="30"/>
      <c r="D5050" s="30"/>
      <c r="E5050" s="31"/>
      <c r="F5050" s="25" t="s">
        <v>521</v>
      </c>
      <c r="G5050" s="25" t="str">
        <f t="shared" si="95"/>
        <v/>
      </c>
      <c r="H5050" s="29"/>
      <c r="I5050" s="25"/>
      <c r="J5050" s="138">
        <v>0</v>
      </c>
    </row>
    <row r="5051" spans="1:10" ht="15.75" hidden="1" thickBot="1" x14ac:dyDescent="0.3">
      <c r="A5051" s="220" t="s">
        <v>1799</v>
      </c>
      <c r="B5051" s="222" t="e">
        <f>INDEX(Orçamentária!A:B,MATCH(Composições!A5051,Orçamentária!A:A,0),2)</f>
        <v>#N/A</v>
      </c>
      <c r="C5051" s="35"/>
      <c r="D5051" s="20" t="s">
        <v>20</v>
      </c>
      <c r="E5051" s="21"/>
      <c r="F5051" s="36" t="s">
        <v>521</v>
      </c>
      <c r="G5051" s="22" t="str">
        <f t="shared" si="95"/>
        <v/>
      </c>
      <c r="H5051" s="23"/>
      <c r="I5051" s="24"/>
      <c r="J5051" s="138">
        <v>0</v>
      </c>
    </row>
    <row r="5052" spans="1:10" ht="15.75" hidden="1" thickBot="1" x14ac:dyDescent="0.3">
      <c r="A5052" s="221"/>
      <c r="B5052" s="223"/>
      <c r="C5052" s="26"/>
      <c r="D5052" s="26"/>
      <c r="E5052" s="27"/>
      <c r="F5052" s="37" t="s">
        <v>521</v>
      </c>
      <c r="G5052" s="25" t="str">
        <f t="shared" si="95"/>
        <v/>
      </c>
      <c r="H5052" s="29"/>
      <c r="I5052" s="25"/>
      <c r="J5052" s="138">
        <v>0</v>
      </c>
    </row>
    <row r="5053" spans="1:10" ht="26.25" hidden="1" thickBot="1" x14ac:dyDescent="0.3">
      <c r="A5053" s="221"/>
      <c r="B5053" s="223"/>
      <c r="C5053" s="30" t="s">
        <v>329</v>
      </c>
      <c r="D5053" s="41" t="s">
        <v>279</v>
      </c>
      <c r="E5053" s="31">
        <v>2</v>
      </c>
      <c r="F5053" s="28">
        <v>19.835999999999999</v>
      </c>
      <c r="G5053" s="28">
        <f t="shared" si="95"/>
        <v>39.671999999999997</v>
      </c>
      <c r="H5053" s="33">
        <f>SUM(G5053:G5057)</f>
        <v>78.268135450000003</v>
      </c>
      <c r="I5053" s="34"/>
      <c r="J5053" s="138">
        <v>0</v>
      </c>
    </row>
    <row r="5054" spans="1:10" ht="26.25" hidden="1" thickBot="1" x14ac:dyDescent="0.3">
      <c r="A5054" s="221"/>
      <c r="B5054" s="223"/>
      <c r="C5054" s="30" t="s">
        <v>2260</v>
      </c>
      <c r="D5054" s="41" t="s">
        <v>279</v>
      </c>
      <c r="E5054" s="31">
        <v>1</v>
      </c>
      <c r="F5054" s="28">
        <v>14.3925</v>
      </c>
      <c r="G5054" s="28">
        <f t="shared" si="95"/>
        <v>14.3925</v>
      </c>
      <c r="H5054" s="29"/>
      <c r="I5054" s="34"/>
      <c r="J5054" s="138">
        <v>0</v>
      </c>
    </row>
    <row r="5055" spans="1:10" ht="15.75" hidden="1" thickBot="1" x14ac:dyDescent="0.3">
      <c r="A5055" s="221"/>
      <c r="B5055" s="223"/>
      <c r="C5055" s="30" t="s">
        <v>1833</v>
      </c>
      <c r="D5055" s="41" t="s">
        <v>42</v>
      </c>
      <c r="E5055" s="31">
        <v>8.8099999999999998E-2</v>
      </c>
      <c r="F5055" s="28">
        <v>64.619</v>
      </c>
      <c r="G5055" s="28">
        <f t="shared" si="95"/>
        <v>5.6929338999999999</v>
      </c>
      <c r="H5055" s="29"/>
      <c r="I5055" s="25"/>
      <c r="J5055" s="138">
        <v>0</v>
      </c>
    </row>
    <row r="5056" spans="1:10" ht="15.75" hidden="1" thickBot="1" x14ac:dyDescent="0.3">
      <c r="A5056" s="221"/>
      <c r="B5056" s="223"/>
      <c r="C5056" s="30" t="s">
        <v>39</v>
      </c>
      <c r="D5056" s="41" t="s">
        <v>12</v>
      </c>
      <c r="E5056" s="31">
        <v>0.49680000000000002</v>
      </c>
      <c r="F5056" s="25">
        <v>24.300999999999998</v>
      </c>
      <c r="G5056" s="28">
        <f t="shared" si="95"/>
        <v>12.072736799999999</v>
      </c>
      <c r="H5056" s="29"/>
      <c r="I5056" s="25"/>
      <c r="J5056" s="138">
        <v>0</v>
      </c>
    </row>
    <row r="5057" spans="1:10" ht="15.75" hidden="1" thickBot="1" x14ac:dyDescent="0.3">
      <c r="A5057" s="221"/>
      <c r="B5057" s="223"/>
      <c r="C5057" s="30" t="s">
        <v>23</v>
      </c>
      <c r="D5057" s="41" t="s">
        <v>12</v>
      </c>
      <c r="E5057" s="31">
        <v>0.34949999999999998</v>
      </c>
      <c r="F5057" s="25">
        <v>18.420500000000001</v>
      </c>
      <c r="G5057" s="28">
        <f t="shared" si="95"/>
        <v>6.4379647499999999</v>
      </c>
      <c r="H5057" s="29"/>
      <c r="I5057" s="25"/>
      <c r="J5057" s="138">
        <v>0</v>
      </c>
    </row>
    <row r="5058" spans="1:10" ht="15.75" hidden="1" thickBot="1" x14ac:dyDescent="0.3">
      <c r="A5058" s="227"/>
      <c r="B5058" s="224"/>
      <c r="C5058" s="30"/>
      <c r="D5058" s="30"/>
      <c r="E5058" s="31"/>
      <c r="F5058" s="25" t="s">
        <v>521</v>
      </c>
      <c r="G5058" s="25" t="str">
        <f t="shared" si="95"/>
        <v/>
      </c>
      <c r="H5058" s="29"/>
      <c r="I5058" s="25"/>
      <c r="J5058" s="138">
        <v>0</v>
      </c>
    </row>
    <row r="5059" spans="1:10" ht="15.75" hidden="1" thickBot="1" x14ac:dyDescent="0.3">
      <c r="A5059" s="220" t="s">
        <v>1800</v>
      </c>
      <c r="B5059" s="222" t="e">
        <f>INDEX(Orçamentária!A:B,MATCH(Composições!A5059,Orçamentária!A:A,0),2)</f>
        <v>#N/A</v>
      </c>
      <c r="C5059" s="35"/>
      <c r="D5059" s="20" t="s">
        <v>20</v>
      </c>
      <c r="E5059" s="21"/>
      <c r="F5059" s="36" t="s">
        <v>521</v>
      </c>
      <c r="G5059" s="22" t="str">
        <f t="shared" si="95"/>
        <v/>
      </c>
      <c r="H5059" s="23"/>
      <c r="I5059" s="24"/>
      <c r="J5059" s="138">
        <v>0</v>
      </c>
    </row>
    <row r="5060" spans="1:10" ht="15.75" hidden="1" thickBot="1" x14ac:dyDescent="0.3">
      <c r="A5060" s="221"/>
      <c r="B5060" s="223"/>
      <c r="C5060" s="26"/>
      <c r="D5060" s="26"/>
      <c r="E5060" s="27"/>
      <c r="F5060" s="37" t="s">
        <v>521</v>
      </c>
      <c r="G5060" s="25" t="str">
        <f t="shared" si="95"/>
        <v/>
      </c>
      <c r="H5060" s="29"/>
      <c r="I5060" s="25"/>
      <c r="J5060" s="138">
        <v>0</v>
      </c>
    </row>
    <row r="5061" spans="1:10" ht="26.25" hidden="1" thickBot="1" x14ac:dyDescent="0.3">
      <c r="A5061" s="221"/>
      <c r="B5061" s="223"/>
      <c r="C5061" s="30" t="s">
        <v>950</v>
      </c>
      <c r="D5061" s="41" t="s">
        <v>702</v>
      </c>
      <c r="E5061" s="31">
        <v>0.5</v>
      </c>
      <c r="F5061" s="25">
        <v>24.300999999999998</v>
      </c>
      <c r="G5061" s="25">
        <f t="shared" si="95"/>
        <v>12.150499999999999</v>
      </c>
      <c r="H5061" s="33">
        <f>SUM(G5061:G5064)</f>
        <v>21.842844599999999</v>
      </c>
      <c r="I5061" s="34"/>
      <c r="J5061" s="138">
        <v>0</v>
      </c>
    </row>
    <row r="5062" spans="1:10" ht="26.25" hidden="1" thickBot="1" x14ac:dyDescent="0.3">
      <c r="A5062" s="221"/>
      <c r="B5062" s="223"/>
      <c r="C5062" s="30" t="s">
        <v>949</v>
      </c>
      <c r="D5062" s="30" t="s">
        <v>702</v>
      </c>
      <c r="E5062" s="31">
        <v>0.5</v>
      </c>
      <c r="F5062" s="28">
        <v>19.094999999999999</v>
      </c>
      <c r="G5062" s="28">
        <f t="shared" si="95"/>
        <v>9.5474999999999994</v>
      </c>
      <c r="H5062" s="29"/>
      <c r="I5062" s="25"/>
      <c r="J5062" s="138">
        <v>0</v>
      </c>
    </row>
    <row r="5063" spans="1:10" ht="15.75" hidden="1" thickBot="1" x14ac:dyDescent="0.3">
      <c r="A5063" s="221"/>
      <c r="B5063" s="223"/>
      <c r="C5063" s="30" t="s">
        <v>318</v>
      </c>
      <c r="D5063" s="30" t="s">
        <v>279</v>
      </c>
      <c r="E5063" s="31">
        <f>0.47/50</f>
        <v>9.3999999999999986E-3</v>
      </c>
      <c r="F5063" s="28">
        <v>15.408999999999999</v>
      </c>
      <c r="G5063" s="28">
        <f t="shared" si="95"/>
        <v>0.14484459999999996</v>
      </c>
      <c r="H5063" s="29"/>
      <c r="I5063" s="25"/>
      <c r="J5063" s="138">
        <v>0</v>
      </c>
    </row>
    <row r="5064" spans="1:10" ht="15.75" hidden="1" thickBot="1" x14ac:dyDescent="0.3">
      <c r="A5064" s="221"/>
      <c r="B5064" s="223"/>
      <c r="C5064" s="30" t="s">
        <v>1868</v>
      </c>
      <c r="D5064" s="30" t="s">
        <v>279</v>
      </c>
      <c r="E5064" s="31">
        <v>1</v>
      </c>
      <c r="F5064" s="25" t="s">
        <v>521</v>
      </c>
      <c r="G5064" s="28" t="str">
        <f t="shared" si="95"/>
        <v/>
      </c>
      <c r="H5064" s="29"/>
      <c r="I5064" s="25"/>
      <c r="J5064" s="138">
        <v>0</v>
      </c>
    </row>
    <row r="5065" spans="1:10" ht="15.75" hidden="1" thickBot="1" x14ac:dyDescent="0.3">
      <c r="A5065" s="227"/>
      <c r="B5065" s="224"/>
      <c r="C5065" s="30"/>
      <c r="D5065" s="30"/>
      <c r="E5065" s="31"/>
      <c r="F5065" s="25" t="s">
        <v>521</v>
      </c>
      <c r="G5065" s="25" t="str">
        <f t="shared" si="95"/>
        <v/>
      </c>
      <c r="H5065" s="29"/>
      <c r="I5065" s="25"/>
      <c r="J5065" s="138">
        <v>0</v>
      </c>
    </row>
    <row r="5066" spans="1:10" ht="15.75" hidden="1" thickBot="1" x14ac:dyDescent="0.3">
      <c r="A5066" s="220" t="s">
        <v>1801</v>
      </c>
      <c r="B5066" s="222" t="e">
        <f>INDEX(Orçamentária!A:B,MATCH(Composições!A5066,Orçamentária!A:A,0),2)</f>
        <v>#N/A</v>
      </c>
      <c r="C5066" s="35"/>
      <c r="D5066" s="20" t="s">
        <v>20</v>
      </c>
      <c r="E5066" s="21"/>
      <c r="F5066" s="43" t="s">
        <v>521</v>
      </c>
      <c r="G5066" s="22" t="str">
        <f t="shared" si="95"/>
        <v/>
      </c>
      <c r="H5066" s="23"/>
      <c r="I5066" s="24"/>
      <c r="J5066" s="138">
        <v>0</v>
      </c>
    </row>
    <row r="5067" spans="1:10" ht="15.75" hidden="1" thickBot="1" x14ac:dyDescent="0.3">
      <c r="A5067" s="225"/>
      <c r="B5067" s="223"/>
      <c r="C5067" s="26"/>
      <c r="D5067" s="26"/>
      <c r="E5067" s="27"/>
      <c r="F5067" s="48" t="s">
        <v>521</v>
      </c>
      <c r="G5067" s="48" t="str">
        <f t="shared" si="95"/>
        <v/>
      </c>
      <c r="H5067" s="67"/>
      <c r="I5067" s="68"/>
      <c r="J5067" s="138">
        <v>0</v>
      </c>
    </row>
    <row r="5068" spans="1:10" ht="15.75" hidden="1" thickBot="1" x14ac:dyDescent="0.3">
      <c r="A5068" s="225"/>
      <c r="B5068" s="223"/>
      <c r="C5068" s="30" t="s">
        <v>1911</v>
      </c>
      <c r="D5068" s="30" t="s">
        <v>279</v>
      </c>
      <c r="E5068" s="31">
        <v>1</v>
      </c>
      <c r="F5068" s="48" t="s">
        <v>521</v>
      </c>
      <c r="G5068" s="48" t="str">
        <f t="shared" si="95"/>
        <v/>
      </c>
      <c r="H5068" s="33">
        <f>SUM(G5068:G5071)</f>
        <v>13.534801049999999</v>
      </c>
      <c r="I5068" s="34"/>
      <c r="J5068" s="138">
        <v>0</v>
      </c>
    </row>
    <row r="5069" spans="1:10" ht="15.75" hidden="1" thickBot="1" x14ac:dyDescent="0.3">
      <c r="A5069" s="225"/>
      <c r="B5069" s="223"/>
      <c r="C5069" s="30" t="s">
        <v>1064</v>
      </c>
      <c r="D5069" s="30" t="s">
        <v>279</v>
      </c>
      <c r="E5069" s="31">
        <v>2.1000000000000001E-2</v>
      </c>
      <c r="F5069" s="48">
        <v>4.18</v>
      </c>
      <c r="G5069" s="48">
        <f t="shared" si="95"/>
        <v>8.7779999999999997E-2</v>
      </c>
      <c r="H5069" s="67"/>
      <c r="I5069" s="68"/>
      <c r="J5069" s="138">
        <v>0</v>
      </c>
    </row>
    <row r="5070" spans="1:10" ht="26.25" hidden="1" thickBot="1" x14ac:dyDescent="0.3">
      <c r="A5070" s="225"/>
      <c r="B5070" s="223"/>
      <c r="C5070" s="30" t="s">
        <v>950</v>
      </c>
      <c r="D5070" s="30" t="s">
        <v>702</v>
      </c>
      <c r="E5070" s="31">
        <v>0.44669999999999999</v>
      </c>
      <c r="F5070" s="48">
        <v>24.300999999999998</v>
      </c>
      <c r="G5070" s="48">
        <f t="shared" si="95"/>
        <v>10.855256699999998</v>
      </c>
      <c r="H5070" s="67"/>
      <c r="I5070" s="68"/>
      <c r="J5070" s="138">
        <v>0</v>
      </c>
    </row>
    <row r="5071" spans="1:10" ht="15.75" hidden="1" thickBot="1" x14ac:dyDescent="0.3">
      <c r="A5071" s="225"/>
      <c r="B5071" s="223"/>
      <c r="C5071" s="30" t="s">
        <v>703</v>
      </c>
      <c r="D5071" s="30" t="s">
        <v>702</v>
      </c>
      <c r="E5071" s="31">
        <v>0.14069999999999999</v>
      </c>
      <c r="F5071" s="48">
        <v>18.420500000000001</v>
      </c>
      <c r="G5071" s="48">
        <f t="shared" si="95"/>
        <v>2.5917643500000001</v>
      </c>
      <c r="H5071" s="67"/>
      <c r="I5071" s="68"/>
      <c r="J5071" s="138">
        <v>0</v>
      </c>
    </row>
    <row r="5072" spans="1:10" ht="15.75" hidden="1" thickBot="1" x14ac:dyDescent="0.3">
      <c r="A5072" s="226"/>
      <c r="B5072" s="224"/>
      <c r="C5072" s="30"/>
      <c r="D5072" s="30"/>
      <c r="E5072" s="31"/>
      <c r="F5072" s="48" t="s">
        <v>521</v>
      </c>
      <c r="G5072" s="48" t="str">
        <f t="shared" si="95"/>
        <v/>
      </c>
      <c r="H5072" s="67"/>
      <c r="I5072" s="68"/>
      <c r="J5072" s="138">
        <v>0</v>
      </c>
    </row>
    <row r="5073" spans="1:10" ht="15.75" hidden="1" thickBot="1" x14ac:dyDescent="0.3">
      <c r="A5073" s="220" t="s">
        <v>1802</v>
      </c>
      <c r="B5073" s="222" t="e">
        <f>INDEX(Orçamentária!A:B,MATCH(Composições!A5073,Orçamentária!A:A,0),2)</f>
        <v>#N/A</v>
      </c>
      <c r="C5073" s="35"/>
      <c r="D5073" s="20" t="s">
        <v>20</v>
      </c>
      <c r="E5073" s="21"/>
      <c r="F5073" s="43" t="s">
        <v>521</v>
      </c>
      <c r="G5073" s="22" t="str">
        <f t="shared" si="95"/>
        <v/>
      </c>
      <c r="H5073" s="23"/>
      <c r="I5073" s="24"/>
      <c r="J5073" s="138">
        <v>0</v>
      </c>
    </row>
    <row r="5074" spans="1:10" ht="15.75" hidden="1" thickBot="1" x14ac:dyDescent="0.3">
      <c r="A5074" s="225"/>
      <c r="B5074" s="223"/>
      <c r="C5074" s="26"/>
      <c r="D5074" s="26"/>
      <c r="E5074" s="27"/>
      <c r="F5074" s="48" t="s">
        <v>521</v>
      </c>
      <c r="G5074" s="48" t="str">
        <f t="shared" si="95"/>
        <v/>
      </c>
      <c r="H5074" s="67"/>
      <c r="I5074" s="68"/>
      <c r="J5074" s="138">
        <v>0</v>
      </c>
    </row>
    <row r="5075" spans="1:10" ht="26.25" hidden="1" thickBot="1" x14ac:dyDescent="0.3">
      <c r="A5075" s="225"/>
      <c r="B5075" s="223"/>
      <c r="C5075" s="30" t="s">
        <v>949</v>
      </c>
      <c r="D5075" s="41" t="s">
        <v>702</v>
      </c>
      <c r="E5075" s="31">
        <v>4</v>
      </c>
      <c r="F5075" s="25">
        <v>19.094999999999999</v>
      </c>
      <c r="G5075" s="48">
        <f t="shared" si="95"/>
        <v>76.38</v>
      </c>
      <c r="H5075" s="33">
        <f>SUM(G5075:G5079)</f>
        <v>263.19560000000001</v>
      </c>
      <c r="I5075" s="34"/>
      <c r="J5075" s="138">
        <v>0</v>
      </c>
    </row>
    <row r="5076" spans="1:10" ht="26.25" hidden="1" thickBot="1" x14ac:dyDescent="0.3">
      <c r="A5076" s="225"/>
      <c r="B5076" s="223"/>
      <c r="C5076" s="30" t="s">
        <v>950</v>
      </c>
      <c r="D5076" s="30" t="s">
        <v>702</v>
      </c>
      <c r="E5076" s="31">
        <v>4</v>
      </c>
      <c r="F5076" s="25">
        <v>24.300999999999998</v>
      </c>
      <c r="G5076" s="48">
        <f t="shared" si="95"/>
        <v>97.203999999999994</v>
      </c>
      <c r="H5076" s="67"/>
      <c r="I5076" s="68"/>
      <c r="J5076" s="138">
        <v>0</v>
      </c>
    </row>
    <row r="5077" spans="1:10" ht="15.75" hidden="1" thickBot="1" x14ac:dyDescent="0.3">
      <c r="A5077" s="225"/>
      <c r="B5077" s="223"/>
      <c r="C5077" s="30" t="s">
        <v>74</v>
      </c>
      <c r="D5077" s="41" t="s">
        <v>702</v>
      </c>
      <c r="E5077" s="31">
        <v>2</v>
      </c>
      <c r="F5077" s="25">
        <v>19.4085</v>
      </c>
      <c r="G5077" s="48">
        <f t="shared" si="95"/>
        <v>38.817</v>
      </c>
      <c r="H5077" s="67"/>
      <c r="I5077" s="68"/>
      <c r="J5077" s="138">
        <v>0</v>
      </c>
    </row>
    <row r="5078" spans="1:10" ht="15.75" hidden="1" thickBot="1" x14ac:dyDescent="0.3">
      <c r="A5078" s="225"/>
      <c r="B5078" s="223"/>
      <c r="C5078" s="30" t="s">
        <v>30</v>
      </c>
      <c r="D5078" s="30" t="s">
        <v>702</v>
      </c>
      <c r="E5078" s="31">
        <v>2</v>
      </c>
      <c r="F5078" s="25">
        <v>25.146499999999996</v>
      </c>
      <c r="G5078" s="48">
        <f t="shared" si="95"/>
        <v>50.292999999999992</v>
      </c>
      <c r="H5078" s="67"/>
      <c r="I5078" s="68"/>
      <c r="J5078" s="138">
        <v>0</v>
      </c>
    </row>
    <row r="5079" spans="1:10" ht="15.75" hidden="1" thickBot="1" x14ac:dyDescent="0.3">
      <c r="A5079" s="225"/>
      <c r="B5079" s="223"/>
      <c r="C5079" s="30" t="s">
        <v>1064</v>
      </c>
      <c r="D5079" s="30" t="s">
        <v>279</v>
      </c>
      <c r="E5079" s="31">
        <f>1.2/10</f>
        <v>0.12</v>
      </c>
      <c r="F5079" s="48">
        <v>4.18</v>
      </c>
      <c r="G5079" s="48">
        <f t="shared" si="95"/>
        <v>0.50159999999999993</v>
      </c>
      <c r="H5079" s="67"/>
      <c r="I5079" s="68"/>
      <c r="J5079" s="138">
        <v>0</v>
      </c>
    </row>
    <row r="5080" spans="1:10" ht="15.75" hidden="1" thickBot="1" x14ac:dyDescent="0.3">
      <c r="A5080" s="225"/>
      <c r="B5080" s="223"/>
      <c r="C5080" s="30"/>
      <c r="D5080" s="41"/>
      <c r="E5080" s="31"/>
      <c r="F5080" s="48" t="s">
        <v>521</v>
      </c>
      <c r="G5080" s="48" t="str">
        <f t="shared" si="95"/>
        <v/>
      </c>
      <c r="H5080" s="67"/>
      <c r="I5080" s="68"/>
      <c r="J5080" s="138">
        <v>0</v>
      </c>
    </row>
    <row r="5081" spans="1:10" ht="15.75" hidden="1" thickBot="1" x14ac:dyDescent="0.3">
      <c r="A5081" s="220" t="s">
        <v>1803</v>
      </c>
      <c r="B5081" s="222" t="e">
        <f>INDEX(Orçamentária!A:B,MATCH(Composições!A5081,Orçamentária!A:A,0),2)</f>
        <v>#N/A</v>
      </c>
      <c r="C5081" s="35"/>
      <c r="D5081" s="20" t="s">
        <v>20</v>
      </c>
      <c r="E5081" s="21"/>
      <c r="F5081" s="36" t="s">
        <v>521</v>
      </c>
      <c r="G5081" s="22" t="str">
        <f t="shared" si="95"/>
        <v/>
      </c>
      <c r="H5081" s="23"/>
      <c r="I5081" s="24"/>
      <c r="J5081" s="138">
        <v>0</v>
      </c>
    </row>
    <row r="5082" spans="1:10" ht="15.75" hidden="1" thickBot="1" x14ac:dyDescent="0.3">
      <c r="A5082" s="221"/>
      <c r="B5082" s="223"/>
      <c r="C5082" s="26"/>
      <c r="D5082" s="26"/>
      <c r="E5082" s="27"/>
      <c r="F5082" s="37" t="s">
        <v>521</v>
      </c>
      <c r="G5082" s="25" t="str">
        <f t="shared" si="95"/>
        <v/>
      </c>
      <c r="H5082" s="29"/>
      <c r="I5082" s="25"/>
      <c r="J5082" s="138">
        <v>0</v>
      </c>
    </row>
    <row r="5083" spans="1:10" ht="26.25" hidden="1" thickBot="1" x14ac:dyDescent="0.3">
      <c r="A5083" s="221"/>
      <c r="B5083" s="223"/>
      <c r="C5083" s="30" t="s">
        <v>1869</v>
      </c>
      <c r="D5083" s="41" t="s">
        <v>144</v>
      </c>
      <c r="E5083" s="31">
        <v>1</v>
      </c>
      <c r="F5083" s="28" t="s">
        <v>521</v>
      </c>
      <c r="G5083" s="28" t="str">
        <f t="shared" si="95"/>
        <v/>
      </c>
      <c r="H5083" s="33">
        <f>SUM(G5083:G5085)</f>
        <v>19.034885899999999</v>
      </c>
      <c r="I5083" s="34"/>
      <c r="J5083" s="138">
        <v>0</v>
      </c>
    </row>
    <row r="5084" spans="1:10" ht="15.75" hidden="1" thickBot="1" x14ac:dyDescent="0.3">
      <c r="A5084" s="221"/>
      <c r="B5084" s="223"/>
      <c r="C5084" s="30" t="s">
        <v>39</v>
      </c>
      <c r="D5084" s="41" t="s">
        <v>12</v>
      </c>
      <c r="E5084" s="31">
        <v>0.63229999999999997</v>
      </c>
      <c r="F5084" s="25">
        <v>24.300999999999998</v>
      </c>
      <c r="G5084" s="28">
        <f t="shared" ref="G5084:G5147" si="96">IF(ISNUMBER(F5084),E5084*F5084,"")</f>
        <v>15.365522299999999</v>
      </c>
      <c r="H5084" s="29"/>
      <c r="I5084" s="25"/>
      <c r="J5084" s="138">
        <v>0</v>
      </c>
    </row>
    <row r="5085" spans="1:10" ht="15.75" hidden="1" thickBot="1" x14ac:dyDescent="0.3">
      <c r="A5085" s="221"/>
      <c r="B5085" s="223"/>
      <c r="C5085" s="30" t="s">
        <v>23</v>
      </c>
      <c r="D5085" s="41" t="s">
        <v>12</v>
      </c>
      <c r="E5085" s="31">
        <v>0.19919999999999999</v>
      </c>
      <c r="F5085" s="25">
        <v>18.420500000000001</v>
      </c>
      <c r="G5085" s="28">
        <f t="shared" si="96"/>
        <v>3.6693636000000001</v>
      </c>
      <c r="H5085" s="29"/>
      <c r="I5085" s="25"/>
      <c r="J5085" s="138">
        <v>0</v>
      </c>
    </row>
    <row r="5086" spans="1:10" ht="15.75" hidden="1" thickBot="1" x14ac:dyDescent="0.3">
      <c r="A5086" s="227"/>
      <c r="B5086" s="224"/>
      <c r="C5086" s="30"/>
      <c r="D5086" s="30"/>
      <c r="E5086" s="31"/>
      <c r="F5086" s="25" t="s">
        <v>521</v>
      </c>
      <c r="G5086" s="25" t="str">
        <f t="shared" si="96"/>
        <v/>
      </c>
      <c r="H5086" s="29"/>
      <c r="I5086" s="25"/>
      <c r="J5086" s="138">
        <v>0</v>
      </c>
    </row>
    <row r="5087" spans="1:10" ht="15.75" hidden="1" thickBot="1" x14ac:dyDescent="0.3">
      <c r="A5087" s="220" t="s">
        <v>1804</v>
      </c>
      <c r="B5087" s="222" t="e">
        <f>INDEX(Orçamentária!A:B,MATCH(Composições!A5087,Orçamentária!A:A,0),2)</f>
        <v>#N/A</v>
      </c>
      <c r="C5087" s="35"/>
      <c r="D5087" s="20" t="s">
        <v>20</v>
      </c>
      <c r="E5087" s="21"/>
      <c r="F5087" s="36" t="s">
        <v>521</v>
      </c>
      <c r="G5087" s="22" t="str">
        <f t="shared" si="96"/>
        <v/>
      </c>
      <c r="H5087" s="23"/>
      <c r="I5087" s="24"/>
      <c r="J5087" s="138">
        <v>0</v>
      </c>
    </row>
    <row r="5088" spans="1:10" ht="15.75" hidden="1" thickBot="1" x14ac:dyDescent="0.3">
      <c r="A5088" s="221"/>
      <c r="B5088" s="223"/>
      <c r="C5088" s="26"/>
      <c r="D5088" s="26"/>
      <c r="E5088" s="27"/>
      <c r="F5088" s="37" t="s">
        <v>521</v>
      </c>
      <c r="G5088" s="25" t="str">
        <f t="shared" si="96"/>
        <v/>
      </c>
      <c r="H5088" s="29"/>
      <c r="I5088" s="25"/>
      <c r="J5088" s="138">
        <v>0</v>
      </c>
    </row>
    <row r="5089" spans="1:10" ht="26.25" hidden="1" thickBot="1" x14ac:dyDescent="0.3">
      <c r="A5089" s="221"/>
      <c r="B5089" s="223"/>
      <c r="C5089" s="30" t="s">
        <v>1870</v>
      </c>
      <c r="D5089" s="41" t="s">
        <v>144</v>
      </c>
      <c r="E5089" s="31">
        <v>1</v>
      </c>
      <c r="F5089" s="28" t="s">
        <v>521</v>
      </c>
      <c r="G5089" s="28" t="str">
        <f t="shared" si="96"/>
        <v/>
      </c>
      <c r="H5089" s="33">
        <f>SUM(G5089:G5091)</f>
        <v>9.5186579999999985</v>
      </c>
      <c r="I5089" s="34"/>
      <c r="J5089" s="138">
        <v>0</v>
      </c>
    </row>
    <row r="5090" spans="1:10" ht="15.75" hidden="1" thickBot="1" x14ac:dyDescent="0.3">
      <c r="A5090" s="221"/>
      <c r="B5090" s="223"/>
      <c r="C5090" s="30" t="s">
        <v>39</v>
      </c>
      <c r="D5090" s="41" t="s">
        <v>12</v>
      </c>
      <c r="E5090" s="31">
        <v>0.31619999999999998</v>
      </c>
      <c r="F5090" s="25">
        <v>24.300999999999998</v>
      </c>
      <c r="G5090" s="28">
        <f t="shared" si="96"/>
        <v>7.6839761999999991</v>
      </c>
      <c r="H5090" s="29"/>
      <c r="I5090" s="25"/>
      <c r="J5090" s="138">
        <v>0</v>
      </c>
    </row>
    <row r="5091" spans="1:10" ht="15.75" hidden="1" thickBot="1" x14ac:dyDescent="0.3">
      <c r="A5091" s="221"/>
      <c r="B5091" s="223"/>
      <c r="C5091" s="30" t="s">
        <v>23</v>
      </c>
      <c r="D5091" s="41" t="s">
        <v>12</v>
      </c>
      <c r="E5091" s="31">
        <v>9.9599999999999994E-2</v>
      </c>
      <c r="F5091" s="25">
        <v>18.420500000000001</v>
      </c>
      <c r="G5091" s="28">
        <f t="shared" si="96"/>
        <v>1.8346818</v>
      </c>
      <c r="H5091" s="29"/>
      <c r="I5091" s="25"/>
      <c r="J5091" s="138">
        <v>0</v>
      </c>
    </row>
    <row r="5092" spans="1:10" ht="15.75" hidden="1" thickBot="1" x14ac:dyDescent="0.3">
      <c r="A5092" s="227"/>
      <c r="B5092" s="224"/>
      <c r="C5092" s="30"/>
      <c r="D5092" s="30"/>
      <c r="E5092" s="31"/>
      <c r="F5092" s="25" t="s">
        <v>521</v>
      </c>
      <c r="G5092" s="25" t="str">
        <f t="shared" si="96"/>
        <v/>
      </c>
      <c r="H5092" s="29"/>
      <c r="I5092" s="25"/>
      <c r="J5092" s="138">
        <v>0</v>
      </c>
    </row>
    <row r="5093" spans="1:10" ht="15.75" hidden="1" thickBot="1" x14ac:dyDescent="0.3">
      <c r="A5093" s="220" t="s">
        <v>1805</v>
      </c>
      <c r="B5093" s="222" t="e">
        <f>INDEX(Orçamentária!A:B,MATCH(Composições!A5093,Orçamentária!A:A,0),2)</f>
        <v>#N/A</v>
      </c>
      <c r="C5093" s="35"/>
      <c r="D5093" s="20" t="s">
        <v>20</v>
      </c>
      <c r="E5093" s="21"/>
      <c r="F5093" s="36" t="s">
        <v>521</v>
      </c>
      <c r="G5093" s="22" t="str">
        <f t="shared" si="96"/>
        <v/>
      </c>
      <c r="H5093" s="23"/>
      <c r="I5093" s="24"/>
      <c r="J5093" s="138">
        <v>0</v>
      </c>
    </row>
    <row r="5094" spans="1:10" ht="15.75" hidden="1" thickBot="1" x14ac:dyDescent="0.3">
      <c r="A5094" s="221"/>
      <c r="B5094" s="223"/>
      <c r="C5094" s="26"/>
      <c r="D5094" s="26"/>
      <c r="E5094" s="27"/>
      <c r="F5094" s="37" t="s">
        <v>521</v>
      </c>
      <c r="G5094" s="25" t="str">
        <f t="shared" si="96"/>
        <v/>
      </c>
      <c r="H5094" s="29"/>
      <c r="I5094" s="25"/>
      <c r="J5094" s="138">
        <v>0</v>
      </c>
    </row>
    <row r="5095" spans="1:10" ht="15.75" hidden="1" thickBot="1" x14ac:dyDescent="0.3">
      <c r="A5095" s="221"/>
      <c r="B5095" s="223"/>
      <c r="C5095" s="30" t="s">
        <v>1871</v>
      </c>
      <c r="D5095" s="30" t="s">
        <v>20</v>
      </c>
      <c r="E5095" s="31">
        <v>1</v>
      </c>
      <c r="F5095" s="28" t="s">
        <v>521</v>
      </c>
      <c r="G5095" s="25" t="str">
        <f t="shared" si="96"/>
        <v/>
      </c>
      <c r="H5095" s="33">
        <f>SUM(G5095:G5097)</f>
        <v>15.638804999999998</v>
      </c>
      <c r="I5095" s="34"/>
      <c r="J5095" s="138">
        <v>0</v>
      </c>
    </row>
    <row r="5096" spans="1:10" ht="15.75" hidden="1" thickBot="1" x14ac:dyDescent="0.3">
      <c r="A5096" s="221"/>
      <c r="B5096" s="223"/>
      <c r="C5096" s="30" t="s">
        <v>74</v>
      </c>
      <c r="D5096" s="30" t="s">
        <v>12</v>
      </c>
      <c r="E5096" s="31">
        <v>0.35099999999999998</v>
      </c>
      <c r="F5096" s="25">
        <v>19.4085</v>
      </c>
      <c r="G5096" s="28">
        <f t="shared" si="96"/>
        <v>6.8123834999999993</v>
      </c>
      <c r="H5096" s="29"/>
      <c r="I5096" s="25"/>
      <c r="J5096" s="138">
        <v>0</v>
      </c>
    </row>
    <row r="5097" spans="1:10" ht="15.75" hidden="1" thickBot="1" x14ac:dyDescent="0.3">
      <c r="A5097" s="221"/>
      <c r="B5097" s="223"/>
      <c r="C5097" s="30" t="s">
        <v>30</v>
      </c>
      <c r="D5097" s="30" t="s">
        <v>12</v>
      </c>
      <c r="E5097" s="31">
        <v>0.35099999999999998</v>
      </c>
      <c r="F5097" s="25">
        <v>25.146499999999996</v>
      </c>
      <c r="G5097" s="28">
        <f t="shared" si="96"/>
        <v>8.8264214999999986</v>
      </c>
      <c r="H5097" s="29"/>
      <c r="I5097" s="25"/>
      <c r="J5097" s="138">
        <v>0</v>
      </c>
    </row>
    <row r="5098" spans="1:10" ht="15.75" hidden="1" thickBot="1" x14ac:dyDescent="0.3">
      <c r="A5098" s="227"/>
      <c r="B5098" s="224"/>
      <c r="C5098" s="30"/>
      <c r="D5098" s="30"/>
      <c r="E5098" s="31"/>
      <c r="F5098" s="25" t="s">
        <v>521</v>
      </c>
      <c r="G5098" s="25" t="str">
        <f t="shared" si="96"/>
        <v/>
      </c>
      <c r="H5098" s="29"/>
      <c r="I5098" s="25"/>
      <c r="J5098" s="138">
        <v>0</v>
      </c>
    </row>
    <row r="5099" spans="1:10" ht="15.75" hidden="1" thickBot="1" x14ac:dyDescent="0.3">
      <c r="A5099" s="220" t="s">
        <v>1806</v>
      </c>
      <c r="B5099" s="222" t="e">
        <f>INDEX(Orçamentária!A:B,MATCH(Composições!A5099,Orçamentária!A:A,0),2)</f>
        <v>#N/A</v>
      </c>
      <c r="C5099" s="35"/>
      <c r="D5099" s="20" t="s">
        <v>20</v>
      </c>
      <c r="E5099" s="21"/>
      <c r="F5099" s="36" t="s">
        <v>521</v>
      </c>
      <c r="G5099" s="22" t="str">
        <f t="shared" si="96"/>
        <v/>
      </c>
      <c r="H5099" s="23"/>
      <c r="I5099" s="24"/>
      <c r="J5099" s="138">
        <v>0</v>
      </c>
    </row>
    <row r="5100" spans="1:10" ht="15.75" hidden="1" thickBot="1" x14ac:dyDescent="0.3">
      <c r="A5100" s="221"/>
      <c r="B5100" s="223"/>
      <c r="C5100" s="26"/>
      <c r="D5100" s="26"/>
      <c r="E5100" s="27"/>
      <c r="F5100" s="37" t="s">
        <v>521</v>
      </c>
      <c r="G5100" s="25" t="str">
        <f t="shared" si="96"/>
        <v/>
      </c>
      <c r="H5100" s="29"/>
      <c r="I5100" s="25"/>
      <c r="J5100" s="138">
        <v>0</v>
      </c>
    </row>
    <row r="5101" spans="1:10" ht="15.75" hidden="1" thickBot="1" x14ac:dyDescent="0.3">
      <c r="A5101" s="221"/>
      <c r="B5101" s="223"/>
      <c r="C5101" s="30" t="s">
        <v>1723</v>
      </c>
      <c r="D5101" s="30" t="s">
        <v>279</v>
      </c>
      <c r="E5101" s="31">
        <v>1</v>
      </c>
      <c r="F5101" s="28">
        <v>6.4885000000000002</v>
      </c>
      <c r="G5101" s="25">
        <f t="shared" si="96"/>
        <v>6.4885000000000002</v>
      </c>
      <c r="H5101" s="33">
        <f>SUM(G5101:G5103)</f>
        <v>16.513375</v>
      </c>
      <c r="I5101" s="34"/>
      <c r="J5101" s="138">
        <v>0</v>
      </c>
    </row>
    <row r="5102" spans="1:10" ht="15.75" hidden="1" thickBot="1" x14ac:dyDescent="0.3">
      <c r="A5102" s="221"/>
      <c r="B5102" s="223"/>
      <c r="C5102" s="30" t="s">
        <v>74</v>
      </c>
      <c r="D5102" s="30" t="s">
        <v>12</v>
      </c>
      <c r="E5102" s="31">
        <v>0.22500000000000001</v>
      </c>
      <c r="F5102" s="25">
        <v>19.4085</v>
      </c>
      <c r="G5102" s="28">
        <f t="shared" si="96"/>
        <v>4.3669124999999998</v>
      </c>
      <c r="H5102" s="29"/>
      <c r="I5102" s="25"/>
      <c r="J5102" s="138">
        <v>0</v>
      </c>
    </row>
    <row r="5103" spans="1:10" ht="15.75" hidden="1" thickBot="1" x14ac:dyDescent="0.3">
      <c r="A5103" s="221"/>
      <c r="B5103" s="223"/>
      <c r="C5103" s="30" t="s">
        <v>30</v>
      </c>
      <c r="D5103" s="30" t="s">
        <v>12</v>
      </c>
      <c r="E5103" s="31">
        <v>0.22500000000000001</v>
      </c>
      <c r="F5103" s="25">
        <v>25.146499999999996</v>
      </c>
      <c r="G5103" s="28">
        <f t="shared" si="96"/>
        <v>5.6579624999999991</v>
      </c>
      <c r="H5103" s="29"/>
      <c r="I5103" s="25"/>
      <c r="J5103" s="138">
        <v>0</v>
      </c>
    </row>
    <row r="5104" spans="1:10" ht="15.75" hidden="1" thickBot="1" x14ac:dyDescent="0.3">
      <c r="A5104" s="227"/>
      <c r="B5104" s="224"/>
      <c r="C5104" s="30"/>
      <c r="D5104" s="30"/>
      <c r="E5104" s="31"/>
      <c r="F5104" s="25" t="s">
        <v>521</v>
      </c>
      <c r="G5104" s="25" t="str">
        <f t="shared" si="96"/>
        <v/>
      </c>
      <c r="H5104" s="29"/>
      <c r="I5104" s="25"/>
      <c r="J5104" s="138">
        <v>0</v>
      </c>
    </row>
    <row r="5105" spans="1:10" ht="15.75" hidden="1" thickBot="1" x14ac:dyDescent="0.3">
      <c r="A5105" s="220" t="s">
        <v>1807</v>
      </c>
      <c r="B5105" s="222" t="e">
        <f>INDEX(Orçamentária!A:B,MATCH(Composições!A5105,Orçamentária!A:A,0),2)</f>
        <v>#N/A</v>
      </c>
      <c r="C5105" s="35"/>
      <c r="D5105" s="20" t="s">
        <v>20</v>
      </c>
      <c r="E5105" s="21"/>
      <c r="F5105" s="36" t="s">
        <v>521</v>
      </c>
      <c r="G5105" s="22" t="str">
        <f t="shared" si="96"/>
        <v/>
      </c>
      <c r="H5105" s="23"/>
      <c r="I5105" s="24"/>
      <c r="J5105" s="138">
        <v>0</v>
      </c>
    </row>
    <row r="5106" spans="1:10" ht="15.75" hidden="1" thickBot="1" x14ac:dyDescent="0.3">
      <c r="A5106" s="221"/>
      <c r="B5106" s="223"/>
      <c r="C5106" s="26"/>
      <c r="D5106" s="26"/>
      <c r="E5106" s="27"/>
      <c r="F5106" s="37" t="s">
        <v>521</v>
      </c>
      <c r="G5106" s="25" t="str">
        <f t="shared" si="96"/>
        <v/>
      </c>
      <c r="H5106" s="29"/>
      <c r="I5106" s="25"/>
      <c r="J5106" s="138">
        <v>0</v>
      </c>
    </row>
    <row r="5107" spans="1:10" ht="39" hidden="1" thickBot="1" x14ac:dyDescent="0.3">
      <c r="A5107" s="221"/>
      <c r="B5107" s="223"/>
      <c r="C5107" s="30" t="s">
        <v>1698</v>
      </c>
      <c r="D5107" s="30" t="s">
        <v>279</v>
      </c>
      <c r="E5107" s="31">
        <v>1</v>
      </c>
      <c r="F5107" s="28">
        <v>43.652500000000003</v>
      </c>
      <c r="G5107" s="28">
        <f t="shared" si="96"/>
        <v>43.652500000000003</v>
      </c>
      <c r="H5107" s="33">
        <f>SUM(G5107:G5110)</f>
        <v>95.396348549999999</v>
      </c>
      <c r="I5107" s="34"/>
      <c r="J5107" s="138">
        <v>0</v>
      </c>
    </row>
    <row r="5108" spans="1:10" ht="26.25" hidden="1" thickBot="1" x14ac:dyDescent="0.3">
      <c r="A5108" s="221"/>
      <c r="B5108" s="223"/>
      <c r="C5108" s="30" t="s">
        <v>1695</v>
      </c>
      <c r="D5108" s="30" t="s">
        <v>279</v>
      </c>
      <c r="E5108" s="31">
        <v>2</v>
      </c>
      <c r="F5108" s="28">
        <v>14.3735</v>
      </c>
      <c r="G5108" s="28">
        <f t="shared" si="96"/>
        <v>28.747</v>
      </c>
      <c r="H5108" s="39"/>
      <c r="I5108" s="40"/>
      <c r="J5108" s="138">
        <v>0</v>
      </c>
    </row>
    <row r="5109" spans="1:10" ht="15.75" hidden="1" thickBot="1" x14ac:dyDescent="0.3">
      <c r="A5109" s="221"/>
      <c r="B5109" s="223"/>
      <c r="C5109" s="30" t="s">
        <v>74</v>
      </c>
      <c r="D5109" s="41" t="s">
        <v>12</v>
      </c>
      <c r="E5109" s="31">
        <v>0.2883</v>
      </c>
      <c r="F5109" s="25">
        <v>19.4085</v>
      </c>
      <c r="G5109" s="25">
        <f t="shared" si="96"/>
        <v>5.5954705499999999</v>
      </c>
      <c r="H5109" s="29"/>
      <c r="I5109" s="25"/>
      <c r="J5109" s="138">
        <v>0</v>
      </c>
    </row>
    <row r="5110" spans="1:10" ht="15.75" hidden="1" thickBot="1" x14ac:dyDescent="0.3">
      <c r="A5110" s="221"/>
      <c r="B5110" s="223"/>
      <c r="C5110" s="30" t="s">
        <v>30</v>
      </c>
      <c r="D5110" s="30" t="s">
        <v>12</v>
      </c>
      <c r="E5110" s="31">
        <v>0.69199999999999995</v>
      </c>
      <c r="F5110" s="25">
        <v>25.146499999999996</v>
      </c>
      <c r="G5110" s="25">
        <f t="shared" si="96"/>
        <v>17.401377999999998</v>
      </c>
      <c r="H5110" s="29"/>
      <c r="I5110" s="25"/>
      <c r="J5110" s="138">
        <v>0</v>
      </c>
    </row>
    <row r="5111" spans="1:10" ht="15.75" hidden="1" thickBot="1" x14ac:dyDescent="0.3">
      <c r="A5111" s="227"/>
      <c r="B5111" s="224"/>
      <c r="C5111" s="30"/>
      <c r="D5111" s="30"/>
      <c r="E5111" s="31"/>
      <c r="F5111" s="25" t="s">
        <v>521</v>
      </c>
      <c r="G5111" s="25" t="str">
        <f t="shared" si="96"/>
        <v/>
      </c>
      <c r="H5111" s="29"/>
      <c r="I5111" s="25"/>
      <c r="J5111" s="138">
        <v>0</v>
      </c>
    </row>
    <row r="5112" spans="1:10" ht="15.75" hidden="1" thickBot="1" x14ac:dyDescent="0.3">
      <c r="A5112" s="228" t="s">
        <v>1872</v>
      </c>
      <c r="B5112" s="222" t="e">
        <f>INDEX(Orçamentária!A:B,MATCH(Composições!A5112,Orçamentária!A:A,0),2)</f>
        <v>#N/A</v>
      </c>
      <c r="C5112" s="35"/>
      <c r="D5112" s="20" t="s">
        <v>95</v>
      </c>
      <c r="E5112" s="21"/>
      <c r="F5112" s="36" t="s">
        <v>521</v>
      </c>
      <c r="G5112" s="22" t="str">
        <f t="shared" si="96"/>
        <v/>
      </c>
      <c r="H5112" s="23"/>
      <c r="I5112" s="24"/>
      <c r="J5112" s="138">
        <v>0</v>
      </c>
    </row>
    <row r="5113" spans="1:10" ht="15.75" hidden="1" thickBot="1" x14ac:dyDescent="0.3">
      <c r="A5113" s="229"/>
      <c r="B5113" s="223"/>
      <c r="C5113" s="26"/>
      <c r="D5113" s="26"/>
      <c r="E5113" s="27"/>
      <c r="F5113" s="37" t="s">
        <v>521</v>
      </c>
      <c r="G5113" s="25" t="str">
        <f t="shared" si="96"/>
        <v/>
      </c>
      <c r="H5113" s="29"/>
      <c r="I5113" s="25"/>
      <c r="J5113" s="138">
        <v>0</v>
      </c>
    </row>
    <row r="5114" spans="1:10" ht="51.75" hidden="1" thickBot="1" x14ac:dyDescent="0.3">
      <c r="A5114" s="229"/>
      <c r="B5114" s="223"/>
      <c r="C5114" s="30" t="s">
        <v>1946</v>
      </c>
      <c r="D5114" s="41" t="s">
        <v>279</v>
      </c>
      <c r="E5114" s="31">
        <f>1/(0.8*2.1)</f>
        <v>0.59523809523809523</v>
      </c>
      <c r="F5114" s="28">
        <v>292.85649999999998</v>
      </c>
      <c r="G5114" s="28">
        <f t="shared" si="96"/>
        <v>174.31934523809522</v>
      </c>
      <c r="H5114" s="33">
        <f>SUM(G5114:G5117)</f>
        <v>223.09176668809522</v>
      </c>
      <c r="I5114" s="34"/>
      <c r="J5114" s="138">
        <v>0</v>
      </c>
    </row>
    <row r="5115" spans="1:10" ht="15.75" hidden="1" thickBot="1" x14ac:dyDescent="0.3">
      <c r="A5115" s="229"/>
      <c r="B5115" s="223"/>
      <c r="C5115" s="30" t="s">
        <v>1630</v>
      </c>
      <c r="D5115" s="41" t="s">
        <v>479</v>
      </c>
      <c r="E5115" s="31">
        <f>1/0.8</f>
        <v>1.25</v>
      </c>
      <c r="F5115" s="25">
        <v>19.683999999999997</v>
      </c>
      <c r="G5115" s="28">
        <f t="shared" si="96"/>
        <v>24.604999999999997</v>
      </c>
      <c r="H5115" s="29"/>
      <c r="I5115" s="25"/>
      <c r="J5115" s="138">
        <v>0</v>
      </c>
    </row>
    <row r="5116" spans="1:10" ht="15.75" hidden="1" thickBot="1" x14ac:dyDescent="0.3">
      <c r="A5116" s="229"/>
      <c r="B5116" s="223"/>
      <c r="C5116" s="30" t="s">
        <v>701</v>
      </c>
      <c r="D5116" s="41" t="s">
        <v>702</v>
      </c>
      <c r="E5116" s="31">
        <f>ROUND(1.546*0.8/(2.1*0.8),4)</f>
        <v>0.73619999999999997</v>
      </c>
      <c r="F5116" s="25">
        <v>23.616999999999997</v>
      </c>
      <c r="G5116" s="28">
        <f t="shared" si="96"/>
        <v>17.386835399999999</v>
      </c>
      <c r="H5116" s="29"/>
      <c r="I5116" s="25"/>
      <c r="J5116" s="138">
        <v>0</v>
      </c>
    </row>
    <row r="5117" spans="1:10" ht="15.75" hidden="1" thickBot="1" x14ac:dyDescent="0.3">
      <c r="A5117" s="229"/>
      <c r="B5117" s="223"/>
      <c r="C5117" s="30" t="s">
        <v>703</v>
      </c>
      <c r="D5117" s="41" t="s">
        <v>702</v>
      </c>
      <c r="E5117" s="31">
        <f>ROUND(0.773*0.8/(2.1*0.8),4)</f>
        <v>0.36809999999999998</v>
      </c>
      <c r="F5117" s="25">
        <v>18.420500000000001</v>
      </c>
      <c r="G5117" s="28">
        <f t="shared" si="96"/>
        <v>6.7805860500000001</v>
      </c>
      <c r="H5117" s="29"/>
      <c r="I5117" s="25"/>
      <c r="J5117" s="138">
        <v>0</v>
      </c>
    </row>
    <row r="5118" spans="1:10" ht="15.75" hidden="1" thickBot="1" x14ac:dyDescent="0.3">
      <c r="A5118" s="229"/>
      <c r="B5118" s="223"/>
      <c r="C5118" s="30"/>
      <c r="D5118" s="41"/>
      <c r="E5118" s="31"/>
      <c r="F5118" s="28" t="s">
        <v>521</v>
      </c>
      <c r="G5118" s="28" t="str">
        <f t="shared" si="96"/>
        <v/>
      </c>
      <c r="H5118" s="29"/>
      <c r="I5118" s="25"/>
      <c r="J5118" s="138">
        <v>0</v>
      </c>
    </row>
    <row r="5119" spans="1:10" ht="15.75" hidden="1" thickBot="1" x14ac:dyDescent="0.3">
      <c r="A5119" s="228" t="s">
        <v>1873</v>
      </c>
      <c r="B5119" s="222" t="e">
        <f>INDEX(Orçamentária!A:B,MATCH(Composições!A5119,Orçamentária!A:A,0),2)</f>
        <v>#N/A</v>
      </c>
      <c r="C5119" s="35"/>
      <c r="D5119" s="20" t="s">
        <v>95</v>
      </c>
      <c r="E5119" s="21"/>
      <c r="F5119" s="36" t="s">
        <v>521</v>
      </c>
      <c r="G5119" s="22" t="str">
        <f t="shared" si="96"/>
        <v/>
      </c>
      <c r="H5119" s="23"/>
      <c r="I5119" s="24"/>
      <c r="J5119" s="138">
        <v>0</v>
      </c>
    </row>
    <row r="5120" spans="1:10" ht="15.75" hidden="1" thickBot="1" x14ac:dyDescent="0.3">
      <c r="A5120" s="229"/>
      <c r="B5120" s="223"/>
      <c r="C5120" s="26"/>
      <c r="D5120" s="26"/>
      <c r="E5120" s="27"/>
      <c r="F5120" s="37" t="s">
        <v>521</v>
      </c>
      <c r="G5120" s="25" t="str">
        <f t="shared" si="96"/>
        <v/>
      </c>
      <c r="H5120" s="29"/>
      <c r="I5120" s="25"/>
      <c r="J5120" s="138">
        <v>0</v>
      </c>
    </row>
    <row r="5121" spans="1:10" ht="51.75" hidden="1" thickBot="1" x14ac:dyDescent="0.3">
      <c r="A5121" s="229"/>
      <c r="B5121" s="223"/>
      <c r="C5121" s="30" t="s">
        <v>1947</v>
      </c>
      <c r="D5121" s="41" t="s">
        <v>279</v>
      </c>
      <c r="E5121" s="31">
        <f>1/(0.8*2.1)</f>
        <v>0.59523809523809523</v>
      </c>
      <c r="F5121" s="28">
        <v>286.07349999999997</v>
      </c>
      <c r="G5121" s="28">
        <f t="shared" si="96"/>
        <v>170.28184523809523</v>
      </c>
      <c r="H5121" s="33">
        <f>SUM(G5121:G5126)</f>
        <v>237.37226168809522</v>
      </c>
      <c r="I5121" s="34"/>
      <c r="J5121" s="138">
        <v>0</v>
      </c>
    </row>
    <row r="5122" spans="1:10" ht="15.75" hidden="1" thickBot="1" x14ac:dyDescent="0.3">
      <c r="A5122" s="229"/>
      <c r="B5122" s="223"/>
      <c r="C5122" s="30" t="s">
        <v>1630</v>
      </c>
      <c r="D5122" s="41" t="s">
        <v>479</v>
      </c>
      <c r="E5122" s="31">
        <f>1/0.8</f>
        <v>1.25</v>
      </c>
      <c r="F5122" s="25">
        <v>19.683999999999997</v>
      </c>
      <c r="G5122" s="28">
        <f t="shared" si="96"/>
        <v>24.604999999999997</v>
      </c>
      <c r="H5122" s="29"/>
      <c r="I5122" s="25"/>
      <c r="J5122" s="138">
        <v>0</v>
      </c>
    </row>
    <row r="5123" spans="1:10" ht="15.75" hidden="1" thickBot="1" x14ac:dyDescent="0.3">
      <c r="A5123" s="229"/>
      <c r="B5123" s="223"/>
      <c r="C5123" s="30" t="s">
        <v>701</v>
      </c>
      <c r="D5123" s="41" t="s">
        <v>702</v>
      </c>
      <c r="E5123" s="31">
        <f>ROUND(1.546*0.8/(0.8*2.1),4)</f>
        <v>0.73619999999999997</v>
      </c>
      <c r="F5123" s="25">
        <v>23.616999999999997</v>
      </c>
      <c r="G5123" s="28">
        <f t="shared" si="96"/>
        <v>17.386835399999999</v>
      </c>
      <c r="H5123" s="29"/>
      <c r="I5123" s="25"/>
      <c r="J5123" s="138">
        <v>0</v>
      </c>
    </row>
    <row r="5124" spans="1:10" ht="15.75" hidden="1" thickBot="1" x14ac:dyDescent="0.3">
      <c r="A5124" s="229"/>
      <c r="B5124" s="223"/>
      <c r="C5124" s="30" t="s">
        <v>703</v>
      </c>
      <c r="D5124" s="41" t="s">
        <v>702</v>
      </c>
      <c r="E5124" s="31">
        <f>ROUND(0.773*0.8/(0.8*2.1),4)</f>
        <v>0.36809999999999998</v>
      </c>
      <c r="F5124" s="25">
        <v>18.420500000000001</v>
      </c>
      <c r="G5124" s="28">
        <f t="shared" si="96"/>
        <v>6.7805860500000001</v>
      </c>
      <c r="H5124" s="29"/>
      <c r="I5124" s="25"/>
      <c r="J5124" s="138">
        <v>0</v>
      </c>
    </row>
    <row r="5125" spans="1:10" ht="15.75" hidden="1" thickBot="1" x14ac:dyDescent="0.3">
      <c r="A5125" s="229"/>
      <c r="B5125" s="223"/>
      <c r="C5125" s="30" t="s">
        <v>202</v>
      </c>
      <c r="D5125" s="44" t="s">
        <v>102</v>
      </c>
      <c r="E5125" s="31">
        <v>0.108</v>
      </c>
      <c r="F5125" s="28" t="s">
        <v>521</v>
      </c>
      <c r="G5125" s="25" t="str">
        <f t="shared" si="96"/>
        <v/>
      </c>
      <c r="H5125" s="29"/>
      <c r="I5125" s="25"/>
      <c r="J5125" s="138">
        <v>0</v>
      </c>
    </row>
    <row r="5126" spans="1:10" ht="15.75" hidden="1" thickBot="1" x14ac:dyDescent="0.3">
      <c r="A5126" s="229"/>
      <c r="B5126" s="223"/>
      <c r="C5126" s="30" t="s">
        <v>100</v>
      </c>
      <c r="D5126" s="30" t="s">
        <v>12</v>
      </c>
      <c r="E5126" s="31">
        <v>0.70760000000000001</v>
      </c>
      <c r="F5126" s="25">
        <v>25.887499999999999</v>
      </c>
      <c r="G5126" s="25">
        <f t="shared" si="96"/>
        <v>18.317995</v>
      </c>
      <c r="H5126" s="29"/>
      <c r="I5126" s="25"/>
      <c r="J5126" s="138">
        <v>0</v>
      </c>
    </row>
    <row r="5127" spans="1:10" ht="15.75" hidden="1" thickBot="1" x14ac:dyDescent="0.3">
      <c r="A5127" s="229"/>
      <c r="B5127" s="223"/>
      <c r="C5127" s="30"/>
      <c r="D5127" s="30"/>
      <c r="E5127" s="31"/>
      <c r="F5127" s="25" t="s">
        <v>521</v>
      </c>
      <c r="G5127" s="25"/>
      <c r="H5127" s="29"/>
      <c r="I5127" s="25"/>
      <c r="J5127" s="138">
        <v>0</v>
      </c>
    </row>
    <row r="5128" spans="1:10" ht="39" hidden="1" thickBot="1" x14ac:dyDescent="0.3">
      <c r="A5128" s="229"/>
      <c r="B5128" s="223"/>
      <c r="C5128" s="46" t="s">
        <v>1761</v>
      </c>
      <c r="D5128" s="30"/>
      <c r="E5128" s="31"/>
      <c r="F5128" s="25" t="s">
        <v>521</v>
      </c>
      <c r="G5128" s="25"/>
      <c r="H5128" s="29"/>
      <c r="I5128" s="25"/>
      <c r="J5128" s="138">
        <v>0</v>
      </c>
    </row>
    <row r="5129" spans="1:10" ht="15.75" hidden="1" thickBot="1" x14ac:dyDescent="0.3">
      <c r="A5129" s="229"/>
      <c r="B5129" s="223"/>
      <c r="C5129" s="30"/>
      <c r="D5129" s="41"/>
      <c r="E5129" s="31"/>
      <c r="F5129" s="28" t="s">
        <v>521</v>
      </c>
      <c r="G5129" s="28" t="str">
        <f t="shared" ref="G5129:G5160" si="97">IF(ISNUMBER(F5129),E5129*F5129,"")</f>
        <v/>
      </c>
      <c r="H5129" s="29"/>
      <c r="I5129" s="25"/>
      <c r="J5129" s="138">
        <v>0</v>
      </c>
    </row>
    <row r="5130" spans="1:10" ht="15.75" hidden="1" thickBot="1" x14ac:dyDescent="0.3">
      <c r="A5130" s="220" t="s">
        <v>1874</v>
      </c>
      <c r="B5130" s="222" t="e">
        <f>INDEX(Orçamentária!A:B,MATCH(Composições!A5130,Orçamentária!A:A,0),2)</f>
        <v>#N/A</v>
      </c>
      <c r="C5130" s="35"/>
      <c r="D5130" s="20" t="s">
        <v>20</v>
      </c>
      <c r="E5130" s="21"/>
      <c r="F5130" s="43" t="s">
        <v>521</v>
      </c>
      <c r="G5130" s="22" t="str">
        <f t="shared" si="97"/>
        <v/>
      </c>
      <c r="H5130" s="23"/>
      <c r="I5130" s="24"/>
      <c r="J5130" s="138">
        <v>0</v>
      </c>
    </row>
    <row r="5131" spans="1:10" ht="15.75" hidden="1" thickBot="1" x14ac:dyDescent="0.3">
      <c r="A5131" s="225"/>
      <c r="B5131" s="223"/>
      <c r="C5131" s="26"/>
      <c r="D5131" s="26"/>
      <c r="E5131" s="27"/>
      <c r="F5131" s="48" t="s">
        <v>521</v>
      </c>
      <c r="G5131" s="48" t="str">
        <f t="shared" si="97"/>
        <v/>
      </c>
      <c r="H5131" s="67"/>
      <c r="I5131" s="68"/>
      <c r="J5131" s="138">
        <v>0</v>
      </c>
    </row>
    <row r="5132" spans="1:10" ht="26.25" hidden="1" thickBot="1" x14ac:dyDescent="0.3">
      <c r="A5132" s="225"/>
      <c r="B5132" s="223"/>
      <c r="C5132" s="30" t="s">
        <v>949</v>
      </c>
      <c r="D5132" s="41" t="s">
        <v>702</v>
      </c>
      <c r="E5132" s="31">
        <v>0.93</v>
      </c>
      <c r="F5132" s="25">
        <v>19.094999999999999</v>
      </c>
      <c r="G5132" s="48">
        <f t="shared" si="97"/>
        <v>17.75835</v>
      </c>
      <c r="H5132" s="33">
        <f>SUM(G5132:G5134)</f>
        <v>40.358280000000001</v>
      </c>
      <c r="I5132" s="34"/>
      <c r="J5132" s="138">
        <v>0</v>
      </c>
    </row>
    <row r="5133" spans="1:10" ht="26.25" hidden="1" thickBot="1" x14ac:dyDescent="0.3">
      <c r="A5133" s="225"/>
      <c r="B5133" s="223"/>
      <c r="C5133" s="30" t="s">
        <v>950</v>
      </c>
      <c r="D5133" s="30" t="s">
        <v>702</v>
      </c>
      <c r="E5133" s="31">
        <v>0.93</v>
      </c>
      <c r="F5133" s="25">
        <v>24.300999999999998</v>
      </c>
      <c r="G5133" s="48">
        <f t="shared" si="97"/>
        <v>22.599930000000001</v>
      </c>
      <c r="H5133" s="67"/>
      <c r="I5133" s="68"/>
      <c r="J5133" s="138">
        <v>0</v>
      </c>
    </row>
    <row r="5134" spans="1:10" ht="15.75" hidden="1" thickBot="1" x14ac:dyDescent="0.3">
      <c r="A5134" s="225"/>
      <c r="B5134" s="223"/>
      <c r="C5134" s="30" t="s">
        <v>1898</v>
      </c>
      <c r="D5134" s="30" t="s">
        <v>279</v>
      </c>
      <c r="E5134" s="31">
        <v>1</v>
      </c>
      <c r="F5134" s="25" t="s">
        <v>521</v>
      </c>
      <c r="G5134" s="48" t="str">
        <f t="shared" si="97"/>
        <v/>
      </c>
      <c r="H5134" s="67"/>
      <c r="I5134" s="68"/>
      <c r="J5134" s="138">
        <v>0</v>
      </c>
    </row>
    <row r="5135" spans="1:10" ht="15.75" hidden="1" thickBot="1" x14ac:dyDescent="0.3">
      <c r="A5135" s="225"/>
      <c r="B5135" s="223"/>
      <c r="C5135" s="30"/>
      <c r="D5135" s="41"/>
      <c r="E5135" s="31"/>
      <c r="F5135" s="48" t="s">
        <v>521</v>
      </c>
      <c r="G5135" s="48" t="str">
        <f t="shared" si="97"/>
        <v/>
      </c>
      <c r="H5135" s="67"/>
      <c r="I5135" s="68"/>
      <c r="J5135" s="138">
        <v>0</v>
      </c>
    </row>
    <row r="5136" spans="1:10" ht="15.75" hidden="1" thickBot="1" x14ac:dyDescent="0.3">
      <c r="A5136" s="220" t="s">
        <v>1875</v>
      </c>
      <c r="B5136" s="222" t="e">
        <f>INDEX(Orçamentária!A:B,MATCH(Composições!A5136,Orçamentária!A:A,0),2)</f>
        <v>#N/A</v>
      </c>
      <c r="C5136" s="35"/>
      <c r="D5136" s="20" t="s">
        <v>20</v>
      </c>
      <c r="E5136" s="21"/>
      <c r="F5136" s="43" t="s">
        <v>521</v>
      </c>
      <c r="G5136" s="22" t="str">
        <f t="shared" si="97"/>
        <v/>
      </c>
      <c r="H5136" s="23"/>
      <c r="I5136" s="24"/>
      <c r="J5136" s="138">
        <v>0</v>
      </c>
    </row>
    <row r="5137" spans="1:10" ht="15.75" hidden="1" thickBot="1" x14ac:dyDescent="0.3">
      <c r="A5137" s="225"/>
      <c r="B5137" s="223"/>
      <c r="C5137" s="26"/>
      <c r="D5137" s="26"/>
      <c r="E5137" s="27"/>
      <c r="F5137" s="48" t="s">
        <v>521</v>
      </c>
      <c r="G5137" s="48" t="str">
        <f t="shared" si="97"/>
        <v/>
      </c>
      <c r="H5137" s="67"/>
      <c r="I5137" s="68"/>
      <c r="J5137" s="138">
        <v>0</v>
      </c>
    </row>
    <row r="5138" spans="1:10" ht="15.75" hidden="1" thickBot="1" x14ac:dyDescent="0.3">
      <c r="A5138" s="225"/>
      <c r="B5138" s="223"/>
      <c r="C5138" s="30" t="s">
        <v>1176</v>
      </c>
      <c r="D5138" s="41" t="s">
        <v>897</v>
      </c>
      <c r="E5138" s="31">
        <f>ROUND(0.089*1.3,4)</f>
        <v>0.1157</v>
      </c>
      <c r="F5138" s="25">
        <v>32.746499999999997</v>
      </c>
      <c r="G5138" s="48">
        <f t="shared" si="97"/>
        <v>3.7887700499999997</v>
      </c>
      <c r="H5138" s="33">
        <f>SUM(G5138:G5142)</f>
        <v>87.116072550000013</v>
      </c>
      <c r="I5138" s="34"/>
      <c r="J5138" s="138">
        <v>0</v>
      </c>
    </row>
    <row r="5139" spans="1:10" ht="26.25" hidden="1" thickBot="1" x14ac:dyDescent="0.3">
      <c r="A5139" s="225"/>
      <c r="B5139" s="223"/>
      <c r="C5139" s="30" t="s">
        <v>1899</v>
      </c>
      <c r="D5139" s="30" t="s">
        <v>279</v>
      </c>
      <c r="E5139" s="31">
        <v>1</v>
      </c>
      <c r="F5139" s="25" t="s">
        <v>521</v>
      </c>
      <c r="G5139" s="48" t="str">
        <f t="shared" si="97"/>
        <v/>
      </c>
      <c r="H5139" s="67"/>
      <c r="I5139" s="68"/>
      <c r="J5139" s="138">
        <v>0</v>
      </c>
    </row>
    <row r="5140" spans="1:10" ht="26.25" hidden="1" thickBot="1" x14ac:dyDescent="0.3">
      <c r="A5140" s="225"/>
      <c r="B5140" s="223"/>
      <c r="C5140" s="30" t="s">
        <v>949</v>
      </c>
      <c r="D5140" s="41" t="s">
        <v>702</v>
      </c>
      <c r="E5140" s="31">
        <f>ROUND(0.93*1.3,4)</f>
        <v>1.2090000000000001</v>
      </c>
      <c r="F5140" s="25">
        <v>19.094999999999999</v>
      </c>
      <c r="G5140" s="48">
        <f t="shared" si="97"/>
        <v>23.085854999999999</v>
      </c>
      <c r="H5140" s="67"/>
      <c r="I5140" s="68"/>
      <c r="J5140" s="138">
        <v>0</v>
      </c>
    </row>
    <row r="5141" spans="1:10" ht="26.25" hidden="1" thickBot="1" x14ac:dyDescent="0.3">
      <c r="A5141" s="225"/>
      <c r="B5141" s="223"/>
      <c r="C5141" s="30" t="s">
        <v>950</v>
      </c>
      <c r="D5141" s="30" t="s">
        <v>702</v>
      </c>
      <c r="E5141" s="31">
        <f>ROUND(0.93*1.3,4)</f>
        <v>1.2090000000000001</v>
      </c>
      <c r="F5141" s="25">
        <v>24.300999999999998</v>
      </c>
      <c r="G5141" s="48">
        <f t="shared" si="97"/>
        <v>29.379909000000001</v>
      </c>
      <c r="H5141" s="67"/>
      <c r="I5141" s="68"/>
      <c r="J5141" s="138">
        <v>0</v>
      </c>
    </row>
    <row r="5142" spans="1:10" ht="15.75" hidden="1" thickBot="1" x14ac:dyDescent="0.3">
      <c r="A5142" s="225"/>
      <c r="B5142" s="223"/>
      <c r="C5142" s="30" t="s">
        <v>1608</v>
      </c>
      <c r="D5142" s="30" t="s">
        <v>702</v>
      </c>
      <c r="E5142" s="31">
        <f>ROUND(0.93*1.3,4)</f>
        <v>1.2090000000000001</v>
      </c>
      <c r="F5142" s="48">
        <v>25.526499999999999</v>
      </c>
      <c r="G5142" s="48">
        <f t="shared" si="97"/>
        <v>30.861538500000002</v>
      </c>
      <c r="H5142" s="67"/>
      <c r="I5142" s="68"/>
      <c r="J5142" s="138">
        <v>0</v>
      </c>
    </row>
    <row r="5143" spans="1:10" ht="15.75" hidden="1" thickBot="1" x14ac:dyDescent="0.3">
      <c r="A5143" s="225"/>
      <c r="B5143" s="223"/>
      <c r="C5143" s="30"/>
      <c r="D5143" s="41"/>
      <c r="E5143" s="31"/>
      <c r="F5143" s="48" t="s">
        <v>521</v>
      </c>
      <c r="G5143" s="48" t="str">
        <f t="shared" si="97"/>
        <v/>
      </c>
      <c r="H5143" s="67"/>
      <c r="I5143" s="68"/>
      <c r="J5143" s="138">
        <v>0</v>
      </c>
    </row>
    <row r="5144" spans="1:10" ht="15.75" hidden="1" thickBot="1" x14ac:dyDescent="0.3">
      <c r="A5144" s="220" t="s">
        <v>1876</v>
      </c>
      <c r="B5144" s="222" t="e">
        <f>INDEX(Orçamentária!A:B,MATCH(Composições!A5144,Orçamentária!A:A,0),2)</f>
        <v>#N/A</v>
      </c>
      <c r="C5144" s="35"/>
      <c r="D5144" s="20" t="s">
        <v>20</v>
      </c>
      <c r="E5144" s="21"/>
      <c r="F5144" s="43" t="s">
        <v>521</v>
      </c>
      <c r="G5144" s="22" t="str">
        <f t="shared" si="97"/>
        <v/>
      </c>
      <c r="H5144" s="23"/>
      <c r="I5144" s="24"/>
      <c r="J5144" s="138">
        <v>0</v>
      </c>
    </row>
    <row r="5145" spans="1:10" ht="15.75" hidden="1" thickBot="1" x14ac:dyDescent="0.3">
      <c r="A5145" s="225"/>
      <c r="B5145" s="223"/>
      <c r="C5145" s="26"/>
      <c r="D5145" s="26"/>
      <c r="E5145" s="27"/>
      <c r="F5145" s="48" t="s">
        <v>521</v>
      </c>
      <c r="G5145" s="48" t="str">
        <f t="shared" si="97"/>
        <v/>
      </c>
      <c r="H5145" s="67"/>
      <c r="I5145" s="68"/>
      <c r="J5145" s="138">
        <v>0</v>
      </c>
    </row>
    <row r="5146" spans="1:10" ht="15.75" hidden="1" thickBot="1" x14ac:dyDescent="0.3">
      <c r="A5146" s="225"/>
      <c r="B5146" s="223"/>
      <c r="C5146" s="30" t="s">
        <v>1176</v>
      </c>
      <c r="D5146" s="41" t="s">
        <v>897</v>
      </c>
      <c r="E5146" s="31">
        <f>ROUND(0.089*1.3,4)</f>
        <v>0.1157</v>
      </c>
      <c r="F5146" s="25">
        <v>32.746499999999997</v>
      </c>
      <c r="G5146" s="48">
        <f t="shared" si="97"/>
        <v>3.7887700499999997</v>
      </c>
      <c r="H5146" s="33">
        <f>SUM(G5146:G5150)</f>
        <v>87.116072550000013</v>
      </c>
      <c r="I5146" s="34"/>
      <c r="J5146" s="138">
        <v>0</v>
      </c>
    </row>
    <row r="5147" spans="1:10" ht="26.25" hidden="1" thickBot="1" x14ac:dyDescent="0.3">
      <c r="A5147" s="225"/>
      <c r="B5147" s="223"/>
      <c r="C5147" s="30" t="s">
        <v>1900</v>
      </c>
      <c r="D5147" s="30" t="s">
        <v>279</v>
      </c>
      <c r="E5147" s="31">
        <v>1</v>
      </c>
      <c r="F5147" s="25" t="s">
        <v>521</v>
      </c>
      <c r="G5147" s="48" t="str">
        <f t="shared" si="97"/>
        <v/>
      </c>
      <c r="H5147" s="67"/>
      <c r="I5147" s="68"/>
      <c r="J5147" s="138">
        <v>0</v>
      </c>
    </row>
    <row r="5148" spans="1:10" ht="26.25" hidden="1" thickBot="1" x14ac:dyDescent="0.3">
      <c r="A5148" s="225"/>
      <c r="B5148" s="223"/>
      <c r="C5148" s="30" t="s">
        <v>949</v>
      </c>
      <c r="D5148" s="41" t="s">
        <v>702</v>
      </c>
      <c r="E5148" s="31">
        <f>ROUND(0.93*1.3,4)</f>
        <v>1.2090000000000001</v>
      </c>
      <c r="F5148" s="25">
        <v>19.094999999999999</v>
      </c>
      <c r="G5148" s="48">
        <f t="shared" si="97"/>
        <v>23.085854999999999</v>
      </c>
      <c r="H5148" s="67"/>
      <c r="I5148" s="68"/>
      <c r="J5148" s="138">
        <v>0</v>
      </c>
    </row>
    <row r="5149" spans="1:10" ht="26.25" hidden="1" thickBot="1" x14ac:dyDescent="0.3">
      <c r="A5149" s="225"/>
      <c r="B5149" s="223"/>
      <c r="C5149" s="30" t="s">
        <v>950</v>
      </c>
      <c r="D5149" s="30" t="s">
        <v>702</v>
      </c>
      <c r="E5149" s="31">
        <f>ROUND(0.93*1.3,4)</f>
        <v>1.2090000000000001</v>
      </c>
      <c r="F5149" s="25">
        <v>24.300999999999998</v>
      </c>
      <c r="G5149" s="48">
        <f t="shared" si="97"/>
        <v>29.379909000000001</v>
      </c>
      <c r="H5149" s="67"/>
      <c r="I5149" s="68"/>
      <c r="J5149" s="138">
        <v>0</v>
      </c>
    </row>
    <row r="5150" spans="1:10" ht="15.75" hidden="1" thickBot="1" x14ac:dyDescent="0.3">
      <c r="A5150" s="225"/>
      <c r="B5150" s="223"/>
      <c r="C5150" s="30" t="s">
        <v>1608</v>
      </c>
      <c r="D5150" s="30" t="s">
        <v>702</v>
      </c>
      <c r="E5150" s="31">
        <f>ROUND(0.93*1.3,4)</f>
        <v>1.2090000000000001</v>
      </c>
      <c r="F5150" s="48">
        <v>25.526499999999999</v>
      </c>
      <c r="G5150" s="48">
        <f t="shared" si="97"/>
        <v>30.861538500000002</v>
      </c>
      <c r="H5150" s="67"/>
      <c r="I5150" s="68"/>
      <c r="J5150" s="138">
        <v>0</v>
      </c>
    </row>
    <row r="5151" spans="1:10" ht="15.75" hidden="1" thickBot="1" x14ac:dyDescent="0.3">
      <c r="A5151" s="225"/>
      <c r="B5151" s="223"/>
      <c r="C5151" s="30"/>
      <c r="D5151" s="41"/>
      <c r="E5151" s="31"/>
      <c r="F5151" s="48" t="s">
        <v>521</v>
      </c>
      <c r="G5151" s="48" t="str">
        <f t="shared" si="97"/>
        <v/>
      </c>
      <c r="H5151" s="67"/>
      <c r="I5151" s="68"/>
      <c r="J5151" s="138">
        <v>0</v>
      </c>
    </row>
    <row r="5152" spans="1:10" ht="15.75" hidden="1" thickBot="1" x14ac:dyDescent="0.3">
      <c r="A5152" s="220" t="s">
        <v>1877</v>
      </c>
      <c r="B5152" s="222" t="e">
        <f>INDEX(Orçamentária!A:B,MATCH(Composições!A5152,Orçamentária!A:A,0),2)</f>
        <v>#N/A</v>
      </c>
      <c r="C5152" s="35"/>
      <c r="D5152" s="20" t="s">
        <v>20</v>
      </c>
      <c r="E5152" s="21"/>
      <c r="F5152" s="43" t="s">
        <v>521</v>
      </c>
      <c r="G5152" s="22" t="str">
        <f t="shared" si="97"/>
        <v/>
      </c>
      <c r="H5152" s="23"/>
      <c r="I5152" s="24"/>
      <c r="J5152" s="138">
        <v>0</v>
      </c>
    </row>
    <row r="5153" spans="1:10" ht="15.75" hidden="1" thickBot="1" x14ac:dyDescent="0.3">
      <c r="A5153" s="225"/>
      <c r="B5153" s="223"/>
      <c r="C5153" s="26"/>
      <c r="D5153" s="26"/>
      <c r="E5153" s="27"/>
      <c r="F5153" s="48" t="s">
        <v>521</v>
      </c>
      <c r="G5153" s="48" t="str">
        <f t="shared" si="97"/>
        <v/>
      </c>
      <c r="H5153" s="67"/>
      <c r="I5153" s="68"/>
      <c r="J5153" s="138">
        <v>0</v>
      </c>
    </row>
    <row r="5154" spans="1:10" ht="15.75" hidden="1" thickBot="1" x14ac:dyDescent="0.3">
      <c r="A5154" s="225"/>
      <c r="B5154" s="223"/>
      <c r="C5154" s="30" t="s">
        <v>1176</v>
      </c>
      <c r="D5154" s="41" t="s">
        <v>897</v>
      </c>
      <c r="E5154" s="31">
        <f>ROUND(0.089*1.3,4)</f>
        <v>0.1157</v>
      </c>
      <c r="F5154" s="25">
        <v>32.746499999999997</v>
      </c>
      <c r="G5154" s="48">
        <f t="shared" si="97"/>
        <v>3.7887700499999997</v>
      </c>
      <c r="H5154" s="33">
        <f>SUM(G5154:G5158)</f>
        <v>87.116072550000013</v>
      </c>
      <c r="I5154" s="34"/>
      <c r="J5154" s="138">
        <v>0</v>
      </c>
    </row>
    <row r="5155" spans="1:10" ht="26.25" hidden="1" thickBot="1" x14ac:dyDescent="0.3">
      <c r="A5155" s="225"/>
      <c r="B5155" s="223"/>
      <c r="C5155" s="30" t="s">
        <v>1901</v>
      </c>
      <c r="D5155" s="30" t="s">
        <v>279</v>
      </c>
      <c r="E5155" s="31">
        <v>1</v>
      </c>
      <c r="F5155" s="25" t="s">
        <v>521</v>
      </c>
      <c r="G5155" s="48" t="str">
        <f t="shared" si="97"/>
        <v/>
      </c>
      <c r="H5155" s="67"/>
      <c r="I5155" s="68"/>
      <c r="J5155" s="138">
        <v>0</v>
      </c>
    </row>
    <row r="5156" spans="1:10" ht="26.25" hidden="1" thickBot="1" x14ac:dyDescent="0.3">
      <c r="A5156" s="225"/>
      <c r="B5156" s="223"/>
      <c r="C5156" s="30" t="s">
        <v>949</v>
      </c>
      <c r="D5156" s="41" t="s">
        <v>702</v>
      </c>
      <c r="E5156" s="31">
        <f>ROUND(0.93*1.3,4)</f>
        <v>1.2090000000000001</v>
      </c>
      <c r="F5156" s="25">
        <v>19.094999999999999</v>
      </c>
      <c r="G5156" s="48">
        <f t="shared" si="97"/>
        <v>23.085854999999999</v>
      </c>
      <c r="H5156" s="67"/>
      <c r="I5156" s="68"/>
      <c r="J5156" s="138">
        <v>0</v>
      </c>
    </row>
    <row r="5157" spans="1:10" ht="26.25" hidden="1" thickBot="1" x14ac:dyDescent="0.3">
      <c r="A5157" s="225"/>
      <c r="B5157" s="223"/>
      <c r="C5157" s="30" t="s">
        <v>950</v>
      </c>
      <c r="D5157" s="30" t="s">
        <v>702</v>
      </c>
      <c r="E5157" s="31">
        <f>ROUND(0.93*1.3,4)</f>
        <v>1.2090000000000001</v>
      </c>
      <c r="F5157" s="25">
        <v>24.300999999999998</v>
      </c>
      <c r="G5157" s="48">
        <f t="shared" si="97"/>
        <v>29.379909000000001</v>
      </c>
      <c r="H5157" s="67"/>
      <c r="I5157" s="68"/>
      <c r="J5157" s="138">
        <v>0</v>
      </c>
    </row>
    <row r="5158" spans="1:10" ht="15.75" hidden="1" thickBot="1" x14ac:dyDescent="0.3">
      <c r="A5158" s="225"/>
      <c r="B5158" s="223"/>
      <c r="C5158" s="30" t="s">
        <v>1608</v>
      </c>
      <c r="D5158" s="30" t="s">
        <v>702</v>
      </c>
      <c r="E5158" s="31">
        <f>ROUND(0.93*1.3,4)</f>
        <v>1.2090000000000001</v>
      </c>
      <c r="F5158" s="48">
        <v>25.526499999999999</v>
      </c>
      <c r="G5158" s="48">
        <f t="shared" si="97"/>
        <v>30.861538500000002</v>
      </c>
      <c r="H5158" s="67"/>
      <c r="I5158" s="68"/>
      <c r="J5158" s="138">
        <v>0</v>
      </c>
    </row>
    <row r="5159" spans="1:10" ht="15.75" hidden="1" thickBot="1" x14ac:dyDescent="0.3">
      <c r="A5159" s="225"/>
      <c r="B5159" s="223"/>
      <c r="C5159" s="30"/>
      <c r="D5159" s="41"/>
      <c r="E5159" s="31"/>
      <c r="F5159" s="48" t="s">
        <v>521</v>
      </c>
      <c r="G5159" s="48" t="str">
        <f t="shared" si="97"/>
        <v/>
      </c>
      <c r="H5159" s="67"/>
      <c r="I5159" s="68"/>
      <c r="J5159" s="138">
        <v>0</v>
      </c>
    </row>
    <row r="5160" spans="1:10" ht="15.75" hidden="1" thickBot="1" x14ac:dyDescent="0.3">
      <c r="A5160" s="220" t="s">
        <v>1878</v>
      </c>
      <c r="B5160" s="222" t="e">
        <f>INDEX(Orçamentária!A:B,MATCH(Composições!A5160,Orçamentária!A:A,0),2)</f>
        <v>#N/A</v>
      </c>
      <c r="C5160" s="35"/>
      <c r="D5160" s="20" t="s">
        <v>20</v>
      </c>
      <c r="E5160" s="21"/>
      <c r="F5160" s="43" t="s">
        <v>521</v>
      </c>
      <c r="G5160" s="22" t="str">
        <f t="shared" si="97"/>
        <v/>
      </c>
      <c r="H5160" s="23"/>
      <c r="I5160" s="24"/>
      <c r="J5160" s="138">
        <v>0</v>
      </c>
    </row>
    <row r="5161" spans="1:10" ht="15.75" hidden="1" thickBot="1" x14ac:dyDescent="0.3">
      <c r="A5161" s="225"/>
      <c r="B5161" s="223"/>
      <c r="C5161" s="26"/>
      <c r="D5161" s="26"/>
      <c r="E5161" s="27"/>
      <c r="F5161" s="48" t="s">
        <v>521</v>
      </c>
      <c r="G5161" s="48" t="str">
        <f t="shared" ref="G5161:G5192" si="98">IF(ISNUMBER(F5161),E5161*F5161,"")</f>
        <v/>
      </c>
      <c r="H5161" s="67"/>
      <c r="I5161" s="68"/>
      <c r="J5161" s="138">
        <v>0</v>
      </c>
    </row>
    <row r="5162" spans="1:10" ht="15.75" hidden="1" thickBot="1" x14ac:dyDescent="0.3">
      <c r="A5162" s="225"/>
      <c r="B5162" s="223"/>
      <c r="C5162" s="30" t="s">
        <v>1176</v>
      </c>
      <c r="D5162" s="41" t="s">
        <v>897</v>
      </c>
      <c r="E5162" s="31">
        <f>ROUND(0.089*1.5,4)</f>
        <v>0.13350000000000001</v>
      </c>
      <c r="F5162" s="25">
        <v>32.746499999999997</v>
      </c>
      <c r="G5162" s="48">
        <f t="shared" si="98"/>
        <v>4.3716577499999998</v>
      </c>
      <c r="H5162" s="33">
        <f>SUM(G5162:G5166)</f>
        <v>100.51854524999999</v>
      </c>
      <c r="I5162" s="34"/>
      <c r="J5162" s="138">
        <v>0</v>
      </c>
    </row>
    <row r="5163" spans="1:10" ht="26.25" hidden="1" thickBot="1" x14ac:dyDescent="0.3">
      <c r="A5163" s="225"/>
      <c r="B5163" s="223"/>
      <c r="C5163" s="30" t="s">
        <v>1902</v>
      </c>
      <c r="D5163" s="30" t="s">
        <v>279</v>
      </c>
      <c r="E5163" s="31">
        <v>1</v>
      </c>
      <c r="F5163" s="25" t="s">
        <v>521</v>
      </c>
      <c r="G5163" s="48" t="str">
        <f t="shared" si="98"/>
        <v/>
      </c>
      <c r="H5163" s="67"/>
      <c r="I5163" s="68"/>
      <c r="J5163" s="138">
        <v>0</v>
      </c>
    </row>
    <row r="5164" spans="1:10" ht="26.25" hidden="1" thickBot="1" x14ac:dyDescent="0.3">
      <c r="A5164" s="225"/>
      <c r="B5164" s="223"/>
      <c r="C5164" s="30" t="s">
        <v>949</v>
      </c>
      <c r="D5164" s="41" t="s">
        <v>702</v>
      </c>
      <c r="E5164" s="31">
        <f>ROUND(0.93*1.5,4)</f>
        <v>1.395</v>
      </c>
      <c r="F5164" s="25">
        <v>19.094999999999999</v>
      </c>
      <c r="G5164" s="48">
        <f t="shared" si="98"/>
        <v>26.637525</v>
      </c>
      <c r="H5164" s="67"/>
      <c r="I5164" s="68"/>
      <c r="J5164" s="138">
        <v>0</v>
      </c>
    </row>
    <row r="5165" spans="1:10" ht="26.25" hidden="1" thickBot="1" x14ac:dyDescent="0.3">
      <c r="A5165" s="225"/>
      <c r="B5165" s="223"/>
      <c r="C5165" s="30" t="s">
        <v>950</v>
      </c>
      <c r="D5165" s="30" t="s">
        <v>702</v>
      </c>
      <c r="E5165" s="31">
        <f>ROUND(0.93*1.5,4)</f>
        <v>1.395</v>
      </c>
      <c r="F5165" s="25">
        <v>24.300999999999998</v>
      </c>
      <c r="G5165" s="48">
        <f t="shared" si="98"/>
        <v>33.899895000000001</v>
      </c>
      <c r="H5165" s="67"/>
      <c r="I5165" s="68"/>
      <c r="J5165" s="138">
        <v>0</v>
      </c>
    </row>
    <row r="5166" spans="1:10" ht="15.75" hidden="1" thickBot="1" x14ac:dyDescent="0.3">
      <c r="A5166" s="225"/>
      <c r="B5166" s="223"/>
      <c r="C5166" s="30" t="s">
        <v>1608</v>
      </c>
      <c r="D5166" s="30" t="s">
        <v>702</v>
      </c>
      <c r="E5166" s="31">
        <f>ROUND(0.93*1.5,4)</f>
        <v>1.395</v>
      </c>
      <c r="F5166" s="48">
        <v>25.526499999999999</v>
      </c>
      <c r="G5166" s="48">
        <f t="shared" si="98"/>
        <v>35.609467500000001</v>
      </c>
      <c r="H5166" s="67"/>
      <c r="I5166" s="68"/>
      <c r="J5166" s="138">
        <v>0</v>
      </c>
    </row>
    <row r="5167" spans="1:10" ht="15.75" hidden="1" thickBot="1" x14ac:dyDescent="0.3">
      <c r="A5167" s="225"/>
      <c r="B5167" s="223"/>
      <c r="C5167" s="30"/>
      <c r="D5167" s="41"/>
      <c r="E5167" s="31"/>
      <c r="F5167" s="48" t="s">
        <v>521</v>
      </c>
      <c r="G5167" s="48" t="str">
        <f t="shared" si="98"/>
        <v/>
      </c>
      <c r="H5167" s="67"/>
      <c r="I5167" s="68"/>
      <c r="J5167" s="138">
        <v>0</v>
      </c>
    </row>
    <row r="5168" spans="1:10" ht="15.75" hidden="1" thickBot="1" x14ac:dyDescent="0.3">
      <c r="A5168" s="220" t="s">
        <v>1879</v>
      </c>
      <c r="B5168" s="222" t="e">
        <f>INDEX(Orçamentária!A:B,MATCH(Composições!A5168,Orçamentária!A:A,0),2)</f>
        <v>#N/A</v>
      </c>
      <c r="C5168" s="35"/>
      <c r="D5168" s="20" t="s">
        <v>20</v>
      </c>
      <c r="E5168" s="21"/>
      <c r="F5168" s="43" t="s">
        <v>521</v>
      </c>
      <c r="G5168" s="22" t="str">
        <f t="shared" si="98"/>
        <v/>
      </c>
      <c r="H5168" s="23"/>
      <c r="I5168" s="24"/>
      <c r="J5168" s="138">
        <v>0</v>
      </c>
    </row>
    <row r="5169" spans="1:10" ht="15.75" hidden="1" thickBot="1" x14ac:dyDescent="0.3">
      <c r="A5169" s="225"/>
      <c r="B5169" s="223"/>
      <c r="C5169" s="26"/>
      <c r="D5169" s="26"/>
      <c r="E5169" s="27"/>
      <c r="F5169" s="48" t="s">
        <v>521</v>
      </c>
      <c r="G5169" s="48" t="str">
        <f t="shared" si="98"/>
        <v/>
      </c>
      <c r="H5169" s="67"/>
      <c r="I5169" s="68"/>
      <c r="J5169" s="138">
        <v>0</v>
      </c>
    </row>
    <row r="5170" spans="1:10" ht="26.25" hidden="1" thickBot="1" x14ac:dyDescent="0.3">
      <c r="A5170" s="225"/>
      <c r="B5170" s="223"/>
      <c r="C5170" s="30" t="s">
        <v>1903</v>
      </c>
      <c r="D5170" s="30" t="s">
        <v>279</v>
      </c>
      <c r="E5170" s="31">
        <v>1</v>
      </c>
      <c r="F5170" s="25" t="s">
        <v>521</v>
      </c>
      <c r="G5170" s="48" t="str">
        <f t="shared" si="98"/>
        <v/>
      </c>
      <c r="H5170" s="33">
        <f>SUM(G5170:G5172)</f>
        <v>17.011232</v>
      </c>
      <c r="I5170" s="34"/>
      <c r="J5170" s="138">
        <v>0</v>
      </c>
    </row>
    <row r="5171" spans="1:10" ht="26.25" hidden="1" thickBot="1" x14ac:dyDescent="0.3">
      <c r="A5171" s="225"/>
      <c r="B5171" s="223"/>
      <c r="C5171" s="30" t="s">
        <v>949</v>
      </c>
      <c r="D5171" s="41" t="s">
        <v>702</v>
      </c>
      <c r="E5171" s="31">
        <v>0.39200000000000002</v>
      </c>
      <c r="F5171" s="25">
        <v>19.094999999999999</v>
      </c>
      <c r="G5171" s="48">
        <f t="shared" si="98"/>
        <v>7.4852400000000001</v>
      </c>
      <c r="H5171" s="67"/>
      <c r="I5171" s="68"/>
      <c r="J5171" s="138">
        <v>0</v>
      </c>
    </row>
    <row r="5172" spans="1:10" ht="26.25" hidden="1" thickBot="1" x14ac:dyDescent="0.3">
      <c r="A5172" s="225"/>
      <c r="B5172" s="223"/>
      <c r="C5172" s="30" t="s">
        <v>950</v>
      </c>
      <c r="D5172" s="30" t="s">
        <v>702</v>
      </c>
      <c r="E5172" s="31">
        <v>0.39200000000000002</v>
      </c>
      <c r="F5172" s="25">
        <v>24.300999999999998</v>
      </c>
      <c r="G5172" s="48">
        <f t="shared" si="98"/>
        <v>9.5259920000000005</v>
      </c>
      <c r="H5172" s="67"/>
      <c r="I5172" s="68"/>
      <c r="J5172" s="138">
        <v>0</v>
      </c>
    </row>
    <row r="5173" spans="1:10" ht="15.75" hidden="1" thickBot="1" x14ac:dyDescent="0.3">
      <c r="A5173" s="225"/>
      <c r="B5173" s="223"/>
      <c r="C5173" s="30"/>
      <c r="D5173" s="41"/>
      <c r="E5173" s="31"/>
      <c r="F5173" s="48" t="s">
        <v>521</v>
      </c>
      <c r="G5173" s="48" t="str">
        <f t="shared" si="98"/>
        <v/>
      </c>
      <c r="H5173" s="67"/>
      <c r="I5173" s="68"/>
      <c r="J5173" s="138">
        <v>0</v>
      </c>
    </row>
    <row r="5174" spans="1:10" ht="15.75" hidden="1" thickBot="1" x14ac:dyDescent="0.3">
      <c r="A5174" s="220" t="s">
        <v>1880</v>
      </c>
      <c r="B5174" s="222" t="e">
        <f>INDEX(Orçamentária!A:B,MATCH(Composições!A5174,Orçamentária!A:A,0),2)</f>
        <v>#N/A</v>
      </c>
      <c r="C5174" s="35"/>
      <c r="D5174" s="20" t="s">
        <v>20</v>
      </c>
      <c r="E5174" s="21"/>
      <c r="F5174" s="43" t="s">
        <v>521</v>
      </c>
      <c r="G5174" s="22" t="str">
        <f t="shared" si="98"/>
        <v/>
      </c>
      <c r="H5174" s="23"/>
      <c r="I5174" s="24"/>
      <c r="J5174" s="138">
        <v>0</v>
      </c>
    </row>
    <row r="5175" spans="1:10" ht="15.75" hidden="1" thickBot="1" x14ac:dyDescent="0.3">
      <c r="A5175" s="225"/>
      <c r="B5175" s="223"/>
      <c r="C5175" s="26"/>
      <c r="D5175" s="26"/>
      <c r="E5175" s="27"/>
      <c r="F5175" s="48" t="s">
        <v>521</v>
      </c>
      <c r="G5175" s="48" t="str">
        <f t="shared" si="98"/>
        <v/>
      </c>
      <c r="H5175" s="67"/>
      <c r="I5175" s="68"/>
      <c r="J5175" s="138">
        <v>0</v>
      </c>
    </row>
    <row r="5176" spans="1:10" ht="15.75" hidden="1" thickBot="1" x14ac:dyDescent="0.3">
      <c r="A5176" s="225"/>
      <c r="B5176" s="223"/>
      <c r="C5176" s="30" t="s">
        <v>1176</v>
      </c>
      <c r="D5176" s="41" t="s">
        <v>897</v>
      </c>
      <c r="E5176" s="31">
        <f>ROUND(0.089*1.3,4)</f>
        <v>0.1157</v>
      </c>
      <c r="F5176" s="25">
        <v>32.746499999999997</v>
      </c>
      <c r="G5176" s="48">
        <f t="shared" si="98"/>
        <v>3.7887700499999997</v>
      </c>
      <c r="H5176" s="33">
        <f>SUM(G5176:G5180)</f>
        <v>87.116072550000013</v>
      </c>
      <c r="I5176" s="34"/>
      <c r="J5176" s="138">
        <v>0</v>
      </c>
    </row>
    <row r="5177" spans="1:10" ht="15.75" hidden="1" thickBot="1" x14ac:dyDescent="0.3">
      <c r="A5177" s="225"/>
      <c r="B5177" s="223"/>
      <c r="C5177" s="30" t="s">
        <v>1904</v>
      </c>
      <c r="D5177" s="30" t="s">
        <v>279</v>
      </c>
      <c r="E5177" s="31">
        <v>1</v>
      </c>
      <c r="F5177" s="25" t="s">
        <v>521</v>
      </c>
      <c r="G5177" s="48" t="str">
        <f t="shared" si="98"/>
        <v/>
      </c>
      <c r="H5177" s="67"/>
      <c r="I5177" s="68"/>
      <c r="J5177" s="138">
        <v>0</v>
      </c>
    </row>
    <row r="5178" spans="1:10" ht="26.25" hidden="1" thickBot="1" x14ac:dyDescent="0.3">
      <c r="A5178" s="225"/>
      <c r="B5178" s="223"/>
      <c r="C5178" s="30" t="s">
        <v>949</v>
      </c>
      <c r="D5178" s="41" t="s">
        <v>702</v>
      </c>
      <c r="E5178" s="31">
        <f>ROUND(0.93*1.3,4)</f>
        <v>1.2090000000000001</v>
      </c>
      <c r="F5178" s="25">
        <v>19.094999999999999</v>
      </c>
      <c r="G5178" s="48">
        <f t="shared" si="98"/>
        <v>23.085854999999999</v>
      </c>
      <c r="H5178" s="67"/>
      <c r="I5178" s="68"/>
      <c r="J5178" s="138">
        <v>0</v>
      </c>
    </row>
    <row r="5179" spans="1:10" ht="26.25" hidden="1" thickBot="1" x14ac:dyDescent="0.3">
      <c r="A5179" s="225"/>
      <c r="B5179" s="223"/>
      <c r="C5179" s="30" t="s">
        <v>950</v>
      </c>
      <c r="D5179" s="30" t="s">
        <v>702</v>
      </c>
      <c r="E5179" s="31">
        <f>ROUND(0.93*1.3,4)</f>
        <v>1.2090000000000001</v>
      </c>
      <c r="F5179" s="25">
        <v>24.300999999999998</v>
      </c>
      <c r="G5179" s="48">
        <f t="shared" si="98"/>
        <v>29.379909000000001</v>
      </c>
      <c r="H5179" s="67"/>
      <c r="I5179" s="68"/>
      <c r="J5179" s="138">
        <v>0</v>
      </c>
    </row>
    <row r="5180" spans="1:10" ht="15.75" hidden="1" thickBot="1" x14ac:dyDescent="0.3">
      <c r="A5180" s="225"/>
      <c r="B5180" s="223"/>
      <c r="C5180" s="30" t="s">
        <v>1608</v>
      </c>
      <c r="D5180" s="30" t="s">
        <v>702</v>
      </c>
      <c r="E5180" s="31">
        <f>ROUND(0.93*1.3,4)</f>
        <v>1.2090000000000001</v>
      </c>
      <c r="F5180" s="48">
        <v>25.526499999999999</v>
      </c>
      <c r="G5180" s="48">
        <f t="shared" si="98"/>
        <v>30.861538500000002</v>
      </c>
      <c r="H5180" s="67"/>
      <c r="I5180" s="68"/>
      <c r="J5180" s="138">
        <v>0</v>
      </c>
    </row>
    <row r="5181" spans="1:10" ht="15.75" hidden="1" thickBot="1" x14ac:dyDescent="0.3">
      <c r="A5181" s="225"/>
      <c r="B5181" s="223"/>
      <c r="C5181" s="30"/>
      <c r="D5181" s="41"/>
      <c r="E5181" s="31"/>
      <c r="F5181" s="48" t="s">
        <v>521</v>
      </c>
      <c r="G5181" s="48" t="str">
        <f t="shared" si="98"/>
        <v/>
      </c>
      <c r="H5181" s="67"/>
      <c r="I5181" s="68"/>
      <c r="J5181" s="138">
        <v>0</v>
      </c>
    </row>
    <row r="5182" spans="1:10" ht="15.75" hidden="1" thickBot="1" x14ac:dyDescent="0.3">
      <c r="A5182" s="220" t="s">
        <v>1881</v>
      </c>
      <c r="B5182" s="222" t="e">
        <f>INDEX(Orçamentária!A:B,MATCH(Composições!A5182,Orçamentária!A:A,0),2)</f>
        <v>#N/A</v>
      </c>
      <c r="C5182" s="35"/>
      <c r="D5182" s="20" t="s">
        <v>93</v>
      </c>
      <c r="E5182" s="21"/>
      <c r="F5182" s="43" t="s">
        <v>521</v>
      </c>
      <c r="G5182" s="22" t="str">
        <f t="shared" si="98"/>
        <v/>
      </c>
      <c r="H5182" s="23"/>
      <c r="I5182" s="24"/>
      <c r="J5182" s="138">
        <v>0</v>
      </c>
    </row>
    <row r="5183" spans="1:10" ht="15.75" hidden="1" thickBot="1" x14ac:dyDescent="0.3">
      <c r="A5183" s="225"/>
      <c r="B5183" s="223"/>
      <c r="C5183" s="26"/>
      <c r="D5183" s="26"/>
      <c r="E5183" s="27"/>
      <c r="F5183" s="48" t="s">
        <v>521</v>
      </c>
      <c r="G5183" s="48" t="str">
        <f t="shared" si="98"/>
        <v/>
      </c>
      <c r="H5183" s="67"/>
      <c r="I5183" s="68"/>
      <c r="J5183" s="138">
        <v>0</v>
      </c>
    </row>
    <row r="5184" spans="1:10" ht="39" hidden="1" thickBot="1" x14ac:dyDescent="0.3">
      <c r="A5184" s="225"/>
      <c r="B5184" s="223"/>
      <c r="C5184" s="30" t="s">
        <v>1905</v>
      </c>
      <c r="D5184" s="30" t="s">
        <v>93</v>
      </c>
      <c r="E5184" s="31">
        <v>1.0210999999999999</v>
      </c>
      <c r="F5184" s="25" t="s">
        <v>521</v>
      </c>
      <c r="G5184" s="48" t="str">
        <f t="shared" si="98"/>
        <v/>
      </c>
      <c r="H5184" s="33">
        <f>SUM(G5184:G5186)</f>
        <v>4.1660159999999999</v>
      </c>
      <c r="I5184" s="34"/>
      <c r="J5184" s="138">
        <v>0</v>
      </c>
    </row>
    <row r="5185" spans="1:10" ht="26.25" hidden="1" thickBot="1" x14ac:dyDescent="0.3">
      <c r="A5185" s="225"/>
      <c r="B5185" s="223"/>
      <c r="C5185" s="30" t="s">
        <v>949</v>
      </c>
      <c r="D5185" s="41" t="s">
        <v>702</v>
      </c>
      <c r="E5185" s="31">
        <f>5*0.064*0.3</f>
        <v>9.6000000000000002E-2</v>
      </c>
      <c r="F5185" s="25">
        <v>19.094999999999999</v>
      </c>
      <c r="G5185" s="48">
        <f t="shared" si="98"/>
        <v>1.8331199999999999</v>
      </c>
      <c r="H5185" s="67"/>
      <c r="I5185" s="68"/>
      <c r="J5185" s="138">
        <v>0</v>
      </c>
    </row>
    <row r="5186" spans="1:10" ht="26.25" hidden="1" thickBot="1" x14ac:dyDescent="0.3">
      <c r="A5186" s="225"/>
      <c r="B5186" s="223"/>
      <c r="C5186" s="30" t="s">
        <v>950</v>
      </c>
      <c r="D5186" s="30" t="s">
        <v>702</v>
      </c>
      <c r="E5186" s="31">
        <f>5*0.064*0.3</f>
        <v>9.6000000000000002E-2</v>
      </c>
      <c r="F5186" s="25">
        <v>24.300999999999998</v>
      </c>
      <c r="G5186" s="48">
        <f t="shared" si="98"/>
        <v>2.3328959999999999</v>
      </c>
      <c r="H5186" s="67"/>
      <c r="I5186" s="68"/>
      <c r="J5186" s="138">
        <v>0</v>
      </c>
    </row>
    <row r="5187" spans="1:10" ht="15.75" hidden="1" thickBot="1" x14ac:dyDescent="0.3">
      <c r="A5187" s="225"/>
      <c r="B5187" s="223"/>
      <c r="C5187" s="30"/>
      <c r="D5187" s="41"/>
      <c r="E5187" s="31"/>
      <c r="F5187" s="48" t="s">
        <v>521</v>
      </c>
      <c r="G5187" s="48" t="str">
        <f t="shared" si="98"/>
        <v/>
      </c>
      <c r="H5187" s="67"/>
      <c r="I5187" s="68"/>
      <c r="J5187" s="138">
        <v>0</v>
      </c>
    </row>
    <row r="5188" spans="1:10" ht="15.75" hidden="1" thickBot="1" x14ac:dyDescent="0.3">
      <c r="A5188" s="220" t="s">
        <v>1882</v>
      </c>
      <c r="B5188" s="222" t="e">
        <f>INDEX(Orçamentária!A:B,MATCH(Composições!A5188,Orçamentária!A:A,0),2)</f>
        <v>#N/A</v>
      </c>
      <c r="C5188" s="35"/>
      <c r="D5188" s="20" t="s">
        <v>20</v>
      </c>
      <c r="E5188" s="21"/>
      <c r="F5188" s="43" t="s">
        <v>521</v>
      </c>
      <c r="G5188" s="22" t="str">
        <f t="shared" si="98"/>
        <v/>
      </c>
      <c r="H5188" s="23"/>
      <c r="I5188" s="24"/>
      <c r="J5188" s="138">
        <v>0</v>
      </c>
    </row>
    <row r="5189" spans="1:10" ht="15.75" hidden="1" thickBot="1" x14ac:dyDescent="0.3">
      <c r="A5189" s="225"/>
      <c r="B5189" s="223"/>
      <c r="C5189" s="26"/>
      <c r="D5189" s="26"/>
      <c r="E5189" s="27"/>
      <c r="F5189" s="48" t="s">
        <v>521</v>
      </c>
      <c r="G5189" s="48" t="str">
        <f t="shared" si="98"/>
        <v/>
      </c>
      <c r="H5189" s="67"/>
      <c r="I5189" s="68"/>
      <c r="J5189" s="138">
        <v>0</v>
      </c>
    </row>
    <row r="5190" spans="1:10" ht="15.75" hidden="1" thickBot="1" x14ac:dyDescent="0.3">
      <c r="A5190" s="225"/>
      <c r="B5190" s="223"/>
      <c r="C5190" s="30" t="s">
        <v>1176</v>
      </c>
      <c r="D5190" s="41" t="s">
        <v>897</v>
      </c>
      <c r="E5190" s="31">
        <v>8.9999999999999993E-3</v>
      </c>
      <c r="F5190" s="25">
        <v>32.746499999999997</v>
      </c>
      <c r="G5190" s="48">
        <f t="shared" si="98"/>
        <v>0.29471849999999994</v>
      </c>
      <c r="H5190" s="33">
        <f>SUM(G5190:G5194)</f>
        <v>8.1518835000000003</v>
      </c>
      <c r="I5190" s="34"/>
      <c r="J5190" s="138">
        <v>0</v>
      </c>
    </row>
    <row r="5191" spans="1:10" ht="26.25" hidden="1" thickBot="1" x14ac:dyDescent="0.3">
      <c r="A5191" s="225"/>
      <c r="B5191" s="223"/>
      <c r="C5191" s="30" t="s">
        <v>1906</v>
      </c>
      <c r="D5191" s="30" t="s">
        <v>279</v>
      </c>
      <c r="E5191" s="31">
        <v>1</v>
      </c>
      <c r="F5191" s="25" t="s">
        <v>521</v>
      </c>
      <c r="G5191" s="48" t="str">
        <f t="shared" si="98"/>
        <v/>
      </c>
      <c r="H5191" s="67"/>
      <c r="I5191" s="68"/>
      <c r="J5191" s="138">
        <v>0</v>
      </c>
    </row>
    <row r="5192" spans="1:10" ht="26.25" hidden="1" thickBot="1" x14ac:dyDescent="0.3">
      <c r="A5192" s="225"/>
      <c r="B5192" s="223"/>
      <c r="C5192" s="30" t="s">
        <v>949</v>
      </c>
      <c r="D5192" s="41" t="s">
        <v>702</v>
      </c>
      <c r="E5192" s="31">
        <v>0.114</v>
      </c>
      <c r="F5192" s="25">
        <v>19.094999999999999</v>
      </c>
      <c r="G5192" s="48">
        <f t="shared" si="98"/>
        <v>2.1768299999999998</v>
      </c>
      <c r="H5192" s="67"/>
      <c r="I5192" s="68"/>
      <c r="J5192" s="138">
        <v>0</v>
      </c>
    </row>
    <row r="5193" spans="1:10" ht="26.25" hidden="1" thickBot="1" x14ac:dyDescent="0.3">
      <c r="A5193" s="225"/>
      <c r="B5193" s="223"/>
      <c r="C5193" s="30" t="s">
        <v>950</v>
      </c>
      <c r="D5193" s="30" t="s">
        <v>702</v>
      </c>
      <c r="E5193" s="31">
        <v>0.114</v>
      </c>
      <c r="F5193" s="25">
        <v>24.300999999999998</v>
      </c>
      <c r="G5193" s="48">
        <f t="shared" ref="G5193:G5224" si="99">IF(ISNUMBER(F5193),E5193*F5193,"")</f>
        <v>2.7703139999999999</v>
      </c>
      <c r="H5193" s="67"/>
      <c r="I5193" s="68"/>
      <c r="J5193" s="138">
        <v>0</v>
      </c>
    </row>
    <row r="5194" spans="1:10" ht="15.75" hidden="1" thickBot="1" x14ac:dyDescent="0.3">
      <c r="A5194" s="225"/>
      <c r="B5194" s="223"/>
      <c r="C5194" s="30" t="s">
        <v>1608</v>
      </c>
      <c r="D5194" s="30" t="s">
        <v>702</v>
      </c>
      <c r="E5194" s="31">
        <v>0.114</v>
      </c>
      <c r="F5194" s="48">
        <v>25.526499999999999</v>
      </c>
      <c r="G5194" s="48">
        <f t="shared" si="99"/>
        <v>2.910021</v>
      </c>
      <c r="H5194" s="67"/>
      <c r="I5194" s="68"/>
      <c r="J5194" s="138">
        <v>0</v>
      </c>
    </row>
    <row r="5195" spans="1:10" ht="15.75" hidden="1" thickBot="1" x14ac:dyDescent="0.3">
      <c r="A5195" s="225"/>
      <c r="B5195" s="223"/>
      <c r="C5195" s="30"/>
      <c r="D5195" s="41"/>
      <c r="E5195" s="31"/>
      <c r="F5195" s="48" t="s">
        <v>521</v>
      </c>
      <c r="G5195" s="48" t="str">
        <f t="shared" si="99"/>
        <v/>
      </c>
      <c r="H5195" s="67"/>
      <c r="I5195" s="68"/>
      <c r="J5195" s="138">
        <v>0</v>
      </c>
    </row>
    <row r="5196" spans="1:10" ht="15.75" hidden="1" thickBot="1" x14ac:dyDescent="0.3">
      <c r="A5196" s="220" t="s">
        <v>1883</v>
      </c>
      <c r="B5196" s="222" t="e">
        <f>INDEX(Orçamentária!A:B,MATCH(Composições!A5196,Orçamentária!A:A,0),2)</f>
        <v>#N/A</v>
      </c>
      <c r="C5196" s="35"/>
      <c r="D5196" s="20" t="s">
        <v>20</v>
      </c>
      <c r="E5196" s="21"/>
      <c r="F5196" s="43" t="s">
        <v>521</v>
      </c>
      <c r="G5196" s="22" t="str">
        <f t="shared" si="99"/>
        <v/>
      </c>
      <c r="H5196" s="23"/>
      <c r="I5196" s="24"/>
      <c r="J5196" s="138">
        <v>0</v>
      </c>
    </row>
    <row r="5197" spans="1:10" ht="15.75" hidden="1" thickBot="1" x14ac:dyDescent="0.3">
      <c r="A5197" s="225"/>
      <c r="B5197" s="223"/>
      <c r="C5197" s="26"/>
      <c r="D5197" s="26"/>
      <c r="E5197" s="27"/>
      <c r="F5197" s="48" t="s">
        <v>521</v>
      </c>
      <c r="G5197" s="48" t="str">
        <f t="shared" si="99"/>
        <v/>
      </c>
      <c r="H5197" s="67"/>
      <c r="I5197" s="68"/>
      <c r="J5197" s="138">
        <v>0</v>
      </c>
    </row>
    <row r="5198" spans="1:10" ht="15.75" hidden="1" thickBot="1" x14ac:dyDescent="0.3">
      <c r="A5198" s="225"/>
      <c r="B5198" s="223"/>
      <c r="C5198" s="30" t="s">
        <v>1176</v>
      </c>
      <c r="D5198" s="41" t="s">
        <v>897</v>
      </c>
      <c r="E5198" s="31">
        <f>ROUND(0.089*1.3,4)</f>
        <v>0.1157</v>
      </c>
      <c r="F5198" s="25">
        <v>32.746499999999997</v>
      </c>
      <c r="G5198" s="48">
        <f t="shared" si="99"/>
        <v>3.7887700499999997</v>
      </c>
      <c r="H5198" s="33">
        <f>SUM(G5198:G5202)</f>
        <v>59.340305049999998</v>
      </c>
      <c r="I5198" s="34"/>
      <c r="J5198" s="138">
        <v>0</v>
      </c>
    </row>
    <row r="5199" spans="1:10" ht="26.25" hidden="1" thickBot="1" x14ac:dyDescent="0.3">
      <c r="A5199" s="225"/>
      <c r="B5199" s="223"/>
      <c r="C5199" s="30" t="s">
        <v>1907</v>
      </c>
      <c r="D5199" s="30" t="s">
        <v>279</v>
      </c>
      <c r="E5199" s="31">
        <v>1</v>
      </c>
      <c r="F5199" s="25" t="s">
        <v>521</v>
      </c>
      <c r="G5199" s="48" t="str">
        <f t="shared" si="99"/>
        <v/>
      </c>
      <c r="H5199" s="67"/>
      <c r="I5199" s="68"/>
      <c r="J5199" s="138">
        <v>0</v>
      </c>
    </row>
    <row r="5200" spans="1:10" ht="26.25" hidden="1" thickBot="1" x14ac:dyDescent="0.3">
      <c r="A5200" s="225"/>
      <c r="B5200" s="223"/>
      <c r="C5200" s="30" t="s">
        <v>949</v>
      </c>
      <c r="D5200" s="41" t="s">
        <v>702</v>
      </c>
      <c r="E5200" s="31">
        <f>ROUND(0.62*1.3,4)</f>
        <v>0.80600000000000005</v>
      </c>
      <c r="F5200" s="25">
        <v>19.094999999999999</v>
      </c>
      <c r="G5200" s="48">
        <f t="shared" si="99"/>
        <v>15.39057</v>
      </c>
      <c r="H5200" s="67"/>
      <c r="I5200" s="68"/>
      <c r="J5200" s="138">
        <v>0</v>
      </c>
    </row>
    <row r="5201" spans="1:10" ht="26.25" hidden="1" thickBot="1" x14ac:dyDescent="0.3">
      <c r="A5201" s="225"/>
      <c r="B5201" s="223"/>
      <c r="C5201" s="30" t="s">
        <v>950</v>
      </c>
      <c r="D5201" s="30" t="s">
        <v>702</v>
      </c>
      <c r="E5201" s="31">
        <f>ROUND(0.62*1.3,4)</f>
        <v>0.80600000000000005</v>
      </c>
      <c r="F5201" s="25">
        <v>24.300999999999998</v>
      </c>
      <c r="G5201" s="48">
        <f t="shared" si="99"/>
        <v>19.586606</v>
      </c>
      <c r="H5201" s="67"/>
      <c r="I5201" s="68"/>
      <c r="J5201" s="138">
        <v>0</v>
      </c>
    </row>
    <row r="5202" spans="1:10" ht="15.75" hidden="1" thickBot="1" x14ac:dyDescent="0.3">
      <c r="A5202" s="225"/>
      <c r="B5202" s="223"/>
      <c r="C5202" s="30" t="s">
        <v>1608</v>
      </c>
      <c r="D5202" s="30" t="s">
        <v>702</v>
      </c>
      <c r="E5202" s="31">
        <f>ROUND(0.62*1.3,4)</f>
        <v>0.80600000000000005</v>
      </c>
      <c r="F5202" s="48">
        <v>25.526499999999999</v>
      </c>
      <c r="G5202" s="48">
        <f t="shared" si="99"/>
        <v>20.574359000000001</v>
      </c>
      <c r="H5202" s="67"/>
      <c r="I5202" s="68"/>
      <c r="J5202" s="138">
        <v>0</v>
      </c>
    </row>
    <row r="5203" spans="1:10" ht="15.75" hidden="1" thickBot="1" x14ac:dyDescent="0.3">
      <c r="A5203" s="225"/>
      <c r="B5203" s="223"/>
      <c r="C5203" s="30"/>
      <c r="D5203" s="41"/>
      <c r="E5203" s="31"/>
      <c r="F5203" s="48" t="s">
        <v>521</v>
      </c>
      <c r="G5203" s="48" t="str">
        <f t="shared" si="99"/>
        <v/>
      </c>
      <c r="H5203" s="67"/>
      <c r="I5203" s="68"/>
      <c r="J5203" s="138">
        <v>0</v>
      </c>
    </row>
    <row r="5204" spans="1:10" ht="15.75" hidden="1" thickBot="1" x14ac:dyDescent="0.3">
      <c r="A5204" s="220" t="s">
        <v>1884</v>
      </c>
      <c r="B5204" s="222" t="e">
        <f>INDEX(Orçamentária!A:B,MATCH(Composições!A5204,Orçamentária!A:A,0),2)</f>
        <v>#N/A</v>
      </c>
      <c r="C5204" s="35"/>
      <c r="D5204" s="20" t="s">
        <v>20</v>
      </c>
      <c r="E5204" s="21"/>
      <c r="F5204" s="43" t="s">
        <v>521</v>
      </c>
      <c r="G5204" s="22" t="str">
        <f t="shared" si="99"/>
        <v/>
      </c>
      <c r="H5204" s="23"/>
      <c r="I5204" s="24"/>
      <c r="J5204" s="138">
        <v>0</v>
      </c>
    </row>
    <row r="5205" spans="1:10" ht="15.75" hidden="1" thickBot="1" x14ac:dyDescent="0.3">
      <c r="A5205" s="225"/>
      <c r="B5205" s="223"/>
      <c r="C5205" s="26"/>
      <c r="D5205" s="26"/>
      <c r="E5205" s="27"/>
      <c r="F5205" s="48" t="s">
        <v>521</v>
      </c>
      <c r="G5205" s="48" t="str">
        <f t="shared" si="99"/>
        <v/>
      </c>
      <c r="H5205" s="67"/>
      <c r="I5205" s="68"/>
      <c r="J5205" s="138">
        <v>0</v>
      </c>
    </row>
    <row r="5206" spans="1:10" ht="15.75" hidden="1" thickBot="1" x14ac:dyDescent="0.3">
      <c r="A5206" s="225"/>
      <c r="B5206" s="223"/>
      <c r="C5206" s="30" t="s">
        <v>1176</v>
      </c>
      <c r="D5206" s="41" t="s">
        <v>897</v>
      </c>
      <c r="E5206" s="31">
        <f>ROUND(0.133*1.3,4)</f>
        <v>0.1729</v>
      </c>
      <c r="F5206" s="25">
        <v>32.746499999999997</v>
      </c>
      <c r="G5206" s="48">
        <f t="shared" si="99"/>
        <v>5.6618698499999995</v>
      </c>
      <c r="H5206" s="33">
        <f>SUM(G5206:G5210)</f>
        <v>91.85634834999999</v>
      </c>
      <c r="I5206" s="34"/>
      <c r="J5206" s="138">
        <v>0</v>
      </c>
    </row>
    <row r="5207" spans="1:10" ht="15.75" hidden="1" thickBot="1" x14ac:dyDescent="0.3">
      <c r="A5207" s="225"/>
      <c r="B5207" s="223"/>
      <c r="C5207" s="30" t="s">
        <v>1908</v>
      </c>
      <c r="D5207" s="30" t="s">
        <v>279</v>
      </c>
      <c r="E5207" s="31">
        <v>1</v>
      </c>
      <c r="F5207" s="25" t="s">
        <v>521</v>
      </c>
      <c r="G5207" s="48" t="str">
        <f t="shared" si="99"/>
        <v/>
      </c>
      <c r="H5207" s="67"/>
      <c r="I5207" s="68"/>
      <c r="J5207" s="138">
        <v>0</v>
      </c>
    </row>
    <row r="5208" spans="1:10" ht="26.25" hidden="1" thickBot="1" x14ac:dyDescent="0.3">
      <c r="A5208" s="225"/>
      <c r="B5208" s="223"/>
      <c r="C5208" s="30" t="s">
        <v>949</v>
      </c>
      <c r="D5208" s="41" t="s">
        <v>702</v>
      </c>
      <c r="E5208" s="31">
        <f>ROUND(0.962*1.3,4)</f>
        <v>1.2505999999999999</v>
      </c>
      <c r="F5208" s="25">
        <v>19.094999999999999</v>
      </c>
      <c r="G5208" s="48">
        <f t="shared" si="99"/>
        <v>23.880206999999999</v>
      </c>
      <c r="H5208" s="67"/>
      <c r="I5208" s="68"/>
      <c r="J5208" s="138">
        <v>0</v>
      </c>
    </row>
    <row r="5209" spans="1:10" ht="26.25" hidden="1" thickBot="1" x14ac:dyDescent="0.3">
      <c r="A5209" s="225"/>
      <c r="B5209" s="223"/>
      <c r="C5209" s="30" t="s">
        <v>950</v>
      </c>
      <c r="D5209" s="30" t="s">
        <v>702</v>
      </c>
      <c r="E5209" s="31">
        <f>ROUND(0.962*1.3,4)</f>
        <v>1.2505999999999999</v>
      </c>
      <c r="F5209" s="25">
        <v>24.300999999999998</v>
      </c>
      <c r="G5209" s="48">
        <f t="shared" si="99"/>
        <v>30.390830599999997</v>
      </c>
      <c r="H5209" s="67"/>
      <c r="I5209" s="68"/>
      <c r="J5209" s="138">
        <v>0</v>
      </c>
    </row>
    <row r="5210" spans="1:10" ht="15.75" hidden="1" thickBot="1" x14ac:dyDescent="0.3">
      <c r="A5210" s="225"/>
      <c r="B5210" s="223"/>
      <c r="C5210" s="30" t="s">
        <v>1608</v>
      </c>
      <c r="D5210" s="30" t="s">
        <v>702</v>
      </c>
      <c r="E5210" s="31">
        <f>ROUND(0.962*1.3,4)</f>
        <v>1.2505999999999999</v>
      </c>
      <c r="F5210" s="48">
        <v>25.526499999999999</v>
      </c>
      <c r="G5210" s="48">
        <f t="shared" si="99"/>
        <v>31.923440899999996</v>
      </c>
      <c r="H5210" s="67"/>
      <c r="I5210" s="68"/>
      <c r="J5210" s="138">
        <v>0</v>
      </c>
    </row>
    <row r="5211" spans="1:10" ht="15.75" hidden="1" thickBot="1" x14ac:dyDescent="0.3">
      <c r="A5211" s="225"/>
      <c r="B5211" s="223"/>
      <c r="C5211" s="30"/>
      <c r="D5211" s="41"/>
      <c r="E5211" s="31"/>
      <c r="F5211" s="48" t="s">
        <v>521</v>
      </c>
      <c r="G5211" s="48" t="str">
        <f t="shared" si="99"/>
        <v/>
      </c>
      <c r="H5211" s="67"/>
      <c r="I5211" s="68"/>
      <c r="J5211" s="138">
        <v>0</v>
      </c>
    </row>
    <row r="5212" spans="1:10" ht="15.75" hidden="1" thickBot="1" x14ac:dyDescent="0.3">
      <c r="A5212" s="220" t="s">
        <v>1885</v>
      </c>
      <c r="B5212" s="222" t="e">
        <f>INDEX(Orçamentária!A:B,MATCH(Composições!A5212,Orçamentária!A:A,0),2)</f>
        <v>#N/A</v>
      </c>
      <c r="C5212" s="35"/>
      <c r="D5212" s="20" t="s">
        <v>93</v>
      </c>
      <c r="E5212" s="21"/>
      <c r="F5212" s="43" t="s">
        <v>521</v>
      </c>
      <c r="G5212" s="22" t="str">
        <f t="shared" si="99"/>
        <v/>
      </c>
      <c r="H5212" s="23"/>
      <c r="I5212" s="24"/>
      <c r="J5212" s="138">
        <v>0</v>
      </c>
    </row>
    <row r="5213" spans="1:10" ht="15.75" hidden="1" thickBot="1" x14ac:dyDescent="0.3">
      <c r="A5213" s="225"/>
      <c r="B5213" s="223"/>
      <c r="C5213" s="26"/>
      <c r="D5213" s="26"/>
      <c r="E5213" s="27"/>
      <c r="F5213" s="48" t="s">
        <v>521</v>
      </c>
      <c r="G5213" s="48" t="str">
        <f t="shared" si="99"/>
        <v/>
      </c>
      <c r="H5213" s="67"/>
      <c r="I5213" s="68"/>
      <c r="J5213" s="138">
        <v>0</v>
      </c>
    </row>
    <row r="5214" spans="1:10" ht="39" hidden="1" thickBot="1" x14ac:dyDescent="0.3">
      <c r="A5214" s="225"/>
      <c r="B5214" s="223"/>
      <c r="C5214" s="30" t="s">
        <v>1566</v>
      </c>
      <c r="D5214" s="41" t="s">
        <v>938</v>
      </c>
      <c r="E5214" s="31">
        <v>2.1100000000000001E-2</v>
      </c>
      <c r="F5214" s="25">
        <v>207.94549999999998</v>
      </c>
      <c r="G5214" s="48">
        <f t="shared" si="99"/>
        <v>4.3876500499999995</v>
      </c>
      <c r="H5214" s="33">
        <f>SUM(G5214:G5223)</f>
        <v>521.11292374251195</v>
      </c>
      <c r="I5214" s="34"/>
      <c r="J5214" s="138">
        <v>0</v>
      </c>
    </row>
    <row r="5215" spans="1:10" ht="39" hidden="1" thickBot="1" x14ac:dyDescent="0.3">
      <c r="A5215" s="225"/>
      <c r="B5215" s="223"/>
      <c r="C5215" s="30" t="s">
        <v>1572</v>
      </c>
      <c r="D5215" s="30" t="s">
        <v>940</v>
      </c>
      <c r="E5215" s="31">
        <v>4.0300000000000002E-2</v>
      </c>
      <c r="F5215" s="25">
        <v>75.097499999999997</v>
      </c>
      <c r="G5215" s="48">
        <f t="shared" si="99"/>
        <v>3.0264292500000001</v>
      </c>
      <c r="H5215" s="67"/>
      <c r="I5215" s="68"/>
      <c r="J5215" s="138">
        <v>0</v>
      </c>
    </row>
    <row r="5216" spans="1:10" ht="15.75" hidden="1" thickBot="1" x14ac:dyDescent="0.3">
      <c r="A5216" s="225"/>
      <c r="B5216" s="223"/>
      <c r="C5216" s="30" t="s">
        <v>132</v>
      </c>
      <c r="D5216" s="41" t="s">
        <v>897</v>
      </c>
      <c r="E5216" s="31">
        <v>0.1125</v>
      </c>
      <c r="F5216" s="25">
        <v>34.104999999999997</v>
      </c>
      <c r="G5216" s="48">
        <f t="shared" si="99"/>
        <v>3.8368124999999997</v>
      </c>
      <c r="H5216" s="67"/>
      <c r="I5216" s="68"/>
      <c r="J5216" s="138">
        <v>0</v>
      </c>
    </row>
    <row r="5217" spans="1:10" ht="15.75" hidden="1" thickBot="1" x14ac:dyDescent="0.3">
      <c r="A5217" s="225"/>
      <c r="B5217" s="223"/>
      <c r="C5217" s="30" t="s">
        <v>1604</v>
      </c>
      <c r="D5217" s="30" t="s">
        <v>702</v>
      </c>
      <c r="E5217" s="31">
        <v>6.5600000000000006E-2</v>
      </c>
      <c r="F5217" s="25">
        <v>19.389499999999998</v>
      </c>
      <c r="G5217" s="48">
        <f t="shared" si="99"/>
        <v>1.2719511999999999</v>
      </c>
      <c r="H5217" s="67"/>
      <c r="I5217" s="68"/>
      <c r="J5217" s="138">
        <v>0</v>
      </c>
    </row>
    <row r="5218" spans="1:10" ht="15.75" hidden="1" thickBot="1" x14ac:dyDescent="0.3">
      <c r="A5218" s="225"/>
      <c r="B5218" s="223"/>
      <c r="C5218" s="30" t="s">
        <v>703</v>
      </c>
      <c r="D5218" s="30" t="s">
        <v>702</v>
      </c>
      <c r="E5218" s="31">
        <v>6.5600000000000006E-2</v>
      </c>
      <c r="F5218" s="48">
        <v>18.420500000000001</v>
      </c>
      <c r="G5218" s="48">
        <f t="shared" si="99"/>
        <v>1.2083848000000001</v>
      </c>
      <c r="H5218" s="67"/>
      <c r="I5218" s="68"/>
      <c r="J5218" s="138">
        <v>0</v>
      </c>
    </row>
    <row r="5219" spans="1:10" ht="15.75" hidden="1" thickBot="1" x14ac:dyDescent="0.3">
      <c r="A5219" s="225"/>
      <c r="B5219" s="223"/>
      <c r="C5219" s="30" t="s">
        <v>1608</v>
      </c>
      <c r="D5219" s="30" t="s">
        <v>702</v>
      </c>
      <c r="E5219" s="31">
        <v>0.28749999999999998</v>
      </c>
      <c r="F5219" s="48">
        <v>25.526499999999999</v>
      </c>
      <c r="G5219" s="48">
        <f t="shared" si="99"/>
        <v>7.3388687499999987</v>
      </c>
      <c r="H5219" s="67"/>
      <c r="I5219" s="68"/>
      <c r="J5219" s="138">
        <v>0</v>
      </c>
    </row>
    <row r="5220" spans="1:10" ht="26.25" hidden="1" thickBot="1" x14ac:dyDescent="0.3">
      <c r="A5220" s="225"/>
      <c r="B5220" s="223"/>
      <c r="C5220" s="30" t="s">
        <v>1820</v>
      </c>
      <c r="D5220" s="30" t="s">
        <v>479</v>
      </c>
      <c r="E5220" s="31">
        <v>1</v>
      </c>
      <c r="F5220" s="48">
        <v>473.60349999999994</v>
      </c>
      <c r="G5220" s="48">
        <f t="shared" si="99"/>
        <v>473.60349999999994</v>
      </c>
      <c r="H5220" s="67"/>
      <c r="I5220" s="68"/>
      <c r="J5220" s="138">
        <v>0</v>
      </c>
    </row>
    <row r="5221" spans="1:10" ht="39" hidden="1" thickBot="1" x14ac:dyDescent="0.3">
      <c r="A5221" s="225"/>
      <c r="B5221" s="223"/>
      <c r="C5221" s="30" t="s">
        <v>1828</v>
      </c>
      <c r="D5221" s="30" t="s">
        <v>1284</v>
      </c>
      <c r="E5221" s="31">
        <v>2.1760000000000002E-2</v>
      </c>
      <c r="F5221" s="48">
        <v>37.315316950000003</v>
      </c>
      <c r="G5221" s="48">
        <f t="shared" si="99"/>
        <v>0.81198129683200015</v>
      </c>
      <c r="H5221" s="67"/>
      <c r="I5221" s="68"/>
      <c r="J5221" s="138">
        <v>0</v>
      </c>
    </row>
    <row r="5222" spans="1:10" ht="39" hidden="1" thickBot="1" x14ac:dyDescent="0.3">
      <c r="A5222" s="225"/>
      <c r="B5222" s="223"/>
      <c r="C5222" s="30" t="s">
        <v>1824</v>
      </c>
      <c r="D5222" s="30" t="s">
        <v>1433</v>
      </c>
      <c r="E5222" s="31">
        <v>0.65280000000000005</v>
      </c>
      <c r="F5222" s="48">
        <v>2.7516730999999996</v>
      </c>
      <c r="G5222" s="48">
        <f t="shared" si="99"/>
        <v>1.7962921996799999</v>
      </c>
      <c r="H5222" s="67"/>
      <c r="I5222" s="68"/>
      <c r="J5222" s="138">
        <v>0</v>
      </c>
    </row>
    <row r="5223" spans="1:10" ht="51.75" hidden="1" thickBot="1" x14ac:dyDescent="0.3">
      <c r="A5223" s="225"/>
      <c r="B5223" s="223"/>
      <c r="C5223" s="30" t="s">
        <v>1825</v>
      </c>
      <c r="D5223" s="30" t="s">
        <v>1433</v>
      </c>
      <c r="E5223" s="31">
        <v>21.76</v>
      </c>
      <c r="F5223" s="48">
        <v>1.0951771000000001</v>
      </c>
      <c r="G5223" s="48">
        <f t="shared" si="99"/>
        <v>23.831053696000005</v>
      </c>
      <c r="H5223" s="67"/>
      <c r="I5223" s="68"/>
      <c r="J5223" s="138">
        <v>0</v>
      </c>
    </row>
    <row r="5224" spans="1:10" ht="15.75" hidden="1" thickBot="1" x14ac:dyDescent="0.3">
      <c r="A5224" s="225"/>
      <c r="B5224" s="223"/>
      <c r="C5224" s="30"/>
      <c r="D5224" s="30"/>
      <c r="E5224" s="31"/>
      <c r="F5224" s="48" t="s">
        <v>521</v>
      </c>
      <c r="G5224" s="48" t="str">
        <f t="shared" si="99"/>
        <v/>
      </c>
      <c r="H5224" s="67"/>
      <c r="I5224" s="68"/>
      <c r="J5224" s="138">
        <v>0</v>
      </c>
    </row>
    <row r="5225" spans="1:10" ht="15.75" hidden="1" thickBot="1" x14ac:dyDescent="0.3">
      <c r="A5225" s="225"/>
      <c r="B5225" s="223"/>
      <c r="C5225" s="42" t="s">
        <v>2376</v>
      </c>
      <c r="D5225" s="30"/>
      <c r="E5225" s="31"/>
      <c r="F5225" s="48" t="s">
        <v>521</v>
      </c>
      <c r="G5225" s="48" t="str">
        <f t="shared" ref="G5225:G5256" si="100">IF(ISNUMBER(F5225),E5225*F5225,"")</f>
        <v/>
      </c>
      <c r="H5225" s="67"/>
      <c r="I5225" s="68"/>
      <c r="J5225" s="138">
        <v>0</v>
      </c>
    </row>
    <row r="5226" spans="1:10" ht="15.75" hidden="1" thickBot="1" x14ac:dyDescent="0.3">
      <c r="A5226" s="225"/>
      <c r="B5226" s="223"/>
      <c r="C5226" s="30"/>
      <c r="D5226" s="41"/>
      <c r="E5226" s="31"/>
      <c r="F5226" s="48" t="s">
        <v>521</v>
      </c>
      <c r="G5226" s="48" t="str">
        <f t="shared" si="100"/>
        <v/>
      </c>
      <c r="H5226" s="67"/>
      <c r="I5226" s="68"/>
      <c r="J5226" s="138">
        <v>0</v>
      </c>
    </row>
    <row r="5227" spans="1:10" ht="15.75" hidden="1" thickBot="1" x14ac:dyDescent="0.3">
      <c r="A5227" s="220" t="s">
        <v>1886</v>
      </c>
      <c r="B5227" s="222" t="e">
        <f>INDEX(Orçamentária!A:B,MATCH(Composições!A5227,Orçamentária!A:A,0),2)</f>
        <v>#N/A</v>
      </c>
      <c r="C5227" s="35"/>
      <c r="D5227" s="20" t="s">
        <v>93</v>
      </c>
      <c r="E5227" s="21"/>
      <c r="F5227" s="43" t="s">
        <v>521</v>
      </c>
      <c r="G5227" s="22" t="str">
        <f t="shared" si="100"/>
        <v/>
      </c>
      <c r="H5227" s="23"/>
      <c r="I5227" s="24"/>
      <c r="J5227" s="138">
        <v>0</v>
      </c>
    </row>
    <row r="5228" spans="1:10" ht="15.75" hidden="1" thickBot="1" x14ac:dyDescent="0.3">
      <c r="A5228" s="225"/>
      <c r="B5228" s="223"/>
      <c r="C5228" s="26"/>
      <c r="D5228" s="26"/>
      <c r="E5228" s="27"/>
      <c r="F5228" s="48" t="s">
        <v>521</v>
      </c>
      <c r="G5228" s="48" t="str">
        <f t="shared" si="100"/>
        <v/>
      </c>
      <c r="H5228" s="67"/>
      <c r="I5228" s="68"/>
      <c r="J5228" s="138">
        <v>0</v>
      </c>
    </row>
    <row r="5229" spans="1:10" ht="39" hidden="1" thickBot="1" x14ac:dyDescent="0.3">
      <c r="A5229" s="225"/>
      <c r="B5229" s="223"/>
      <c r="C5229" s="30" t="s">
        <v>1566</v>
      </c>
      <c r="D5229" s="41" t="s">
        <v>938</v>
      </c>
      <c r="E5229" s="31">
        <v>2.1100000000000001E-2</v>
      </c>
      <c r="F5229" s="25">
        <v>207.94549999999998</v>
      </c>
      <c r="G5229" s="48">
        <f t="shared" si="100"/>
        <v>4.3876500499999995</v>
      </c>
      <c r="H5229" s="33">
        <f>SUM(G5229:G5240)</f>
        <v>878.8252565237774</v>
      </c>
      <c r="I5229" s="34"/>
      <c r="J5229" s="138">
        <v>0</v>
      </c>
    </row>
    <row r="5230" spans="1:10" ht="39" hidden="1" thickBot="1" x14ac:dyDescent="0.3">
      <c r="A5230" s="225"/>
      <c r="B5230" s="223"/>
      <c r="C5230" s="30" t="s">
        <v>1572</v>
      </c>
      <c r="D5230" s="30" t="s">
        <v>940</v>
      </c>
      <c r="E5230" s="31">
        <v>4.0300000000000002E-2</v>
      </c>
      <c r="F5230" s="25">
        <v>75.097499999999997</v>
      </c>
      <c r="G5230" s="48">
        <f t="shared" si="100"/>
        <v>3.0264292500000001</v>
      </c>
      <c r="H5230" s="67"/>
      <c r="I5230" s="68"/>
      <c r="J5230" s="138">
        <v>0</v>
      </c>
    </row>
    <row r="5231" spans="1:10" ht="15.75" hidden="1" thickBot="1" x14ac:dyDescent="0.3">
      <c r="A5231" s="225"/>
      <c r="B5231" s="223"/>
      <c r="C5231" s="30" t="s">
        <v>132</v>
      </c>
      <c r="D5231" s="41" t="s">
        <v>897</v>
      </c>
      <c r="E5231" s="31">
        <v>0.15</v>
      </c>
      <c r="F5231" s="25">
        <v>34.104999999999997</v>
      </c>
      <c r="G5231" s="48">
        <f t="shared" si="100"/>
        <v>5.1157499999999994</v>
      </c>
      <c r="H5231" s="67"/>
      <c r="I5231" s="68"/>
      <c r="J5231" s="138">
        <v>0</v>
      </c>
    </row>
    <row r="5232" spans="1:10" ht="15.75" hidden="1" thickBot="1" x14ac:dyDescent="0.3">
      <c r="A5232" s="225"/>
      <c r="B5232" s="223"/>
      <c r="C5232" s="30" t="s">
        <v>1604</v>
      </c>
      <c r="D5232" s="30" t="s">
        <v>702</v>
      </c>
      <c r="E5232" s="31">
        <v>6.5600000000000006E-2</v>
      </c>
      <c r="F5232" s="25">
        <v>19.389499999999998</v>
      </c>
      <c r="G5232" s="48">
        <f t="shared" si="100"/>
        <v>1.2719511999999999</v>
      </c>
      <c r="H5232" s="67"/>
      <c r="I5232" s="68"/>
      <c r="J5232" s="138">
        <v>0</v>
      </c>
    </row>
    <row r="5233" spans="1:10" ht="15.75" hidden="1" thickBot="1" x14ac:dyDescent="0.3">
      <c r="A5233" s="225"/>
      <c r="B5233" s="223"/>
      <c r="C5233" s="30" t="s">
        <v>703</v>
      </c>
      <c r="D5233" s="30" t="s">
        <v>702</v>
      </c>
      <c r="E5233" s="31">
        <v>6.5600000000000006E-2</v>
      </c>
      <c r="F5233" s="48">
        <v>18.420500000000001</v>
      </c>
      <c r="G5233" s="48">
        <f t="shared" si="100"/>
        <v>1.2083848000000001</v>
      </c>
      <c r="H5233" s="67"/>
      <c r="I5233" s="68"/>
      <c r="J5233" s="138">
        <v>0</v>
      </c>
    </row>
    <row r="5234" spans="1:10" ht="15.75" hidden="1" thickBot="1" x14ac:dyDescent="0.3">
      <c r="A5234" s="225"/>
      <c r="B5234" s="223"/>
      <c r="C5234" s="30" t="s">
        <v>1608</v>
      </c>
      <c r="D5234" s="30" t="s">
        <v>702</v>
      </c>
      <c r="E5234" s="31">
        <v>0.38340000000000002</v>
      </c>
      <c r="F5234" s="48">
        <v>25.526499999999999</v>
      </c>
      <c r="G5234" s="48">
        <f t="shared" si="100"/>
        <v>9.7868601000000002</v>
      </c>
      <c r="H5234" s="67"/>
      <c r="I5234" s="68"/>
      <c r="J5234" s="138">
        <v>0</v>
      </c>
    </row>
    <row r="5235" spans="1:10" ht="26.25" hidden="1" thickBot="1" x14ac:dyDescent="0.3">
      <c r="A5235" s="225"/>
      <c r="B5235" s="223"/>
      <c r="C5235" s="30" t="s">
        <v>1754</v>
      </c>
      <c r="D5235" s="30" t="s">
        <v>479</v>
      </c>
      <c r="E5235" s="31">
        <v>1</v>
      </c>
      <c r="F5235" s="48">
        <v>802.71199999999999</v>
      </c>
      <c r="G5235" s="48">
        <f t="shared" si="100"/>
        <v>802.71199999999999</v>
      </c>
      <c r="H5235" s="67"/>
      <c r="I5235" s="68"/>
      <c r="J5235" s="138">
        <v>0</v>
      </c>
    </row>
    <row r="5236" spans="1:10" ht="39" hidden="1" thickBot="1" x14ac:dyDescent="0.3">
      <c r="A5236" s="225"/>
      <c r="B5236" s="223"/>
      <c r="C5236" s="30" t="s">
        <v>1829</v>
      </c>
      <c r="D5236" s="30" t="s">
        <v>1284</v>
      </c>
      <c r="E5236" s="31">
        <v>4.2549999999999998E-2</v>
      </c>
      <c r="F5236" s="48">
        <v>28.294590049999996</v>
      </c>
      <c r="G5236" s="48">
        <f t="shared" si="100"/>
        <v>1.2039348066274997</v>
      </c>
      <c r="H5236" s="67"/>
      <c r="I5236" s="68"/>
      <c r="J5236" s="138">
        <v>0</v>
      </c>
    </row>
    <row r="5237" spans="1:10" ht="39" hidden="1" thickBot="1" x14ac:dyDescent="0.3">
      <c r="A5237" s="225"/>
      <c r="B5237" s="223"/>
      <c r="C5237" s="30" t="s">
        <v>1824</v>
      </c>
      <c r="D5237" s="30" t="s">
        <v>1433</v>
      </c>
      <c r="E5237" s="31">
        <v>1.2765</v>
      </c>
      <c r="F5237" s="48">
        <v>2.7516730999999996</v>
      </c>
      <c r="G5237" s="48">
        <f t="shared" si="100"/>
        <v>3.5125107121499997</v>
      </c>
      <c r="H5237" s="67"/>
      <c r="I5237" s="68"/>
      <c r="J5237" s="138">
        <v>0</v>
      </c>
    </row>
    <row r="5238" spans="1:10" ht="51.75" hidden="1" thickBot="1" x14ac:dyDescent="0.3">
      <c r="A5238" s="225"/>
      <c r="B5238" s="223"/>
      <c r="C5238" s="30" t="s">
        <v>1825</v>
      </c>
      <c r="D5238" s="30" t="s">
        <v>1433</v>
      </c>
      <c r="E5238" s="31">
        <v>42.55</v>
      </c>
      <c r="F5238" s="48">
        <v>1.0951771000000001</v>
      </c>
      <c r="G5238" s="48">
        <f t="shared" si="100"/>
        <v>46.599785605000001</v>
      </c>
      <c r="H5238" s="67"/>
      <c r="I5238" s="68"/>
      <c r="J5238" s="138">
        <v>0</v>
      </c>
    </row>
    <row r="5239" spans="1:10" ht="15.75" hidden="1" thickBot="1" x14ac:dyDescent="0.3">
      <c r="A5239" s="225"/>
      <c r="B5239" s="223"/>
      <c r="C5239" s="30"/>
      <c r="D5239" s="30"/>
      <c r="E5239" s="31"/>
      <c r="F5239" s="48"/>
      <c r="G5239" s="48"/>
      <c r="H5239" s="67"/>
      <c r="I5239" s="68"/>
      <c r="J5239" s="138">
        <v>0</v>
      </c>
    </row>
    <row r="5240" spans="1:10" ht="15.75" hidden="1" thickBot="1" x14ac:dyDescent="0.3">
      <c r="A5240" s="225"/>
      <c r="B5240" s="223"/>
      <c r="C5240" s="42" t="s">
        <v>2376</v>
      </c>
      <c r="D5240" s="30"/>
      <c r="E5240" s="31"/>
      <c r="F5240" s="48" t="s">
        <v>521</v>
      </c>
      <c r="G5240" s="48" t="str">
        <f t="shared" ref="G5240:G5271" si="101">IF(ISNUMBER(F5240),E5240*F5240,"")</f>
        <v/>
      </c>
      <c r="H5240" s="67"/>
      <c r="I5240" s="68"/>
      <c r="J5240" s="138">
        <v>0</v>
      </c>
    </row>
    <row r="5241" spans="1:10" ht="15.75" hidden="1" thickBot="1" x14ac:dyDescent="0.3">
      <c r="A5241" s="225"/>
      <c r="B5241" s="223"/>
      <c r="C5241" s="30"/>
      <c r="D5241" s="41"/>
      <c r="E5241" s="31"/>
      <c r="F5241" s="48" t="s">
        <v>521</v>
      </c>
      <c r="G5241" s="48" t="str">
        <f t="shared" si="101"/>
        <v/>
      </c>
      <c r="H5241" s="67"/>
      <c r="I5241" s="68"/>
      <c r="J5241" s="138">
        <v>0</v>
      </c>
    </row>
    <row r="5242" spans="1:10" ht="15.75" hidden="1" thickBot="1" x14ac:dyDescent="0.3">
      <c r="A5242" s="220" t="s">
        <v>1887</v>
      </c>
      <c r="B5242" s="222" t="e">
        <f>INDEX(Orçamentária!A:B,MATCH(Composições!A5242,Orçamentária!A:A,0),2)</f>
        <v>#N/A</v>
      </c>
      <c r="C5242" s="35"/>
      <c r="D5242" s="20" t="s">
        <v>20</v>
      </c>
      <c r="E5242" s="21"/>
      <c r="F5242" s="43" t="s">
        <v>521</v>
      </c>
      <c r="G5242" s="22" t="str">
        <f t="shared" si="101"/>
        <v/>
      </c>
      <c r="H5242" s="23"/>
      <c r="I5242" s="24"/>
      <c r="J5242" s="138">
        <v>0</v>
      </c>
    </row>
    <row r="5243" spans="1:10" ht="15.75" hidden="1" thickBot="1" x14ac:dyDescent="0.3">
      <c r="A5243" s="225"/>
      <c r="B5243" s="223"/>
      <c r="C5243" s="26"/>
      <c r="D5243" s="26"/>
      <c r="E5243" s="27"/>
      <c r="F5243" s="48" t="s">
        <v>521</v>
      </c>
      <c r="G5243" s="48" t="str">
        <f t="shared" si="101"/>
        <v/>
      </c>
      <c r="H5243" s="67"/>
      <c r="I5243" s="68"/>
      <c r="J5243" s="138">
        <v>0</v>
      </c>
    </row>
    <row r="5244" spans="1:10" ht="15.75" hidden="1" thickBot="1" x14ac:dyDescent="0.3">
      <c r="A5244" s="225"/>
      <c r="B5244" s="223"/>
      <c r="C5244" s="30" t="s">
        <v>318</v>
      </c>
      <c r="D5244" s="30" t="s">
        <v>279</v>
      </c>
      <c r="E5244" s="31">
        <v>8.3999999999999995E-3</v>
      </c>
      <c r="F5244" s="25">
        <v>15.408999999999999</v>
      </c>
      <c r="G5244" s="48">
        <f t="shared" si="101"/>
        <v>0.12943559999999998</v>
      </c>
      <c r="H5244" s="33">
        <f>SUM(G5244:G5247)</f>
        <v>51.462108000000001</v>
      </c>
      <c r="I5244" s="34"/>
      <c r="J5244" s="138">
        <v>0</v>
      </c>
    </row>
    <row r="5245" spans="1:10" ht="15.75" hidden="1" thickBot="1" x14ac:dyDescent="0.3">
      <c r="A5245" s="225"/>
      <c r="B5245" s="223"/>
      <c r="C5245" s="30" t="s">
        <v>1142</v>
      </c>
      <c r="D5245" s="30" t="s">
        <v>279</v>
      </c>
      <c r="E5245" s="31">
        <v>1</v>
      </c>
      <c r="F5245" s="25">
        <v>48.212499999999999</v>
      </c>
      <c r="G5245" s="48">
        <f t="shared" si="101"/>
        <v>48.212499999999999</v>
      </c>
      <c r="H5245" s="67"/>
      <c r="I5245" s="68"/>
      <c r="J5245" s="138">
        <v>0</v>
      </c>
    </row>
    <row r="5246" spans="1:10" ht="26.25" hidden="1" thickBot="1" x14ac:dyDescent="0.3">
      <c r="A5246" s="225"/>
      <c r="B5246" s="223"/>
      <c r="C5246" s="30" t="s">
        <v>949</v>
      </c>
      <c r="D5246" s="41" t="s">
        <v>702</v>
      </c>
      <c r="E5246" s="31">
        <v>7.1900000000000006E-2</v>
      </c>
      <c r="F5246" s="25">
        <v>19.094999999999999</v>
      </c>
      <c r="G5246" s="48">
        <f t="shared" si="101"/>
        <v>1.3729305000000001</v>
      </c>
      <c r="H5246" s="67"/>
      <c r="I5246" s="68"/>
      <c r="J5246" s="138">
        <v>0</v>
      </c>
    </row>
    <row r="5247" spans="1:10" ht="26.25" hidden="1" thickBot="1" x14ac:dyDescent="0.3">
      <c r="A5247" s="225"/>
      <c r="B5247" s="223"/>
      <c r="C5247" s="30" t="s">
        <v>950</v>
      </c>
      <c r="D5247" s="30" t="s">
        <v>702</v>
      </c>
      <c r="E5247" s="31">
        <v>7.1900000000000006E-2</v>
      </c>
      <c r="F5247" s="25">
        <v>24.300999999999998</v>
      </c>
      <c r="G5247" s="48">
        <f t="shared" si="101"/>
        <v>1.7472419000000001</v>
      </c>
      <c r="H5247" s="67"/>
      <c r="I5247" s="68"/>
      <c r="J5247" s="138">
        <v>0</v>
      </c>
    </row>
    <row r="5248" spans="1:10" ht="15.75" hidden="1" thickBot="1" x14ac:dyDescent="0.3">
      <c r="A5248" s="225"/>
      <c r="B5248" s="223"/>
      <c r="C5248" s="30"/>
      <c r="D5248" s="41"/>
      <c r="E5248" s="31"/>
      <c r="F5248" s="48" t="s">
        <v>521</v>
      </c>
      <c r="G5248" s="48" t="str">
        <f t="shared" si="101"/>
        <v/>
      </c>
      <c r="H5248" s="67"/>
      <c r="I5248" s="68"/>
      <c r="J5248" s="138">
        <v>0</v>
      </c>
    </row>
    <row r="5249" spans="1:10" ht="15.75" hidden="1" thickBot="1" x14ac:dyDescent="0.3">
      <c r="A5249" s="220" t="s">
        <v>1888</v>
      </c>
      <c r="B5249" s="222" t="e">
        <f>INDEX(Orçamentária!A:B,MATCH(Composições!A5249,Orçamentária!A:A,0),2)</f>
        <v>#N/A</v>
      </c>
      <c r="C5249" s="35"/>
      <c r="D5249" s="20" t="s">
        <v>20</v>
      </c>
      <c r="E5249" s="21"/>
      <c r="F5249" s="43" t="s">
        <v>521</v>
      </c>
      <c r="G5249" s="22" t="str">
        <f t="shared" si="101"/>
        <v/>
      </c>
      <c r="H5249" s="23"/>
      <c r="I5249" s="24"/>
      <c r="J5249" s="138">
        <v>0</v>
      </c>
    </row>
    <row r="5250" spans="1:10" ht="15.75" hidden="1" thickBot="1" x14ac:dyDescent="0.3">
      <c r="A5250" s="225"/>
      <c r="B5250" s="223"/>
      <c r="C5250" s="26"/>
      <c r="D5250" s="26"/>
      <c r="E5250" s="27"/>
      <c r="F5250" s="48" t="s">
        <v>521</v>
      </c>
      <c r="G5250" s="48" t="str">
        <f t="shared" si="101"/>
        <v/>
      </c>
      <c r="H5250" s="67"/>
      <c r="I5250" s="68"/>
      <c r="J5250" s="138">
        <v>0</v>
      </c>
    </row>
    <row r="5251" spans="1:10" ht="15.75" hidden="1" thickBot="1" x14ac:dyDescent="0.3">
      <c r="A5251" s="225"/>
      <c r="B5251" s="223"/>
      <c r="C5251" s="30" t="s">
        <v>318</v>
      </c>
      <c r="D5251" s="30" t="s">
        <v>279</v>
      </c>
      <c r="E5251" s="31">
        <v>4.5199999999999997E-2</v>
      </c>
      <c r="F5251" s="25">
        <v>15.408999999999999</v>
      </c>
      <c r="G5251" s="48">
        <f t="shared" si="101"/>
        <v>0.69648679999999996</v>
      </c>
      <c r="H5251" s="33">
        <f>SUM(G5251:G5254)</f>
        <v>32.050096799999999</v>
      </c>
      <c r="I5251" s="34"/>
      <c r="J5251" s="138">
        <v>0</v>
      </c>
    </row>
    <row r="5252" spans="1:10" ht="15.75" hidden="1" thickBot="1" x14ac:dyDescent="0.3">
      <c r="A5252" s="225"/>
      <c r="B5252" s="223"/>
      <c r="C5252" s="30" t="s">
        <v>1889</v>
      </c>
      <c r="D5252" s="30" t="s">
        <v>279</v>
      </c>
      <c r="E5252" s="31">
        <v>1</v>
      </c>
      <c r="F5252" s="25" t="s">
        <v>521</v>
      </c>
      <c r="G5252" s="48" t="str">
        <f t="shared" si="101"/>
        <v/>
      </c>
      <c r="H5252" s="67"/>
      <c r="I5252" s="68"/>
      <c r="J5252" s="138">
        <v>0</v>
      </c>
    </row>
    <row r="5253" spans="1:10" ht="26.25" hidden="1" thickBot="1" x14ac:dyDescent="0.3">
      <c r="A5253" s="225"/>
      <c r="B5253" s="223"/>
      <c r="C5253" s="30" t="s">
        <v>949</v>
      </c>
      <c r="D5253" s="41" t="s">
        <v>702</v>
      </c>
      <c r="E5253" s="31">
        <v>0.72250000000000003</v>
      </c>
      <c r="F5253" s="25">
        <v>19.094999999999999</v>
      </c>
      <c r="G5253" s="48">
        <f t="shared" si="101"/>
        <v>13.7961375</v>
      </c>
      <c r="H5253" s="67"/>
      <c r="I5253" s="68"/>
      <c r="J5253" s="138">
        <v>0</v>
      </c>
    </row>
    <row r="5254" spans="1:10" ht="26.25" hidden="1" thickBot="1" x14ac:dyDescent="0.3">
      <c r="A5254" s="225"/>
      <c r="B5254" s="223"/>
      <c r="C5254" s="30" t="s">
        <v>950</v>
      </c>
      <c r="D5254" s="30" t="s">
        <v>702</v>
      </c>
      <c r="E5254" s="31">
        <v>0.72250000000000003</v>
      </c>
      <c r="F5254" s="25">
        <v>24.300999999999998</v>
      </c>
      <c r="G5254" s="48">
        <f t="shared" si="101"/>
        <v>17.557472499999999</v>
      </c>
      <c r="H5254" s="67"/>
      <c r="I5254" s="68"/>
      <c r="J5254" s="138">
        <v>0</v>
      </c>
    </row>
    <row r="5255" spans="1:10" ht="15.75" hidden="1" thickBot="1" x14ac:dyDescent="0.3">
      <c r="A5255" s="225"/>
      <c r="B5255" s="223"/>
      <c r="C5255" s="30"/>
      <c r="D5255" s="41"/>
      <c r="E5255" s="31"/>
      <c r="F5255" s="48" t="s">
        <v>521</v>
      </c>
      <c r="G5255" s="48" t="str">
        <f t="shared" si="101"/>
        <v/>
      </c>
      <c r="H5255" s="67"/>
      <c r="I5255" s="68"/>
      <c r="J5255" s="138">
        <v>0</v>
      </c>
    </row>
    <row r="5256" spans="1:10" ht="15.75" hidden="1" thickBot="1" x14ac:dyDescent="0.3">
      <c r="A5256" s="220" t="s">
        <v>1890</v>
      </c>
      <c r="B5256" s="222" t="e">
        <f>INDEX(Orçamentária!A:B,MATCH(Composições!A5256,Orçamentária!A:A,0),2)</f>
        <v>#N/A</v>
      </c>
      <c r="C5256" s="35"/>
      <c r="D5256" s="20" t="s">
        <v>93</v>
      </c>
      <c r="E5256" s="21"/>
      <c r="F5256" s="43" t="s">
        <v>521</v>
      </c>
      <c r="G5256" s="22" t="str">
        <f t="shared" si="101"/>
        <v/>
      </c>
      <c r="H5256" s="23"/>
      <c r="I5256" s="24"/>
      <c r="J5256" s="138">
        <v>0</v>
      </c>
    </row>
    <row r="5257" spans="1:10" ht="15.75" hidden="1" thickBot="1" x14ac:dyDescent="0.3">
      <c r="A5257" s="225"/>
      <c r="B5257" s="223"/>
      <c r="C5257" s="26"/>
      <c r="D5257" s="26"/>
      <c r="E5257" s="27"/>
      <c r="F5257" s="48" t="s">
        <v>521</v>
      </c>
      <c r="G5257" s="48" t="str">
        <f t="shared" si="101"/>
        <v/>
      </c>
      <c r="H5257" s="67"/>
      <c r="I5257" s="68"/>
      <c r="J5257" s="138">
        <v>0</v>
      </c>
    </row>
    <row r="5258" spans="1:10" ht="15.75" hidden="1" thickBot="1" x14ac:dyDescent="0.3">
      <c r="A5258" s="225"/>
      <c r="B5258" s="223"/>
      <c r="C5258" s="30" t="s">
        <v>1909</v>
      </c>
      <c r="D5258" s="30" t="s">
        <v>93</v>
      </c>
      <c r="E5258" s="31">
        <v>1.05</v>
      </c>
      <c r="F5258" s="25" t="s">
        <v>521</v>
      </c>
      <c r="G5258" s="48" t="str">
        <f t="shared" si="101"/>
        <v/>
      </c>
      <c r="H5258" s="33">
        <f>SUM(G5258:G5260)</f>
        <v>3.1678604999999997</v>
      </c>
      <c r="I5258" s="34"/>
      <c r="J5258" s="138">
        <v>0</v>
      </c>
    </row>
    <row r="5259" spans="1:10" ht="15.75" hidden="1" thickBot="1" x14ac:dyDescent="0.3">
      <c r="A5259" s="225"/>
      <c r="B5259" s="223"/>
      <c r="C5259" s="30" t="s">
        <v>1156</v>
      </c>
      <c r="D5259" s="41" t="s">
        <v>702</v>
      </c>
      <c r="E5259" s="31">
        <v>7.1099999999999997E-2</v>
      </c>
      <c r="F5259" s="25">
        <v>19.4085</v>
      </c>
      <c r="G5259" s="48">
        <f t="shared" si="101"/>
        <v>1.3799443499999999</v>
      </c>
      <c r="H5259" s="67"/>
      <c r="I5259" s="68"/>
      <c r="J5259" s="138">
        <v>0</v>
      </c>
    </row>
    <row r="5260" spans="1:10" ht="15.75" hidden="1" thickBot="1" x14ac:dyDescent="0.3">
      <c r="A5260" s="225"/>
      <c r="B5260" s="223"/>
      <c r="C5260" s="30" t="s">
        <v>1157</v>
      </c>
      <c r="D5260" s="30" t="s">
        <v>702</v>
      </c>
      <c r="E5260" s="31">
        <v>7.1099999999999997E-2</v>
      </c>
      <c r="F5260" s="25">
        <v>25.146499999999996</v>
      </c>
      <c r="G5260" s="48">
        <f t="shared" si="101"/>
        <v>1.7879161499999996</v>
      </c>
      <c r="H5260" s="67"/>
      <c r="I5260" s="68"/>
      <c r="J5260" s="138">
        <v>0</v>
      </c>
    </row>
    <row r="5261" spans="1:10" ht="15.75" hidden="1" thickBot="1" x14ac:dyDescent="0.3">
      <c r="A5261" s="225"/>
      <c r="B5261" s="223"/>
      <c r="C5261" s="30"/>
      <c r="D5261" s="41"/>
      <c r="E5261" s="31"/>
      <c r="F5261" s="48" t="s">
        <v>521</v>
      </c>
      <c r="G5261" s="48" t="str">
        <f t="shared" si="101"/>
        <v/>
      </c>
      <c r="H5261" s="67"/>
      <c r="I5261" s="68"/>
      <c r="J5261" s="138">
        <v>0</v>
      </c>
    </row>
    <row r="5262" spans="1:10" ht="15.75" hidden="1" thickBot="1" x14ac:dyDescent="0.3">
      <c r="A5262" s="220" t="s">
        <v>1891</v>
      </c>
      <c r="B5262" s="222" t="e">
        <f>INDEX(Orçamentária!A:B,MATCH(Composições!A5262,Orçamentária!A:A,0),2)</f>
        <v>#N/A</v>
      </c>
      <c r="C5262" s="35"/>
      <c r="D5262" s="20" t="s">
        <v>93</v>
      </c>
      <c r="E5262" s="21"/>
      <c r="F5262" s="43" t="s">
        <v>521</v>
      </c>
      <c r="G5262" s="22" t="str">
        <f t="shared" si="101"/>
        <v/>
      </c>
      <c r="H5262" s="23"/>
      <c r="I5262" s="24"/>
      <c r="J5262" s="138">
        <v>0</v>
      </c>
    </row>
    <row r="5263" spans="1:10" ht="15.75" hidden="1" thickBot="1" x14ac:dyDescent="0.3">
      <c r="A5263" s="225"/>
      <c r="B5263" s="223"/>
      <c r="C5263" s="26"/>
      <c r="D5263" s="26"/>
      <c r="E5263" s="27"/>
      <c r="F5263" s="48" t="s">
        <v>521</v>
      </c>
      <c r="G5263" s="48" t="str">
        <f t="shared" si="101"/>
        <v/>
      </c>
      <c r="H5263" s="67"/>
      <c r="I5263" s="68"/>
      <c r="J5263" s="138">
        <v>0</v>
      </c>
    </row>
    <row r="5264" spans="1:10" ht="15.75" hidden="1" thickBot="1" x14ac:dyDescent="0.3">
      <c r="A5264" s="225"/>
      <c r="B5264" s="223"/>
      <c r="C5264" s="30" t="s">
        <v>1910</v>
      </c>
      <c r="D5264" s="30" t="s">
        <v>93</v>
      </c>
      <c r="E5264" s="31">
        <v>1.05</v>
      </c>
      <c r="F5264" s="25" t="s">
        <v>521</v>
      </c>
      <c r="G5264" s="48" t="str">
        <f t="shared" si="101"/>
        <v/>
      </c>
      <c r="H5264" s="33">
        <f>SUM(G5264:G5266)</f>
        <v>6.184234</v>
      </c>
      <c r="I5264" s="34"/>
      <c r="J5264" s="138">
        <v>0</v>
      </c>
    </row>
    <row r="5265" spans="1:10" ht="15.75" hidden="1" thickBot="1" x14ac:dyDescent="0.3">
      <c r="A5265" s="225"/>
      <c r="B5265" s="223"/>
      <c r="C5265" s="30" t="s">
        <v>1156</v>
      </c>
      <c r="D5265" s="41" t="s">
        <v>702</v>
      </c>
      <c r="E5265" s="31">
        <v>0.13880000000000001</v>
      </c>
      <c r="F5265" s="25">
        <v>19.4085</v>
      </c>
      <c r="G5265" s="48">
        <f t="shared" si="101"/>
        <v>2.6938998000000001</v>
      </c>
      <c r="H5265" s="67"/>
      <c r="I5265" s="68"/>
      <c r="J5265" s="138">
        <v>0</v>
      </c>
    </row>
    <row r="5266" spans="1:10" ht="15.75" hidden="1" thickBot="1" x14ac:dyDescent="0.3">
      <c r="A5266" s="225"/>
      <c r="B5266" s="223"/>
      <c r="C5266" s="30" t="s">
        <v>1157</v>
      </c>
      <c r="D5266" s="30" t="s">
        <v>702</v>
      </c>
      <c r="E5266" s="31">
        <v>0.13880000000000001</v>
      </c>
      <c r="F5266" s="25">
        <v>25.146499999999996</v>
      </c>
      <c r="G5266" s="48">
        <f t="shared" si="101"/>
        <v>3.4903341999999995</v>
      </c>
      <c r="H5266" s="67"/>
      <c r="I5266" s="68"/>
      <c r="J5266" s="138">
        <v>0</v>
      </c>
    </row>
    <row r="5267" spans="1:10" ht="15.75" hidden="1" thickBot="1" x14ac:dyDescent="0.3">
      <c r="A5267" s="225"/>
      <c r="B5267" s="223"/>
      <c r="C5267" s="30"/>
      <c r="D5267" s="41"/>
      <c r="E5267" s="31"/>
      <c r="F5267" s="48" t="s">
        <v>521</v>
      </c>
      <c r="G5267" s="48" t="str">
        <f t="shared" si="101"/>
        <v/>
      </c>
      <c r="H5267" s="67"/>
      <c r="I5267" s="68"/>
      <c r="J5267" s="138">
        <v>0</v>
      </c>
    </row>
    <row r="5268" spans="1:10" ht="15.75" hidden="1" thickBot="1" x14ac:dyDescent="0.3">
      <c r="A5268" s="220" t="s">
        <v>1892</v>
      </c>
      <c r="B5268" s="222" t="e">
        <f>INDEX(Orçamentária!A:B,MATCH(Composições!A5268,Orçamentária!A:A,0),2)</f>
        <v>#N/A</v>
      </c>
      <c r="C5268" s="35"/>
      <c r="D5268" s="20" t="s">
        <v>93</v>
      </c>
      <c r="E5268" s="21"/>
      <c r="F5268" s="36" t="s">
        <v>521</v>
      </c>
      <c r="G5268" s="22" t="str">
        <f t="shared" si="101"/>
        <v/>
      </c>
      <c r="H5268" s="23"/>
      <c r="I5268" s="24"/>
      <c r="J5268" s="138">
        <v>0</v>
      </c>
    </row>
    <row r="5269" spans="1:10" ht="15.75" hidden="1" thickBot="1" x14ac:dyDescent="0.3">
      <c r="A5269" s="221"/>
      <c r="B5269" s="223"/>
      <c r="C5269" s="26"/>
      <c r="D5269" s="26"/>
      <c r="E5269" s="27"/>
      <c r="F5269" s="37" t="s">
        <v>521</v>
      </c>
      <c r="G5269" s="25" t="str">
        <f t="shared" si="101"/>
        <v/>
      </c>
      <c r="H5269" s="29"/>
      <c r="I5269" s="25"/>
      <c r="J5269" s="138">
        <v>0</v>
      </c>
    </row>
    <row r="5270" spans="1:10" ht="39" hidden="1" thickBot="1" x14ac:dyDescent="0.3">
      <c r="A5270" s="221"/>
      <c r="B5270" s="223"/>
      <c r="C5270" s="30" t="s">
        <v>2367</v>
      </c>
      <c r="D5270" s="30" t="s">
        <v>479</v>
      </c>
      <c r="E5270" s="31">
        <v>1.1000000000000001</v>
      </c>
      <c r="F5270" s="25">
        <v>3.7049999999999996</v>
      </c>
      <c r="G5270" s="28">
        <f t="shared" si="101"/>
        <v>4.0754999999999999</v>
      </c>
      <c r="H5270" s="33">
        <f>SUM(G5270:G5273)</f>
        <v>12.058559000000001</v>
      </c>
      <c r="I5270" s="34"/>
      <c r="J5270" s="138">
        <v>0</v>
      </c>
    </row>
    <row r="5271" spans="1:10" ht="15.75" hidden="1" thickBot="1" x14ac:dyDescent="0.3">
      <c r="A5271" s="221"/>
      <c r="B5271" s="223"/>
      <c r="C5271" s="30" t="s">
        <v>1156</v>
      </c>
      <c r="D5271" s="30" t="s">
        <v>702</v>
      </c>
      <c r="E5271" s="31">
        <v>0.113</v>
      </c>
      <c r="F5271" s="25">
        <v>19.4085</v>
      </c>
      <c r="G5271" s="28">
        <f t="shared" si="101"/>
        <v>2.1931605000000003</v>
      </c>
      <c r="H5271" s="29"/>
      <c r="I5271" s="25"/>
      <c r="J5271" s="138">
        <v>0</v>
      </c>
    </row>
    <row r="5272" spans="1:10" ht="15.75" hidden="1" thickBot="1" x14ac:dyDescent="0.3">
      <c r="A5272" s="221"/>
      <c r="B5272" s="223"/>
      <c r="C5272" s="30" t="s">
        <v>1157</v>
      </c>
      <c r="D5272" s="30" t="s">
        <v>702</v>
      </c>
      <c r="E5272" s="31">
        <v>0.113</v>
      </c>
      <c r="F5272" s="25">
        <v>25.146499999999996</v>
      </c>
      <c r="G5272" s="28">
        <f t="shared" ref="G5272:G5303" si="102">IF(ISNUMBER(F5272),E5272*F5272,"")</f>
        <v>2.8415544999999995</v>
      </c>
      <c r="H5272" s="29"/>
      <c r="I5272" s="25"/>
      <c r="J5272" s="138">
        <v>0</v>
      </c>
    </row>
    <row r="5273" spans="1:10" ht="51.75" hidden="1" thickBot="1" x14ac:dyDescent="0.3">
      <c r="A5273" s="221"/>
      <c r="B5273" s="223"/>
      <c r="C5273" s="30" t="s">
        <v>1591</v>
      </c>
      <c r="D5273" s="30" t="s">
        <v>479</v>
      </c>
      <c r="E5273" s="31">
        <v>1</v>
      </c>
      <c r="F5273" s="28">
        <v>2.9483440000000001</v>
      </c>
      <c r="G5273" s="25">
        <f t="shared" si="102"/>
        <v>2.9483440000000001</v>
      </c>
      <c r="H5273" s="29"/>
      <c r="I5273" s="25"/>
      <c r="J5273" s="138">
        <v>0</v>
      </c>
    </row>
    <row r="5274" spans="1:10" ht="15.75" hidden="1" thickBot="1" x14ac:dyDescent="0.3">
      <c r="A5274" s="227"/>
      <c r="B5274" s="224"/>
      <c r="C5274" s="30"/>
      <c r="D5274" s="30"/>
      <c r="E5274" s="31"/>
      <c r="F5274" s="25" t="s">
        <v>521</v>
      </c>
      <c r="G5274" s="25" t="str">
        <f t="shared" si="102"/>
        <v/>
      </c>
      <c r="H5274" s="29"/>
      <c r="I5274" s="25"/>
      <c r="J5274" s="138">
        <v>0</v>
      </c>
    </row>
    <row r="5275" spans="1:10" ht="15.75" hidden="1" thickBot="1" x14ac:dyDescent="0.3">
      <c r="A5275" s="228" t="s">
        <v>1893</v>
      </c>
      <c r="B5275" s="222" t="e">
        <f>INDEX(Orçamentária!A:B,MATCH(Composições!A5275,Orçamentária!A:A,0),2)</f>
        <v>#N/A</v>
      </c>
      <c r="C5275" s="35"/>
      <c r="D5275" s="20" t="s">
        <v>20</v>
      </c>
      <c r="E5275" s="21"/>
      <c r="F5275" s="36" t="s">
        <v>521</v>
      </c>
      <c r="G5275" s="22" t="str">
        <f t="shared" si="102"/>
        <v/>
      </c>
      <c r="H5275" s="23"/>
      <c r="I5275" s="24"/>
      <c r="J5275" s="138">
        <v>0</v>
      </c>
    </row>
    <row r="5276" spans="1:10" ht="15.75" hidden="1" thickBot="1" x14ac:dyDescent="0.3">
      <c r="A5276" s="229"/>
      <c r="B5276" s="223"/>
      <c r="C5276" s="26"/>
      <c r="D5276" s="26"/>
      <c r="E5276" s="27"/>
      <c r="F5276" s="37" t="s">
        <v>521</v>
      </c>
      <c r="G5276" s="25" t="str">
        <f t="shared" si="102"/>
        <v/>
      </c>
      <c r="H5276" s="29"/>
      <c r="I5276" s="25"/>
      <c r="J5276" s="138">
        <v>0</v>
      </c>
    </row>
    <row r="5277" spans="1:10" ht="51.75" hidden="1" thickBot="1" x14ac:dyDescent="0.3">
      <c r="A5277" s="229"/>
      <c r="B5277" s="223"/>
      <c r="C5277" s="30" t="s">
        <v>1567</v>
      </c>
      <c r="D5277" s="30" t="s">
        <v>938</v>
      </c>
      <c r="E5277" s="31">
        <f>ROUND(0.0087*3.33,4)</f>
        <v>2.9000000000000001E-2</v>
      </c>
      <c r="F5277" s="25">
        <v>139.09899999999999</v>
      </c>
      <c r="G5277" s="28">
        <f t="shared" si="102"/>
        <v>4.0338709999999995</v>
      </c>
      <c r="H5277" s="33">
        <f>SUM(G5277:G5285)</f>
        <v>1861.5367904575287</v>
      </c>
      <c r="I5277" s="34"/>
      <c r="J5277" s="138">
        <v>0</v>
      </c>
    </row>
    <row r="5278" spans="1:10" ht="51.75" hidden="1" thickBot="1" x14ac:dyDescent="0.3">
      <c r="A5278" s="229"/>
      <c r="B5278" s="223"/>
      <c r="C5278" s="30" t="s">
        <v>1573</v>
      </c>
      <c r="D5278" s="30" t="s">
        <v>940</v>
      </c>
      <c r="E5278" s="31">
        <f>ROUND(0.0294*3.33,4)</f>
        <v>9.7900000000000001E-2</v>
      </c>
      <c r="F5278" s="25">
        <v>49.875</v>
      </c>
      <c r="G5278" s="28">
        <f t="shared" si="102"/>
        <v>4.8827625000000001</v>
      </c>
      <c r="H5278" s="29"/>
      <c r="I5278" s="25"/>
      <c r="J5278" s="138">
        <v>0</v>
      </c>
    </row>
    <row r="5279" spans="1:10" ht="15.75" hidden="1" thickBot="1" x14ac:dyDescent="0.3">
      <c r="A5279" s="229"/>
      <c r="B5279" s="223"/>
      <c r="C5279" s="30" t="s">
        <v>1817</v>
      </c>
      <c r="D5279" s="30" t="s">
        <v>279</v>
      </c>
      <c r="E5279" s="31">
        <f>ROUND(169.8027*3.33,4)</f>
        <v>565.44299999999998</v>
      </c>
      <c r="F5279" s="28">
        <v>0.68399999999999994</v>
      </c>
      <c r="G5279" s="25">
        <f t="shared" si="102"/>
        <v>386.76301199999995</v>
      </c>
      <c r="H5279" s="29"/>
      <c r="I5279" s="25"/>
      <c r="J5279" s="138">
        <v>0</v>
      </c>
    </row>
    <row r="5280" spans="1:10" ht="39" hidden="1" thickBot="1" x14ac:dyDescent="0.3">
      <c r="A5280" s="229"/>
      <c r="B5280" s="223"/>
      <c r="C5280" s="30" t="s">
        <v>998</v>
      </c>
      <c r="D5280" s="30" t="s">
        <v>120</v>
      </c>
      <c r="E5280" s="31">
        <f>ROUND(0.0014*3.33,4)</f>
        <v>4.7000000000000002E-3</v>
      </c>
      <c r="F5280" s="25">
        <v>566.17055737199996</v>
      </c>
      <c r="G5280" s="28">
        <f t="shared" si="102"/>
        <v>2.6610016196483999</v>
      </c>
      <c r="H5280" s="29"/>
      <c r="I5280" s="34"/>
      <c r="J5280" s="138">
        <v>0</v>
      </c>
    </row>
    <row r="5281" spans="1:10" ht="15.75" hidden="1" thickBot="1" x14ac:dyDescent="0.3">
      <c r="A5281" s="229"/>
      <c r="B5281" s="223"/>
      <c r="C5281" s="30" t="s">
        <v>710</v>
      </c>
      <c r="D5281" s="30" t="s">
        <v>702</v>
      </c>
      <c r="E5281" s="31">
        <f>ROUND(5.4392*3.33,4)</f>
        <v>18.112500000000001</v>
      </c>
      <c r="F5281" s="25">
        <v>24.889999999999997</v>
      </c>
      <c r="G5281" s="28">
        <f t="shared" si="102"/>
        <v>450.82012499999996</v>
      </c>
      <c r="H5281" s="29"/>
      <c r="I5281" s="25"/>
      <c r="J5281" s="138">
        <v>0</v>
      </c>
    </row>
    <row r="5282" spans="1:10" ht="15.75" hidden="1" thickBot="1" x14ac:dyDescent="0.3">
      <c r="A5282" s="229"/>
      <c r="B5282" s="223"/>
      <c r="C5282" s="30" t="s">
        <v>703</v>
      </c>
      <c r="D5282" s="30" t="s">
        <v>702</v>
      </c>
      <c r="E5282" s="31">
        <f>ROUND(5.4392*3.33,4)</f>
        <v>18.112500000000001</v>
      </c>
      <c r="F5282" s="28">
        <v>18.420500000000001</v>
      </c>
      <c r="G5282" s="25">
        <f t="shared" si="102"/>
        <v>333.64130625000001</v>
      </c>
      <c r="H5282" s="29"/>
      <c r="I5282" s="25"/>
      <c r="J5282" s="138">
        <v>0</v>
      </c>
    </row>
    <row r="5283" spans="1:10" ht="26.25" hidden="1" thickBot="1" x14ac:dyDescent="0.3">
      <c r="A5283" s="229"/>
      <c r="B5283" s="223"/>
      <c r="C5283" s="30" t="s">
        <v>1601</v>
      </c>
      <c r="D5283" s="30" t="s">
        <v>120</v>
      </c>
      <c r="E5283" s="31">
        <f>ROUND(0.1012*3.33,4)</f>
        <v>0.33700000000000002</v>
      </c>
      <c r="F5283" s="25">
        <v>643.29426430199999</v>
      </c>
      <c r="G5283" s="28">
        <f t="shared" si="102"/>
        <v>216.79016706977401</v>
      </c>
      <c r="H5283" s="29"/>
      <c r="I5283" s="34"/>
      <c r="J5283" s="138">
        <v>0</v>
      </c>
    </row>
    <row r="5284" spans="1:10" ht="26.25" hidden="1" thickBot="1" x14ac:dyDescent="0.3">
      <c r="A5284" s="229"/>
      <c r="B5284" s="223"/>
      <c r="C5284" s="30" t="s">
        <v>1589</v>
      </c>
      <c r="D5284" s="30" t="s">
        <v>120</v>
      </c>
      <c r="E5284" s="31">
        <f>ROUND(0.0448*3.33,4)</f>
        <v>0.1492</v>
      </c>
      <c r="F5284" s="25">
        <v>2442.8550549031465</v>
      </c>
      <c r="G5284" s="28">
        <f t="shared" si="102"/>
        <v>364.47397419154947</v>
      </c>
      <c r="H5284" s="29"/>
      <c r="I5284" s="25"/>
      <c r="J5284" s="138">
        <v>0</v>
      </c>
    </row>
    <row r="5285" spans="1:10" ht="26.25" hidden="1" thickBot="1" x14ac:dyDescent="0.3">
      <c r="A5285" s="229"/>
      <c r="B5285" s="223"/>
      <c r="C5285" s="30" t="s">
        <v>1918</v>
      </c>
      <c r="D5285" s="30" t="s">
        <v>120</v>
      </c>
      <c r="E5285" s="31">
        <f>ROUND(0.081*3.33,4)</f>
        <v>0.2697</v>
      </c>
      <c r="F5285" s="28">
        <v>361.40367380999999</v>
      </c>
      <c r="G5285" s="25">
        <f t="shared" si="102"/>
        <v>97.470570826556994</v>
      </c>
      <c r="H5285" s="29"/>
      <c r="I5285" s="25"/>
      <c r="J5285" s="138">
        <v>0</v>
      </c>
    </row>
    <row r="5286" spans="1:10" ht="15.75" hidden="1" thickBot="1" x14ac:dyDescent="0.3">
      <c r="A5286" s="230"/>
      <c r="B5286" s="224"/>
      <c r="C5286" s="30"/>
      <c r="D5286" s="30"/>
      <c r="E5286" s="31"/>
      <c r="F5286" s="25" t="s">
        <v>521</v>
      </c>
      <c r="G5286" s="25" t="str">
        <f t="shared" si="102"/>
        <v/>
      </c>
      <c r="H5286" s="29"/>
      <c r="I5286" s="25"/>
      <c r="J5286" s="138">
        <v>0</v>
      </c>
    </row>
    <row r="5287" spans="1:10" ht="15.75" hidden="1" thickBot="1" x14ac:dyDescent="0.3">
      <c r="A5287" s="220" t="s">
        <v>1894</v>
      </c>
      <c r="B5287" s="222" t="e">
        <f>INDEX(Orçamentária!A:B,MATCH(Composições!A5287,Orçamentária!A:A,0),2)</f>
        <v>#N/A</v>
      </c>
      <c r="C5287" s="35"/>
      <c r="D5287" s="20" t="s">
        <v>20</v>
      </c>
      <c r="E5287" s="21"/>
      <c r="F5287" s="36" t="s">
        <v>521</v>
      </c>
      <c r="G5287" s="22" t="str">
        <f t="shared" si="102"/>
        <v/>
      </c>
      <c r="H5287" s="23"/>
      <c r="I5287" s="24"/>
      <c r="J5287" s="138">
        <v>0</v>
      </c>
    </row>
    <row r="5288" spans="1:10" ht="15.75" hidden="1" thickBot="1" x14ac:dyDescent="0.3">
      <c r="A5288" s="221"/>
      <c r="B5288" s="223"/>
      <c r="C5288" s="26"/>
      <c r="D5288" s="26"/>
      <c r="E5288" s="27"/>
      <c r="F5288" s="37" t="s">
        <v>521</v>
      </c>
      <c r="G5288" s="25" t="str">
        <f t="shared" si="102"/>
        <v/>
      </c>
      <c r="H5288" s="29"/>
      <c r="I5288" s="25"/>
      <c r="J5288" s="138">
        <v>0</v>
      </c>
    </row>
    <row r="5289" spans="1:10" ht="15.75" hidden="1" thickBot="1" x14ac:dyDescent="0.3">
      <c r="A5289" s="221"/>
      <c r="B5289" s="223"/>
      <c r="C5289" s="30" t="s">
        <v>18</v>
      </c>
      <c r="D5289" s="30" t="s">
        <v>702</v>
      </c>
      <c r="E5289" s="31">
        <v>40</v>
      </c>
      <c r="F5289" s="25">
        <v>99.474499999999992</v>
      </c>
      <c r="G5289" s="28">
        <f t="shared" si="102"/>
        <v>3978.9799999999996</v>
      </c>
      <c r="H5289" s="33">
        <f>SUM(G5289:G5293)</f>
        <v>5092.4299999999994</v>
      </c>
      <c r="I5289" s="34"/>
      <c r="J5289" s="138">
        <v>0</v>
      </c>
    </row>
    <row r="5290" spans="1:10" ht="15.75" hidden="1" thickBot="1" x14ac:dyDescent="0.3">
      <c r="A5290" s="221"/>
      <c r="B5290" s="223"/>
      <c r="C5290" s="30" t="s">
        <v>1611</v>
      </c>
      <c r="D5290" s="30" t="s">
        <v>12</v>
      </c>
      <c r="E5290" s="31">
        <v>20</v>
      </c>
      <c r="F5290" s="25">
        <v>14.725</v>
      </c>
      <c r="G5290" s="28">
        <f t="shared" si="102"/>
        <v>294.5</v>
      </c>
      <c r="H5290" s="29"/>
      <c r="I5290" s="25"/>
      <c r="J5290" s="138">
        <v>0</v>
      </c>
    </row>
    <row r="5291" spans="1:10" ht="15.75" hidden="1" thickBot="1" x14ac:dyDescent="0.3">
      <c r="A5291" s="221"/>
      <c r="B5291" s="223"/>
      <c r="C5291" s="30" t="s">
        <v>1613</v>
      </c>
      <c r="D5291" s="30" t="s">
        <v>12</v>
      </c>
      <c r="E5291" s="31">
        <v>20</v>
      </c>
      <c r="F5291" s="25">
        <v>19.617499999999996</v>
      </c>
      <c r="G5291" s="28">
        <f t="shared" si="102"/>
        <v>392.34999999999991</v>
      </c>
      <c r="H5291" s="29"/>
      <c r="I5291" s="25"/>
      <c r="J5291" s="138">
        <v>0</v>
      </c>
    </row>
    <row r="5292" spans="1:10" ht="15.75" hidden="1" thickBot="1" x14ac:dyDescent="0.3">
      <c r="A5292" s="221"/>
      <c r="B5292" s="223"/>
      <c r="C5292" s="30" t="s">
        <v>1605</v>
      </c>
      <c r="D5292" s="30" t="s">
        <v>12</v>
      </c>
      <c r="E5292" s="31">
        <v>20</v>
      </c>
      <c r="F5292" s="25">
        <v>9.6330000000000009</v>
      </c>
      <c r="G5292" s="28">
        <f t="shared" si="102"/>
        <v>192.66000000000003</v>
      </c>
      <c r="H5292" s="29"/>
      <c r="I5292" s="25"/>
      <c r="J5292" s="138">
        <v>0</v>
      </c>
    </row>
    <row r="5293" spans="1:10" ht="15.75" hidden="1" thickBot="1" x14ac:dyDescent="0.3">
      <c r="A5293" s="221"/>
      <c r="B5293" s="223"/>
      <c r="C5293" s="30" t="s">
        <v>19</v>
      </c>
      <c r="D5293" s="30" t="s">
        <v>20</v>
      </c>
      <c r="E5293" s="31">
        <v>1</v>
      </c>
      <c r="F5293" s="28">
        <v>233.94</v>
      </c>
      <c r="G5293" s="25">
        <f t="shared" si="102"/>
        <v>233.94</v>
      </c>
      <c r="H5293" s="29"/>
      <c r="I5293" s="25"/>
      <c r="J5293" s="138">
        <v>0</v>
      </c>
    </row>
    <row r="5294" spans="1:10" ht="15.75" hidden="1" thickBot="1" x14ac:dyDescent="0.3">
      <c r="A5294" s="227"/>
      <c r="B5294" s="224"/>
      <c r="C5294" s="30"/>
      <c r="D5294" s="30"/>
      <c r="E5294" s="31"/>
      <c r="F5294" s="25" t="s">
        <v>521</v>
      </c>
      <c r="G5294" s="25" t="str">
        <f t="shared" si="102"/>
        <v/>
      </c>
      <c r="H5294" s="29"/>
      <c r="I5294" s="25"/>
      <c r="J5294" s="138">
        <v>0</v>
      </c>
    </row>
    <row r="5295" spans="1:10" ht="15.75" thickBot="1" x14ac:dyDescent="0.3">
      <c r="A5295" s="220" t="s">
        <v>1895</v>
      </c>
      <c r="B5295" s="222" t="str">
        <f>INDEX(Orçamentária!A:B,MATCH(Composições!A5295,Orçamentária!A:A,0),2)</f>
        <v>Eletroduto PEAD 2” (50mm) – fornecimento e instalação</v>
      </c>
      <c r="C5295" s="35"/>
      <c r="D5295" s="20" t="s">
        <v>93</v>
      </c>
      <c r="E5295" s="21"/>
      <c r="F5295" s="36" t="s">
        <v>521</v>
      </c>
      <c r="G5295" s="22" t="str">
        <f t="shared" si="102"/>
        <v/>
      </c>
      <c r="H5295" s="23"/>
      <c r="I5295" s="24"/>
      <c r="J5295" s="138">
        <v>685</v>
      </c>
    </row>
    <row r="5296" spans="1:10" x14ac:dyDescent="0.25">
      <c r="A5296" s="221"/>
      <c r="B5296" s="223"/>
      <c r="C5296" s="26"/>
      <c r="D5296" s="26"/>
      <c r="E5296" s="27"/>
      <c r="F5296" s="37" t="s">
        <v>521</v>
      </c>
      <c r="G5296" s="25" t="str">
        <f t="shared" si="102"/>
        <v/>
      </c>
      <c r="H5296" s="29"/>
      <c r="I5296" s="25"/>
      <c r="J5296" s="138">
        <v>685</v>
      </c>
    </row>
    <row r="5297" spans="1:10" ht="38.25" x14ac:dyDescent="0.25">
      <c r="A5297" s="221"/>
      <c r="B5297" s="223"/>
      <c r="C5297" s="30" t="s">
        <v>2280</v>
      </c>
      <c r="D5297" s="30" t="s">
        <v>479</v>
      </c>
      <c r="E5297" s="31">
        <v>1.1000000000000001</v>
      </c>
      <c r="F5297" s="25">
        <v>6.0989999999999993</v>
      </c>
      <c r="G5297" s="28">
        <f t="shared" si="102"/>
        <v>6.7088999999999999</v>
      </c>
      <c r="H5297" s="33">
        <f>SUM(G5297:G5299)</f>
        <v>10.919347500000001</v>
      </c>
      <c r="I5297" s="34"/>
      <c r="J5297" s="138">
        <v>685</v>
      </c>
    </row>
    <row r="5298" spans="1:10" x14ac:dyDescent="0.25">
      <c r="A5298" s="221"/>
      <c r="B5298" s="223"/>
      <c r="C5298" s="30" t="s">
        <v>1156</v>
      </c>
      <c r="D5298" s="30" t="s">
        <v>702</v>
      </c>
      <c r="E5298" s="31">
        <v>9.4500000000000001E-2</v>
      </c>
      <c r="F5298" s="25">
        <v>19.4085</v>
      </c>
      <c r="G5298" s="28">
        <f t="shared" si="102"/>
        <v>1.8341032500000001</v>
      </c>
      <c r="H5298" s="29"/>
      <c r="I5298" s="25"/>
      <c r="J5298" s="138">
        <v>685</v>
      </c>
    </row>
    <row r="5299" spans="1:10" x14ac:dyDescent="0.25">
      <c r="A5299" s="221"/>
      <c r="B5299" s="223"/>
      <c r="C5299" s="30" t="s">
        <v>1157</v>
      </c>
      <c r="D5299" s="30" t="s">
        <v>702</v>
      </c>
      <c r="E5299" s="31">
        <v>9.4500000000000001E-2</v>
      </c>
      <c r="F5299" s="28">
        <v>25.146499999999996</v>
      </c>
      <c r="G5299" s="25">
        <f t="shared" si="102"/>
        <v>2.3763442499999998</v>
      </c>
      <c r="H5299" s="29"/>
      <c r="I5299" s="25"/>
      <c r="J5299" s="138">
        <v>685</v>
      </c>
    </row>
    <row r="5300" spans="1:10" ht="15.75" thickBot="1" x14ac:dyDescent="0.3">
      <c r="A5300" s="227"/>
      <c r="B5300" s="224"/>
      <c r="C5300" s="30"/>
      <c r="D5300" s="30"/>
      <c r="E5300" s="31"/>
      <c r="F5300" s="25" t="s">
        <v>521</v>
      </c>
      <c r="G5300" s="25" t="str">
        <f t="shared" si="102"/>
        <v/>
      </c>
      <c r="H5300" s="29"/>
      <c r="I5300" s="25"/>
      <c r="J5300" s="138">
        <v>685</v>
      </c>
    </row>
    <row r="5301" spans="1:10" ht="15.75" hidden="1" thickBot="1" x14ac:dyDescent="0.3">
      <c r="A5301" s="220" t="s">
        <v>1896</v>
      </c>
      <c r="B5301" s="222" t="e">
        <f>INDEX(Orçamentária!A:B,MATCH(Composições!A5301,Orçamentária!A:A,0),2)</f>
        <v>#N/A</v>
      </c>
      <c r="C5301" s="35"/>
      <c r="D5301" s="20" t="s">
        <v>20</v>
      </c>
      <c r="E5301" s="21"/>
      <c r="F5301" s="43" t="s">
        <v>521</v>
      </c>
      <c r="G5301" s="22" t="str">
        <f t="shared" si="102"/>
        <v/>
      </c>
      <c r="H5301" s="23"/>
      <c r="I5301" s="24"/>
      <c r="J5301" s="138">
        <v>0</v>
      </c>
    </row>
    <row r="5302" spans="1:10" ht="15.75" hidden="1" thickBot="1" x14ac:dyDescent="0.3">
      <c r="A5302" s="225"/>
      <c r="B5302" s="223"/>
      <c r="C5302" s="143"/>
      <c r="D5302" s="26"/>
      <c r="E5302" s="144"/>
      <c r="F5302" s="48" t="s">
        <v>521</v>
      </c>
      <c r="G5302" s="48" t="str">
        <f t="shared" si="102"/>
        <v/>
      </c>
      <c r="H5302" s="67"/>
      <c r="I5302" s="68"/>
      <c r="J5302" s="138">
        <v>0</v>
      </c>
    </row>
    <row r="5303" spans="1:10" ht="39" hidden="1" thickBot="1" x14ac:dyDescent="0.3">
      <c r="A5303" s="225"/>
      <c r="B5303" s="223"/>
      <c r="C5303" s="145" t="s">
        <v>2711</v>
      </c>
      <c r="D5303" s="30" t="s">
        <v>279</v>
      </c>
      <c r="E5303" s="146">
        <v>1</v>
      </c>
      <c r="F5303" s="25">
        <v>756.01949999999988</v>
      </c>
      <c r="G5303" s="48">
        <f t="shared" si="102"/>
        <v>756.01949999999988</v>
      </c>
      <c r="H5303" s="33">
        <f>SUM(G5303:G5306)</f>
        <v>798.56344611292866</v>
      </c>
      <c r="I5303" s="34"/>
      <c r="J5303" s="138">
        <v>0</v>
      </c>
    </row>
    <row r="5304" spans="1:10" ht="15.75" hidden="1" thickBot="1" x14ac:dyDescent="0.3">
      <c r="A5304" s="225"/>
      <c r="B5304" s="223"/>
      <c r="C5304" s="145" t="s">
        <v>710</v>
      </c>
      <c r="D5304" s="30" t="s">
        <v>702</v>
      </c>
      <c r="E5304" s="146">
        <v>1.0088999999999999</v>
      </c>
      <c r="F5304" s="25">
        <v>24.889999999999997</v>
      </c>
      <c r="G5304" s="48">
        <f t="shared" ref="G5304:G5335" si="103">IF(ISNUMBER(F5304),E5304*F5304,"")</f>
        <v>25.111520999999996</v>
      </c>
      <c r="H5304" s="67"/>
      <c r="I5304" s="68"/>
      <c r="J5304" s="138">
        <v>0</v>
      </c>
    </row>
    <row r="5305" spans="1:10" ht="15.75" hidden="1" thickBot="1" x14ac:dyDescent="0.3">
      <c r="A5305" s="225"/>
      <c r="B5305" s="223"/>
      <c r="C5305" s="145" t="s">
        <v>703</v>
      </c>
      <c r="D5305" s="41" t="s">
        <v>702</v>
      </c>
      <c r="E5305" s="146">
        <v>0.79269999999999996</v>
      </c>
      <c r="F5305" s="25">
        <v>18.420500000000001</v>
      </c>
      <c r="G5305" s="48">
        <f t="shared" si="103"/>
        <v>14.60193035</v>
      </c>
      <c r="H5305" s="67"/>
      <c r="I5305" s="68"/>
      <c r="J5305" s="138">
        <v>0</v>
      </c>
    </row>
    <row r="5306" spans="1:10" ht="26.25" hidden="1" thickBot="1" x14ac:dyDescent="0.3">
      <c r="A5306" s="225"/>
      <c r="B5306" s="223"/>
      <c r="C5306" s="145" t="s">
        <v>1601</v>
      </c>
      <c r="D5306" s="30" t="s">
        <v>120</v>
      </c>
      <c r="E5306" s="146">
        <v>4.4000000000000003E-3</v>
      </c>
      <c r="F5306" s="25">
        <v>643.29426430199999</v>
      </c>
      <c r="G5306" s="48">
        <f t="shared" si="103"/>
        <v>2.8304947629288</v>
      </c>
      <c r="H5306" s="67"/>
      <c r="I5306" s="68"/>
      <c r="J5306" s="138">
        <v>0</v>
      </c>
    </row>
    <row r="5307" spans="1:10" ht="15.75" hidden="1" thickBot="1" x14ac:dyDescent="0.3">
      <c r="A5307" s="226"/>
      <c r="B5307" s="224"/>
      <c r="C5307" s="49"/>
      <c r="D5307" s="148"/>
      <c r="E5307" s="60"/>
      <c r="F5307" s="70" t="s">
        <v>521</v>
      </c>
      <c r="G5307" s="70" t="str">
        <f t="shared" si="103"/>
        <v/>
      </c>
      <c r="H5307" s="71"/>
      <c r="I5307" s="68"/>
      <c r="J5307" s="138">
        <v>0</v>
      </c>
    </row>
    <row r="5308" spans="1:10" ht="15.75" hidden="1" thickBot="1" x14ac:dyDescent="0.3">
      <c r="A5308" s="220" t="s">
        <v>1933</v>
      </c>
      <c r="B5308" s="222" t="e">
        <f>INDEX(Orçamentária!A:B,MATCH(Composições!A5308,Orçamentária!A:A,0),2)</f>
        <v>#N/A</v>
      </c>
      <c r="C5308" s="35"/>
      <c r="D5308" s="20" t="s">
        <v>93</v>
      </c>
      <c r="E5308" s="21"/>
      <c r="F5308" s="43" t="s">
        <v>521</v>
      </c>
      <c r="G5308" s="22" t="str">
        <f t="shared" si="103"/>
        <v/>
      </c>
      <c r="H5308" s="23"/>
      <c r="I5308" s="24"/>
      <c r="J5308" s="138">
        <v>0</v>
      </c>
    </row>
    <row r="5309" spans="1:10" ht="15.75" hidden="1" thickBot="1" x14ac:dyDescent="0.3">
      <c r="A5309" s="225"/>
      <c r="B5309" s="223"/>
      <c r="C5309" s="150"/>
      <c r="D5309" s="26"/>
      <c r="E5309" s="151"/>
      <c r="F5309" s="48" t="s">
        <v>521</v>
      </c>
      <c r="G5309" s="48" t="str">
        <f t="shared" si="103"/>
        <v/>
      </c>
      <c r="H5309" s="67"/>
      <c r="I5309" s="68"/>
      <c r="J5309" s="138">
        <v>0</v>
      </c>
    </row>
    <row r="5310" spans="1:10" ht="26.25" hidden="1" thickBot="1" x14ac:dyDescent="0.3">
      <c r="A5310" s="225"/>
      <c r="B5310" s="223"/>
      <c r="C5310" s="30" t="s">
        <v>1758</v>
      </c>
      <c r="D5310" s="30" t="s">
        <v>479</v>
      </c>
      <c r="E5310" s="31">
        <v>1.0216000000000001</v>
      </c>
      <c r="F5310" s="25">
        <v>18.068999999999999</v>
      </c>
      <c r="G5310" s="48">
        <f t="shared" si="103"/>
        <v>18.4592904</v>
      </c>
      <c r="H5310" s="33">
        <f>SUM(G5310:G5312)</f>
        <v>26.582531400000001</v>
      </c>
      <c r="I5310" s="34"/>
      <c r="J5310" s="138">
        <v>0</v>
      </c>
    </row>
    <row r="5311" spans="1:10" ht="26.25" hidden="1" thickBot="1" x14ac:dyDescent="0.3">
      <c r="A5311" s="225"/>
      <c r="B5311" s="223"/>
      <c r="C5311" s="30" t="s">
        <v>949</v>
      </c>
      <c r="D5311" s="41" t="s">
        <v>702</v>
      </c>
      <c r="E5311" s="31">
        <v>8.1799999999999998E-2</v>
      </c>
      <c r="F5311" s="25">
        <v>19.094999999999999</v>
      </c>
      <c r="G5311" s="48">
        <f t="shared" si="103"/>
        <v>1.5619709999999998</v>
      </c>
      <c r="H5311" s="67"/>
      <c r="I5311" s="68"/>
      <c r="J5311" s="138">
        <v>0</v>
      </c>
    </row>
    <row r="5312" spans="1:10" ht="26.25" hidden="1" thickBot="1" x14ac:dyDescent="0.3">
      <c r="A5312" s="225"/>
      <c r="B5312" s="223"/>
      <c r="C5312" s="30" t="s">
        <v>950</v>
      </c>
      <c r="D5312" s="30" t="s">
        <v>702</v>
      </c>
      <c r="E5312" s="31">
        <v>0.27</v>
      </c>
      <c r="F5312" s="25">
        <v>24.300999999999998</v>
      </c>
      <c r="G5312" s="48">
        <f t="shared" si="103"/>
        <v>6.5612700000000004</v>
      </c>
      <c r="H5312" s="67"/>
      <c r="I5312" s="68"/>
      <c r="J5312" s="138">
        <v>0</v>
      </c>
    </row>
    <row r="5313" spans="1:10" ht="15.75" hidden="1" thickBot="1" x14ac:dyDescent="0.3">
      <c r="A5313" s="225"/>
      <c r="B5313" s="223"/>
      <c r="C5313" s="30"/>
      <c r="D5313" s="41"/>
      <c r="E5313" s="31"/>
      <c r="F5313" s="48" t="s">
        <v>521</v>
      </c>
      <c r="G5313" s="48" t="str">
        <f t="shared" si="103"/>
        <v/>
      </c>
      <c r="H5313" s="67"/>
      <c r="I5313" s="68"/>
      <c r="J5313" s="138">
        <v>0</v>
      </c>
    </row>
    <row r="5314" spans="1:10" ht="15.75" hidden="1" thickBot="1" x14ac:dyDescent="0.3">
      <c r="A5314" s="220" t="s">
        <v>1934</v>
      </c>
      <c r="B5314" s="222" t="e">
        <f>INDEX(Orçamentária!A:B,MATCH(Composições!A5314,Orçamentária!A:A,0),2)</f>
        <v>#N/A</v>
      </c>
      <c r="C5314" s="35"/>
      <c r="D5314" s="20" t="s">
        <v>93</v>
      </c>
      <c r="E5314" s="21"/>
      <c r="F5314" s="43" t="s">
        <v>521</v>
      </c>
      <c r="G5314" s="22" t="str">
        <f t="shared" si="103"/>
        <v/>
      </c>
      <c r="H5314" s="23"/>
      <c r="I5314" s="24"/>
      <c r="J5314" s="138">
        <v>0</v>
      </c>
    </row>
    <row r="5315" spans="1:10" ht="15.75" hidden="1" thickBot="1" x14ac:dyDescent="0.3">
      <c r="A5315" s="225"/>
      <c r="B5315" s="223"/>
      <c r="C5315" s="152"/>
      <c r="D5315" s="26"/>
      <c r="E5315" s="153"/>
      <c r="F5315" s="48" t="s">
        <v>521</v>
      </c>
      <c r="G5315" s="48" t="str">
        <f t="shared" si="103"/>
        <v/>
      </c>
      <c r="H5315" s="67"/>
      <c r="I5315" s="68"/>
      <c r="J5315" s="138">
        <v>0</v>
      </c>
    </row>
    <row r="5316" spans="1:10" ht="26.25" hidden="1" thickBot="1" x14ac:dyDescent="0.3">
      <c r="A5316" s="225"/>
      <c r="B5316" s="223"/>
      <c r="C5316" s="30" t="s">
        <v>1757</v>
      </c>
      <c r="D5316" s="30" t="s">
        <v>479</v>
      </c>
      <c r="E5316" s="146">
        <v>1.0216000000000001</v>
      </c>
      <c r="F5316" s="25">
        <v>25.023</v>
      </c>
      <c r="G5316" s="48">
        <f t="shared" si="103"/>
        <v>25.563496800000003</v>
      </c>
      <c r="H5316" s="33">
        <f>SUM(G5316:G5318)</f>
        <v>35.282120300000003</v>
      </c>
      <c r="I5316" s="34"/>
      <c r="J5316" s="138">
        <v>0</v>
      </c>
    </row>
    <row r="5317" spans="1:10" ht="26.25" hidden="1" thickBot="1" x14ac:dyDescent="0.3">
      <c r="A5317" s="225"/>
      <c r="B5317" s="223"/>
      <c r="C5317" s="145" t="s">
        <v>949</v>
      </c>
      <c r="D5317" s="41" t="s">
        <v>702</v>
      </c>
      <c r="E5317" s="146">
        <v>9.7900000000000001E-2</v>
      </c>
      <c r="F5317" s="25">
        <v>19.094999999999999</v>
      </c>
      <c r="G5317" s="48">
        <f t="shared" si="103"/>
        <v>1.8694004999999998</v>
      </c>
      <c r="H5317" s="67"/>
      <c r="I5317" s="68"/>
      <c r="J5317" s="138">
        <v>0</v>
      </c>
    </row>
    <row r="5318" spans="1:10" ht="26.25" hidden="1" thickBot="1" x14ac:dyDescent="0.3">
      <c r="A5318" s="225"/>
      <c r="B5318" s="223"/>
      <c r="C5318" s="145" t="s">
        <v>950</v>
      </c>
      <c r="D5318" s="30" t="s">
        <v>702</v>
      </c>
      <c r="E5318" s="146">
        <v>0.32300000000000001</v>
      </c>
      <c r="F5318" s="25">
        <v>24.300999999999998</v>
      </c>
      <c r="G5318" s="48">
        <f t="shared" si="103"/>
        <v>7.8492229999999994</v>
      </c>
      <c r="H5318" s="67"/>
      <c r="I5318" s="68"/>
      <c r="J5318" s="138">
        <v>0</v>
      </c>
    </row>
    <row r="5319" spans="1:10" ht="15.75" hidden="1" thickBot="1" x14ac:dyDescent="0.3">
      <c r="A5319" s="226"/>
      <c r="B5319" s="224"/>
      <c r="C5319" s="49"/>
      <c r="D5319" s="148"/>
      <c r="E5319" s="60"/>
      <c r="F5319" s="70" t="s">
        <v>521</v>
      </c>
      <c r="G5319" s="70" t="str">
        <f t="shared" si="103"/>
        <v/>
      </c>
      <c r="H5319" s="71"/>
      <c r="I5319" s="68"/>
      <c r="J5319" s="138">
        <v>0</v>
      </c>
    </row>
    <row r="5320" spans="1:10" ht="15.75" hidden="1" thickBot="1" x14ac:dyDescent="0.3">
      <c r="A5320" s="220" t="s">
        <v>1963</v>
      </c>
      <c r="B5320" s="222" t="e">
        <f>INDEX(Orçamentária!A:B,MATCH(Composições!A5320,Orçamentária!A:A,0),2)</f>
        <v>#N/A</v>
      </c>
      <c r="C5320" s="35"/>
      <c r="D5320" s="20" t="s">
        <v>20</v>
      </c>
      <c r="E5320" s="21"/>
      <c r="F5320" s="43" t="s">
        <v>521</v>
      </c>
      <c r="G5320" s="22" t="str">
        <f t="shared" si="103"/>
        <v/>
      </c>
      <c r="H5320" s="23"/>
      <c r="I5320" s="24"/>
      <c r="J5320" s="138">
        <v>0</v>
      </c>
    </row>
    <row r="5321" spans="1:10" ht="15.75" hidden="1" thickBot="1" x14ac:dyDescent="0.3">
      <c r="A5321" s="225"/>
      <c r="B5321" s="223"/>
      <c r="C5321" s="152"/>
      <c r="D5321" s="26"/>
      <c r="E5321" s="153"/>
      <c r="F5321" s="48" t="s">
        <v>521</v>
      </c>
      <c r="G5321" s="48" t="str">
        <f t="shared" si="103"/>
        <v/>
      </c>
      <c r="H5321" s="67"/>
      <c r="I5321" s="68"/>
      <c r="J5321" s="138">
        <v>0</v>
      </c>
    </row>
    <row r="5322" spans="1:10" ht="15.75" hidden="1" thickBot="1" x14ac:dyDescent="0.3">
      <c r="A5322" s="225"/>
      <c r="B5322" s="223"/>
      <c r="C5322" s="30" t="s">
        <v>2216</v>
      </c>
      <c r="D5322" s="30" t="s">
        <v>279</v>
      </c>
      <c r="E5322" s="146">
        <v>1</v>
      </c>
      <c r="F5322" s="25" t="s">
        <v>521</v>
      </c>
      <c r="G5322" s="48" t="str">
        <f t="shared" si="103"/>
        <v/>
      </c>
      <c r="H5322" s="33">
        <f>SUM(G5322:G5324)</f>
        <v>5.9655525499999991</v>
      </c>
      <c r="I5322" s="34"/>
      <c r="J5322" s="138">
        <v>0</v>
      </c>
    </row>
    <row r="5323" spans="1:10" ht="15.75" hidden="1" thickBot="1" x14ac:dyDescent="0.3">
      <c r="A5323" s="225"/>
      <c r="B5323" s="223"/>
      <c r="C5323" s="145" t="s">
        <v>1156</v>
      </c>
      <c r="D5323" s="41" t="s">
        <v>702</v>
      </c>
      <c r="E5323" s="146">
        <v>7.4800000000000005E-2</v>
      </c>
      <c r="F5323" s="25">
        <v>19.4085</v>
      </c>
      <c r="G5323" s="48">
        <f t="shared" si="103"/>
        <v>1.4517558000000002</v>
      </c>
      <c r="H5323" s="67"/>
      <c r="I5323" s="68"/>
      <c r="J5323" s="138">
        <v>0</v>
      </c>
    </row>
    <row r="5324" spans="1:10" ht="15.75" hidden="1" thickBot="1" x14ac:dyDescent="0.3">
      <c r="A5324" s="225"/>
      <c r="B5324" s="223"/>
      <c r="C5324" s="145" t="s">
        <v>1157</v>
      </c>
      <c r="D5324" s="30" t="s">
        <v>702</v>
      </c>
      <c r="E5324" s="146">
        <v>0.17949999999999999</v>
      </c>
      <c r="F5324" s="25">
        <v>25.146499999999996</v>
      </c>
      <c r="G5324" s="48">
        <f t="shared" si="103"/>
        <v>4.5137967499999991</v>
      </c>
      <c r="H5324" s="67"/>
      <c r="I5324" s="68"/>
      <c r="J5324" s="138">
        <v>0</v>
      </c>
    </row>
    <row r="5325" spans="1:10" ht="15.75" hidden="1" thickBot="1" x14ac:dyDescent="0.3">
      <c r="A5325" s="226"/>
      <c r="B5325" s="224"/>
      <c r="C5325" s="49"/>
      <c r="D5325" s="148"/>
      <c r="E5325" s="60"/>
      <c r="F5325" s="70" t="s">
        <v>521</v>
      </c>
      <c r="G5325" s="70" t="str">
        <f t="shared" si="103"/>
        <v/>
      </c>
      <c r="H5325" s="71"/>
      <c r="I5325" s="68"/>
      <c r="J5325" s="138">
        <v>0</v>
      </c>
    </row>
    <row r="5326" spans="1:10" ht="15.75" hidden="1" thickBot="1" x14ac:dyDescent="0.3">
      <c r="A5326" s="228" t="s">
        <v>1964</v>
      </c>
      <c r="B5326" s="222" t="e">
        <f>INDEX(Orçamentária!A:B,MATCH(Composições!A5326,Orçamentária!A:A,0),2)</f>
        <v>#N/A</v>
      </c>
      <c r="C5326" s="35"/>
      <c r="D5326" s="20" t="s">
        <v>93</v>
      </c>
      <c r="E5326" s="21"/>
      <c r="F5326" s="43" t="s">
        <v>521</v>
      </c>
      <c r="G5326" s="22" t="str">
        <f t="shared" si="103"/>
        <v/>
      </c>
      <c r="H5326" s="23"/>
      <c r="I5326" s="24"/>
      <c r="J5326" s="138">
        <v>0</v>
      </c>
    </row>
    <row r="5327" spans="1:10" ht="15.75" hidden="1" thickBot="1" x14ac:dyDescent="0.3">
      <c r="A5327" s="234"/>
      <c r="B5327" s="223"/>
      <c r="C5327" s="26"/>
      <c r="D5327" s="26"/>
      <c r="E5327" s="27"/>
      <c r="F5327" s="48" t="s">
        <v>521</v>
      </c>
      <c r="G5327" s="48" t="str">
        <f t="shared" si="103"/>
        <v/>
      </c>
      <c r="H5327" s="67"/>
      <c r="I5327" s="68"/>
      <c r="J5327" s="138">
        <v>0</v>
      </c>
    </row>
    <row r="5328" spans="1:10" ht="15.75" hidden="1" thickBot="1" x14ac:dyDescent="0.3">
      <c r="A5328" s="234"/>
      <c r="B5328" s="223"/>
      <c r="C5328" s="30" t="s">
        <v>2217</v>
      </c>
      <c r="D5328" s="30" t="s">
        <v>93</v>
      </c>
      <c r="E5328" s="31">
        <v>1.05</v>
      </c>
      <c r="F5328" s="25" t="s">
        <v>521</v>
      </c>
      <c r="G5328" s="48" t="str">
        <f t="shared" si="103"/>
        <v/>
      </c>
      <c r="H5328" s="33">
        <f>SUM(G5328:G5330)</f>
        <v>0.12475399999999999</v>
      </c>
      <c r="I5328" s="34"/>
      <c r="J5328" s="138">
        <v>0</v>
      </c>
    </row>
    <row r="5329" spans="1:10" ht="15.75" hidden="1" thickBot="1" x14ac:dyDescent="0.3">
      <c r="A5329" s="234"/>
      <c r="B5329" s="223"/>
      <c r="C5329" s="30" t="s">
        <v>1156</v>
      </c>
      <c r="D5329" s="41" t="s">
        <v>702</v>
      </c>
      <c r="E5329" s="31">
        <v>2.8E-3</v>
      </c>
      <c r="F5329" s="25">
        <v>19.4085</v>
      </c>
      <c r="G5329" s="48">
        <f t="shared" si="103"/>
        <v>5.4343799999999998E-2</v>
      </c>
      <c r="H5329" s="67"/>
      <c r="I5329" s="68"/>
      <c r="J5329" s="138">
        <v>0</v>
      </c>
    </row>
    <row r="5330" spans="1:10" ht="15.75" hidden="1" thickBot="1" x14ac:dyDescent="0.3">
      <c r="A5330" s="234"/>
      <c r="B5330" s="223"/>
      <c r="C5330" s="30" t="s">
        <v>1157</v>
      </c>
      <c r="D5330" s="30" t="s">
        <v>702</v>
      </c>
      <c r="E5330" s="31">
        <v>2.8E-3</v>
      </c>
      <c r="F5330" s="25">
        <v>25.146499999999996</v>
      </c>
      <c r="G5330" s="48">
        <f t="shared" si="103"/>
        <v>7.0410199999999992E-2</v>
      </c>
      <c r="H5330" s="67"/>
      <c r="I5330" s="68"/>
      <c r="J5330" s="138">
        <v>0</v>
      </c>
    </row>
    <row r="5331" spans="1:10" ht="15.75" hidden="1" thickBot="1" x14ac:dyDescent="0.3">
      <c r="A5331" s="234"/>
      <c r="B5331" s="223"/>
      <c r="C5331" s="30"/>
      <c r="D5331" s="41"/>
      <c r="E5331" s="31"/>
      <c r="F5331" s="48" t="s">
        <v>521</v>
      </c>
      <c r="G5331" s="48" t="str">
        <f t="shared" si="103"/>
        <v/>
      </c>
      <c r="H5331" s="67"/>
      <c r="I5331" s="68"/>
      <c r="J5331" s="138">
        <v>0</v>
      </c>
    </row>
    <row r="5332" spans="1:10" ht="15.75" hidden="1" thickBot="1" x14ac:dyDescent="0.3">
      <c r="A5332" s="228" t="s">
        <v>1965</v>
      </c>
      <c r="B5332" s="222" t="e">
        <f>INDEX(Orçamentária!A:B,MATCH(Composições!A5332,Orçamentária!A:A,0),2)</f>
        <v>#N/A</v>
      </c>
      <c r="C5332" s="35"/>
      <c r="D5332" s="20" t="s">
        <v>93</v>
      </c>
      <c r="E5332" s="21"/>
      <c r="F5332" s="43" t="s">
        <v>521</v>
      </c>
      <c r="G5332" s="22" t="str">
        <f t="shared" si="103"/>
        <v/>
      </c>
      <c r="H5332" s="23"/>
      <c r="I5332" s="24"/>
      <c r="J5332" s="138">
        <v>0</v>
      </c>
    </row>
    <row r="5333" spans="1:10" ht="15.75" hidden="1" thickBot="1" x14ac:dyDescent="0.3">
      <c r="A5333" s="234"/>
      <c r="B5333" s="223"/>
      <c r="C5333" s="26"/>
      <c r="D5333" s="26"/>
      <c r="E5333" s="27"/>
      <c r="F5333" s="48" t="s">
        <v>521</v>
      </c>
      <c r="G5333" s="48" t="str">
        <f t="shared" si="103"/>
        <v/>
      </c>
      <c r="H5333" s="67"/>
      <c r="I5333" s="68"/>
      <c r="J5333" s="138">
        <v>0</v>
      </c>
    </row>
    <row r="5334" spans="1:10" ht="15.75" hidden="1" thickBot="1" x14ac:dyDescent="0.3">
      <c r="A5334" s="234"/>
      <c r="B5334" s="223"/>
      <c r="C5334" s="30" t="s">
        <v>2218</v>
      </c>
      <c r="D5334" s="30" t="s">
        <v>93</v>
      </c>
      <c r="E5334" s="31">
        <v>1.05</v>
      </c>
      <c r="F5334" s="25" t="s">
        <v>521</v>
      </c>
      <c r="G5334" s="48" t="str">
        <f t="shared" si="103"/>
        <v/>
      </c>
      <c r="H5334" s="33">
        <f>SUM(G5334:G5336)</f>
        <v>3.1678604999999997</v>
      </c>
      <c r="I5334" s="34"/>
      <c r="J5334" s="138">
        <v>0</v>
      </c>
    </row>
    <row r="5335" spans="1:10" ht="15.75" hidden="1" thickBot="1" x14ac:dyDescent="0.3">
      <c r="A5335" s="234"/>
      <c r="B5335" s="223"/>
      <c r="C5335" s="30" t="s">
        <v>1156</v>
      </c>
      <c r="D5335" s="41" t="s">
        <v>702</v>
      </c>
      <c r="E5335" s="31">
        <v>7.1099999999999997E-2</v>
      </c>
      <c r="F5335" s="25">
        <v>19.4085</v>
      </c>
      <c r="G5335" s="48">
        <f t="shared" si="103"/>
        <v>1.3799443499999999</v>
      </c>
      <c r="H5335" s="67"/>
      <c r="I5335" s="68"/>
      <c r="J5335" s="138">
        <v>0</v>
      </c>
    </row>
    <row r="5336" spans="1:10" ht="15.75" hidden="1" thickBot="1" x14ac:dyDescent="0.3">
      <c r="A5336" s="234"/>
      <c r="B5336" s="223"/>
      <c r="C5336" s="30" t="s">
        <v>1157</v>
      </c>
      <c r="D5336" s="30" t="s">
        <v>702</v>
      </c>
      <c r="E5336" s="31">
        <v>7.1099999999999997E-2</v>
      </c>
      <c r="F5336" s="25">
        <v>25.146499999999996</v>
      </c>
      <c r="G5336" s="48">
        <f t="shared" ref="G5336:G5367" si="104">IF(ISNUMBER(F5336),E5336*F5336,"")</f>
        <v>1.7879161499999996</v>
      </c>
      <c r="H5336" s="67"/>
      <c r="I5336" s="68"/>
      <c r="J5336" s="138">
        <v>0</v>
      </c>
    </row>
    <row r="5337" spans="1:10" ht="15.75" hidden="1" thickBot="1" x14ac:dyDescent="0.3">
      <c r="A5337" s="234"/>
      <c r="B5337" s="223"/>
      <c r="C5337" s="30"/>
      <c r="D5337" s="41"/>
      <c r="E5337" s="31"/>
      <c r="F5337" s="48" t="s">
        <v>521</v>
      </c>
      <c r="G5337" s="48" t="str">
        <f t="shared" si="104"/>
        <v/>
      </c>
      <c r="H5337" s="67"/>
      <c r="I5337" s="68"/>
      <c r="J5337" s="138">
        <v>0</v>
      </c>
    </row>
    <row r="5338" spans="1:10" ht="15.75" hidden="1" thickBot="1" x14ac:dyDescent="0.3">
      <c r="A5338" s="228" t="s">
        <v>1966</v>
      </c>
      <c r="B5338" s="222" t="e">
        <f>INDEX(Orçamentária!A:B,MATCH(Composições!A5338,Orçamentária!A:A,0),2)</f>
        <v>#N/A</v>
      </c>
      <c r="C5338" s="35"/>
      <c r="D5338" s="20" t="s">
        <v>93</v>
      </c>
      <c r="E5338" s="21"/>
      <c r="F5338" s="43" t="s">
        <v>521</v>
      </c>
      <c r="G5338" s="22" t="str">
        <f t="shared" si="104"/>
        <v/>
      </c>
      <c r="H5338" s="23"/>
      <c r="I5338" s="24"/>
      <c r="J5338" s="138">
        <v>0</v>
      </c>
    </row>
    <row r="5339" spans="1:10" ht="15.75" hidden="1" thickBot="1" x14ac:dyDescent="0.3">
      <c r="A5339" s="234"/>
      <c r="B5339" s="223"/>
      <c r="C5339" s="26"/>
      <c r="D5339" s="26"/>
      <c r="E5339" s="27"/>
      <c r="F5339" s="48" t="s">
        <v>521</v>
      </c>
      <c r="G5339" s="48" t="str">
        <f t="shared" si="104"/>
        <v/>
      </c>
      <c r="H5339" s="67"/>
      <c r="I5339" s="68"/>
      <c r="J5339" s="138">
        <v>0</v>
      </c>
    </row>
    <row r="5340" spans="1:10" ht="15.75" hidden="1" thickBot="1" x14ac:dyDescent="0.3">
      <c r="A5340" s="234"/>
      <c r="B5340" s="223"/>
      <c r="C5340" s="154" t="s">
        <v>2219</v>
      </c>
      <c r="D5340" s="30" t="s">
        <v>93</v>
      </c>
      <c r="E5340" s="31">
        <v>1.05</v>
      </c>
      <c r="F5340" s="25" t="s">
        <v>521</v>
      </c>
      <c r="G5340" s="48" t="str">
        <f t="shared" si="104"/>
        <v/>
      </c>
      <c r="H5340" s="33">
        <f>SUM(G5340:G5342)</f>
        <v>0.12475399999999999</v>
      </c>
      <c r="I5340" s="34"/>
      <c r="J5340" s="138">
        <v>0</v>
      </c>
    </row>
    <row r="5341" spans="1:10" ht="15.75" hidden="1" thickBot="1" x14ac:dyDescent="0.3">
      <c r="A5341" s="234"/>
      <c r="B5341" s="223"/>
      <c r="C5341" s="30" t="s">
        <v>1156</v>
      </c>
      <c r="D5341" s="41" t="s">
        <v>702</v>
      </c>
      <c r="E5341" s="31">
        <v>2.8E-3</v>
      </c>
      <c r="F5341" s="25">
        <v>19.4085</v>
      </c>
      <c r="G5341" s="48">
        <f t="shared" si="104"/>
        <v>5.4343799999999998E-2</v>
      </c>
      <c r="H5341" s="67"/>
      <c r="I5341" s="68"/>
      <c r="J5341" s="138">
        <v>0</v>
      </c>
    </row>
    <row r="5342" spans="1:10" ht="15.75" hidden="1" thickBot="1" x14ac:dyDescent="0.3">
      <c r="A5342" s="234"/>
      <c r="B5342" s="223"/>
      <c r="C5342" s="30" t="s">
        <v>1157</v>
      </c>
      <c r="D5342" s="30" t="s">
        <v>702</v>
      </c>
      <c r="E5342" s="31">
        <v>2.8E-3</v>
      </c>
      <c r="F5342" s="25">
        <v>25.146499999999996</v>
      </c>
      <c r="G5342" s="48">
        <f t="shared" si="104"/>
        <v>7.0410199999999992E-2</v>
      </c>
      <c r="H5342" s="67"/>
      <c r="I5342" s="68"/>
      <c r="J5342" s="138">
        <v>0</v>
      </c>
    </row>
    <row r="5343" spans="1:10" ht="15.75" hidden="1" thickBot="1" x14ac:dyDescent="0.3">
      <c r="A5343" s="234"/>
      <c r="B5343" s="223"/>
      <c r="C5343" s="30"/>
      <c r="D5343" s="41"/>
      <c r="E5343" s="31"/>
      <c r="F5343" s="48" t="s">
        <v>521</v>
      </c>
      <c r="G5343" s="48" t="str">
        <f t="shared" si="104"/>
        <v/>
      </c>
      <c r="H5343" s="67"/>
      <c r="I5343" s="68"/>
      <c r="J5343" s="138">
        <v>0</v>
      </c>
    </row>
    <row r="5344" spans="1:10" ht="15.75" hidden="1" thickBot="1" x14ac:dyDescent="0.3">
      <c r="A5344" s="228" t="s">
        <v>1967</v>
      </c>
      <c r="B5344" s="222" t="e">
        <f>INDEX(Orçamentária!A:B,MATCH(Composições!A5344,Orçamentária!A:A,0),2)</f>
        <v>#N/A</v>
      </c>
      <c r="C5344" s="35"/>
      <c r="D5344" s="20" t="s">
        <v>93</v>
      </c>
      <c r="E5344" s="21"/>
      <c r="F5344" s="43" t="s">
        <v>521</v>
      </c>
      <c r="G5344" s="22" t="str">
        <f t="shared" si="104"/>
        <v/>
      </c>
      <c r="H5344" s="23"/>
      <c r="I5344" s="24"/>
      <c r="J5344" s="138">
        <v>0</v>
      </c>
    </row>
    <row r="5345" spans="1:10" ht="15.75" hidden="1" thickBot="1" x14ac:dyDescent="0.3">
      <c r="A5345" s="234"/>
      <c r="B5345" s="223"/>
      <c r="C5345" s="26"/>
      <c r="D5345" s="26"/>
      <c r="E5345" s="27"/>
      <c r="F5345" s="48" t="s">
        <v>521</v>
      </c>
      <c r="G5345" s="48" t="str">
        <f t="shared" si="104"/>
        <v/>
      </c>
      <c r="H5345" s="67"/>
      <c r="I5345" s="68"/>
      <c r="J5345" s="138">
        <v>0</v>
      </c>
    </row>
    <row r="5346" spans="1:10" ht="15.75" hidden="1" thickBot="1" x14ac:dyDescent="0.3">
      <c r="A5346" s="234"/>
      <c r="B5346" s="223"/>
      <c r="C5346" s="154" t="s">
        <v>2220</v>
      </c>
      <c r="D5346" s="30" t="s">
        <v>93</v>
      </c>
      <c r="E5346" s="31">
        <v>1.05</v>
      </c>
      <c r="F5346" s="25" t="s">
        <v>521</v>
      </c>
      <c r="G5346" s="48" t="str">
        <f t="shared" si="104"/>
        <v/>
      </c>
      <c r="H5346" s="33">
        <f>SUM(G5346:G5348)</f>
        <v>0.12475399999999999</v>
      </c>
      <c r="I5346" s="34"/>
      <c r="J5346" s="138">
        <v>0</v>
      </c>
    </row>
    <row r="5347" spans="1:10" ht="15.75" hidden="1" thickBot="1" x14ac:dyDescent="0.3">
      <c r="A5347" s="234"/>
      <c r="B5347" s="223"/>
      <c r="C5347" s="30" t="s">
        <v>1156</v>
      </c>
      <c r="D5347" s="41" t="s">
        <v>702</v>
      </c>
      <c r="E5347" s="31">
        <v>2.8E-3</v>
      </c>
      <c r="F5347" s="25">
        <v>19.4085</v>
      </c>
      <c r="G5347" s="48">
        <f t="shared" si="104"/>
        <v>5.4343799999999998E-2</v>
      </c>
      <c r="H5347" s="67"/>
      <c r="I5347" s="68"/>
      <c r="J5347" s="138">
        <v>0</v>
      </c>
    </row>
    <row r="5348" spans="1:10" ht="15.75" hidden="1" thickBot="1" x14ac:dyDescent="0.3">
      <c r="A5348" s="234"/>
      <c r="B5348" s="223"/>
      <c r="C5348" s="30" t="s">
        <v>1157</v>
      </c>
      <c r="D5348" s="30" t="s">
        <v>702</v>
      </c>
      <c r="E5348" s="31">
        <v>2.8E-3</v>
      </c>
      <c r="F5348" s="25">
        <v>25.146499999999996</v>
      </c>
      <c r="G5348" s="48">
        <f t="shared" si="104"/>
        <v>7.0410199999999992E-2</v>
      </c>
      <c r="H5348" s="67"/>
      <c r="I5348" s="68"/>
      <c r="J5348" s="138">
        <v>0</v>
      </c>
    </row>
    <row r="5349" spans="1:10" ht="15.75" hidden="1" thickBot="1" x14ac:dyDescent="0.3">
      <c r="A5349" s="234"/>
      <c r="B5349" s="223"/>
      <c r="C5349" s="30"/>
      <c r="D5349" s="41"/>
      <c r="E5349" s="31"/>
      <c r="F5349" s="48" t="s">
        <v>521</v>
      </c>
      <c r="G5349" s="48" t="str">
        <f t="shared" si="104"/>
        <v/>
      </c>
      <c r="H5349" s="67"/>
      <c r="I5349" s="68"/>
      <c r="J5349" s="138">
        <v>0</v>
      </c>
    </row>
    <row r="5350" spans="1:10" ht="15.75" hidden="1" thickBot="1" x14ac:dyDescent="0.3">
      <c r="A5350" s="228" t="s">
        <v>1968</v>
      </c>
      <c r="B5350" s="222" t="e">
        <f>INDEX(Orçamentária!A:B,MATCH(Composições!A5350,Orçamentária!A:A,0),2)</f>
        <v>#N/A</v>
      </c>
      <c r="C5350" s="35"/>
      <c r="D5350" s="20" t="s">
        <v>20</v>
      </c>
      <c r="E5350" s="21"/>
      <c r="F5350" s="36" t="s">
        <v>521</v>
      </c>
      <c r="G5350" s="22" t="str">
        <f t="shared" si="104"/>
        <v/>
      </c>
      <c r="H5350" s="23"/>
      <c r="I5350" s="24"/>
      <c r="J5350" s="138">
        <v>0</v>
      </c>
    </row>
    <row r="5351" spans="1:10" ht="15.75" hidden="1" thickBot="1" x14ac:dyDescent="0.3">
      <c r="A5351" s="229"/>
      <c r="B5351" s="223"/>
      <c r="C5351" s="26"/>
      <c r="D5351" s="26"/>
      <c r="E5351" s="27"/>
      <c r="F5351" s="37" t="s">
        <v>521</v>
      </c>
      <c r="G5351" s="25" t="str">
        <f t="shared" si="104"/>
        <v/>
      </c>
      <c r="H5351" s="29"/>
      <c r="I5351" s="25"/>
      <c r="J5351" s="138">
        <v>0</v>
      </c>
    </row>
    <row r="5352" spans="1:10" ht="15.75" hidden="1" thickBot="1" x14ac:dyDescent="0.3">
      <c r="A5352" s="229"/>
      <c r="B5352" s="223"/>
      <c r="C5352" s="30" t="s">
        <v>74</v>
      </c>
      <c r="D5352" s="30" t="s">
        <v>12</v>
      </c>
      <c r="E5352" s="31">
        <v>0.5121</v>
      </c>
      <c r="F5352" s="25">
        <v>19.4085</v>
      </c>
      <c r="G5352" s="28">
        <f t="shared" si="104"/>
        <v>9.9390928499999998</v>
      </c>
      <c r="H5352" s="33">
        <f>SUM(G5352:G5355)</f>
        <v>78.600615500000004</v>
      </c>
      <c r="I5352" s="34"/>
      <c r="J5352" s="138">
        <v>0</v>
      </c>
    </row>
    <row r="5353" spans="1:10" ht="15.75" hidden="1" thickBot="1" x14ac:dyDescent="0.3">
      <c r="A5353" s="229"/>
      <c r="B5353" s="223"/>
      <c r="C5353" s="30" t="s">
        <v>30</v>
      </c>
      <c r="D5353" s="30" t="s">
        <v>12</v>
      </c>
      <c r="E5353" s="31">
        <v>0.5121</v>
      </c>
      <c r="F5353" s="25">
        <v>25.146499999999996</v>
      </c>
      <c r="G5353" s="28">
        <f t="shared" si="104"/>
        <v>12.877522649999998</v>
      </c>
      <c r="H5353" s="29"/>
      <c r="I5353" s="25"/>
      <c r="J5353" s="138">
        <v>0</v>
      </c>
    </row>
    <row r="5354" spans="1:10" ht="26.25" hidden="1" thickBot="1" x14ac:dyDescent="0.3">
      <c r="A5354" s="229"/>
      <c r="B5354" s="223"/>
      <c r="C5354" s="30" t="s">
        <v>430</v>
      </c>
      <c r="D5354" s="30" t="s">
        <v>20</v>
      </c>
      <c r="E5354" s="31">
        <v>2</v>
      </c>
      <c r="F5354" s="28">
        <v>0.40849999999999997</v>
      </c>
      <c r="G5354" s="28">
        <f t="shared" si="104"/>
        <v>0.81699999999999995</v>
      </c>
      <c r="H5354" s="29"/>
      <c r="I5354" s="25"/>
      <c r="J5354" s="138">
        <v>0</v>
      </c>
    </row>
    <row r="5355" spans="1:10" ht="26.25" hidden="1" thickBot="1" x14ac:dyDescent="0.3">
      <c r="A5355" s="229"/>
      <c r="B5355" s="223"/>
      <c r="C5355" s="30" t="s">
        <v>1646</v>
      </c>
      <c r="D5355" s="30" t="s">
        <v>20</v>
      </c>
      <c r="E5355" s="31">
        <v>1</v>
      </c>
      <c r="F5355" s="28">
        <v>54.966999999999999</v>
      </c>
      <c r="G5355" s="25">
        <f t="shared" si="104"/>
        <v>54.966999999999999</v>
      </c>
      <c r="H5355" s="29"/>
      <c r="I5355" s="25"/>
      <c r="J5355" s="138">
        <v>0</v>
      </c>
    </row>
    <row r="5356" spans="1:10" ht="15.75" hidden="1" thickBot="1" x14ac:dyDescent="0.3">
      <c r="A5356" s="230"/>
      <c r="B5356" s="224"/>
      <c r="C5356" s="30"/>
      <c r="D5356" s="30"/>
      <c r="E5356" s="31"/>
      <c r="F5356" s="25" t="s">
        <v>521</v>
      </c>
      <c r="G5356" s="25" t="str">
        <f t="shared" si="104"/>
        <v/>
      </c>
      <c r="H5356" s="29"/>
      <c r="I5356" s="25"/>
      <c r="J5356" s="138">
        <v>0</v>
      </c>
    </row>
    <row r="5357" spans="1:10" ht="15.75" hidden="1" thickBot="1" x14ac:dyDescent="0.3">
      <c r="A5357" s="228" t="s">
        <v>1969</v>
      </c>
      <c r="B5357" s="222" t="e">
        <f>INDEX(Orçamentária!A:B,MATCH(Composições!A5357,Orçamentária!A:A,0),2)</f>
        <v>#N/A</v>
      </c>
      <c r="C5357" s="35"/>
      <c r="D5357" s="20" t="s">
        <v>93</v>
      </c>
      <c r="E5357" s="21"/>
      <c r="F5357" s="36" t="s">
        <v>521</v>
      </c>
      <c r="G5357" s="22" t="str">
        <f t="shared" si="104"/>
        <v/>
      </c>
      <c r="H5357" s="23"/>
      <c r="I5357" s="24"/>
      <c r="J5357" s="138">
        <v>0</v>
      </c>
    </row>
    <row r="5358" spans="1:10" ht="15.75" hidden="1" thickBot="1" x14ac:dyDescent="0.3">
      <c r="A5358" s="229"/>
      <c r="B5358" s="223"/>
      <c r="C5358" s="26"/>
      <c r="D5358" s="26"/>
      <c r="E5358" s="27"/>
      <c r="F5358" s="37" t="s">
        <v>521</v>
      </c>
      <c r="G5358" s="25" t="str">
        <f t="shared" si="104"/>
        <v/>
      </c>
      <c r="H5358" s="29"/>
      <c r="I5358" s="25"/>
      <c r="J5358" s="138">
        <v>0</v>
      </c>
    </row>
    <row r="5359" spans="1:10" ht="15.75" hidden="1" thickBot="1" x14ac:dyDescent="0.3">
      <c r="A5359" s="229"/>
      <c r="B5359" s="223"/>
      <c r="C5359" s="30" t="s">
        <v>74</v>
      </c>
      <c r="D5359" s="30" t="s">
        <v>12</v>
      </c>
      <c r="E5359" s="31">
        <v>0.128</v>
      </c>
      <c r="F5359" s="25">
        <v>19.4085</v>
      </c>
      <c r="G5359" s="28">
        <f t="shared" si="104"/>
        <v>2.4842880000000003</v>
      </c>
      <c r="H5359" s="33">
        <f>SUM(G5359:G5362)</f>
        <v>5.7401469999999994</v>
      </c>
      <c r="I5359" s="34"/>
      <c r="J5359" s="138">
        <v>0</v>
      </c>
    </row>
    <row r="5360" spans="1:10" ht="15.75" hidden="1" thickBot="1" x14ac:dyDescent="0.3">
      <c r="A5360" s="229"/>
      <c r="B5360" s="223"/>
      <c r="C5360" s="30" t="s">
        <v>30</v>
      </c>
      <c r="D5360" s="30" t="s">
        <v>12</v>
      </c>
      <c r="E5360" s="31">
        <v>0.128</v>
      </c>
      <c r="F5360" s="25">
        <v>25.146499999999996</v>
      </c>
      <c r="G5360" s="28">
        <f t="shared" si="104"/>
        <v>3.2187519999999994</v>
      </c>
      <c r="H5360" s="29"/>
      <c r="I5360" s="25"/>
      <c r="J5360" s="138">
        <v>0</v>
      </c>
    </row>
    <row r="5361" spans="1:10" ht="26.25" hidden="1" thickBot="1" x14ac:dyDescent="0.3">
      <c r="A5361" s="229"/>
      <c r="B5361" s="223"/>
      <c r="C5361" s="30" t="s">
        <v>1692</v>
      </c>
      <c r="D5361" s="30" t="s">
        <v>279</v>
      </c>
      <c r="E5361" s="31">
        <v>8.9999999999999993E-3</v>
      </c>
      <c r="F5361" s="28">
        <v>4.1229999999999993</v>
      </c>
      <c r="G5361" s="28">
        <f t="shared" si="104"/>
        <v>3.7106999999999994E-2</v>
      </c>
      <c r="H5361" s="29"/>
      <c r="I5361" s="25"/>
      <c r="J5361" s="138">
        <v>0</v>
      </c>
    </row>
    <row r="5362" spans="1:10" ht="15.75" hidden="1" thickBot="1" x14ac:dyDescent="0.3">
      <c r="A5362" s="229"/>
      <c r="B5362" s="223"/>
      <c r="C5362" s="30" t="s">
        <v>2221</v>
      </c>
      <c r="D5362" s="30" t="s">
        <v>93</v>
      </c>
      <c r="E5362" s="31">
        <v>1.0149999999999999</v>
      </c>
      <c r="F5362" s="28" t="s">
        <v>521</v>
      </c>
      <c r="G5362" s="25" t="str">
        <f t="shared" si="104"/>
        <v/>
      </c>
      <c r="H5362" s="29"/>
      <c r="I5362" s="25"/>
      <c r="J5362" s="138">
        <v>0</v>
      </c>
    </row>
    <row r="5363" spans="1:10" ht="15.75" hidden="1" thickBot="1" x14ac:dyDescent="0.3">
      <c r="A5363" s="230"/>
      <c r="B5363" s="224"/>
      <c r="C5363" s="30"/>
      <c r="D5363" s="30"/>
      <c r="E5363" s="31"/>
      <c r="F5363" s="25" t="s">
        <v>521</v>
      </c>
      <c r="G5363" s="25" t="str">
        <f t="shared" si="104"/>
        <v/>
      </c>
      <c r="H5363" s="29"/>
      <c r="I5363" s="25"/>
      <c r="J5363" s="138">
        <v>0</v>
      </c>
    </row>
    <row r="5364" spans="1:10" ht="15.75" hidden="1" thickBot="1" x14ac:dyDescent="0.3">
      <c r="A5364" s="228" t="s">
        <v>1970</v>
      </c>
      <c r="B5364" s="222" t="e">
        <f>INDEX(Orçamentária!A:B,MATCH(Composições!A5364,Orçamentária!A:A,0),2)</f>
        <v>#N/A</v>
      </c>
      <c r="C5364" s="35"/>
      <c r="D5364" s="20" t="s">
        <v>93</v>
      </c>
      <c r="E5364" s="21"/>
      <c r="F5364" s="36" t="s">
        <v>521</v>
      </c>
      <c r="G5364" s="22" t="str">
        <f t="shared" si="104"/>
        <v/>
      </c>
      <c r="H5364" s="23"/>
      <c r="I5364" s="24"/>
      <c r="J5364" s="138">
        <v>0</v>
      </c>
    </row>
    <row r="5365" spans="1:10" ht="15.75" hidden="1" thickBot="1" x14ac:dyDescent="0.3">
      <c r="A5365" s="229"/>
      <c r="B5365" s="223"/>
      <c r="C5365" s="26"/>
      <c r="D5365" s="26"/>
      <c r="E5365" s="27"/>
      <c r="F5365" s="37" t="s">
        <v>521</v>
      </c>
      <c r="G5365" s="25" t="str">
        <f t="shared" si="104"/>
        <v/>
      </c>
      <c r="H5365" s="29"/>
      <c r="I5365" s="25"/>
      <c r="J5365" s="138">
        <v>0</v>
      </c>
    </row>
    <row r="5366" spans="1:10" ht="15.75" hidden="1" thickBot="1" x14ac:dyDescent="0.3">
      <c r="A5366" s="229"/>
      <c r="B5366" s="223"/>
      <c r="C5366" s="30" t="s">
        <v>74</v>
      </c>
      <c r="D5366" s="30" t="s">
        <v>12</v>
      </c>
      <c r="E5366" s="31">
        <v>0.26300000000000001</v>
      </c>
      <c r="F5366" s="25">
        <v>19.4085</v>
      </c>
      <c r="G5366" s="28">
        <f t="shared" si="104"/>
        <v>5.1044355000000001</v>
      </c>
      <c r="H5366" s="33">
        <f>SUM(G5366:G5369)</f>
        <v>11.755072</v>
      </c>
      <c r="I5366" s="34"/>
      <c r="J5366" s="138">
        <v>0</v>
      </c>
    </row>
    <row r="5367" spans="1:10" ht="15.75" hidden="1" thickBot="1" x14ac:dyDescent="0.3">
      <c r="A5367" s="229"/>
      <c r="B5367" s="223"/>
      <c r="C5367" s="30" t="s">
        <v>30</v>
      </c>
      <c r="D5367" s="30" t="s">
        <v>12</v>
      </c>
      <c r="E5367" s="31">
        <v>0.26300000000000001</v>
      </c>
      <c r="F5367" s="25">
        <v>25.146499999999996</v>
      </c>
      <c r="G5367" s="28">
        <f t="shared" si="104"/>
        <v>6.6135294999999994</v>
      </c>
      <c r="H5367" s="29"/>
      <c r="I5367" s="25"/>
      <c r="J5367" s="138">
        <v>0</v>
      </c>
    </row>
    <row r="5368" spans="1:10" ht="26.25" hidden="1" thickBot="1" x14ac:dyDescent="0.3">
      <c r="A5368" s="229"/>
      <c r="B5368" s="223"/>
      <c r="C5368" s="30" t="s">
        <v>1692</v>
      </c>
      <c r="D5368" s="30" t="s">
        <v>279</v>
      </c>
      <c r="E5368" s="31">
        <v>8.9999999999999993E-3</v>
      </c>
      <c r="F5368" s="28">
        <v>4.1229999999999993</v>
      </c>
      <c r="G5368" s="28">
        <f t="shared" ref="G5368:G5399" si="105">IF(ISNUMBER(F5368),E5368*F5368,"")</f>
        <v>3.7106999999999994E-2</v>
      </c>
      <c r="H5368" s="29"/>
      <c r="I5368" s="25"/>
      <c r="J5368" s="138">
        <v>0</v>
      </c>
    </row>
    <row r="5369" spans="1:10" ht="15.75" hidden="1" thickBot="1" x14ac:dyDescent="0.3">
      <c r="A5369" s="229"/>
      <c r="B5369" s="223"/>
      <c r="C5369" s="30" t="s">
        <v>2222</v>
      </c>
      <c r="D5369" s="30" t="s">
        <v>93</v>
      </c>
      <c r="E5369" s="31">
        <v>1.0149999999999999</v>
      </c>
      <c r="F5369" s="28" t="s">
        <v>521</v>
      </c>
      <c r="G5369" s="25" t="str">
        <f t="shared" si="105"/>
        <v/>
      </c>
      <c r="H5369" s="29"/>
      <c r="I5369" s="25"/>
      <c r="J5369" s="138">
        <v>0</v>
      </c>
    </row>
    <row r="5370" spans="1:10" ht="15.75" hidden="1" thickBot="1" x14ac:dyDescent="0.3">
      <c r="A5370" s="230"/>
      <c r="B5370" s="224"/>
      <c r="C5370" s="30"/>
      <c r="D5370" s="30"/>
      <c r="E5370" s="31"/>
      <c r="F5370" s="25" t="s">
        <v>521</v>
      </c>
      <c r="G5370" s="25" t="str">
        <f t="shared" si="105"/>
        <v/>
      </c>
      <c r="H5370" s="29"/>
      <c r="I5370" s="25"/>
      <c r="J5370" s="138">
        <v>0</v>
      </c>
    </row>
    <row r="5371" spans="1:10" ht="15.75" hidden="1" thickBot="1" x14ac:dyDescent="0.3">
      <c r="A5371" s="228" t="s">
        <v>1971</v>
      </c>
      <c r="B5371" s="222" t="e">
        <f>INDEX(Orçamentária!A:B,MATCH(Composições!A5371,Orçamentária!A:A,0),2)</f>
        <v>#N/A</v>
      </c>
      <c r="C5371" s="35"/>
      <c r="D5371" s="20" t="s">
        <v>20</v>
      </c>
      <c r="E5371" s="21"/>
      <c r="F5371" s="43" t="s">
        <v>521</v>
      </c>
      <c r="G5371" s="22" t="str">
        <f t="shared" si="105"/>
        <v/>
      </c>
      <c r="H5371" s="23"/>
      <c r="I5371" s="24"/>
      <c r="J5371" s="138">
        <v>0</v>
      </c>
    </row>
    <row r="5372" spans="1:10" ht="15.75" hidden="1" thickBot="1" x14ac:dyDescent="0.3">
      <c r="A5372" s="234"/>
      <c r="B5372" s="223"/>
      <c r="C5372" s="26"/>
      <c r="D5372" s="26"/>
      <c r="E5372" s="27"/>
      <c r="F5372" s="48" t="s">
        <v>521</v>
      </c>
      <c r="G5372" s="48" t="str">
        <f t="shared" si="105"/>
        <v/>
      </c>
      <c r="H5372" s="67"/>
      <c r="I5372" s="68"/>
      <c r="J5372" s="138">
        <v>0</v>
      </c>
    </row>
    <row r="5373" spans="1:10" ht="15.75" hidden="1" thickBot="1" x14ac:dyDescent="0.3">
      <c r="A5373" s="234"/>
      <c r="B5373" s="223"/>
      <c r="C5373" s="154" t="s">
        <v>2223</v>
      </c>
      <c r="D5373" s="30" t="s">
        <v>20</v>
      </c>
      <c r="E5373" s="31">
        <v>1</v>
      </c>
      <c r="F5373" s="25" t="s">
        <v>521</v>
      </c>
      <c r="G5373" s="48" t="str">
        <f t="shared" si="105"/>
        <v/>
      </c>
      <c r="H5373" s="33">
        <f>SUM(G5373:G5375)</f>
        <v>111.38749999999999</v>
      </c>
      <c r="I5373" s="34"/>
      <c r="J5373" s="138">
        <v>0</v>
      </c>
    </row>
    <row r="5374" spans="1:10" ht="15.75" hidden="1" thickBot="1" x14ac:dyDescent="0.3">
      <c r="A5374" s="234"/>
      <c r="B5374" s="223"/>
      <c r="C5374" s="30" t="s">
        <v>1156</v>
      </c>
      <c r="D5374" s="41" t="s">
        <v>702</v>
      </c>
      <c r="E5374" s="31">
        <v>2.5</v>
      </c>
      <c r="F5374" s="25">
        <v>19.4085</v>
      </c>
      <c r="G5374" s="48">
        <f t="shared" si="105"/>
        <v>48.521250000000002</v>
      </c>
      <c r="H5374" s="67"/>
      <c r="I5374" s="68"/>
      <c r="J5374" s="138">
        <v>0</v>
      </c>
    </row>
    <row r="5375" spans="1:10" ht="15.75" hidden="1" thickBot="1" x14ac:dyDescent="0.3">
      <c r="A5375" s="234"/>
      <c r="B5375" s="223"/>
      <c r="C5375" s="30" t="s">
        <v>1157</v>
      </c>
      <c r="D5375" s="30" t="s">
        <v>702</v>
      </c>
      <c r="E5375" s="31">
        <v>2.5</v>
      </c>
      <c r="F5375" s="25">
        <v>25.146499999999996</v>
      </c>
      <c r="G5375" s="48">
        <f t="shared" si="105"/>
        <v>62.866249999999994</v>
      </c>
      <c r="H5375" s="67"/>
      <c r="I5375" s="68"/>
      <c r="J5375" s="138">
        <v>0</v>
      </c>
    </row>
    <row r="5376" spans="1:10" ht="15.75" hidden="1" thickBot="1" x14ac:dyDescent="0.3">
      <c r="A5376" s="234"/>
      <c r="B5376" s="223"/>
      <c r="C5376" s="30"/>
      <c r="D5376" s="41"/>
      <c r="E5376" s="31"/>
      <c r="F5376" s="48" t="s">
        <v>521</v>
      </c>
      <c r="G5376" s="48" t="str">
        <f t="shared" si="105"/>
        <v/>
      </c>
      <c r="H5376" s="67"/>
      <c r="I5376" s="68"/>
      <c r="J5376" s="138">
        <v>0</v>
      </c>
    </row>
    <row r="5377" spans="1:10" ht="15.75" hidden="1" thickBot="1" x14ac:dyDescent="0.3">
      <c r="A5377" s="220" t="s">
        <v>1972</v>
      </c>
      <c r="B5377" s="222" t="e">
        <f>INDEX(Orçamentária!A:B,MATCH(Composições!A5377,Orçamentária!A:A,0),2)</f>
        <v>#N/A</v>
      </c>
      <c r="C5377" s="35"/>
      <c r="D5377" s="20" t="s">
        <v>93</v>
      </c>
      <c r="E5377" s="21"/>
      <c r="F5377" s="36" t="s">
        <v>521</v>
      </c>
      <c r="G5377" s="22" t="str">
        <f t="shared" si="105"/>
        <v/>
      </c>
      <c r="H5377" s="23"/>
      <c r="I5377" s="24"/>
      <c r="J5377" s="138">
        <v>0</v>
      </c>
    </row>
    <row r="5378" spans="1:10" ht="15.75" hidden="1" thickBot="1" x14ac:dyDescent="0.3">
      <c r="A5378" s="221"/>
      <c r="B5378" s="223"/>
      <c r="C5378" s="26"/>
      <c r="D5378" s="26"/>
      <c r="E5378" s="27"/>
      <c r="F5378" s="37" t="s">
        <v>521</v>
      </c>
      <c r="G5378" s="25" t="str">
        <f t="shared" si="105"/>
        <v/>
      </c>
      <c r="H5378" s="29"/>
      <c r="I5378" s="25"/>
      <c r="J5378" s="138">
        <v>0</v>
      </c>
    </row>
    <row r="5379" spans="1:10" ht="39" hidden="1" thickBot="1" x14ac:dyDescent="0.3">
      <c r="A5379" s="221"/>
      <c r="B5379" s="223"/>
      <c r="C5379" s="30" t="s">
        <v>2224</v>
      </c>
      <c r="D5379" s="30" t="s">
        <v>479</v>
      </c>
      <c r="E5379" s="31">
        <v>1.1000000000000001</v>
      </c>
      <c r="F5379" s="25">
        <v>0</v>
      </c>
      <c r="G5379" s="28">
        <f t="shared" si="105"/>
        <v>0</v>
      </c>
      <c r="H5379" s="33">
        <f>SUM(G5379:G5381)</f>
        <v>10.24765</v>
      </c>
      <c r="I5379" s="34"/>
      <c r="J5379" s="138">
        <v>0</v>
      </c>
    </row>
    <row r="5380" spans="1:10" ht="15.75" hidden="1" thickBot="1" x14ac:dyDescent="0.3">
      <c r="A5380" s="221"/>
      <c r="B5380" s="223"/>
      <c r="C5380" s="30" t="s">
        <v>1156</v>
      </c>
      <c r="D5380" s="30" t="s">
        <v>702</v>
      </c>
      <c r="E5380" s="31">
        <v>0.23</v>
      </c>
      <c r="F5380" s="25">
        <v>19.4085</v>
      </c>
      <c r="G5380" s="28">
        <f t="shared" si="105"/>
        <v>4.4639550000000003</v>
      </c>
      <c r="H5380" s="29"/>
      <c r="I5380" s="25"/>
      <c r="J5380" s="138">
        <v>0</v>
      </c>
    </row>
    <row r="5381" spans="1:10" ht="15.75" hidden="1" thickBot="1" x14ac:dyDescent="0.3">
      <c r="A5381" s="221"/>
      <c r="B5381" s="223"/>
      <c r="C5381" s="30" t="s">
        <v>1157</v>
      </c>
      <c r="D5381" s="30" t="s">
        <v>702</v>
      </c>
      <c r="E5381" s="31">
        <v>0.23</v>
      </c>
      <c r="F5381" s="28">
        <v>25.146499999999996</v>
      </c>
      <c r="G5381" s="25">
        <f t="shared" si="105"/>
        <v>5.7836949999999989</v>
      </c>
      <c r="H5381" s="29"/>
      <c r="I5381" s="25"/>
      <c r="J5381" s="138">
        <v>0</v>
      </c>
    </row>
    <row r="5382" spans="1:10" ht="15.75" hidden="1" thickBot="1" x14ac:dyDescent="0.3">
      <c r="A5382" s="227"/>
      <c r="B5382" s="224"/>
      <c r="C5382" s="30"/>
      <c r="D5382" s="30"/>
      <c r="E5382" s="31"/>
      <c r="F5382" s="25" t="s">
        <v>521</v>
      </c>
      <c r="G5382" s="25" t="str">
        <f t="shared" si="105"/>
        <v/>
      </c>
      <c r="H5382" s="29"/>
      <c r="I5382" s="25"/>
      <c r="J5382" s="138">
        <v>0</v>
      </c>
    </row>
    <row r="5383" spans="1:10" ht="15.75" hidden="1" thickBot="1" x14ac:dyDescent="0.3">
      <c r="A5383" s="220" t="s">
        <v>1973</v>
      </c>
      <c r="B5383" s="222" t="e">
        <f>INDEX(Orçamentária!A:B,MATCH(Composições!A5383,Orçamentária!A:A,0),2)</f>
        <v>#N/A</v>
      </c>
      <c r="C5383" s="35"/>
      <c r="D5383" s="20" t="s">
        <v>20</v>
      </c>
      <c r="E5383" s="21"/>
      <c r="F5383" s="36" t="s">
        <v>521</v>
      </c>
      <c r="G5383" s="22" t="str">
        <f t="shared" si="105"/>
        <v/>
      </c>
      <c r="H5383" s="23"/>
      <c r="I5383" s="24"/>
      <c r="J5383" s="138">
        <v>0</v>
      </c>
    </row>
    <row r="5384" spans="1:10" ht="15.75" hidden="1" thickBot="1" x14ac:dyDescent="0.3">
      <c r="A5384" s="221"/>
      <c r="B5384" s="223"/>
      <c r="C5384" s="26"/>
      <c r="D5384" s="26"/>
      <c r="E5384" s="27"/>
      <c r="F5384" s="37" t="s">
        <v>521</v>
      </c>
      <c r="G5384" s="25" t="str">
        <f t="shared" si="105"/>
        <v/>
      </c>
      <c r="H5384" s="29"/>
      <c r="I5384" s="25"/>
      <c r="J5384" s="138">
        <v>0</v>
      </c>
    </row>
    <row r="5385" spans="1:10" ht="15.75" hidden="1" thickBot="1" x14ac:dyDescent="0.3">
      <c r="A5385" s="221"/>
      <c r="B5385" s="223"/>
      <c r="C5385" s="30" t="s">
        <v>30</v>
      </c>
      <c r="D5385" s="30" t="s">
        <v>12</v>
      </c>
      <c r="E5385" s="31">
        <f>0.3/2</f>
        <v>0.15</v>
      </c>
      <c r="F5385" s="25">
        <v>25.146499999999996</v>
      </c>
      <c r="G5385" s="28">
        <f t="shared" si="105"/>
        <v>3.7719749999999994</v>
      </c>
      <c r="H5385" s="33">
        <f>SUM(G5385:G5388)</f>
        <v>6.6832499999999992</v>
      </c>
      <c r="I5385" s="34"/>
      <c r="J5385" s="138">
        <v>0</v>
      </c>
    </row>
    <row r="5386" spans="1:10" ht="15.75" hidden="1" thickBot="1" x14ac:dyDescent="0.3">
      <c r="A5386" s="221"/>
      <c r="B5386" s="223"/>
      <c r="C5386" s="30" t="s">
        <v>74</v>
      </c>
      <c r="D5386" s="30" t="s">
        <v>12</v>
      </c>
      <c r="E5386" s="31">
        <f>0.3/2</f>
        <v>0.15</v>
      </c>
      <c r="F5386" s="25">
        <v>19.4085</v>
      </c>
      <c r="G5386" s="28">
        <f t="shared" si="105"/>
        <v>2.9112749999999998</v>
      </c>
      <c r="H5386" s="29"/>
      <c r="I5386" s="25"/>
      <c r="J5386" s="138">
        <v>0</v>
      </c>
    </row>
    <row r="5387" spans="1:10" ht="26.25" hidden="1" thickBot="1" x14ac:dyDescent="0.3">
      <c r="A5387" s="221"/>
      <c r="B5387" s="223"/>
      <c r="C5387" s="30" t="s">
        <v>506</v>
      </c>
      <c r="D5387" s="30" t="s">
        <v>20</v>
      </c>
      <c r="E5387" s="31">
        <v>1</v>
      </c>
      <c r="F5387" s="28" t="s">
        <v>521</v>
      </c>
      <c r="G5387" s="28" t="str">
        <f t="shared" si="105"/>
        <v/>
      </c>
      <c r="H5387" s="29"/>
      <c r="I5387" s="25"/>
      <c r="J5387" s="138">
        <v>0</v>
      </c>
    </row>
    <row r="5388" spans="1:10" ht="26.25" hidden="1" thickBot="1" x14ac:dyDescent="0.3">
      <c r="A5388" s="221"/>
      <c r="B5388" s="223"/>
      <c r="C5388" s="30" t="s">
        <v>2225</v>
      </c>
      <c r="D5388" s="30" t="s">
        <v>20</v>
      </c>
      <c r="E5388" s="31">
        <v>1</v>
      </c>
      <c r="F5388" s="28" t="s">
        <v>521</v>
      </c>
      <c r="G5388" s="25" t="str">
        <f t="shared" si="105"/>
        <v/>
      </c>
      <c r="H5388" s="29"/>
      <c r="I5388" s="25"/>
      <c r="J5388" s="138">
        <v>0</v>
      </c>
    </row>
    <row r="5389" spans="1:10" ht="15.75" hidden="1" thickBot="1" x14ac:dyDescent="0.3">
      <c r="A5389" s="227"/>
      <c r="B5389" s="224"/>
      <c r="C5389" s="30"/>
      <c r="D5389" s="30"/>
      <c r="E5389" s="31"/>
      <c r="F5389" s="25" t="s">
        <v>521</v>
      </c>
      <c r="G5389" s="25" t="str">
        <f t="shared" si="105"/>
        <v/>
      </c>
      <c r="H5389" s="29"/>
      <c r="I5389" s="25"/>
      <c r="J5389" s="138">
        <v>0</v>
      </c>
    </row>
    <row r="5390" spans="1:10" ht="15.75" hidden="1" thickBot="1" x14ac:dyDescent="0.3">
      <c r="A5390" s="220" t="s">
        <v>1974</v>
      </c>
      <c r="B5390" s="222" t="e">
        <f>INDEX(Orçamentária!A:B,MATCH(Composições!A5390,Orçamentária!A:A,0),2)</f>
        <v>#N/A</v>
      </c>
      <c r="C5390" s="35"/>
      <c r="D5390" s="20" t="s">
        <v>93</v>
      </c>
      <c r="E5390" s="21"/>
      <c r="F5390" s="36" t="s">
        <v>521</v>
      </c>
      <c r="G5390" s="22" t="str">
        <f t="shared" si="105"/>
        <v/>
      </c>
      <c r="H5390" s="23"/>
      <c r="I5390" s="24"/>
      <c r="J5390" s="138">
        <v>0</v>
      </c>
    </row>
    <row r="5391" spans="1:10" ht="15.75" hidden="1" thickBot="1" x14ac:dyDescent="0.3">
      <c r="A5391" s="221"/>
      <c r="B5391" s="223"/>
      <c r="C5391" s="26"/>
      <c r="D5391" s="26"/>
      <c r="E5391" s="27"/>
      <c r="F5391" s="37" t="s">
        <v>521</v>
      </c>
      <c r="G5391" s="25" t="str">
        <f t="shared" si="105"/>
        <v/>
      </c>
      <c r="H5391" s="29"/>
      <c r="I5391" s="25"/>
      <c r="J5391" s="138">
        <v>0</v>
      </c>
    </row>
    <row r="5392" spans="1:10" ht="15.75" hidden="1" thickBot="1" x14ac:dyDescent="0.3">
      <c r="A5392" s="221"/>
      <c r="B5392" s="223"/>
      <c r="C5392" s="30" t="s">
        <v>30</v>
      </c>
      <c r="D5392" s="30" t="s">
        <v>12</v>
      </c>
      <c r="E5392" s="31">
        <v>0.6</v>
      </c>
      <c r="F5392" s="25">
        <v>25.146499999999996</v>
      </c>
      <c r="G5392" s="28">
        <f t="shared" si="105"/>
        <v>15.087899999999998</v>
      </c>
      <c r="H5392" s="33">
        <f>SUM(G5392:G5394)</f>
        <v>26.732999999999997</v>
      </c>
      <c r="I5392" s="34"/>
      <c r="J5392" s="138">
        <v>0</v>
      </c>
    </row>
    <row r="5393" spans="1:10" ht="15.75" hidden="1" thickBot="1" x14ac:dyDescent="0.3">
      <c r="A5393" s="221"/>
      <c r="B5393" s="223"/>
      <c r="C5393" s="30" t="s">
        <v>74</v>
      </c>
      <c r="D5393" s="30" t="s">
        <v>12</v>
      </c>
      <c r="E5393" s="31">
        <v>0.6</v>
      </c>
      <c r="F5393" s="25">
        <v>19.4085</v>
      </c>
      <c r="G5393" s="28">
        <f t="shared" si="105"/>
        <v>11.645099999999999</v>
      </c>
      <c r="H5393" s="29"/>
      <c r="I5393" s="25"/>
      <c r="J5393" s="138">
        <v>0</v>
      </c>
    </row>
    <row r="5394" spans="1:10" ht="26.25" hidden="1" thickBot="1" x14ac:dyDescent="0.3">
      <c r="A5394" s="221"/>
      <c r="B5394" s="223"/>
      <c r="C5394" s="30" t="s">
        <v>2226</v>
      </c>
      <c r="D5394" s="30" t="s">
        <v>93</v>
      </c>
      <c r="E5394" s="31">
        <v>1.05</v>
      </c>
      <c r="F5394" s="25" t="s">
        <v>521</v>
      </c>
      <c r="G5394" s="28" t="str">
        <f t="shared" si="105"/>
        <v/>
      </c>
      <c r="H5394" s="29"/>
      <c r="I5394" s="25"/>
      <c r="J5394" s="138">
        <v>0</v>
      </c>
    </row>
    <row r="5395" spans="1:10" ht="15.75" hidden="1" thickBot="1" x14ac:dyDescent="0.3">
      <c r="A5395" s="227"/>
      <c r="B5395" s="224"/>
      <c r="C5395" s="30"/>
      <c r="D5395" s="30"/>
      <c r="E5395" s="31"/>
      <c r="F5395" s="25" t="s">
        <v>521</v>
      </c>
      <c r="G5395" s="25" t="str">
        <f t="shared" si="105"/>
        <v/>
      </c>
      <c r="H5395" s="29"/>
      <c r="I5395" s="25"/>
      <c r="J5395" s="138">
        <v>0</v>
      </c>
    </row>
    <row r="5396" spans="1:10" ht="15.75" hidden="1" thickBot="1" x14ac:dyDescent="0.3">
      <c r="A5396" s="220" t="s">
        <v>1975</v>
      </c>
      <c r="B5396" s="222" t="e">
        <f>INDEX(Orçamentária!A:B,MATCH(Composições!A5396,Orçamentária!A:A,0),2)</f>
        <v>#N/A</v>
      </c>
      <c r="C5396" s="35"/>
      <c r="D5396" s="20" t="s">
        <v>93</v>
      </c>
      <c r="E5396" s="21"/>
      <c r="F5396" s="36" t="s">
        <v>521</v>
      </c>
      <c r="G5396" s="22" t="str">
        <f t="shared" si="105"/>
        <v/>
      </c>
      <c r="H5396" s="23"/>
      <c r="I5396" s="24"/>
      <c r="J5396" s="138">
        <v>0</v>
      </c>
    </row>
    <row r="5397" spans="1:10" ht="15.75" hidden="1" thickBot="1" x14ac:dyDescent="0.3">
      <c r="A5397" s="221"/>
      <c r="B5397" s="223"/>
      <c r="C5397" s="26"/>
      <c r="D5397" s="26"/>
      <c r="E5397" s="27"/>
      <c r="F5397" s="37" t="s">
        <v>521</v>
      </c>
      <c r="G5397" s="25" t="str">
        <f t="shared" si="105"/>
        <v/>
      </c>
      <c r="H5397" s="29"/>
      <c r="I5397" s="25"/>
      <c r="J5397" s="138">
        <v>0</v>
      </c>
    </row>
    <row r="5398" spans="1:10" ht="15.75" hidden="1" thickBot="1" x14ac:dyDescent="0.3">
      <c r="A5398" s="221"/>
      <c r="B5398" s="223"/>
      <c r="C5398" s="30" t="s">
        <v>30</v>
      </c>
      <c r="D5398" s="30" t="s">
        <v>12</v>
      </c>
      <c r="E5398" s="31">
        <v>0.7</v>
      </c>
      <c r="F5398" s="25">
        <v>25.146499999999996</v>
      </c>
      <c r="G5398" s="28">
        <f t="shared" si="105"/>
        <v>17.602549999999997</v>
      </c>
      <c r="H5398" s="33">
        <f>SUM(G5398:G5400)</f>
        <v>31.188499999999998</v>
      </c>
      <c r="I5398" s="34"/>
      <c r="J5398" s="138">
        <v>0</v>
      </c>
    </row>
    <row r="5399" spans="1:10" ht="15.75" hidden="1" thickBot="1" x14ac:dyDescent="0.3">
      <c r="A5399" s="221"/>
      <c r="B5399" s="223"/>
      <c r="C5399" s="30" t="s">
        <v>74</v>
      </c>
      <c r="D5399" s="30" t="s">
        <v>12</v>
      </c>
      <c r="E5399" s="31">
        <v>0.7</v>
      </c>
      <c r="F5399" s="25">
        <v>19.4085</v>
      </c>
      <c r="G5399" s="28">
        <f t="shared" si="105"/>
        <v>13.585949999999999</v>
      </c>
      <c r="H5399" s="29"/>
      <c r="I5399" s="25"/>
      <c r="J5399" s="138">
        <v>0</v>
      </c>
    </row>
    <row r="5400" spans="1:10" ht="26.25" hidden="1" thickBot="1" x14ac:dyDescent="0.3">
      <c r="A5400" s="221"/>
      <c r="B5400" s="223"/>
      <c r="C5400" s="30" t="s">
        <v>2227</v>
      </c>
      <c r="D5400" s="30" t="s">
        <v>93</v>
      </c>
      <c r="E5400" s="31">
        <v>1.05</v>
      </c>
      <c r="F5400" s="25" t="s">
        <v>521</v>
      </c>
      <c r="G5400" s="28" t="str">
        <f t="shared" ref="G5400:G5431" si="106">IF(ISNUMBER(F5400),E5400*F5400,"")</f>
        <v/>
      </c>
      <c r="H5400" s="29"/>
      <c r="I5400" s="25"/>
      <c r="J5400" s="138">
        <v>0</v>
      </c>
    </row>
    <row r="5401" spans="1:10" ht="15.75" hidden="1" thickBot="1" x14ac:dyDescent="0.3">
      <c r="A5401" s="227"/>
      <c r="B5401" s="224"/>
      <c r="C5401" s="30"/>
      <c r="D5401" s="30"/>
      <c r="E5401" s="31"/>
      <c r="F5401" s="25" t="s">
        <v>521</v>
      </c>
      <c r="G5401" s="25" t="str">
        <f t="shared" si="106"/>
        <v/>
      </c>
      <c r="H5401" s="29"/>
      <c r="I5401" s="25"/>
      <c r="J5401" s="138">
        <v>0</v>
      </c>
    </row>
    <row r="5402" spans="1:10" ht="15.75" hidden="1" thickBot="1" x14ac:dyDescent="0.3">
      <c r="A5402" s="220" t="s">
        <v>1976</v>
      </c>
      <c r="B5402" s="222" t="e">
        <f>INDEX(Orçamentária!A:B,MATCH(Composições!A5402,Orçamentária!A:A,0),2)</f>
        <v>#N/A</v>
      </c>
      <c r="C5402" s="35"/>
      <c r="D5402" s="20" t="s">
        <v>20</v>
      </c>
      <c r="E5402" s="21"/>
      <c r="F5402" s="36" t="s">
        <v>521</v>
      </c>
      <c r="G5402" s="22" t="str">
        <f t="shared" si="106"/>
        <v/>
      </c>
      <c r="H5402" s="23"/>
      <c r="I5402" s="24"/>
      <c r="J5402" s="138">
        <v>0</v>
      </c>
    </row>
    <row r="5403" spans="1:10" ht="15.75" hidden="1" thickBot="1" x14ac:dyDescent="0.3">
      <c r="A5403" s="221"/>
      <c r="B5403" s="223"/>
      <c r="C5403" s="26"/>
      <c r="D5403" s="26"/>
      <c r="E5403" s="27"/>
      <c r="F5403" s="37" t="s">
        <v>521</v>
      </c>
      <c r="G5403" s="25" t="str">
        <f t="shared" si="106"/>
        <v/>
      </c>
      <c r="H5403" s="29"/>
      <c r="I5403" s="25"/>
      <c r="J5403" s="138">
        <v>0</v>
      </c>
    </row>
    <row r="5404" spans="1:10" ht="51.75" hidden="1" thickBot="1" x14ac:dyDescent="0.3">
      <c r="A5404" s="221"/>
      <c r="B5404" s="223"/>
      <c r="C5404" s="30" t="s">
        <v>2228</v>
      </c>
      <c r="D5404" s="30" t="s">
        <v>144</v>
      </c>
      <c r="E5404" s="31">
        <v>1</v>
      </c>
      <c r="F5404" s="28" t="s">
        <v>521</v>
      </c>
      <c r="G5404" s="25" t="str">
        <f t="shared" si="106"/>
        <v/>
      </c>
      <c r="H5404" s="33">
        <f>SUM(G5404:G5408)</f>
        <v>13.772557549999998</v>
      </c>
      <c r="I5404" s="34"/>
      <c r="J5404" s="138">
        <v>0</v>
      </c>
    </row>
    <row r="5405" spans="1:10" ht="26.25" hidden="1" thickBot="1" x14ac:dyDescent="0.3">
      <c r="A5405" s="221"/>
      <c r="B5405" s="223"/>
      <c r="C5405" s="30" t="s">
        <v>2213</v>
      </c>
      <c r="D5405" s="30" t="s">
        <v>144</v>
      </c>
      <c r="E5405" s="31">
        <v>1</v>
      </c>
      <c r="F5405" s="28" t="s">
        <v>521</v>
      </c>
      <c r="G5405" s="25" t="str">
        <f t="shared" si="106"/>
        <v/>
      </c>
      <c r="H5405" s="39"/>
      <c r="I5405" s="40"/>
      <c r="J5405" s="138">
        <v>0</v>
      </c>
    </row>
    <row r="5406" spans="1:10" ht="26.25" hidden="1" thickBot="1" x14ac:dyDescent="0.3">
      <c r="A5406" s="221"/>
      <c r="B5406" s="223"/>
      <c r="C5406" s="30" t="s">
        <v>548</v>
      </c>
      <c r="D5406" s="30" t="s">
        <v>144</v>
      </c>
      <c r="E5406" s="31">
        <v>2</v>
      </c>
      <c r="F5406" s="28" t="s">
        <v>521</v>
      </c>
      <c r="G5406" s="25" t="str">
        <f t="shared" si="106"/>
        <v/>
      </c>
      <c r="H5406" s="39"/>
      <c r="I5406" s="40"/>
      <c r="J5406" s="138">
        <v>0</v>
      </c>
    </row>
    <row r="5407" spans="1:10" ht="15.75" hidden="1" thickBot="1" x14ac:dyDescent="0.3">
      <c r="A5407" s="221"/>
      <c r="B5407" s="223"/>
      <c r="C5407" s="30" t="s">
        <v>74</v>
      </c>
      <c r="D5407" s="30" t="s">
        <v>12</v>
      </c>
      <c r="E5407" s="31">
        <v>0.17269999999999999</v>
      </c>
      <c r="F5407" s="25">
        <v>19.4085</v>
      </c>
      <c r="G5407" s="25">
        <f t="shared" si="106"/>
        <v>3.3518479499999998</v>
      </c>
      <c r="H5407" s="29"/>
      <c r="I5407" s="25"/>
      <c r="J5407" s="138">
        <v>0</v>
      </c>
    </row>
    <row r="5408" spans="1:10" ht="15.75" hidden="1" thickBot="1" x14ac:dyDescent="0.3">
      <c r="A5408" s="221"/>
      <c r="B5408" s="223"/>
      <c r="C5408" s="30" t="s">
        <v>30</v>
      </c>
      <c r="D5408" s="30" t="s">
        <v>12</v>
      </c>
      <c r="E5408" s="31">
        <v>0.41439999999999999</v>
      </c>
      <c r="F5408" s="25">
        <v>25.146499999999996</v>
      </c>
      <c r="G5408" s="25">
        <f t="shared" si="106"/>
        <v>10.420709599999999</v>
      </c>
      <c r="H5408" s="29"/>
      <c r="I5408" s="25"/>
      <c r="J5408" s="138">
        <v>0</v>
      </c>
    </row>
    <row r="5409" spans="1:10" ht="15.75" hidden="1" thickBot="1" x14ac:dyDescent="0.3">
      <c r="A5409" s="227"/>
      <c r="B5409" s="224"/>
      <c r="C5409" s="30"/>
      <c r="D5409" s="30"/>
      <c r="E5409" s="31"/>
      <c r="F5409" s="25" t="s">
        <v>521</v>
      </c>
      <c r="G5409" s="25" t="str">
        <f t="shared" si="106"/>
        <v/>
      </c>
      <c r="H5409" s="29"/>
      <c r="I5409" s="25"/>
      <c r="J5409" s="138">
        <v>0</v>
      </c>
    </row>
    <row r="5410" spans="1:10" ht="15.75" hidden="1" thickBot="1" x14ac:dyDescent="0.3">
      <c r="A5410" s="220" t="s">
        <v>1977</v>
      </c>
      <c r="B5410" s="222" t="e">
        <f>INDEX(Orçamentária!A:B,MATCH(Composições!A5410,Orçamentária!A:A,0),2)</f>
        <v>#N/A</v>
      </c>
      <c r="C5410" s="35"/>
      <c r="D5410" s="20" t="s">
        <v>20</v>
      </c>
      <c r="E5410" s="21"/>
      <c r="F5410" s="36" t="s">
        <v>521</v>
      </c>
      <c r="G5410" s="22" t="str">
        <f t="shared" si="106"/>
        <v/>
      </c>
      <c r="H5410" s="23"/>
      <c r="I5410" s="24"/>
      <c r="J5410" s="138">
        <v>0</v>
      </c>
    </row>
    <row r="5411" spans="1:10" ht="15.75" hidden="1" thickBot="1" x14ac:dyDescent="0.3">
      <c r="A5411" s="221"/>
      <c r="B5411" s="223"/>
      <c r="C5411" s="26"/>
      <c r="D5411" s="26"/>
      <c r="E5411" s="27"/>
      <c r="F5411" s="37" t="s">
        <v>521</v>
      </c>
      <c r="G5411" s="25" t="str">
        <f t="shared" si="106"/>
        <v/>
      </c>
      <c r="H5411" s="29"/>
      <c r="I5411" s="25"/>
      <c r="J5411" s="138">
        <v>0</v>
      </c>
    </row>
    <row r="5412" spans="1:10" ht="51.75" hidden="1" thickBot="1" x14ac:dyDescent="0.3">
      <c r="A5412" s="221"/>
      <c r="B5412" s="223"/>
      <c r="C5412" s="30" t="s">
        <v>1568</v>
      </c>
      <c r="D5412" s="30" t="s">
        <v>938</v>
      </c>
      <c r="E5412" s="31">
        <v>0.23880000000000001</v>
      </c>
      <c r="F5412" s="28">
        <v>274.60699999999997</v>
      </c>
      <c r="G5412" s="25">
        <f t="shared" si="106"/>
        <v>65.576151600000003</v>
      </c>
      <c r="H5412" s="33">
        <f>SUM(G5412:G5416)</f>
        <v>457.97141909999999</v>
      </c>
      <c r="I5412" s="34"/>
      <c r="J5412" s="138">
        <v>0</v>
      </c>
    </row>
    <row r="5413" spans="1:10" ht="26.25" hidden="1" thickBot="1" x14ac:dyDescent="0.3">
      <c r="A5413" s="221"/>
      <c r="B5413" s="223"/>
      <c r="C5413" s="30" t="s">
        <v>1692</v>
      </c>
      <c r="D5413" s="30" t="s">
        <v>279</v>
      </c>
      <c r="E5413" s="31">
        <v>1.4E-2</v>
      </c>
      <c r="F5413" s="28">
        <v>4.1229999999999993</v>
      </c>
      <c r="G5413" s="25">
        <f t="shared" si="106"/>
        <v>5.7721999999999989E-2</v>
      </c>
      <c r="H5413" s="39"/>
      <c r="I5413" s="40"/>
      <c r="J5413" s="138">
        <v>0</v>
      </c>
    </row>
    <row r="5414" spans="1:10" ht="26.25" hidden="1" thickBot="1" x14ac:dyDescent="0.3">
      <c r="A5414" s="221"/>
      <c r="B5414" s="223"/>
      <c r="C5414" s="30" t="s">
        <v>1696</v>
      </c>
      <c r="D5414" s="30" t="s">
        <v>279</v>
      </c>
      <c r="E5414" s="31">
        <v>1</v>
      </c>
      <c r="F5414" s="28">
        <v>381.72899999999998</v>
      </c>
      <c r="G5414" s="25">
        <f t="shared" si="106"/>
        <v>381.72899999999998</v>
      </c>
      <c r="H5414" s="39"/>
      <c r="I5414" s="40"/>
      <c r="J5414" s="138">
        <v>0</v>
      </c>
    </row>
    <row r="5415" spans="1:10" ht="15.75" hidden="1" thickBot="1" x14ac:dyDescent="0.3">
      <c r="A5415" s="221"/>
      <c r="B5415" s="223"/>
      <c r="C5415" s="30" t="s">
        <v>1156</v>
      </c>
      <c r="D5415" s="30" t="s">
        <v>702</v>
      </c>
      <c r="E5415" s="31">
        <v>0.23810000000000001</v>
      </c>
      <c r="F5415" s="25">
        <v>19.4085</v>
      </c>
      <c r="G5415" s="25">
        <f t="shared" si="106"/>
        <v>4.6211638500000003</v>
      </c>
      <c r="H5415" s="29"/>
      <c r="I5415" s="25"/>
      <c r="J5415" s="138">
        <v>0</v>
      </c>
    </row>
    <row r="5416" spans="1:10" ht="15.75" hidden="1" thickBot="1" x14ac:dyDescent="0.3">
      <c r="A5416" s="221"/>
      <c r="B5416" s="223"/>
      <c r="C5416" s="30" t="s">
        <v>1157</v>
      </c>
      <c r="D5416" s="30" t="s">
        <v>702</v>
      </c>
      <c r="E5416" s="31">
        <v>0.23810000000000001</v>
      </c>
      <c r="F5416" s="25">
        <v>25.146499999999996</v>
      </c>
      <c r="G5416" s="25">
        <f t="shared" si="106"/>
        <v>5.9873816499999988</v>
      </c>
      <c r="H5416" s="29"/>
      <c r="I5416" s="25"/>
      <c r="J5416" s="138">
        <v>0</v>
      </c>
    </row>
    <row r="5417" spans="1:10" ht="15.75" hidden="1" thickBot="1" x14ac:dyDescent="0.3">
      <c r="A5417" s="227"/>
      <c r="B5417" s="224"/>
      <c r="C5417" s="30"/>
      <c r="D5417" s="30"/>
      <c r="E5417" s="31"/>
      <c r="F5417" s="25" t="s">
        <v>521</v>
      </c>
      <c r="G5417" s="25" t="str">
        <f t="shared" si="106"/>
        <v/>
      </c>
      <c r="H5417" s="29"/>
      <c r="I5417" s="25"/>
      <c r="J5417" s="138">
        <v>0</v>
      </c>
    </row>
    <row r="5418" spans="1:10" ht="15.75" hidden="1" thickBot="1" x14ac:dyDescent="0.3">
      <c r="A5418" s="220" t="s">
        <v>1978</v>
      </c>
      <c r="B5418" s="222" t="e">
        <f>INDEX(Orçamentária!A:B,MATCH(Composições!A5418,Orçamentária!A:A,0),2)</f>
        <v>#N/A</v>
      </c>
      <c r="C5418" s="35"/>
      <c r="D5418" s="20" t="s">
        <v>20</v>
      </c>
      <c r="E5418" s="21"/>
      <c r="F5418" s="36" t="s">
        <v>521</v>
      </c>
      <c r="G5418" s="22" t="str">
        <f t="shared" si="106"/>
        <v/>
      </c>
      <c r="H5418" s="23"/>
      <c r="I5418" s="24"/>
      <c r="J5418" s="138">
        <v>0</v>
      </c>
    </row>
    <row r="5419" spans="1:10" ht="15.75" hidden="1" thickBot="1" x14ac:dyDescent="0.3">
      <c r="A5419" s="221"/>
      <c r="B5419" s="223"/>
      <c r="C5419" s="26"/>
      <c r="D5419" s="26"/>
      <c r="E5419" s="27"/>
      <c r="F5419" s="37" t="s">
        <v>521</v>
      </c>
      <c r="G5419" s="25" t="str">
        <f t="shared" si="106"/>
        <v/>
      </c>
      <c r="H5419" s="29"/>
      <c r="I5419" s="25"/>
      <c r="J5419" s="138">
        <v>0</v>
      </c>
    </row>
    <row r="5420" spans="1:10" ht="51.75" hidden="1" thickBot="1" x14ac:dyDescent="0.3">
      <c r="A5420" s="221"/>
      <c r="B5420" s="223"/>
      <c r="C5420" s="30" t="s">
        <v>1568</v>
      </c>
      <c r="D5420" s="30" t="s">
        <v>938</v>
      </c>
      <c r="E5420" s="31">
        <v>0.23880000000000001</v>
      </c>
      <c r="F5420" s="28">
        <v>274.60699999999997</v>
      </c>
      <c r="G5420" s="25">
        <f t="shared" si="106"/>
        <v>65.576151600000003</v>
      </c>
      <c r="H5420" s="33">
        <f>SUM(G5420:G5424)</f>
        <v>585.76541910000003</v>
      </c>
      <c r="I5420" s="34"/>
      <c r="J5420" s="138">
        <v>0</v>
      </c>
    </row>
    <row r="5421" spans="1:10" ht="26.25" hidden="1" thickBot="1" x14ac:dyDescent="0.3">
      <c r="A5421" s="221"/>
      <c r="B5421" s="223"/>
      <c r="C5421" s="30" t="s">
        <v>1692</v>
      </c>
      <c r="D5421" s="30" t="s">
        <v>279</v>
      </c>
      <c r="E5421" s="31">
        <v>1.4E-2</v>
      </c>
      <c r="F5421" s="28">
        <v>4.1229999999999993</v>
      </c>
      <c r="G5421" s="25">
        <f t="shared" si="106"/>
        <v>5.7721999999999989E-2</v>
      </c>
      <c r="H5421" s="39"/>
      <c r="I5421" s="40"/>
      <c r="J5421" s="138">
        <v>0</v>
      </c>
    </row>
    <row r="5422" spans="1:10" ht="26.25" hidden="1" thickBot="1" x14ac:dyDescent="0.3">
      <c r="A5422" s="221"/>
      <c r="B5422" s="223"/>
      <c r="C5422" s="30" t="s">
        <v>1697</v>
      </c>
      <c r="D5422" s="30" t="s">
        <v>279</v>
      </c>
      <c r="E5422" s="31">
        <v>1</v>
      </c>
      <c r="F5422" s="28">
        <v>509.52300000000002</v>
      </c>
      <c r="G5422" s="25">
        <f t="shared" si="106"/>
        <v>509.52300000000002</v>
      </c>
      <c r="H5422" s="39"/>
      <c r="I5422" s="40"/>
      <c r="J5422" s="138">
        <v>0</v>
      </c>
    </row>
    <row r="5423" spans="1:10" ht="15.75" hidden="1" thickBot="1" x14ac:dyDescent="0.3">
      <c r="A5423" s="221"/>
      <c r="B5423" s="223"/>
      <c r="C5423" s="30" t="s">
        <v>1156</v>
      </c>
      <c r="D5423" s="30" t="s">
        <v>702</v>
      </c>
      <c r="E5423" s="31">
        <v>0.23810000000000001</v>
      </c>
      <c r="F5423" s="25">
        <v>19.4085</v>
      </c>
      <c r="G5423" s="25">
        <f t="shared" si="106"/>
        <v>4.6211638500000003</v>
      </c>
      <c r="H5423" s="29"/>
      <c r="I5423" s="25"/>
      <c r="J5423" s="138">
        <v>0</v>
      </c>
    </row>
    <row r="5424" spans="1:10" ht="15.75" hidden="1" thickBot="1" x14ac:dyDescent="0.3">
      <c r="A5424" s="221"/>
      <c r="B5424" s="223"/>
      <c r="C5424" s="30" t="s">
        <v>1157</v>
      </c>
      <c r="D5424" s="30" t="s">
        <v>702</v>
      </c>
      <c r="E5424" s="31">
        <v>0.23810000000000001</v>
      </c>
      <c r="F5424" s="25">
        <v>25.146499999999996</v>
      </c>
      <c r="G5424" s="25">
        <f t="shared" si="106"/>
        <v>5.9873816499999988</v>
      </c>
      <c r="H5424" s="29"/>
      <c r="I5424" s="25"/>
      <c r="J5424" s="138">
        <v>0</v>
      </c>
    </row>
    <row r="5425" spans="1:10" ht="15.75" hidden="1" thickBot="1" x14ac:dyDescent="0.3">
      <c r="A5425" s="227"/>
      <c r="B5425" s="224"/>
      <c r="C5425" s="30"/>
      <c r="D5425" s="30"/>
      <c r="E5425" s="31"/>
      <c r="F5425" s="25" t="s">
        <v>521</v>
      </c>
      <c r="G5425" s="25" t="str">
        <f t="shared" si="106"/>
        <v/>
      </c>
      <c r="H5425" s="29"/>
      <c r="I5425" s="25"/>
      <c r="J5425" s="138">
        <v>0</v>
      </c>
    </row>
    <row r="5426" spans="1:10" ht="15.75" thickBot="1" x14ac:dyDescent="0.3">
      <c r="A5426" s="220" t="s">
        <v>1979</v>
      </c>
      <c r="B5426" s="222" t="str">
        <f>INDEX(Orçamentária!A:B,MATCH(Composições!A5426,Orçamentária!A:A,0),2)</f>
        <v>Poste curvo simples 8 metros</v>
      </c>
      <c r="C5426" s="35"/>
      <c r="D5426" s="20" t="s">
        <v>20</v>
      </c>
      <c r="E5426" s="21"/>
      <c r="F5426" s="36" t="s">
        <v>521</v>
      </c>
      <c r="G5426" s="22" t="str">
        <f t="shared" si="106"/>
        <v/>
      </c>
      <c r="H5426" s="23"/>
      <c r="I5426" s="24"/>
      <c r="J5426" s="138">
        <v>7</v>
      </c>
    </row>
    <row r="5427" spans="1:10" x14ac:dyDescent="0.25">
      <c r="A5427" s="221"/>
      <c r="B5427" s="223"/>
      <c r="C5427" s="26"/>
      <c r="D5427" s="26"/>
      <c r="E5427" s="27"/>
      <c r="F5427" s="37" t="s">
        <v>521</v>
      </c>
      <c r="G5427" s="25" t="str">
        <f t="shared" si="106"/>
        <v/>
      </c>
      <c r="H5427" s="29"/>
      <c r="I5427" s="25"/>
      <c r="J5427" s="138">
        <v>7</v>
      </c>
    </row>
    <row r="5428" spans="1:10" ht="51" x14ac:dyDescent="0.25">
      <c r="A5428" s="221"/>
      <c r="B5428" s="223"/>
      <c r="C5428" s="30" t="s">
        <v>1568</v>
      </c>
      <c r="D5428" s="41" t="s">
        <v>938</v>
      </c>
      <c r="E5428" s="31">
        <v>0.18</v>
      </c>
      <c r="F5428" s="28">
        <v>274.60699999999997</v>
      </c>
      <c r="G5428" s="25">
        <f t="shared" si="106"/>
        <v>49.429259999999992</v>
      </c>
      <c r="H5428" s="33">
        <f>SUM(G5428:G5435)</f>
        <v>3051.9434384726246</v>
      </c>
      <c r="I5428" s="34"/>
      <c r="J5428" s="138">
        <v>7</v>
      </c>
    </row>
    <row r="5429" spans="1:10" ht="25.5" x14ac:dyDescent="0.25">
      <c r="A5429" s="221"/>
      <c r="B5429" s="223"/>
      <c r="C5429" s="30" t="s">
        <v>2282</v>
      </c>
      <c r="D5429" s="41" t="s">
        <v>279</v>
      </c>
      <c r="E5429" s="31">
        <v>1</v>
      </c>
      <c r="F5429" s="25">
        <v>1956.9334999999996</v>
      </c>
      <c r="G5429" s="25">
        <f t="shared" si="106"/>
        <v>1956.9334999999996</v>
      </c>
      <c r="H5429" s="29"/>
      <c r="I5429" s="25"/>
      <c r="J5429" s="138">
        <v>7</v>
      </c>
    </row>
    <row r="5430" spans="1:10" ht="25.5" x14ac:dyDescent="0.25">
      <c r="A5430" s="221"/>
      <c r="B5430" s="223"/>
      <c r="C5430" s="30" t="s">
        <v>2788</v>
      </c>
      <c r="D5430" s="41" t="s">
        <v>279</v>
      </c>
      <c r="E5430" s="31">
        <v>4</v>
      </c>
      <c r="F5430" s="25">
        <v>230.755</v>
      </c>
      <c r="G5430" s="25">
        <f t="shared" si="106"/>
        <v>923.02</v>
      </c>
      <c r="H5430" s="29"/>
      <c r="I5430" s="25"/>
      <c r="J5430" s="138">
        <v>7</v>
      </c>
    </row>
    <row r="5431" spans="1:10" x14ac:dyDescent="0.25">
      <c r="A5431" s="221"/>
      <c r="B5431" s="223"/>
      <c r="C5431" s="30" t="s">
        <v>1156</v>
      </c>
      <c r="D5431" s="41" t="s">
        <v>702</v>
      </c>
      <c r="E5431" s="31">
        <v>0.64100000000000001</v>
      </c>
      <c r="F5431" s="25">
        <v>19.4085</v>
      </c>
      <c r="G5431" s="25">
        <f t="shared" si="106"/>
        <v>12.4408485</v>
      </c>
      <c r="H5431" s="29"/>
      <c r="I5431" s="25"/>
      <c r="J5431" s="138">
        <v>7</v>
      </c>
    </row>
    <row r="5432" spans="1:10" x14ac:dyDescent="0.25">
      <c r="A5432" s="221"/>
      <c r="B5432" s="223"/>
      <c r="C5432" s="30" t="s">
        <v>1157</v>
      </c>
      <c r="D5432" s="41" t="s">
        <v>702</v>
      </c>
      <c r="E5432" s="31">
        <v>2.0840000000000001</v>
      </c>
      <c r="F5432" s="25">
        <v>25.146499999999996</v>
      </c>
      <c r="G5432" s="25">
        <f t="shared" ref="G5432:G5463" si="107">IF(ISNUMBER(F5432),E5432*F5432,"")</f>
        <v>52.405305999999996</v>
      </c>
      <c r="H5432" s="29"/>
      <c r="I5432" s="25"/>
      <c r="J5432" s="138">
        <v>7</v>
      </c>
    </row>
    <row r="5433" spans="1:10" s="168" customFormat="1" ht="38.25" x14ac:dyDescent="0.25">
      <c r="A5433" s="221"/>
      <c r="B5433" s="223"/>
      <c r="C5433" s="30" t="s">
        <v>1828</v>
      </c>
      <c r="D5433" s="30" t="s">
        <v>1284</v>
      </c>
      <c r="E5433" s="31">
        <f>47.5/1000</f>
        <v>4.7500000000000001E-2</v>
      </c>
      <c r="F5433" s="48">
        <v>37.315316950000003</v>
      </c>
      <c r="G5433" s="48">
        <f t="shared" si="107"/>
        <v>1.7724775551250003</v>
      </c>
      <c r="H5433" s="67"/>
      <c r="I5433" s="68"/>
      <c r="J5433" s="138">
        <v>7</v>
      </c>
    </row>
    <row r="5434" spans="1:10" s="168" customFormat="1" ht="38.25" x14ac:dyDescent="0.25">
      <c r="A5434" s="221"/>
      <c r="B5434" s="223"/>
      <c r="C5434" s="30" t="s">
        <v>1824</v>
      </c>
      <c r="D5434" s="30" t="s">
        <v>1433</v>
      </c>
      <c r="E5434" s="31">
        <f>E5433*30</f>
        <v>1.425</v>
      </c>
      <c r="F5434" s="48">
        <v>2.7516730999999996</v>
      </c>
      <c r="G5434" s="48">
        <f t="shared" si="107"/>
        <v>3.9211341674999995</v>
      </c>
      <c r="H5434" s="67"/>
      <c r="I5434" s="68"/>
      <c r="J5434" s="138">
        <v>7</v>
      </c>
    </row>
    <row r="5435" spans="1:10" s="168" customFormat="1" ht="51" x14ac:dyDescent="0.25">
      <c r="A5435" s="221"/>
      <c r="B5435" s="223"/>
      <c r="C5435" s="30" t="s">
        <v>1825</v>
      </c>
      <c r="D5435" s="30" t="s">
        <v>1433</v>
      </c>
      <c r="E5435" s="31">
        <f>E5433*1000</f>
        <v>47.5</v>
      </c>
      <c r="F5435" s="48">
        <v>1.0951771000000001</v>
      </c>
      <c r="G5435" s="48">
        <f t="shared" si="107"/>
        <v>52.020912250000009</v>
      </c>
      <c r="H5435" s="67"/>
      <c r="I5435" s="68"/>
      <c r="J5435" s="138">
        <v>7</v>
      </c>
    </row>
    <row r="5436" spans="1:10" s="168" customFormat="1" x14ac:dyDescent="0.25">
      <c r="A5436" s="221"/>
      <c r="B5436" s="223"/>
      <c r="C5436" s="30"/>
      <c r="D5436" s="30"/>
      <c r="E5436" s="31"/>
      <c r="F5436" s="48"/>
      <c r="G5436" s="48"/>
      <c r="H5436" s="67"/>
      <c r="I5436" s="68"/>
      <c r="J5436" s="138"/>
    </row>
    <row r="5437" spans="1:10" s="168" customFormat="1" x14ac:dyDescent="0.25">
      <c r="A5437" s="221"/>
      <c r="B5437" s="223"/>
      <c r="C5437" s="42" t="s">
        <v>2376</v>
      </c>
      <c r="D5437" s="30"/>
      <c r="E5437" s="31"/>
      <c r="F5437" s="48" t="s">
        <v>521</v>
      </c>
      <c r="G5437" s="48" t="str">
        <f t="shared" ref="G5437:G5500" si="108">IF(ISNUMBER(F5437),E5437*F5437,"")</f>
        <v/>
      </c>
      <c r="H5437" s="67"/>
      <c r="I5437" s="68"/>
      <c r="J5437" s="138">
        <v>7</v>
      </c>
    </row>
    <row r="5438" spans="1:10" ht="15.75" thickBot="1" x14ac:dyDescent="0.3">
      <c r="A5438" s="221"/>
      <c r="B5438" s="224"/>
      <c r="C5438" s="30"/>
      <c r="D5438" s="30"/>
      <c r="E5438" s="31"/>
      <c r="F5438" s="25" t="s">
        <v>521</v>
      </c>
      <c r="G5438" s="25" t="str">
        <f t="shared" si="108"/>
        <v/>
      </c>
      <c r="H5438" s="29"/>
      <c r="I5438" s="25"/>
      <c r="J5438" s="138">
        <v>7</v>
      </c>
    </row>
    <row r="5439" spans="1:10" ht="15.75" thickBot="1" x14ac:dyDescent="0.3">
      <c r="A5439" s="228" t="s">
        <v>1980</v>
      </c>
      <c r="B5439" s="222" t="str">
        <f>INDEX(Orçamentária!A:B,MATCH(Composições!A5439,Orçamentária!A:A,0),2)</f>
        <v>Caixa de Passagem Subterrânea 300x300x500mm</v>
      </c>
      <c r="C5439" s="35"/>
      <c r="D5439" s="20" t="s">
        <v>20</v>
      </c>
      <c r="E5439" s="21"/>
      <c r="F5439" s="36" t="s">
        <v>521</v>
      </c>
      <c r="G5439" s="22" t="str">
        <f t="shared" si="108"/>
        <v/>
      </c>
      <c r="H5439" s="23"/>
      <c r="I5439" s="24"/>
      <c r="J5439" s="138">
        <v>83</v>
      </c>
    </row>
    <row r="5440" spans="1:10" x14ac:dyDescent="0.25">
      <c r="A5440" s="229"/>
      <c r="B5440" s="223"/>
      <c r="C5440" s="26"/>
      <c r="D5440" s="26"/>
      <c r="E5440" s="27"/>
      <c r="F5440" s="37" t="s">
        <v>521</v>
      </c>
      <c r="G5440" s="25" t="str">
        <f t="shared" si="108"/>
        <v/>
      </c>
      <c r="H5440" s="29"/>
      <c r="I5440" s="25"/>
      <c r="J5440" s="138">
        <v>83</v>
      </c>
    </row>
    <row r="5441" spans="1:10" x14ac:dyDescent="0.25">
      <c r="A5441" s="229"/>
      <c r="B5441" s="223"/>
      <c r="C5441" s="30" t="s">
        <v>1817</v>
      </c>
      <c r="D5441" s="30" t="s">
        <v>279</v>
      </c>
      <c r="E5441" s="31">
        <f>48.7507*5/3</f>
        <v>81.251166666666663</v>
      </c>
      <c r="F5441" s="25">
        <v>0.68399999999999994</v>
      </c>
      <c r="G5441" s="28">
        <f t="shared" si="108"/>
        <v>55.575797999999992</v>
      </c>
      <c r="H5441" s="33">
        <f>SUM(G5441:G5447)</f>
        <v>261.72080656476493</v>
      </c>
      <c r="I5441" s="34"/>
      <c r="J5441" s="138">
        <v>83</v>
      </c>
    </row>
    <row r="5442" spans="1:10" ht="38.25" x14ac:dyDescent="0.25">
      <c r="A5442" s="229"/>
      <c r="B5442" s="223"/>
      <c r="C5442" s="30" t="s">
        <v>998</v>
      </c>
      <c r="D5442" s="30" t="s">
        <v>120</v>
      </c>
      <c r="E5442" s="31">
        <f>0.0004*5/3</f>
        <v>6.6666666666666664E-4</v>
      </c>
      <c r="F5442" s="25">
        <v>566.17055737199996</v>
      </c>
      <c r="G5442" s="28">
        <f t="shared" si="108"/>
        <v>0.37744703824799997</v>
      </c>
      <c r="H5442" s="29"/>
      <c r="I5442" s="25"/>
      <c r="J5442" s="138">
        <v>83</v>
      </c>
    </row>
    <row r="5443" spans="1:10" x14ac:dyDescent="0.25">
      <c r="A5443" s="229"/>
      <c r="B5443" s="223"/>
      <c r="C5443" s="30" t="s">
        <v>710</v>
      </c>
      <c r="D5443" s="30" t="s">
        <v>702</v>
      </c>
      <c r="E5443" s="31">
        <f>1.5362*5/3</f>
        <v>2.5603333333333333</v>
      </c>
      <c r="F5443" s="28">
        <v>24.889999999999997</v>
      </c>
      <c r="G5443" s="25">
        <f t="shared" si="108"/>
        <v>63.726696666666662</v>
      </c>
      <c r="H5443" s="29"/>
      <c r="I5443" s="25"/>
      <c r="J5443" s="138">
        <v>83</v>
      </c>
    </row>
    <row r="5444" spans="1:10" x14ac:dyDescent="0.25">
      <c r="A5444" s="229"/>
      <c r="B5444" s="223"/>
      <c r="C5444" s="30" t="s">
        <v>703</v>
      </c>
      <c r="D5444" s="30" t="s">
        <v>702</v>
      </c>
      <c r="E5444" s="31">
        <f>1.5362*5/3</f>
        <v>2.5603333333333333</v>
      </c>
      <c r="F5444" s="25">
        <v>18.420500000000001</v>
      </c>
      <c r="G5444" s="28">
        <f t="shared" si="108"/>
        <v>47.16262016666667</v>
      </c>
      <c r="H5444" s="29"/>
      <c r="I5444" s="34"/>
      <c r="J5444" s="138">
        <v>83</v>
      </c>
    </row>
    <row r="5445" spans="1:10" ht="25.5" x14ac:dyDescent="0.25">
      <c r="A5445" s="229"/>
      <c r="B5445" s="223"/>
      <c r="C5445" s="30" t="s">
        <v>1601</v>
      </c>
      <c r="D5445" s="30" t="s">
        <v>120</v>
      </c>
      <c r="E5445" s="31">
        <f>0.0278*5/3</f>
        <v>4.6333333333333331E-2</v>
      </c>
      <c r="F5445" s="25">
        <v>643.29426430199999</v>
      </c>
      <c r="G5445" s="28">
        <f t="shared" si="108"/>
        <v>29.805967579325998</v>
      </c>
      <c r="H5445" s="29"/>
      <c r="I5445" s="25"/>
      <c r="J5445" s="138">
        <v>83</v>
      </c>
    </row>
    <row r="5446" spans="1:10" ht="25.5" x14ac:dyDescent="0.25">
      <c r="A5446" s="229"/>
      <c r="B5446" s="223"/>
      <c r="C5446" s="30" t="s">
        <v>1588</v>
      </c>
      <c r="D5446" s="30" t="s">
        <v>120</v>
      </c>
      <c r="E5446" s="31">
        <f>0.0175</f>
        <v>1.7500000000000002E-2</v>
      </c>
      <c r="F5446" s="28">
        <v>2907.3280648170039</v>
      </c>
      <c r="G5446" s="25">
        <f t="shared" si="108"/>
        <v>50.878241134297575</v>
      </c>
      <c r="H5446" s="29"/>
      <c r="I5446" s="25"/>
      <c r="J5446" s="138">
        <v>83</v>
      </c>
    </row>
    <row r="5447" spans="1:10" ht="25.5" x14ac:dyDescent="0.25">
      <c r="A5447" s="229"/>
      <c r="B5447" s="223"/>
      <c r="C5447" s="30" t="s">
        <v>1917</v>
      </c>
      <c r="D5447" s="30" t="s">
        <v>120</v>
      </c>
      <c r="E5447" s="31">
        <f>0.036</f>
        <v>3.5999999999999997E-2</v>
      </c>
      <c r="F5447" s="25">
        <v>394.2787772100001</v>
      </c>
      <c r="G5447" s="28">
        <f t="shared" si="108"/>
        <v>14.194035979560002</v>
      </c>
      <c r="H5447" s="29"/>
      <c r="I5447" s="34"/>
      <c r="J5447" s="138">
        <v>83</v>
      </c>
    </row>
    <row r="5448" spans="1:10" ht="15.75" thickBot="1" x14ac:dyDescent="0.3">
      <c r="A5448" s="230"/>
      <c r="B5448" s="224"/>
      <c r="C5448" s="30"/>
      <c r="D5448" s="30"/>
      <c r="E5448" s="31"/>
      <c r="F5448" s="25" t="s">
        <v>521</v>
      </c>
      <c r="G5448" s="25" t="str">
        <f t="shared" si="108"/>
        <v/>
      </c>
      <c r="H5448" s="29"/>
      <c r="I5448" s="25"/>
      <c r="J5448" s="138">
        <v>83</v>
      </c>
    </row>
    <row r="5449" spans="1:10" ht="15.75" hidden="1" thickBot="1" x14ac:dyDescent="0.3">
      <c r="A5449" s="228" t="s">
        <v>1981</v>
      </c>
      <c r="B5449" s="222" t="e">
        <f>INDEX(Orçamentária!A:B,MATCH(Composições!A5449,Orçamentária!A:A,0),2)</f>
        <v>#N/A</v>
      </c>
      <c r="C5449" s="35"/>
      <c r="D5449" s="20" t="s">
        <v>20</v>
      </c>
      <c r="E5449" s="21"/>
      <c r="F5449" s="36" t="s">
        <v>521</v>
      </c>
      <c r="G5449" s="22" t="str">
        <f t="shared" si="108"/>
        <v/>
      </c>
      <c r="H5449" s="23"/>
      <c r="I5449" s="24"/>
      <c r="J5449" s="138">
        <v>0</v>
      </c>
    </row>
    <row r="5450" spans="1:10" ht="15.75" hidden="1" thickBot="1" x14ac:dyDescent="0.3">
      <c r="A5450" s="229"/>
      <c r="B5450" s="223"/>
      <c r="C5450" s="26"/>
      <c r="D5450" s="26"/>
      <c r="E5450" s="27"/>
      <c r="F5450" s="37" t="s">
        <v>521</v>
      </c>
      <c r="G5450" s="25" t="str">
        <f t="shared" si="108"/>
        <v/>
      </c>
      <c r="H5450" s="29"/>
      <c r="I5450" s="25"/>
      <c r="J5450" s="138">
        <v>0</v>
      </c>
    </row>
    <row r="5451" spans="1:10" ht="51.75" hidden="1" thickBot="1" x14ac:dyDescent="0.3">
      <c r="A5451" s="229"/>
      <c r="B5451" s="223"/>
      <c r="C5451" s="30" t="s">
        <v>1567</v>
      </c>
      <c r="D5451" s="30" t="s">
        <v>938</v>
      </c>
      <c r="E5451" s="31">
        <f>ROUND(0.0087*8/6,4)</f>
        <v>1.1599999999999999E-2</v>
      </c>
      <c r="F5451" s="25">
        <v>139.09899999999999</v>
      </c>
      <c r="G5451" s="28">
        <f t="shared" si="108"/>
        <v>1.6135483999999998</v>
      </c>
      <c r="H5451" s="33">
        <f>SUM(G5451:G5459)</f>
        <v>699.09917430161761</v>
      </c>
      <c r="I5451" s="34"/>
      <c r="J5451" s="138">
        <v>0</v>
      </c>
    </row>
    <row r="5452" spans="1:10" ht="51.75" hidden="1" thickBot="1" x14ac:dyDescent="0.3">
      <c r="A5452" s="229"/>
      <c r="B5452" s="223"/>
      <c r="C5452" s="30" t="s">
        <v>1573</v>
      </c>
      <c r="D5452" s="30" t="s">
        <v>940</v>
      </c>
      <c r="E5452" s="31">
        <f>ROUND(0.0294*8/6,4)</f>
        <v>3.9199999999999999E-2</v>
      </c>
      <c r="F5452" s="25">
        <v>49.875</v>
      </c>
      <c r="G5452" s="28">
        <f t="shared" si="108"/>
        <v>1.9550999999999998</v>
      </c>
      <c r="H5452" s="29"/>
      <c r="I5452" s="25"/>
      <c r="J5452" s="138">
        <v>0</v>
      </c>
    </row>
    <row r="5453" spans="1:10" ht="15.75" hidden="1" thickBot="1" x14ac:dyDescent="0.3">
      <c r="A5453" s="229"/>
      <c r="B5453" s="223"/>
      <c r="C5453" s="30" t="s">
        <v>1817</v>
      </c>
      <c r="D5453" s="30" t="s">
        <v>279</v>
      </c>
      <c r="E5453" s="31">
        <f>ROUND(169.8027*8/6,4)</f>
        <v>226.40360000000001</v>
      </c>
      <c r="F5453" s="28">
        <v>0.68399999999999994</v>
      </c>
      <c r="G5453" s="25">
        <f t="shared" si="108"/>
        <v>154.8600624</v>
      </c>
      <c r="H5453" s="29"/>
      <c r="I5453" s="25"/>
      <c r="J5453" s="138">
        <v>0</v>
      </c>
    </row>
    <row r="5454" spans="1:10" ht="39" hidden="1" thickBot="1" x14ac:dyDescent="0.3">
      <c r="A5454" s="229"/>
      <c r="B5454" s="223"/>
      <c r="C5454" s="30" t="s">
        <v>998</v>
      </c>
      <c r="D5454" s="30" t="s">
        <v>120</v>
      </c>
      <c r="E5454" s="31">
        <f>ROUND(0.0014*8/6,4)</f>
        <v>1.9E-3</v>
      </c>
      <c r="F5454" s="25">
        <v>566.17055737199996</v>
      </c>
      <c r="G5454" s="28">
        <f t="shared" si="108"/>
        <v>1.0757240590068</v>
      </c>
      <c r="H5454" s="29"/>
      <c r="I5454" s="34"/>
      <c r="J5454" s="138">
        <v>0</v>
      </c>
    </row>
    <row r="5455" spans="1:10" ht="15.75" hidden="1" thickBot="1" x14ac:dyDescent="0.3">
      <c r="A5455" s="229"/>
      <c r="B5455" s="223"/>
      <c r="C5455" s="30" t="s">
        <v>710</v>
      </c>
      <c r="D5455" s="30" t="s">
        <v>702</v>
      </c>
      <c r="E5455" s="31">
        <f>ROUND(5.4392*8/6,4)</f>
        <v>7.2523</v>
      </c>
      <c r="F5455" s="25">
        <v>24.889999999999997</v>
      </c>
      <c r="G5455" s="28">
        <f t="shared" si="108"/>
        <v>180.50974699999998</v>
      </c>
      <c r="H5455" s="29"/>
      <c r="I5455" s="25"/>
      <c r="J5455" s="138">
        <v>0</v>
      </c>
    </row>
    <row r="5456" spans="1:10" ht="15.75" hidden="1" thickBot="1" x14ac:dyDescent="0.3">
      <c r="A5456" s="229"/>
      <c r="B5456" s="223"/>
      <c r="C5456" s="30" t="s">
        <v>703</v>
      </c>
      <c r="D5456" s="30" t="s">
        <v>702</v>
      </c>
      <c r="E5456" s="31">
        <f>ROUND(5.4392*8/6,4)</f>
        <v>7.2523</v>
      </c>
      <c r="F5456" s="28">
        <v>18.420500000000001</v>
      </c>
      <c r="G5456" s="25">
        <f t="shared" si="108"/>
        <v>133.59099215000001</v>
      </c>
      <c r="H5456" s="29"/>
      <c r="I5456" s="25"/>
      <c r="J5456" s="138">
        <v>0</v>
      </c>
    </row>
    <row r="5457" spans="1:10" ht="26.25" hidden="1" thickBot="1" x14ac:dyDescent="0.3">
      <c r="A5457" s="229"/>
      <c r="B5457" s="223"/>
      <c r="C5457" s="30" t="s">
        <v>1601</v>
      </c>
      <c r="D5457" s="30" t="s">
        <v>120</v>
      </c>
      <c r="E5457" s="31">
        <f>ROUND(0.1012*8/6,4)</f>
        <v>0.13489999999999999</v>
      </c>
      <c r="F5457" s="25">
        <v>643.29426430199999</v>
      </c>
      <c r="G5457" s="28">
        <f t="shared" si="108"/>
        <v>86.780396254339792</v>
      </c>
      <c r="H5457" s="29"/>
      <c r="I5457" s="34"/>
      <c r="J5457" s="138">
        <v>0</v>
      </c>
    </row>
    <row r="5458" spans="1:10" ht="26.25" hidden="1" thickBot="1" x14ac:dyDescent="0.3">
      <c r="A5458" s="229"/>
      <c r="B5458" s="223"/>
      <c r="C5458" s="30" t="s">
        <v>1589</v>
      </c>
      <c r="D5458" s="30" t="s">
        <v>120</v>
      </c>
      <c r="E5458" s="31">
        <v>4.48E-2</v>
      </c>
      <c r="F5458" s="25">
        <v>2442.8550549031465</v>
      </c>
      <c r="G5458" s="28">
        <f t="shared" si="108"/>
        <v>109.43990645966096</v>
      </c>
      <c r="H5458" s="29"/>
      <c r="I5458" s="25"/>
      <c r="J5458" s="138">
        <v>0</v>
      </c>
    </row>
    <row r="5459" spans="1:10" ht="26.25" hidden="1" thickBot="1" x14ac:dyDescent="0.3">
      <c r="A5459" s="229"/>
      <c r="B5459" s="223"/>
      <c r="C5459" s="30" t="s">
        <v>1918</v>
      </c>
      <c r="D5459" s="30" t="s">
        <v>120</v>
      </c>
      <c r="E5459" s="31">
        <v>8.1000000000000003E-2</v>
      </c>
      <c r="F5459" s="28">
        <v>361.40367380999999</v>
      </c>
      <c r="G5459" s="25">
        <f t="shared" si="108"/>
        <v>29.273697578610001</v>
      </c>
      <c r="H5459" s="29"/>
      <c r="I5459" s="25"/>
      <c r="J5459" s="138">
        <v>0</v>
      </c>
    </row>
    <row r="5460" spans="1:10" ht="15.75" hidden="1" thickBot="1" x14ac:dyDescent="0.3">
      <c r="A5460" s="230"/>
      <c r="B5460" s="224"/>
      <c r="C5460" s="30"/>
      <c r="D5460" s="30"/>
      <c r="E5460" s="31"/>
      <c r="F5460" s="25" t="s">
        <v>521</v>
      </c>
      <c r="G5460" s="25" t="str">
        <f t="shared" si="108"/>
        <v/>
      </c>
      <c r="H5460" s="29"/>
      <c r="I5460" s="25"/>
      <c r="J5460" s="138">
        <v>0</v>
      </c>
    </row>
    <row r="5461" spans="1:10" ht="15.75" hidden="1" thickBot="1" x14ac:dyDescent="0.3">
      <c r="A5461" s="220" t="s">
        <v>1982</v>
      </c>
      <c r="B5461" s="222" t="e">
        <f>INDEX(Orçamentária!A:B,MATCH(Composições!A5461,Orçamentária!A:A,0),2)</f>
        <v>#N/A</v>
      </c>
      <c r="C5461" s="35"/>
      <c r="D5461" s="20" t="s">
        <v>20</v>
      </c>
      <c r="E5461" s="21"/>
      <c r="F5461" s="36" t="s">
        <v>521</v>
      </c>
      <c r="G5461" s="22" t="str">
        <f t="shared" si="108"/>
        <v/>
      </c>
      <c r="H5461" s="23"/>
      <c r="I5461" s="24"/>
      <c r="J5461" s="138">
        <v>0</v>
      </c>
    </row>
    <row r="5462" spans="1:10" ht="15.75" hidden="1" thickBot="1" x14ac:dyDescent="0.3">
      <c r="A5462" s="221"/>
      <c r="B5462" s="223"/>
      <c r="C5462" s="26"/>
      <c r="D5462" s="26"/>
      <c r="E5462" s="27"/>
      <c r="F5462" s="37" t="s">
        <v>521</v>
      </c>
      <c r="G5462" s="25" t="str">
        <f t="shared" si="108"/>
        <v/>
      </c>
      <c r="H5462" s="29"/>
      <c r="I5462" s="25"/>
      <c r="J5462" s="138">
        <v>0</v>
      </c>
    </row>
    <row r="5463" spans="1:10" ht="15.75" hidden="1" thickBot="1" x14ac:dyDescent="0.3">
      <c r="A5463" s="221"/>
      <c r="B5463" s="223"/>
      <c r="C5463" s="30" t="s">
        <v>2229</v>
      </c>
      <c r="D5463" s="30" t="s">
        <v>279</v>
      </c>
      <c r="E5463" s="31">
        <v>1</v>
      </c>
      <c r="F5463" s="28" t="s">
        <v>521</v>
      </c>
      <c r="G5463" s="25" t="str">
        <f t="shared" si="108"/>
        <v/>
      </c>
      <c r="H5463" s="33">
        <f>SUM(G5463:G5465)</f>
        <v>22.277499999999996</v>
      </c>
      <c r="I5463" s="34"/>
      <c r="J5463" s="138">
        <v>0</v>
      </c>
    </row>
    <row r="5464" spans="1:10" ht="15.75" hidden="1" thickBot="1" x14ac:dyDescent="0.3">
      <c r="A5464" s="221"/>
      <c r="B5464" s="223"/>
      <c r="C5464" s="30" t="s">
        <v>1156</v>
      </c>
      <c r="D5464" s="30" t="s">
        <v>702</v>
      </c>
      <c r="E5464" s="31">
        <v>0.5</v>
      </c>
      <c r="F5464" s="28">
        <v>19.4085</v>
      </c>
      <c r="G5464" s="25">
        <f t="shared" si="108"/>
        <v>9.70425</v>
      </c>
      <c r="H5464" s="39"/>
      <c r="I5464" s="40"/>
      <c r="J5464" s="138">
        <v>0</v>
      </c>
    </row>
    <row r="5465" spans="1:10" ht="15.75" hidden="1" thickBot="1" x14ac:dyDescent="0.3">
      <c r="A5465" s="221"/>
      <c r="B5465" s="223"/>
      <c r="C5465" s="30" t="s">
        <v>1157</v>
      </c>
      <c r="D5465" s="30" t="s">
        <v>702</v>
      </c>
      <c r="E5465" s="31">
        <v>0.5</v>
      </c>
      <c r="F5465" s="25">
        <v>25.146499999999996</v>
      </c>
      <c r="G5465" s="25">
        <f t="shared" si="108"/>
        <v>12.573249999999998</v>
      </c>
      <c r="H5465" s="29"/>
      <c r="I5465" s="25"/>
      <c r="J5465" s="138">
        <v>0</v>
      </c>
    </row>
    <row r="5466" spans="1:10" ht="15.75" hidden="1" thickBot="1" x14ac:dyDescent="0.3">
      <c r="A5466" s="227"/>
      <c r="B5466" s="224"/>
      <c r="C5466" s="30"/>
      <c r="D5466" s="30"/>
      <c r="E5466" s="31"/>
      <c r="F5466" s="25" t="s">
        <v>521</v>
      </c>
      <c r="G5466" s="25" t="str">
        <f t="shared" si="108"/>
        <v/>
      </c>
      <c r="H5466" s="29"/>
      <c r="I5466" s="25"/>
      <c r="J5466" s="138">
        <v>0</v>
      </c>
    </row>
    <row r="5467" spans="1:10" ht="15.75" hidden="1" thickBot="1" x14ac:dyDescent="0.3">
      <c r="A5467" s="220" t="s">
        <v>1983</v>
      </c>
      <c r="B5467" s="222" t="e">
        <f>INDEX(Orçamentária!A:B,MATCH(Composições!A5467,Orçamentária!A:A,0),2)</f>
        <v>#N/A</v>
      </c>
      <c r="C5467" s="35"/>
      <c r="D5467" s="20" t="s">
        <v>20</v>
      </c>
      <c r="E5467" s="21"/>
      <c r="F5467" s="36" t="s">
        <v>521</v>
      </c>
      <c r="G5467" s="22" t="str">
        <f t="shared" si="108"/>
        <v/>
      </c>
      <c r="H5467" s="23"/>
      <c r="I5467" s="24"/>
      <c r="J5467" s="138">
        <v>0</v>
      </c>
    </row>
    <row r="5468" spans="1:10" ht="15.75" hidden="1" thickBot="1" x14ac:dyDescent="0.3">
      <c r="A5468" s="221"/>
      <c r="B5468" s="223"/>
      <c r="C5468" s="26"/>
      <c r="D5468" s="26"/>
      <c r="E5468" s="27"/>
      <c r="F5468" s="37" t="s">
        <v>521</v>
      </c>
      <c r="G5468" s="25" t="str">
        <f t="shared" si="108"/>
        <v/>
      </c>
      <c r="H5468" s="29"/>
      <c r="I5468" s="25"/>
      <c r="J5468" s="138">
        <v>0</v>
      </c>
    </row>
    <row r="5469" spans="1:10" ht="15.75" hidden="1" thickBot="1" x14ac:dyDescent="0.3">
      <c r="A5469" s="221"/>
      <c r="B5469" s="223"/>
      <c r="C5469" s="30" t="s">
        <v>2230</v>
      </c>
      <c r="D5469" s="30" t="s">
        <v>279</v>
      </c>
      <c r="E5469" s="31">
        <v>1</v>
      </c>
      <c r="F5469" s="28" t="s">
        <v>521</v>
      </c>
      <c r="G5469" s="25" t="str">
        <f t="shared" si="108"/>
        <v/>
      </c>
      <c r="H5469" s="33">
        <f>SUM(G5469:G5471)</f>
        <v>22.277499999999996</v>
      </c>
      <c r="I5469" s="34"/>
      <c r="J5469" s="138">
        <v>0</v>
      </c>
    </row>
    <row r="5470" spans="1:10" ht="15.75" hidden="1" thickBot="1" x14ac:dyDescent="0.3">
      <c r="A5470" s="221"/>
      <c r="B5470" s="223"/>
      <c r="C5470" s="30" t="s">
        <v>1156</v>
      </c>
      <c r="D5470" s="30" t="s">
        <v>702</v>
      </c>
      <c r="E5470" s="31">
        <v>0.5</v>
      </c>
      <c r="F5470" s="28">
        <v>19.4085</v>
      </c>
      <c r="G5470" s="25">
        <f t="shared" si="108"/>
        <v>9.70425</v>
      </c>
      <c r="H5470" s="39"/>
      <c r="I5470" s="40"/>
      <c r="J5470" s="138">
        <v>0</v>
      </c>
    </row>
    <row r="5471" spans="1:10" ht="15.75" hidden="1" thickBot="1" x14ac:dyDescent="0.3">
      <c r="A5471" s="221"/>
      <c r="B5471" s="223"/>
      <c r="C5471" s="30" t="s">
        <v>1157</v>
      </c>
      <c r="D5471" s="30" t="s">
        <v>702</v>
      </c>
      <c r="E5471" s="31">
        <v>0.5</v>
      </c>
      <c r="F5471" s="25">
        <v>25.146499999999996</v>
      </c>
      <c r="G5471" s="25">
        <f t="shared" si="108"/>
        <v>12.573249999999998</v>
      </c>
      <c r="H5471" s="29"/>
      <c r="I5471" s="25"/>
      <c r="J5471" s="138">
        <v>0</v>
      </c>
    </row>
    <row r="5472" spans="1:10" ht="15.75" hidden="1" thickBot="1" x14ac:dyDescent="0.3">
      <c r="A5472" s="227"/>
      <c r="B5472" s="224"/>
      <c r="C5472" s="30"/>
      <c r="D5472" s="30"/>
      <c r="E5472" s="31"/>
      <c r="F5472" s="25" t="s">
        <v>521</v>
      </c>
      <c r="G5472" s="25" t="str">
        <f t="shared" si="108"/>
        <v/>
      </c>
      <c r="H5472" s="29"/>
      <c r="I5472" s="25"/>
      <c r="J5472" s="138">
        <v>0</v>
      </c>
    </row>
    <row r="5473" spans="1:10" ht="15.75" hidden="1" thickBot="1" x14ac:dyDescent="0.3">
      <c r="A5473" s="220" t="s">
        <v>1984</v>
      </c>
      <c r="B5473" s="222" t="e">
        <f>INDEX(Orçamentária!A:B,MATCH(Composições!A5473,Orçamentária!A:A,0),2)</f>
        <v>#N/A</v>
      </c>
      <c r="C5473" s="35"/>
      <c r="D5473" s="20" t="s">
        <v>20</v>
      </c>
      <c r="E5473" s="21"/>
      <c r="F5473" s="36" t="s">
        <v>521</v>
      </c>
      <c r="G5473" s="22" t="str">
        <f t="shared" si="108"/>
        <v/>
      </c>
      <c r="H5473" s="23"/>
      <c r="I5473" s="24"/>
      <c r="J5473" s="138">
        <v>0</v>
      </c>
    </row>
    <row r="5474" spans="1:10" ht="15.75" hidden="1" thickBot="1" x14ac:dyDescent="0.3">
      <c r="A5474" s="221"/>
      <c r="B5474" s="223"/>
      <c r="C5474" s="26"/>
      <c r="D5474" s="26"/>
      <c r="E5474" s="27"/>
      <c r="F5474" s="37" t="s">
        <v>521</v>
      </c>
      <c r="G5474" s="25" t="str">
        <f t="shared" si="108"/>
        <v/>
      </c>
      <c r="H5474" s="29"/>
      <c r="I5474" s="25"/>
      <c r="J5474" s="138">
        <v>0</v>
      </c>
    </row>
    <row r="5475" spans="1:10" ht="15.75" hidden="1" thickBot="1" x14ac:dyDescent="0.3">
      <c r="A5475" s="221"/>
      <c r="B5475" s="223"/>
      <c r="C5475" s="30" t="s">
        <v>30</v>
      </c>
      <c r="D5475" s="30" t="s">
        <v>12</v>
      </c>
      <c r="E5475" s="31">
        <v>0.308</v>
      </c>
      <c r="F5475" s="25">
        <v>25.146499999999996</v>
      </c>
      <c r="G5475" s="28">
        <f t="shared" si="108"/>
        <v>7.7451219999999985</v>
      </c>
      <c r="H5475" s="33">
        <f>SUM(G5475:G5478)</f>
        <v>13.722939999999998</v>
      </c>
      <c r="I5475" s="34"/>
      <c r="J5475" s="138">
        <v>0</v>
      </c>
    </row>
    <row r="5476" spans="1:10" ht="15.75" hidden="1" thickBot="1" x14ac:dyDescent="0.3">
      <c r="A5476" s="221"/>
      <c r="B5476" s="223"/>
      <c r="C5476" s="30" t="s">
        <v>74</v>
      </c>
      <c r="D5476" s="30" t="s">
        <v>12</v>
      </c>
      <c r="E5476" s="31">
        <v>0.308</v>
      </c>
      <c r="F5476" s="25">
        <v>19.4085</v>
      </c>
      <c r="G5476" s="28">
        <f t="shared" si="108"/>
        <v>5.9778180000000001</v>
      </c>
      <c r="H5476" s="29"/>
      <c r="I5476" s="25"/>
      <c r="J5476" s="138">
        <v>0</v>
      </c>
    </row>
    <row r="5477" spans="1:10" ht="26.25" hidden="1" thickBot="1" x14ac:dyDescent="0.3">
      <c r="A5477" s="221"/>
      <c r="B5477" s="223"/>
      <c r="C5477" s="30" t="s">
        <v>506</v>
      </c>
      <c r="D5477" s="30" t="s">
        <v>20</v>
      </c>
      <c r="E5477" s="31">
        <v>1</v>
      </c>
      <c r="F5477" s="28" t="s">
        <v>521</v>
      </c>
      <c r="G5477" s="28" t="str">
        <f t="shared" si="108"/>
        <v/>
      </c>
      <c r="H5477" s="29"/>
      <c r="I5477" s="25"/>
      <c r="J5477" s="138">
        <v>0</v>
      </c>
    </row>
    <row r="5478" spans="1:10" ht="26.25" hidden="1" thickBot="1" x14ac:dyDescent="0.3">
      <c r="A5478" s="221"/>
      <c r="B5478" s="223"/>
      <c r="C5478" s="30" t="s">
        <v>2231</v>
      </c>
      <c r="D5478" s="30" t="s">
        <v>20</v>
      </c>
      <c r="E5478" s="31">
        <v>1</v>
      </c>
      <c r="F5478" s="28" t="s">
        <v>521</v>
      </c>
      <c r="G5478" s="25" t="str">
        <f t="shared" si="108"/>
        <v/>
      </c>
      <c r="H5478" s="29"/>
      <c r="I5478" s="25"/>
      <c r="J5478" s="138">
        <v>0</v>
      </c>
    </row>
    <row r="5479" spans="1:10" ht="15.75" hidden="1" thickBot="1" x14ac:dyDescent="0.3">
      <c r="A5479" s="227"/>
      <c r="B5479" s="224"/>
      <c r="C5479" s="30"/>
      <c r="D5479" s="30"/>
      <c r="E5479" s="31"/>
      <c r="F5479" s="25" t="s">
        <v>521</v>
      </c>
      <c r="G5479" s="25" t="str">
        <f t="shared" si="108"/>
        <v/>
      </c>
      <c r="H5479" s="29"/>
      <c r="I5479" s="25"/>
      <c r="J5479" s="138">
        <v>0</v>
      </c>
    </row>
    <row r="5480" spans="1:10" ht="15.75" thickBot="1" x14ac:dyDescent="0.3">
      <c r="A5480" s="220" t="s">
        <v>1997</v>
      </c>
      <c r="B5480" s="222" t="str">
        <f>INDEX(Orçamentária!A:B,MATCH(Composições!A5480,Orçamentária!A:A,0),2)</f>
        <v>Cabo de cobre nu 50 mm²</v>
      </c>
      <c r="C5480" s="35"/>
      <c r="D5480" s="20" t="s">
        <v>93</v>
      </c>
      <c r="E5480" s="21"/>
      <c r="F5480" s="36" t="s">
        <v>521</v>
      </c>
      <c r="G5480" s="22" t="str">
        <f t="shared" si="108"/>
        <v/>
      </c>
      <c r="H5480" s="23"/>
      <c r="I5480" s="24"/>
      <c r="J5480" s="138">
        <v>4415</v>
      </c>
    </row>
    <row r="5481" spans="1:10" x14ac:dyDescent="0.25">
      <c r="A5481" s="221"/>
      <c r="B5481" s="223"/>
      <c r="C5481" s="26"/>
      <c r="D5481" s="26"/>
      <c r="E5481" s="27"/>
      <c r="F5481" s="37" t="s">
        <v>521</v>
      </c>
      <c r="G5481" s="25" t="str">
        <f t="shared" si="108"/>
        <v/>
      </c>
      <c r="H5481" s="29"/>
      <c r="I5481" s="25"/>
      <c r="J5481" s="138">
        <v>4415</v>
      </c>
    </row>
    <row r="5482" spans="1:10" x14ac:dyDescent="0.25">
      <c r="A5482" s="221"/>
      <c r="B5482" s="223"/>
      <c r="C5482" s="30" t="s">
        <v>1626</v>
      </c>
      <c r="D5482" s="30" t="s">
        <v>479</v>
      </c>
      <c r="E5482" s="31">
        <v>1.1000000000000001</v>
      </c>
      <c r="F5482" s="28">
        <v>42.882999999999996</v>
      </c>
      <c r="G5482" s="25">
        <f t="shared" si="108"/>
        <v>47.171300000000002</v>
      </c>
      <c r="H5482" s="33">
        <f>SUM(G5482:G5484)</f>
        <v>48.672803500000001</v>
      </c>
      <c r="I5482" s="34"/>
      <c r="J5482" s="138">
        <v>4415</v>
      </c>
    </row>
    <row r="5483" spans="1:10" x14ac:dyDescent="0.25">
      <c r="A5483" s="221"/>
      <c r="B5483" s="223"/>
      <c r="C5483" s="30" t="s">
        <v>1156</v>
      </c>
      <c r="D5483" s="30" t="s">
        <v>702</v>
      </c>
      <c r="E5483" s="31">
        <v>3.3700000000000001E-2</v>
      </c>
      <c r="F5483" s="28">
        <v>19.4085</v>
      </c>
      <c r="G5483" s="25">
        <f t="shared" si="108"/>
        <v>0.65406644999999997</v>
      </c>
      <c r="H5483" s="39"/>
      <c r="I5483" s="40"/>
      <c r="J5483" s="138">
        <v>4415</v>
      </c>
    </row>
    <row r="5484" spans="1:10" x14ac:dyDescent="0.25">
      <c r="A5484" s="221"/>
      <c r="B5484" s="223"/>
      <c r="C5484" s="30" t="s">
        <v>1157</v>
      </c>
      <c r="D5484" s="30" t="s">
        <v>702</v>
      </c>
      <c r="E5484" s="31">
        <v>3.3700000000000001E-2</v>
      </c>
      <c r="F5484" s="25">
        <v>25.146499999999996</v>
      </c>
      <c r="G5484" s="25">
        <f t="shared" si="108"/>
        <v>0.84743704999999991</v>
      </c>
      <c r="H5484" s="29"/>
      <c r="I5484" s="25"/>
      <c r="J5484" s="138">
        <v>4415</v>
      </c>
    </row>
    <row r="5485" spans="1:10" ht="15.75" thickBot="1" x14ac:dyDescent="0.3">
      <c r="A5485" s="227"/>
      <c r="B5485" s="224"/>
      <c r="C5485" s="30"/>
      <c r="D5485" s="30"/>
      <c r="E5485" s="31"/>
      <c r="F5485" s="25" t="s">
        <v>521</v>
      </c>
      <c r="G5485" s="25" t="str">
        <f t="shared" si="108"/>
        <v/>
      </c>
      <c r="H5485" s="29"/>
      <c r="I5485" s="25"/>
      <c r="J5485" s="138">
        <v>4415</v>
      </c>
    </row>
    <row r="5486" spans="1:10" ht="15.75" thickBot="1" x14ac:dyDescent="0.3">
      <c r="A5486" s="220" t="s">
        <v>1998</v>
      </c>
      <c r="B5486" s="222" t="str">
        <f>INDEX(Orçamentária!A:B,MATCH(Composições!A5486,Orçamentária!A:A,0),2)</f>
        <v>Haste de aterramento 3/4” x 3 m</v>
      </c>
      <c r="C5486" s="35"/>
      <c r="D5486" s="20" t="s">
        <v>20</v>
      </c>
      <c r="E5486" s="21"/>
      <c r="F5486" s="36" t="s">
        <v>521</v>
      </c>
      <c r="G5486" s="22" t="str">
        <f t="shared" si="108"/>
        <v/>
      </c>
      <c r="H5486" s="23"/>
      <c r="I5486" s="24"/>
      <c r="J5486" s="138">
        <v>194</v>
      </c>
    </row>
    <row r="5487" spans="1:10" x14ac:dyDescent="0.25">
      <c r="A5487" s="221"/>
      <c r="B5487" s="223"/>
      <c r="C5487" s="26"/>
      <c r="D5487" s="26"/>
      <c r="E5487" s="27"/>
      <c r="F5487" s="37" t="s">
        <v>521</v>
      </c>
      <c r="G5487" s="25" t="str">
        <f t="shared" si="108"/>
        <v/>
      </c>
      <c r="H5487" s="29"/>
      <c r="I5487" s="25"/>
      <c r="J5487" s="138">
        <v>194</v>
      </c>
    </row>
    <row r="5488" spans="1:10" x14ac:dyDescent="0.25">
      <c r="A5488" s="221"/>
      <c r="B5488" s="223"/>
      <c r="C5488" s="30" t="s">
        <v>2232</v>
      </c>
      <c r="D5488" s="30" t="s">
        <v>20</v>
      </c>
      <c r="E5488" s="31">
        <v>1</v>
      </c>
      <c r="F5488" s="28">
        <v>309.85000000000002</v>
      </c>
      <c r="G5488" s="25">
        <f t="shared" si="108"/>
        <v>309.85000000000002</v>
      </c>
      <c r="H5488" s="33">
        <f>SUM(G5488:G5490)</f>
        <v>327.47150249999999</v>
      </c>
      <c r="I5488" s="34"/>
      <c r="J5488" s="138">
        <v>194</v>
      </c>
    </row>
    <row r="5489" spans="1:10" x14ac:dyDescent="0.25">
      <c r="A5489" s="221"/>
      <c r="B5489" s="223"/>
      <c r="C5489" s="30" t="s">
        <v>1156</v>
      </c>
      <c r="D5489" s="30" t="s">
        <v>702</v>
      </c>
      <c r="E5489" s="31">
        <v>0.39550000000000002</v>
      </c>
      <c r="F5489" s="28">
        <v>19.4085</v>
      </c>
      <c r="G5489" s="25">
        <f t="shared" si="108"/>
        <v>7.6760617500000006</v>
      </c>
      <c r="H5489" s="39"/>
      <c r="I5489" s="40"/>
      <c r="J5489" s="138">
        <v>194</v>
      </c>
    </row>
    <row r="5490" spans="1:10" x14ac:dyDescent="0.25">
      <c r="A5490" s="221"/>
      <c r="B5490" s="223"/>
      <c r="C5490" s="30" t="s">
        <v>1157</v>
      </c>
      <c r="D5490" s="30" t="s">
        <v>702</v>
      </c>
      <c r="E5490" s="31">
        <v>0.39550000000000002</v>
      </c>
      <c r="F5490" s="25">
        <v>25.146499999999996</v>
      </c>
      <c r="G5490" s="25">
        <f t="shared" si="108"/>
        <v>9.9454407499999995</v>
      </c>
      <c r="H5490" s="29"/>
      <c r="I5490" s="25"/>
      <c r="J5490" s="138">
        <v>194</v>
      </c>
    </row>
    <row r="5491" spans="1:10" ht="15.75" thickBot="1" x14ac:dyDescent="0.3">
      <c r="A5491" s="227"/>
      <c r="B5491" s="224"/>
      <c r="C5491" s="30"/>
      <c r="D5491" s="30"/>
      <c r="E5491" s="31"/>
      <c r="F5491" s="25" t="s">
        <v>521</v>
      </c>
      <c r="G5491" s="25" t="str">
        <f t="shared" si="108"/>
        <v/>
      </c>
      <c r="H5491" s="29"/>
      <c r="I5491" s="25"/>
      <c r="J5491" s="138">
        <v>194</v>
      </c>
    </row>
    <row r="5492" spans="1:10" ht="15.75" hidden="1" thickBot="1" x14ac:dyDescent="0.3">
      <c r="A5492" s="220" t="s">
        <v>1999</v>
      </c>
      <c r="B5492" s="222" t="e">
        <f>INDEX(Orçamentária!A:B,MATCH(Composições!A5492,Orçamentária!A:A,0),2)</f>
        <v>#N/A</v>
      </c>
      <c r="C5492" s="35"/>
      <c r="D5492" s="20" t="s">
        <v>93</v>
      </c>
      <c r="E5492" s="21"/>
      <c r="F5492" s="36" t="s">
        <v>521</v>
      </c>
      <c r="G5492" s="22" t="str">
        <f t="shared" si="108"/>
        <v/>
      </c>
      <c r="H5492" s="23"/>
      <c r="I5492" s="24"/>
      <c r="J5492" s="138">
        <v>0</v>
      </c>
    </row>
    <row r="5493" spans="1:10" ht="15.75" hidden="1" thickBot="1" x14ac:dyDescent="0.3">
      <c r="A5493" s="221"/>
      <c r="B5493" s="223"/>
      <c r="C5493" s="26"/>
      <c r="D5493" s="26"/>
      <c r="E5493" s="27"/>
      <c r="F5493" s="37" t="s">
        <v>521</v>
      </c>
      <c r="G5493" s="25" t="str">
        <f t="shared" si="108"/>
        <v/>
      </c>
      <c r="H5493" s="29"/>
      <c r="I5493" s="25"/>
      <c r="J5493" s="138">
        <v>0</v>
      </c>
    </row>
    <row r="5494" spans="1:10" ht="15.75" hidden="1" thickBot="1" x14ac:dyDescent="0.3">
      <c r="A5494" s="221"/>
      <c r="B5494" s="223"/>
      <c r="C5494" s="30" t="s">
        <v>30</v>
      </c>
      <c r="D5494" s="30" t="s">
        <v>12</v>
      </c>
      <c r="E5494" s="31">
        <v>0.75</v>
      </c>
      <c r="F5494" s="25">
        <v>25.146499999999996</v>
      </c>
      <c r="G5494" s="28">
        <f t="shared" si="108"/>
        <v>18.859874999999995</v>
      </c>
      <c r="H5494" s="33">
        <f>SUM(G5494:G5496)</f>
        <v>33.416249999999991</v>
      </c>
      <c r="I5494" s="34"/>
      <c r="J5494" s="138">
        <v>0</v>
      </c>
    </row>
    <row r="5495" spans="1:10" ht="15.75" hidden="1" thickBot="1" x14ac:dyDescent="0.3">
      <c r="A5495" s="221"/>
      <c r="B5495" s="223"/>
      <c r="C5495" s="30" t="s">
        <v>74</v>
      </c>
      <c r="D5495" s="30" t="s">
        <v>12</v>
      </c>
      <c r="E5495" s="31">
        <v>0.75</v>
      </c>
      <c r="F5495" s="25">
        <v>19.4085</v>
      </c>
      <c r="G5495" s="28">
        <f t="shared" si="108"/>
        <v>14.556374999999999</v>
      </c>
      <c r="H5495" s="29"/>
      <c r="I5495" s="25"/>
      <c r="J5495" s="138">
        <v>0</v>
      </c>
    </row>
    <row r="5496" spans="1:10" ht="26.25" hidden="1" thickBot="1" x14ac:dyDescent="0.3">
      <c r="A5496" s="221"/>
      <c r="B5496" s="223"/>
      <c r="C5496" s="30" t="s">
        <v>2233</v>
      </c>
      <c r="D5496" s="30" t="s">
        <v>93</v>
      </c>
      <c r="E5496" s="31">
        <v>1.05</v>
      </c>
      <c r="F5496" s="25" t="s">
        <v>521</v>
      </c>
      <c r="G5496" s="28" t="str">
        <f t="shared" si="108"/>
        <v/>
      </c>
      <c r="H5496" s="29"/>
      <c r="I5496" s="25"/>
      <c r="J5496" s="138">
        <v>0</v>
      </c>
    </row>
    <row r="5497" spans="1:10" ht="15.75" hidden="1" thickBot="1" x14ac:dyDescent="0.3">
      <c r="A5497" s="227"/>
      <c r="B5497" s="224"/>
      <c r="C5497" s="30"/>
      <c r="D5497" s="30"/>
      <c r="E5497" s="31"/>
      <c r="F5497" s="25" t="s">
        <v>521</v>
      </c>
      <c r="G5497" s="25" t="str">
        <f t="shared" si="108"/>
        <v/>
      </c>
      <c r="H5497" s="29"/>
      <c r="I5497" s="25"/>
      <c r="J5497" s="138">
        <v>0</v>
      </c>
    </row>
    <row r="5498" spans="1:10" ht="15.75" hidden="1" thickBot="1" x14ac:dyDescent="0.3">
      <c r="A5498" s="220" t="s">
        <v>2000</v>
      </c>
      <c r="B5498" s="222" t="e">
        <f>INDEX(Orçamentária!A:B,MATCH(Composições!A5498,Orçamentária!A:A,0),2)</f>
        <v>#N/A</v>
      </c>
      <c r="C5498" s="35"/>
      <c r="D5498" s="20" t="s">
        <v>1449</v>
      </c>
      <c r="E5498" s="21"/>
      <c r="F5498" s="36" t="s">
        <v>521</v>
      </c>
      <c r="G5498" s="22" t="str">
        <f t="shared" si="108"/>
        <v/>
      </c>
      <c r="H5498" s="23"/>
      <c r="I5498" s="24"/>
      <c r="J5498" s="138">
        <v>0</v>
      </c>
    </row>
    <row r="5499" spans="1:10" ht="15.75" hidden="1" thickBot="1" x14ac:dyDescent="0.3">
      <c r="A5499" s="221"/>
      <c r="B5499" s="223"/>
      <c r="C5499" s="26"/>
      <c r="D5499" s="26"/>
      <c r="E5499" s="27"/>
      <c r="F5499" s="37" t="s">
        <v>521</v>
      </c>
      <c r="G5499" s="25" t="str">
        <f t="shared" si="108"/>
        <v/>
      </c>
      <c r="H5499" s="29"/>
      <c r="I5499" s="25"/>
      <c r="J5499" s="138">
        <v>0</v>
      </c>
    </row>
    <row r="5500" spans="1:10" ht="15.75" hidden="1" thickBot="1" x14ac:dyDescent="0.3">
      <c r="A5500" s="221"/>
      <c r="B5500" s="223"/>
      <c r="C5500" s="30" t="s">
        <v>2234</v>
      </c>
      <c r="D5500" s="30" t="s">
        <v>12</v>
      </c>
      <c r="E5500" s="31">
        <v>1</v>
      </c>
      <c r="F5500" s="25">
        <v>103.759</v>
      </c>
      <c r="G5500" s="28">
        <f t="shared" si="108"/>
        <v>103.759</v>
      </c>
      <c r="H5500" s="33">
        <f>SUM(G5500:G5500)</f>
        <v>103.759</v>
      </c>
      <c r="I5500" s="34"/>
      <c r="J5500" s="138">
        <v>0</v>
      </c>
    </row>
    <row r="5501" spans="1:10" ht="15.75" hidden="1" thickBot="1" x14ac:dyDescent="0.3">
      <c r="A5501" s="227"/>
      <c r="B5501" s="224"/>
      <c r="C5501" s="30"/>
      <c r="D5501" s="30"/>
      <c r="E5501" s="31"/>
      <c r="F5501" s="25" t="s">
        <v>521</v>
      </c>
      <c r="G5501" s="25" t="str">
        <f t="shared" ref="G5501:G5564" si="109">IF(ISNUMBER(F5501),E5501*F5501,"")</f>
        <v/>
      </c>
      <c r="H5501" s="29"/>
      <c r="I5501" s="25"/>
      <c r="J5501" s="138">
        <v>0</v>
      </c>
    </row>
    <row r="5502" spans="1:10" ht="15.75" hidden="1" thickBot="1" x14ac:dyDescent="0.3">
      <c r="A5502" s="220" t="s">
        <v>2001</v>
      </c>
      <c r="B5502" s="222" t="e">
        <f>INDEX(Orçamentária!A:B,MATCH(Composições!A5502,Orçamentária!A:A,0),2)</f>
        <v>#N/A</v>
      </c>
      <c r="C5502" s="35"/>
      <c r="D5502" s="20" t="s">
        <v>20</v>
      </c>
      <c r="E5502" s="21"/>
      <c r="F5502" s="36" t="s">
        <v>521</v>
      </c>
      <c r="G5502" s="22" t="str">
        <f t="shared" si="109"/>
        <v/>
      </c>
      <c r="H5502" s="23"/>
      <c r="I5502" s="24"/>
      <c r="J5502" s="138">
        <v>0</v>
      </c>
    </row>
    <row r="5503" spans="1:10" ht="15.75" hidden="1" thickBot="1" x14ac:dyDescent="0.3">
      <c r="A5503" s="221"/>
      <c r="B5503" s="223"/>
      <c r="C5503" s="26"/>
      <c r="D5503" s="26"/>
      <c r="E5503" s="27"/>
      <c r="F5503" s="37" t="s">
        <v>521</v>
      </c>
      <c r="G5503" s="25" t="str">
        <f t="shared" si="109"/>
        <v/>
      </c>
      <c r="H5503" s="29"/>
      <c r="I5503" s="25"/>
      <c r="J5503" s="138">
        <v>0</v>
      </c>
    </row>
    <row r="5504" spans="1:10" ht="39" hidden="1" thickBot="1" x14ac:dyDescent="0.3">
      <c r="A5504" s="221"/>
      <c r="B5504" s="223"/>
      <c r="C5504" s="30" t="s">
        <v>1128</v>
      </c>
      <c r="D5504" s="30" t="s">
        <v>279</v>
      </c>
      <c r="E5504" s="31">
        <v>3</v>
      </c>
      <c r="F5504" s="25">
        <v>1.2255</v>
      </c>
      <c r="G5504" s="28">
        <f t="shared" si="109"/>
        <v>3.6764999999999999</v>
      </c>
      <c r="H5504" s="33">
        <f>SUM(G5504:G5507)</f>
        <v>18.503114849999999</v>
      </c>
      <c r="I5504" s="34"/>
      <c r="J5504" s="138">
        <v>0</v>
      </c>
    </row>
    <row r="5505" spans="1:10" ht="15.75" hidden="1" thickBot="1" x14ac:dyDescent="0.3">
      <c r="A5505" s="221"/>
      <c r="B5505" s="223"/>
      <c r="C5505" s="30" t="s">
        <v>2235</v>
      </c>
      <c r="D5505" s="30" t="s">
        <v>279</v>
      </c>
      <c r="E5505" s="31">
        <v>1</v>
      </c>
      <c r="F5505" s="25" t="s">
        <v>521</v>
      </c>
      <c r="G5505" s="28" t="str">
        <f t="shared" si="109"/>
        <v/>
      </c>
      <c r="H5505" s="29"/>
      <c r="I5505" s="25"/>
      <c r="J5505" s="138">
        <v>0</v>
      </c>
    </row>
    <row r="5506" spans="1:10" ht="15.75" hidden="1" thickBot="1" x14ac:dyDescent="0.3">
      <c r="A5506" s="221"/>
      <c r="B5506" s="223"/>
      <c r="C5506" s="30" t="s">
        <v>30</v>
      </c>
      <c r="D5506" s="30" t="s">
        <v>702</v>
      </c>
      <c r="E5506" s="31">
        <v>0.4743</v>
      </c>
      <c r="F5506" s="25">
        <v>25.146499999999996</v>
      </c>
      <c r="G5506" s="28">
        <f t="shared" si="109"/>
        <v>11.926984949999998</v>
      </c>
      <c r="H5506" s="29"/>
      <c r="I5506" s="25"/>
      <c r="J5506" s="138">
        <v>0</v>
      </c>
    </row>
    <row r="5507" spans="1:10" ht="15.75" hidden="1" thickBot="1" x14ac:dyDescent="0.3">
      <c r="A5507" s="221"/>
      <c r="B5507" s="223"/>
      <c r="C5507" s="30" t="s">
        <v>74</v>
      </c>
      <c r="D5507" s="30" t="s">
        <v>702</v>
      </c>
      <c r="E5507" s="31">
        <v>0.14940000000000001</v>
      </c>
      <c r="F5507" s="25">
        <v>19.4085</v>
      </c>
      <c r="G5507" s="28">
        <f t="shared" si="109"/>
        <v>2.8996299000000003</v>
      </c>
      <c r="H5507" s="29"/>
      <c r="I5507" s="25"/>
      <c r="J5507" s="138">
        <v>0</v>
      </c>
    </row>
    <row r="5508" spans="1:10" ht="15.75" hidden="1" thickBot="1" x14ac:dyDescent="0.3">
      <c r="A5508" s="227"/>
      <c r="B5508" s="224"/>
      <c r="C5508" s="30"/>
      <c r="D5508" s="30"/>
      <c r="E5508" s="31"/>
      <c r="F5508" s="25" t="s">
        <v>521</v>
      </c>
      <c r="G5508" s="25" t="str">
        <f t="shared" si="109"/>
        <v/>
      </c>
      <c r="H5508" s="29"/>
      <c r="I5508" s="25"/>
      <c r="J5508" s="138">
        <v>0</v>
      </c>
    </row>
    <row r="5509" spans="1:10" ht="15.75" hidden="1" thickBot="1" x14ac:dyDescent="0.3">
      <c r="A5509" s="220" t="s">
        <v>2002</v>
      </c>
      <c r="B5509" s="222" t="e">
        <f>INDEX(Orçamentária!A:B,MATCH(Composições!A5509,Orçamentária!A:A,0),2)</f>
        <v>#N/A</v>
      </c>
      <c r="C5509" s="35"/>
      <c r="D5509" s="20" t="s">
        <v>102</v>
      </c>
      <c r="E5509" s="21"/>
      <c r="F5509" s="36" t="s">
        <v>521</v>
      </c>
      <c r="G5509" s="22" t="str">
        <f t="shared" si="109"/>
        <v/>
      </c>
      <c r="H5509" s="23"/>
      <c r="I5509" s="24"/>
      <c r="J5509" s="138">
        <v>0</v>
      </c>
    </row>
    <row r="5510" spans="1:10" ht="15.75" hidden="1" thickBot="1" x14ac:dyDescent="0.3">
      <c r="A5510" s="221"/>
      <c r="B5510" s="223"/>
      <c r="C5510" s="26"/>
      <c r="D5510" s="26"/>
      <c r="E5510" s="27"/>
      <c r="F5510" s="37" t="s">
        <v>521</v>
      </c>
      <c r="G5510" s="25" t="str">
        <f t="shared" si="109"/>
        <v/>
      </c>
      <c r="H5510" s="29"/>
      <c r="I5510" s="25"/>
      <c r="J5510" s="138">
        <v>0</v>
      </c>
    </row>
    <row r="5511" spans="1:10" ht="15.75" hidden="1" thickBot="1" x14ac:dyDescent="0.3">
      <c r="A5511" s="221"/>
      <c r="B5511" s="223"/>
      <c r="C5511" s="30" t="s">
        <v>2617</v>
      </c>
      <c r="D5511" s="30" t="s">
        <v>102</v>
      </c>
      <c r="E5511" s="31">
        <v>1</v>
      </c>
      <c r="F5511" s="25">
        <v>7.0869999999999997</v>
      </c>
      <c r="G5511" s="28">
        <f t="shared" si="109"/>
        <v>7.0869999999999997</v>
      </c>
      <c r="H5511" s="33">
        <f>SUM(G5511:G5511)</f>
        <v>7.0869999999999997</v>
      </c>
      <c r="I5511" s="34"/>
      <c r="J5511" s="138">
        <v>0</v>
      </c>
    </row>
    <row r="5512" spans="1:10" ht="15.75" hidden="1" thickBot="1" x14ac:dyDescent="0.3">
      <c r="A5512" s="227"/>
      <c r="B5512" s="224"/>
      <c r="C5512" s="30"/>
      <c r="D5512" s="30"/>
      <c r="E5512" s="31"/>
      <c r="F5512" s="25" t="s">
        <v>521</v>
      </c>
      <c r="G5512" s="25" t="str">
        <f t="shared" si="109"/>
        <v/>
      </c>
      <c r="H5512" s="29"/>
      <c r="I5512" s="25"/>
      <c r="J5512" s="138">
        <v>0</v>
      </c>
    </row>
    <row r="5513" spans="1:10" ht="15.75" hidden="1" thickBot="1" x14ac:dyDescent="0.3">
      <c r="A5513" s="228" t="s">
        <v>2003</v>
      </c>
      <c r="B5513" s="222" t="e">
        <f>INDEX(Orçamentária!A:B,MATCH(Composições!A5513,Orçamentária!A:A,0),2)</f>
        <v>#N/A</v>
      </c>
      <c r="C5513" s="35"/>
      <c r="D5513" s="20" t="s">
        <v>1503</v>
      </c>
      <c r="E5513" s="21"/>
      <c r="F5513" s="43" t="s">
        <v>521</v>
      </c>
      <c r="G5513" s="22" t="str">
        <f t="shared" si="109"/>
        <v/>
      </c>
      <c r="H5513" s="23"/>
      <c r="I5513" s="24"/>
      <c r="J5513" s="138">
        <v>0</v>
      </c>
    </row>
    <row r="5514" spans="1:10" ht="15.75" hidden="1" thickBot="1" x14ac:dyDescent="0.3">
      <c r="A5514" s="234"/>
      <c r="B5514" s="223"/>
      <c r="C5514" s="152"/>
      <c r="D5514" s="26"/>
      <c r="E5514" s="153"/>
      <c r="F5514" s="48" t="s">
        <v>521</v>
      </c>
      <c r="G5514" s="48" t="str">
        <f t="shared" si="109"/>
        <v/>
      </c>
      <c r="H5514" s="67"/>
      <c r="I5514" s="68"/>
      <c r="J5514" s="138">
        <v>0</v>
      </c>
    </row>
    <row r="5515" spans="1:10" ht="15.75" hidden="1" thickBot="1" x14ac:dyDescent="0.3">
      <c r="A5515" s="234"/>
      <c r="B5515" s="223"/>
      <c r="C5515" s="30" t="s">
        <v>1614</v>
      </c>
      <c r="D5515" s="30" t="s">
        <v>12</v>
      </c>
      <c r="E5515" s="146">
        <f>ROUND(220/(1+110.14%),4)</f>
        <v>104.6921</v>
      </c>
      <c r="F5515" s="25">
        <v>103.759</v>
      </c>
      <c r="G5515" s="48">
        <f t="shared" si="109"/>
        <v>10862.747603899999</v>
      </c>
      <c r="H5515" s="33">
        <f>SUM(G5515:G5515)</f>
        <v>10862.747603899999</v>
      </c>
      <c r="I5515" s="34"/>
      <c r="J5515" s="138">
        <v>0</v>
      </c>
    </row>
    <row r="5516" spans="1:10" ht="15.75" hidden="1" thickBot="1" x14ac:dyDescent="0.3">
      <c r="A5516" s="234"/>
      <c r="B5516" s="223"/>
      <c r="C5516" s="152"/>
      <c r="D5516" s="26"/>
      <c r="E5516" s="153"/>
      <c r="F5516" s="48" t="s">
        <v>521</v>
      </c>
      <c r="G5516" s="48" t="str">
        <f t="shared" si="109"/>
        <v/>
      </c>
      <c r="H5516" s="67"/>
      <c r="I5516" s="68"/>
      <c r="J5516" s="138">
        <v>0</v>
      </c>
    </row>
    <row r="5517" spans="1:10" ht="26.25" hidden="1" thickBot="1" x14ac:dyDescent="0.3">
      <c r="A5517" s="234"/>
      <c r="B5517" s="223"/>
      <c r="C5517" s="42" t="s">
        <v>780</v>
      </c>
      <c r="D5517" s="26"/>
      <c r="E5517" s="153"/>
      <c r="F5517" s="48" t="s">
        <v>521</v>
      </c>
      <c r="G5517" s="48" t="str">
        <f t="shared" si="109"/>
        <v/>
      </c>
      <c r="H5517" s="67"/>
      <c r="I5517" s="68"/>
      <c r="J5517" s="138">
        <v>0</v>
      </c>
    </row>
    <row r="5518" spans="1:10" ht="15.75" hidden="1" thickBot="1" x14ac:dyDescent="0.3">
      <c r="A5518" s="235"/>
      <c r="B5518" s="224"/>
      <c r="C5518" s="49"/>
      <c r="D5518" s="148"/>
      <c r="E5518" s="60"/>
      <c r="F5518" s="70" t="s">
        <v>521</v>
      </c>
      <c r="G5518" s="70" t="str">
        <f t="shared" si="109"/>
        <v/>
      </c>
      <c r="H5518" s="71"/>
      <c r="I5518" s="68"/>
      <c r="J5518" s="138">
        <v>0</v>
      </c>
    </row>
    <row r="5519" spans="1:10" ht="15.75" hidden="1" thickBot="1" x14ac:dyDescent="0.3">
      <c r="A5519" s="228" t="s">
        <v>2004</v>
      </c>
      <c r="B5519" s="222" t="e">
        <f>INDEX(Orçamentária!A:B,MATCH(Composições!A5519,Orçamentária!A:A,0),2)</f>
        <v>#N/A</v>
      </c>
      <c r="C5519" s="35"/>
      <c r="D5519" s="20" t="s">
        <v>1503</v>
      </c>
      <c r="E5519" s="21"/>
      <c r="F5519" s="43" t="s">
        <v>521</v>
      </c>
      <c r="G5519" s="22" t="str">
        <f t="shared" si="109"/>
        <v/>
      </c>
      <c r="H5519" s="23"/>
      <c r="I5519" s="24"/>
      <c r="J5519" s="138">
        <v>0</v>
      </c>
    </row>
    <row r="5520" spans="1:10" ht="15.75" hidden="1" thickBot="1" x14ac:dyDescent="0.3">
      <c r="A5520" s="234"/>
      <c r="B5520" s="223"/>
      <c r="C5520" s="152"/>
      <c r="D5520" s="26"/>
      <c r="E5520" s="153"/>
      <c r="F5520" s="48" t="s">
        <v>521</v>
      </c>
      <c r="G5520" s="48" t="str">
        <f t="shared" si="109"/>
        <v/>
      </c>
      <c r="H5520" s="67"/>
      <c r="I5520" s="68"/>
      <c r="J5520" s="138">
        <v>0</v>
      </c>
    </row>
    <row r="5521" spans="1:10" ht="15.75" hidden="1" thickBot="1" x14ac:dyDescent="0.3">
      <c r="A5521" s="234"/>
      <c r="B5521" s="223"/>
      <c r="C5521" s="30" t="s">
        <v>1614</v>
      </c>
      <c r="D5521" s="30" t="s">
        <v>12</v>
      </c>
      <c r="E5521" s="146">
        <f>ROUND(220/(1+110.14%),4)</f>
        <v>104.6921</v>
      </c>
      <c r="F5521" s="25">
        <v>103.759</v>
      </c>
      <c r="G5521" s="48">
        <f t="shared" si="109"/>
        <v>10862.747603899999</v>
      </c>
      <c r="H5521" s="33">
        <f>SUM(G5521:G5521)</f>
        <v>10862.747603899999</v>
      </c>
      <c r="I5521" s="34"/>
      <c r="J5521" s="138">
        <v>0</v>
      </c>
    </row>
    <row r="5522" spans="1:10" ht="15.75" hidden="1" thickBot="1" x14ac:dyDescent="0.3">
      <c r="A5522" s="234"/>
      <c r="B5522" s="223"/>
      <c r="C5522" s="152"/>
      <c r="D5522" s="26"/>
      <c r="E5522" s="153"/>
      <c r="F5522" s="48" t="s">
        <v>521</v>
      </c>
      <c r="G5522" s="48" t="str">
        <f t="shared" si="109"/>
        <v/>
      </c>
      <c r="H5522" s="67"/>
      <c r="I5522" s="68"/>
      <c r="J5522" s="138">
        <v>0</v>
      </c>
    </row>
    <row r="5523" spans="1:10" ht="26.25" hidden="1" thickBot="1" x14ac:dyDescent="0.3">
      <c r="A5523" s="234"/>
      <c r="B5523" s="223"/>
      <c r="C5523" s="42" t="s">
        <v>780</v>
      </c>
      <c r="D5523" s="26"/>
      <c r="E5523" s="153"/>
      <c r="F5523" s="48" t="s">
        <v>521</v>
      </c>
      <c r="G5523" s="48" t="str">
        <f t="shared" si="109"/>
        <v/>
      </c>
      <c r="H5523" s="67"/>
      <c r="I5523" s="68"/>
      <c r="J5523" s="138">
        <v>0</v>
      </c>
    </row>
    <row r="5524" spans="1:10" ht="15.75" hidden="1" thickBot="1" x14ac:dyDescent="0.3">
      <c r="A5524" s="235"/>
      <c r="B5524" s="224"/>
      <c r="C5524" s="49"/>
      <c r="D5524" s="148"/>
      <c r="E5524" s="60"/>
      <c r="F5524" s="70" t="s">
        <v>521</v>
      </c>
      <c r="G5524" s="70" t="str">
        <f t="shared" si="109"/>
        <v/>
      </c>
      <c r="H5524" s="71"/>
      <c r="I5524" s="68"/>
      <c r="J5524" s="138">
        <v>0</v>
      </c>
    </row>
    <row r="5525" spans="1:10" ht="15.75" hidden="1" thickBot="1" x14ac:dyDescent="0.3">
      <c r="A5525" s="228" t="s">
        <v>2005</v>
      </c>
      <c r="B5525" s="222" t="e">
        <f>INDEX(Orçamentária!A:B,MATCH(Composições!A5525,Orçamentária!A:A,0),2)</f>
        <v>#N/A</v>
      </c>
      <c r="C5525" s="35"/>
      <c r="D5525" s="20" t="s">
        <v>1503</v>
      </c>
      <c r="E5525" s="21"/>
      <c r="F5525" s="43" t="s">
        <v>521</v>
      </c>
      <c r="G5525" s="22" t="str">
        <f t="shared" si="109"/>
        <v/>
      </c>
      <c r="H5525" s="23"/>
      <c r="I5525" s="24"/>
      <c r="J5525" s="138">
        <v>0</v>
      </c>
    </row>
    <row r="5526" spans="1:10" ht="15.75" hidden="1" thickBot="1" x14ac:dyDescent="0.3">
      <c r="A5526" s="234"/>
      <c r="B5526" s="223"/>
      <c r="C5526" s="152"/>
      <c r="D5526" s="26"/>
      <c r="E5526" s="153"/>
      <c r="F5526" s="48" t="s">
        <v>521</v>
      </c>
      <c r="G5526" s="48" t="str">
        <f t="shared" si="109"/>
        <v/>
      </c>
      <c r="H5526" s="67"/>
      <c r="I5526" s="68"/>
      <c r="J5526" s="138">
        <v>0</v>
      </c>
    </row>
    <row r="5527" spans="1:10" ht="26.25" hidden="1" thickBot="1" x14ac:dyDescent="0.3">
      <c r="A5527" s="234"/>
      <c r="B5527" s="223"/>
      <c r="C5527" s="30" t="s">
        <v>1118</v>
      </c>
      <c r="D5527" s="30" t="s">
        <v>12</v>
      </c>
      <c r="E5527" s="146">
        <f>ROUND(220/(1+110.14%),4)</f>
        <v>104.6921</v>
      </c>
      <c r="F5527" s="25">
        <v>37.857500000000002</v>
      </c>
      <c r="G5527" s="48">
        <f t="shared" si="109"/>
        <v>3963.3811757500002</v>
      </c>
      <c r="H5527" s="33">
        <f>SUM(G5527:G5527)</f>
        <v>3963.3811757500002</v>
      </c>
      <c r="I5527" s="34"/>
      <c r="J5527" s="138">
        <v>0</v>
      </c>
    </row>
    <row r="5528" spans="1:10" ht="15.75" hidden="1" thickBot="1" x14ac:dyDescent="0.3">
      <c r="A5528" s="234"/>
      <c r="B5528" s="223"/>
      <c r="C5528" s="152"/>
      <c r="D5528" s="26"/>
      <c r="E5528" s="153"/>
      <c r="F5528" s="48" t="s">
        <v>521</v>
      </c>
      <c r="G5528" s="48" t="str">
        <f t="shared" si="109"/>
        <v/>
      </c>
      <c r="H5528" s="67"/>
      <c r="I5528" s="68"/>
      <c r="J5528" s="138">
        <v>0</v>
      </c>
    </row>
    <row r="5529" spans="1:10" ht="26.25" hidden="1" thickBot="1" x14ac:dyDescent="0.3">
      <c r="A5529" s="234"/>
      <c r="B5529" s="223"/>
      <c r="C5529" s="42" t="s">
        <v>780</v>
      </c>
      <c r="D5529" s="26"/>
      <c r="E5529" s="153"/>
      <c r="F5529" s="48" t="s">
        <v>521</v>
      </c>
      <c r="G5529" s="48" t="str">
        <f t="shared" si="109"/>
        <v/>
      </c>
      <c r="H5529" s="67"/>
      <c r="I5529" s="68"/>
      <c r="J5529" s="138">
        <v>0</v>
      </c>
    </row>
    <row r="5530" spans="1:10" ht="15.75" hidden="1" thickBot="1" x14ac:dyDescent="0.3">
      <c r="A5530" s="235"/>
      <c r="B5530" s="224"/>
      <c r="C5530" s="49"/>
      <c r="D5530" s="148"/>
      <c r="E5530" s="60"/>
      <c r="F5530" s="70" t="s">
        <v>521</v>
      </c>
      <c r="G5530" s="70" t="str">
        <f t="shared" si="109"/>
        <v/>
      </c>
      <c r="H5530" s="71"/>
      <c r="I5530" s="68"/>
      <c r="J5530" s="138">
        <v>0</v>
      </c>
    </row>
    <row r="5531" spans="1:10" ht="15.75" hidden="1" thickBot="1" x14ac:dyDescent="0.3">
      <c r="A5531" s="228" t="s">
        <v>2006</v>
      </c>
      <c r="B5531" s="222" t="e">
        <f>INDEX(Orçamentária!A:B,MATCH(Composições!A5531,Orçamentária!A:A,0),2)</f>
        <v>#N/A</v>
      </c>
      <c r="C5531" s="35"/>
      <c r="D5531" s="20" t="s">
        <v>1503</v>
      </c>
      <c r="E5531" s="21"/>
      <c r="F5531" s="43" t="s">
        <v>521</v>
      </c>
      <c r="G5531" s="22" t="str">
        <f t="shared" si="109"/>
        <v/>
      </c>
      <c r="H5531" s="23"/>
      <c r="I5531" s="24"/>
      <c r="J5531" s="138">
        <v>0</v>
      </c>
    </row>
    <row r="5532" spans="1:10" ht="15.75" hidden="1" thickBot="1" x14ac:dyDescent="0.3">
      <c r="A5532" s="234"/>
      <c r="B5532" s="223"/>
      <c r="C5532" s="152"/>
      <c r="D5532" s="26"/>
      <c r="E5532" s="153"/>
      <c r="F5532" s="48" t="s">
        <v>521</v>
      </c>
      <c r="G5532" s="48" t="str">
        <f t="shared" si="109"/>
        <v/>
      </c>
      <c r="H5532" s="67"/>
      <c r="I5532" s="68"/>
      <c r="J5532" s="138">
        <v>0</v>
      </c>
    </row>
    <row r="5533" spans="1:10" ht="15.75" hidden="1" thickBot="1" x14ac:dyDescent="0.3">
      <c r="A5533" s="234"/>
      <c r="B5533" s="223"/>
      <c r="C5533" s="30" t="s">
        <v>1615</v>
      </c>
      <c r="D5533" s="30" t="s">
        <v>12</v>
      </c>
      <c r="E5533" s="146">
        <f>ROUND(220/(1+110.14%),4)</f>
        <v>104.6921</v>
      </c>
      <c r="F5533" s="25">
        <v>18.0975</v>
      </c>
      <c r="G5533" s="48">
        <f t="shared" si="109"/>
        <v>1894.6652797499999</v>
      </c>
      <c r="H5533" s="33">
        <f>SUM(G5533:G5533)</f>
        <v>1894.6652797499999</v>
      </c>
      <c r="I5533" s="34"/>
      <c r="J5533" s="138">
        <v>0</v>
      </c>
    </row>
    <row r="5534" spans="1:10" ht="15.75" hidden="1" thickBot="1" x14ac:dyDescent="0.3">
      <c r="A5534" s="234"/>
      <c r="B5534" s="223"/>
      <c r="C5534" s="152"/>
      <c r="D5534" s="26"/>
      <c r="E5534" s="153"/>
      <c r="F5534" s="48" t="s">
        <v>521</v>
      </c>
      <c r="G5534" s="48" t="str">
        <f t="shared" si="109"/>
        <v/>
      </c>
      <c r="H5534" s="67"/>
      <c r="I5534" s="68"/>
      <c r="J5534" s="138">
        <v>0</v>
      </c>
    </row>
    <row r="5535" spans="1:10" ht="26.25" hidden="1" thickBot="1" x14ac:dyDescent="0.3">
      <c r="A5535" s="234"/>
      <c r="B5535" s="223"/>
      <c r="C5535" s="42" t="s">
        <v>780</v>
      </c>
      <c r="D5535" s="26"/>
      <c r="E5535" s="153"/>
      <c r="F5535" s="48" t="s">
        <v>521</v>
      </c>
      <c r="G5535" s="48" t="str">
        <f t="shared" si="109"/>
        <v/>
      </c>
      <c r="H5535" s="67"/>
      <c r="I5535" s="68"/>
      <c r="J5535" s="138">
        <v>0</v>
      </c>
    </row>
    <row r="5536" spans="1:10" ht="15.75" hidden="1" thickBot="1" x14ac:dyDescent="0.3">
      <c r="A5536" s="235"/>
      <c r="B5536" s="224"/>
      <c r="C5536" s="49"/>
      <c r="D5536" s="148"/>
      <c r="E5536" s="60"/>
      <c r="F5536" s="70" t="s">
        <v>521</v>
      </c>
      <c r="G5536" s="70" t="str">
        <f t="shared" si="109"/>
        <v/>
      </c>
      <c r="H5536" s="71"/>
      <c r="I5536" s="68"/>
      <c r="J5536" s="138">
        <v>0</v>
      </c>
    </row>
    <row r="5537" spans="1:10" ht="15.75" hidden="1" thickBot="1" x14ac:dyDescent="0.3">
      <c r="A5537" s="228" t="s">
        <v>2007</v>
      </c>
      <c r="B5537" s="222" t="e">
        <f>INDEX(Orçamentária!A:B,MATCH(Composições!A5537,Orçamentária!A:A,0),2)</f>
        <v>#N/A</v>
      </c>
      <c r="C5537" s="35"/>
      <c r="D5537" s="20" t="s">
        <v>1503</v>
      </c>
      <c r="E5537" s="21"/>
      <c r="F5537" s="43" t="s">
        <v>521</v>
      </c>
      <c r="G5537" s="22" t="str">
        <f t="shared" si="109"/>
        <v/>
      </c>
      <c r="H5537" s="23"/>
      <c r="I5537" s="24"/>
      <c r="J5537" s="138">
        <v>0</v>
      </c>
    </row>
    <row r="5538" spans="1:10" ht="15.75" hidden="1" thickBot="1" x14ac:dyDescent="0.3">
      <c r="A5538" s="234"/>
      <c r="B5538" s="223"/>
      <c r="C5538" s="152"/>
      <c r="D5538" s="26"/>
      <c r="E5538" s="153"/>
      <c r="F5538" s="48" t="s">
        <v>521</v>
      </c>
      <c r="G5538" s="48" t="str">
        <f t="shared" si="109"/>
        <v/>
      </c>
      <c r="H5538" s="67"/>
      <c r="I5538" s="68"/>
      <c r="J5538" s="138">
        <v>0</v>
      </c>
    </row>
    <row r="5539" spans="1:10" ht="15.75" hidden="1" thickBot="1" x14ac:dyDescent="0.3">
      <c r="A5539" s="234"/>
      <c r="B5539" s="223"/>
      <c r="C5539" s="30" t="s">
        <v>1610</v>
      </c>
      <c r="D5539" s="30" t="s">
        <v>12</v>
      </c>
      <c r="E5539" s="146">
        <f>ROUND(220/(1+110.14%),4)</f>
        <v>104.6921</v>
      </c>
      <c r="F5539" s="25">
        <v>20.405999999999999</v>
      </c>
      <c r="G5539" s="48">
        <f t="shared" si="109"/>
        <v>2136.3469925999998</v>
      </c>
      <c r="H5539" s="33">
        <f>SUM(G5539:G5539)</f>
        <v>2136.3469925999998</v>
      </c>
      <c r="I5539" s="34"/>
      <c r="J5539" s="138">
        <v>0</v>
      </c>
    </row>
    <row r="5540" spans="1:10" ht="15.75" hidden="1" thickBot="1" x14ac:dyDescent="0.3">
      <c r="A5540" s="234"/>
      <c r="B5540" s="223"/>
      <c r="C5540" s="152"/>
      <c r="D5540" s="26"/>
      <c r="E5540" s="153"/>
      <c r="F5540" s="48" t="s">
        <v>521</v>
      </c>
      <c r="G5540" s="48" t="str">
        <f t="shared" si="109"/>
        <v/>
      </c>
      <c r="H5540" s="67"/>
      <c r="I5540" s="68"/>
      <c r="J5540" s="138">
        <v>0</v>
      </c>
    </row>
    <row r="5541" spans="1:10" ht="26.25" hidden="1" thickBot="1" x14ac:dyDescent="0.3">
      <c r="A5541" s="234"/>
      <c r="B5541" s="223"/>
      <c r="C5541" s="42" t="s">
        <v>780</v>
      </c>
      <c r="D5541" s="26"/>
      <c r="E5541" s="153"/>
      <c r="F5541" s="48" t="s">
        <v>521</v>
      </c>
      <c r="G5541" s="48" t="str">
        <f t="shared" si="109"/>
        <v/>
      </c>
      <c r="H5541" s="67"/>
      <c r="I5541" s="68"/>
      <c r="J5541" s="138">
        <v>0</v>
      </c>
    </row>
    <row r="5542" spans="1:10" ht="15.75" hidden="1" thickBot="1" x14ac:dyDescent="0.3">
      <c r="A5542" s="235"/>
      <c r="B5542" s="224"/>
      <c r="C5542" s="49"/>
      <c r="D5542" s="148"/>
      <c r="E5542" s="60"/>
      <c r="F5542" s="70" t="s">
        <v>521</v>
      </c>
      <c r="G5542" s="70" t="str">
        <f t="shared" si="109"/>
        <v/>
      </c>
      <c r="H5542" s="71"/>
      <c r="I5542" s="68"/>
      <c r="J5542" s="138">
        <v>0</v>
      </c>
    </row>
    <row r="5543" spans="1:10" ht="15.75" hidden="1" thickBot="1" x14ac:dyDescent="0.3">
      <c r="A5543" s="228" t="s">
        <v>2008</v>
      </c>
      <c r="B5543" s="222" t="e">
        <f>INDEX(Orçamentária!A:B,MATCH(Composições!A5543,Orçamentária!A:A,0),2)</f>
        <v>#N/A</v>
      </c>
      <c r="C5543" s="35"/>
      <c r="D5543" s="20" t="s">
        <v>1503</v>
      </c>
      <c r="E5543" s="21"/>
      <c r="F5543" s="43" t="s">
        <v>521</v>
      </c>
      <c r="G5543" s="22" t="str">
        <f t="shared" si="109"/>
        <v/>
      </c>
      <c r="H5543" s="23"/>
      <c r="I5543" s="24"/>
      <c r="J5543" s="138">
        <v>0</v>
      </c>
    </row>
    <row r="5544" spans="1:10" ht="15.75" hidden="1" thickBot="1" x14ac:dyDescent="0.3">
      <c r="A5544" s="234"/>
      <c r="B5544" s="223"/>
      <c r="C5544" s="152"/>
      <c r="D5544" s="26"/>
      <c r="E5544" s="153"/>
      <c r="F5544" s="48" t="s">
        <v>521</v>
      </c>
      <c r="G5544" s="48" t="str">
        <f t="shared" si="109"/>
        <v/>
      </c>
      <c r="H5544" s="67"/>
      <c r="I5544" s="68"/>
      <c r="J5544" s="138">
        <v>0</v>
      </c>
    </row>
    <row r="5545" spans="1:10" ht="15.75" hidden="1" thickBot="1" x14ac:dyDescent="0.3">
      <c r="A5545" s="234"/>
      <c r="B5545" s="223"/>
      <c r="C5545" s="30" t="s">
        <v>1611</v>
      </c>
      <c r="D5545" s="30" t="s">
        <v>12</v>
      </c>
      <c r="E5545" s="146">
        <f>ROUND(220/(1+110.14%),4)</f>
        <v>104.6921</v>
      </c>
      <c r="F5545" s="25">
        <v>14.725</v>
      </c>
      <c r="G5545" s="48">
        <f t="shared" si="109"/>
        <v>1541.5911724999999</v>
      </c>
      <c r="H5545" s="33">
        <f>SUM(G5545:G5545)</f>
        <v>1541.5911724999999</v>
      </c>
      <c r="I5545" s="34"/>
      <c r="J5545" s="138">
        <v>0</v>
      </c>
    </row>
    <row r="5546" spans="1:10" ht="15.75" hidden="1" thickBot="1" x14ac:dyDescent="0.3">
      <c r="A5546" s="234"/>
      <c r="B5546" s="223"/>
      <c r="C5546" s="152"/>
      <c r="D5546" s="26"/>
      <c r="E5546" s="153"/>
      <c r="F5546" s="48" t="s">
        <v>521</v>
      </c>
      <c r="G5546" s="48" t="str">
        <f t="shared" si="109"/>
        <v/>
      </c>
      <c r="H5546" s="67"/>
      <c r="I5546" s="68"/>
      <c r="J5546" s="138">
        <v>0</v>
      </c>
    </row>
    <row r="5547" spans="1:10" ht="26.25" hidden="1" thickBot="1" x14ac:dyDescent="0.3">
      <c r="A5547" s="234"/>
      <c r="B5547" s="223"/>
      <c r="C5547" s="42" t="s">
        <v>780</v>
      </c>
      <c r="D5547" s="26"/>
      <c r="E5547" s="153"/>
      <c r="F5547" s="48" t="s">
        <v>521</v>
      </c>
      <c r="G5547" s="48" t="str">
        <f t="shared" si="109"/>
        <v/>
      </c>
      <c r="H5547" s="67"/>
      <c r="I5547" s="68"/>
      <c r="J5547" s="138">
        <v>0</v>
      </c>
    </row>
    <row r="5548" spans="1:10" ht="15.75" hidden="1" thickBot="1" x14ac:dyDescent="0.3">
      <c r="A5548" s="235"/>
      <c r="B5548" s="224"/>
      <c r="C5548" s="49"/>
      <c r="D5548" s="148"/>
      <c r="E5548" s="60"/>
      <c r="F5548" s="70" t="s">
        <v>521</v>
      </c>
      <c r="G5548" s="70" t="str">
        <f t="shared" si="109"/>
        <v/>
      </c>
      <c r="H5548" s="71"/>
      <c r="I5548" s="68"/>
      <c r="J5548" s="138">
        <v>0</v>
      </c>
    </row>
    <row r="5549" spans="1:10" ht="15.75" hidden="1" thickBot="1" x14ac:dyDescent="0.3">
      <c r="A5549" s="228" t="s">
        <v>2009</v>
      </c>
      <c r="B5549" s="222" t="e">
        <f>INDEX(Orçamentária!A:B,MATCH(Composições!A5549,Orçamentária!A:A,0),2)</f>
        <v>#N/A</v>
      </c>
      <c r="C5549" s="35"/>
      <c r="D5549" s="20" t="s">
        <v>1503</v>
      </c>
      <c r="E5549" s="21"/>
      <c r="F5549" s="43" t="s">
        <v>521</v>
      </c>
      <c r="G5549" s="22" t="str">
        <f t="shared" si="109"/>
        <v/>
      </c>
      <c r="H5549" s="23"/>
      <c r="I5549" s="24"/>
      <c r="J5549" s="138">
        <v>0</v>
      </c>
    </row>
    <row r="5550" spans="1:10" ht="15.75" hidden="1" thickBot="1" x14ac:dyDescent="0.3">
      <c r="A5550" s="234"/>
      <c r="B5550" s="223"/>
      <c r="C5550" s="152"/>
      <c r="D5550" s="26"/>
      <c r="E5550" s="153"/>
      <c r="F5550" s="48" t="s">
        <v>521</v>
      </c>
      <c r="G5550" s="48" t="str">
        <f t="shared" si="109"/>
        <v/>
      </c>
      <c r="H5550" s="67"/>
      <c r="I5550" s="68"/>
      <c r="J5550" s="138">
        <v>0</v>
      </c>
    </row>
    <row r="5551" spans="1:10" ht="15.75" hidden="1" thickBot="1" x14ac:dyDescent="0.3">
      <c r="A5551" s="234"/>
      <c r="B5551" s="223"/>
      <c r="C5551" s="30" t="s">
        <v>1606</v>
      </c>
      <c r="D5551" s="30" t="s">
        <v>12</v>
      </c>
      <c r="E5551" s="146">
        <f>ROUND(220/(1+110.14%),4)</f>
        <v>104.6921</v>
      </c>
      <c r="F5551" s="25">
        <v>30.551999999999996</v>
      </c>
      <c r="G5551" s="48">
        <f t="shared" si="109"/>
        <v>3198.5530391999996</v>
      </c>
      <c r="H5551" s="33">
        <f>SUM(G5551:G5551)</f>
        <v>3198.5530391999996</v>
      </c>
      <c r="I5551" s="34"/>
      <c r="J5551" s="138">
        <v>0</v>
      </c>
    </row>
    <row r="5552" spans="1:10" ht="15.75" hidden="1" thickBot="1" x14ac:dyDescent="0.3">
      <c r="A5552" s="234"/>
      <c r="B5552" s="223"/>
      <c r="C5552" s="152"/>
      <c r="D5552" s="26"/>
      <c r="E5552" s="153"/>
      <c r="F5552" s="48" t="s">
        <v>521</v>
      </c>
      <c r="G5552" s="48" t="str">
        <f t="shared" si="109"/>
        <v/>
      </c>
      <c r="H5552" s="67"/>
      <c r="I5552" s="68"/>
      <c r="J5552" s="138">
        <v>0</v>
      </c>
    </row>
    <row r="5553" spans="1:10" ht="26.25" hidden="1" thickBot="1" x14ac:dyDescent="0.3">
      <c r="A5553" s="234"/>
      <c r="B5553" s="223"/>
      <c r="C5553" s="42" t="s">
        <v>780</v>
      </c>
      <c r="D5553" s="26"/>
      <c r="E5553" s="153"/>
      <c r="F5553" s="48" t="s">
        <v>521</v>
      </c>
      <c r="G5553" s="48" t="str">
        <f t="shared" si="109"/>
        <v/>
      </c>
      <c r="H5553" s="67"/>
      <c r="I5553" s="68"/>
      <c r="J5553" s="138">
        <v>0</v>
      </c>
    </row>
    <row r="5554" spans="1:10" ht="15.75" hidden="1" thickBot="1" x14ac:dyDescent="0.3">
      <c r="A5554" s="235"/>
      <c r="B5554" s="224"/>
      <c r="C5554" s="49"/>
      <c r="D5554" s="148"/>
      <c r="E5554" s="60"/>
      <c r="F5554" s="70" t="s">
        <v>521</v>
      </c>
      <c r="G5554" s="70" t="str">
        <f t="shared" si="109"/>
        <v/>
      </c>
      <c r="H5554" s="71"/>
      <c r="I5554" s="68"/>
      <c r="J5554" s="138">
        <v>0</v>
      </c>
    </row>
    <row r="5555" spans="1:10" ht="15.75" hidden="1" thickBot="1" x14ac:dyDescent="0.3">
      <c r="A5555" s="228" t="s">
        <v>2010</v>
      </c>
      <c r="B5555" s="222" t="e">
        <f>INDEX(Orçamentária!A:B,MATCH(Composições!A5555,Orçamentária!A:A,0),2)</f>
        <v>#N/A</v>
      </c>
      <c r="C5555" s="35"/>
      <c r="D5555" s="20" t="s">
        <v>1503</v>
      </c>
      <c r="E5555" s="21"/>
      <c r="F5555" s="43" t="s">
        <v>521</v>
      </c>
      <c r="G5555" s="22" t="str">
        <f t="shared" si="109"/>
        <v/>
      </c>
      <c r="H5555" s="23"/>
      <c r="I5555" s="24"/>
      <c r="J5555" s="138">
        <v>0</v>
      </c>
    </row>
    <row r="5556" spans="1:10" ht="15.75" hidden="1" thickBot="1" x14ac:dyDescent="0.3">
      <c r="A5556" s="234"/>
      <c r="B5556" s="223"/>
      <c r="C5556" s="152"/>
      <c r="D5556" s="26"/>
      <c r="E5556" s="153"/>
      <c r="F5556" s="48" t="s">
        <v>521</v>
      </c>
      <c r="G5556" s="48" t="str">
        <f t="shared" si="109"/>
        <v/>
      </c>
      <c r="H5556" s="67"/>
      <c r="I5556" s="68"/>
      <c r="J5556" s="138">
        <v>0</v>
      </c>
    </row>
    <row r="5557" spans="1:10" ht="15.75" hidden="1" thickBot="1" x14ac:dyDescent="0.3">
      <c r="A5557" s="234"/>
      <c r="B5557" s="223"/>
      <c r="C5557" s="30" t="s">
        <v>1606</v>
      </c>
      <c r="D5557" s="30" t="s">
        <v>12</v>
      </c>
      <c r="E5557" s="146">
        <f>ROUND(220/(1+110.14%),4)</f>
        <v>104.6921</v>
      </c>
      <c r="F5557" s="25">
        <v>30.551999999999996</v>
      </c>
      <c r="G5557" s="48">
        <f t="shared" si="109"/>
        <v>3198.5530391999996</v>
      </c>
      <c r="H5557" s="33">
        <f>SUM(G5557:G5557)</f>
        <v>3198.5530391999996</v>
      </c>
      <c r="I5557" s="34"/>
      <c r="J5557" s="138">
        <v>0</v>
      </c>
    </row>
    <row r="5558" spans="1:10" ht="15.75" hidden="1" thickBot="1" x14ac:dyDescent="0.3">
      <c r="A5558" s="234"/>
      <c r="B5558" s="223"/>
      <c r="C5558" s="152"/>
      <c r="D5558" s="26"/>
      <c r="E5558" s="153"/>
      <c r="F5558" s="48" t="s">
        <v>521</v>
      </c>
      <c r="G5558" s="48" t="str">
        <f t="shared" si="109"/>
        <v/>
      </c>
      <c r="H5558" s="67"/>
      <c r="I5558" s="68"/>
      <c r="J5558" s="138">
        <v>0</v>
      </c>
    </row>
    <row r="5559" spans="1:10" ht="26.25" hidden="1" thickBot="1" x14ac:dyDescent="0.3">
      <c r="A5559" s="234"/>
      <c r="B5559" s="223"/>
      <c r="C5559" s="42" t="s">
        <v>780</v>
      </c>
      <c r="D5559" s="26"/>
      <c r="E5559" s="153"/>
      <c r="F5559" s="48" t="s">
        <v>521</v>
      </c>
      <c r="G5559" s="48" t="str">
        <f t="shared" si="109"/>
        <v/>
      </c>
      <c r="H5559" s="67"/>
      <c r="I5559" s="68"/>
      <c r="J5559" s="138">
        <v>0</v>
      </c>
    </row>
    <row r="5560" spans="1:10" ht="15.75" hidden="1" thickBot="1" x14ac:dyDescent="0.3">
      <c r="A5560" s="235"/>
      <c r="B5560" s="224"/>
      <c r="C5560" s="49"/>
      <c r="D5560" s="148"/>
      <c r="E5560" s="60"/>
      <c r="F5560" s="70" t="s">
        <v>521</v>
      </c>
      <c r="G5560" s="70" t="str">
        <f t="shared" si="109"/>
        <v/>
      </c>
      <c r="H5560" s="71"/>
      <c r="I5560" s="68"/>
      <c r="J5560" s="138">
        <v>0</v>
      </c>
    </row>
    <row r="5561" spans="1:10" ht="15.75" hidden="1" thickBot="1" x14ac:dyDescent="0.3">
      <c r="A5561" s="228" t="s">
        <v>2011</v>
      </c>
      <c r="B5561" s="222" t="e">
        <f>INDEX(Orçamentária!A:B,MATCH(Composições!A5561,Orçamentária!A:A,0),2)</f>
        <v>#N/A</v>
      </c>
      <c r="C5561" s="35"/>
      <c r="D5561" s="20" t="s">
        <v>1503</v>
      </c>
      <c r="E5561" s="21"/>
      <c r="F5561" s="43" t="s">
        <v>521</v>
      </c>
      <c r="G5561" s="22" t="str">
        <f t="shared" si="109"/>
        <v/>
      </c>
      <c r="H5561" s="23"/>
      <c r="I5561" s="24"/>
      <c r="J5561" s="138">
        <v>0</v>
      </c>
    </row>
    <row r="5562" spans="1:10" ht="15.75" hidden="1" thickBot="1" x14ac:dyDescent="0.3">
      <c r="A5562" s="234"/>
      <c r="B5562" s="223"/>
      <c r="C5562" s="152"/>
      <c r="D5562" s="26"/>
      <c r="E5562" s="153"/>
      <c r="F5562" s="48" t="s">
        <v>521</v>
      </c>
      <c r="G5562" s="48" t="str">
        <f t="shared" si="109"/>
        <v/>
      </c>
      <c r="H5562" s="67"/>
      <c r="I5562" s="68"/>
      <c r="J5562" s="138">
        <v>0</v>
      </c>
    </row>
    <row r="5563" spans="1:10" ht="15.75" hidden="1" thickBot="1" x14ac:dyDescent="0.3">
      <c r="A5563" s="234"/>
      <c r="B5563" s="223"/>
      <c r="C5563" s="30" t="s">
        <v>1606</v>
      </c>
      <c r="D5563" s="30" t="s">
        <v>12</v>
      </c>
      <c r="E5563" s="146">
        <f>ROUND(220/(1+110.14%),4)</f>
        <v>104.6921</v>
      </c>
      <c r="F5563" s="25">
        <v>30.551999999999996</v>
      </c>
      <c r="G5563" s="48">
        <f t="shared" si="109"/>
        <v>3198.5530391999996</v>
      </c>
      <c r="H5563" s="33">
        <f>SUM(G5563:G5563)</f>
        <v>3198.5530391999996</v>
      </c>
      <c r="I5563" s="34"/>
      <c r="J5563" s="138">
        <v>0</v>
      </c>
    </row>
    <row r="5564" spans="1:10" ht="15.75" hidden="1" thickBot="1" x14ac:dyDescent="0.3">
      <c r="A5564" s="234"/>
      <c r="B5564" s="223"/>
      <c r="C5564" s="152"/>
      <c r="D5564" s="26"/>
      <c r="E5564" s="153"/>
      <c r="F5564" s="48" t="s">
        <v>521</v>
      </c>
      <c r="G5564" s="48" t="str">
        <f t="shared" si="109"/>
        <v/>
      </c>
      <c r="H5564" s="67"/>
      <c r="I5564" s="68"/>
      <c r="J5564" s="138">
        <v>0</v>
      </c>
    </row>
    <row r="5565" spans="1:10" ht="26.25" hidden="1" thickBot="1" x14ac:dyDescent="0.3">
      <c r="A5565" s="234"/>
      <c r="B5565" s="223"/>
      <c r="C5565" s="42" t="s">
        <v>780</v>
      </c>
      <c r="D5565" s="26"/>
      <c r="E5565" s="153"/>
      <c r="F5565" s="48" t="s">
        <v>521</v>
      </c>
      <c r="G5565" s="48" t="str">
        <f t="shared" ref="G5565:G5628" si="110">IF(ISNUMBER(F5565),E5565*F5565,"")</f>
        <v/>
      </c>
      <c r="H5565" s="67"/>
      <c r="I5565" s="68"/>
      <c r="J5565" s="138">
        <v>0</v>
      </c>
    </row>
    <row r="5566" spans="1:10" ht="15.75" hidden="1" thickBot="1" x14ac:dyDescent="0.3">
      <c r="A5566" s="235"/>
      <c r="B5566" s="224"/>
      <c r="C5566" s="49"/>
      <c r="D5566" s="148"/>
      <c r="E5566" s="60"/>
      <c r="F5566" s="70" t="s">
        <v>521</v>
      </c>
      <c r="G5566" s="70" t="str">
        <f t="shared" si="110"/>
        <v/>
      </c>
      <c r="H5566" s="71"/>
      <c r="I5566" s="68"/>
      <c r="J5566" s="138">
        <v>0</v>
      </c>
    </row>
    <row r="5567" spans="1:10" ht="15.75" hidden="1" thickBot="1" x14ac:dyDescent="0.3">
      <c r="A5567" s="228" t="s">
        <v>2012</v>
      </c>
      <c r="B5567" s="222" t="e">
        <f>INDEX(Orçamentária!A:B,MATCH(Composições!A5567,Orçamentária!A:A,0),2)</f>
        <v>#N/A</v>
      </c>
      <c r="C5567" s="35"/>
      <c r="D5567" s="20" t="s">
        <v>1503</v>
      </c>
      <c r="E5567" s="21"/>
      <c r="F5567" s="43" t="s">
        <v>521</v>
      </c>
      <c r="G5567" s="22" t="str">
        <f t="shared" si="110"/>
        <v/>
      </c>
      <c r="H5567" s="23"/>
      <c r="I5567" s="24"/>
      <c r="J5567" s="138">
        <v>0</v>
      </c>
    </row>
    <row r="5568" spans="1:10" ht="15.75" hidden="1" thickBot="1" x14ac:dyDescent="0.3">
      <c r="A5568" s="234"/>
      <c r="B5568" s="223"/>
      <c r="C5568" s="152"/>
      <c r="D5568" s="26"/>
      <c r="E5568" s="153"/>
      <c r="F5568" s="48" t="s">
        <v>521</v>
      </c>
      <c r="G5568" s="48" t="str">
        <f t="shared" si="110"/>
        <v/>
      </c>
      <c r="H5568" s="67"/>
      <c r="I5568" s="68"/>
      <c r="J5568" s="138">
        <v>0</v>
      </c>
    </row>
    <row r="5569" spans="1:10" ht="15.75" hidden="1" thickBot="1" x14ac:dyDescent="0.3">
      <c r="A5569" s="234"/>
      <c r="B5569" s="223"/>
      <c r="C5569" s="30" t="s">
        <v>1606</v>
      </c>
      <c r="D5569" s="30" t="s">
        <v>12</v>
      </c>
      <c r="E5569" s="146">
        <f>ROUND(220/(1+110.14%),4)</f>
        <v>104.6921</v>
      </c>
      <c r="F5569" s="25">
        <v>30.551999999999996</v>
      </c>
      <c r="G5569" s="48">
        <f t="shared" si="110"/>
        <v>3198.5530391999996</v>
      </c>
      <c r="H5569" s="33">
        <f>SUM(G5569:G5569)</f>
        <v>3198.5530391999996</v>
      </c>
      <c r="I5569" s="34"/>
      <c r="J5569" s="138">
        <v>0</v>
      </c>
    </row>
    <row r="5570" spans="1:10" ht="15.75" hidden="1" thickBot="1" x14ac:dyDescent="0.3">
      <c r="A5570" s="234"/>
      <c r="B5570" s="223"/>
      <c r="C5570" s="152"/>
      <c r="D5570" s="26"/>
      <c r="E5570" s="153"/>
      <c r="F5570" s="48" t="s">
        <v>521</v>
      </c>
      <c r="G5570" s="48" t="str">
        <f t="shared" si="110"/>
        <v/>
      </c>
      <c r="H5570" s="67"/>
      <c r="I5570" s="68"/>
      <c r="J5570" s="138">
        <v>0</v>
      </c>
    </row>
    <row r="5571" spans="1:10" ht="26.25" hidden="1" thickBot="1" x14ac:dyDescent="0.3">
      <c r="A5571" s="234"/>
      <c r="B5571" s="223"/>
      <c r="C5571" s="42" t="s">
        <v>780</v>
      </c>
      <c r="D5571" s="26"/>
      <c r="E5571" s="153"/>
      <c r="F5571" s="48" t="s">
        <v>521</v>
      </c>
      <c r="G5571" s="48" t="str">
        <f t="shared" si="110"/>
        <v/>
      </c>
      <c r="H5571" s="67"/>
      <c r="I5571" s="68"/>
      <c r="J5571" s="138">
        <v>0</v>
      </c>
    </row>
    <row r="5572" spans="1:10" ht="15.75" hidden="1" thickBot="1" x14ac:dyDescent="0.3">
      <c r="A5572" s="235"/>
      <c r="B5572" s="224"/>
      <c r="C5572" s="49"/>
      <c r="D5572" s="148"/>
      <c r="E5572" s="60"/>
      <c r="F5572" s="70" t="s">
        <v>521</v>
      </c>
      <c r="G5572" s="70" t="str">
        <f t="shared" si="110"/>
        <v/>
      </c>
      <c r="H5572" s="71"/>
      <c r="I5572" s="68"/>
      <c r="J5572" s="138">
        <v>0</v>
      </c>
    </row>
    <row r="5573" spans="1:10" ht="15.75" hidden="1" thickBot="1" x14ac:dyDescent="0.3">
      <c r="A5573" s="228" t="s">
        <v>2013</v>
      </c>
      <c r="B5573" s="222" t="e">
        <f>INDEX(Orçamentária!A:B,MATCH(Composições!A5573,Orçamentária!A:A,0),2)</f>
        <v>#N/A</v>
      </c>
      <c r="C5573" s="35"/>
      <c r="D5573" s="20" t="s">
        <v>1503</v>
      </c>
      <c r="E5573" s="21"/>
      <c r="F5573" s="43" t="s">
        <v>521</v>
      </c>
      <c r="G5573" s="22" t="str">
        <f t="shared" si="110"/>
        <v/>
      </c>
      <c r="H5573" s="23"/>
      <c r="I5573" s="24"/>
      <c r="J5573" s="138">
        <v>0</v>
      </c>
    </row>
    <row r="5574" spans="1:10" ht="15.75" hidden="1" thickBot="1" x14ac:dyDescent="0.3">
      <c r="A5574" s="234"/>
      <c r="B5574" s="223"/>
      <c r="C5574" s="152"/>
      <c r="D5574" s="26"/>
      <c r="E5574" s="153"/>
      <c r="F5574" s="48" t="s">
        <v>521</v>
      </c>
      <c r="G5574" s="48" t="str">
        <f t="shared" si="110"/>
        <v/>
      </c>
      <c r="H5574" s="67"/>
      <c r="I5574" s="68"/>
      <c r="J5574" s="138">
        <v>0</v>
      </c>
    </row>
    <row r="5575" spans="1:10" ht="15.75" hidden="1" thickBot="1" x14ac:dyDescent="0.3">
      <c r="A5575" s="234"/>
      <c r="B5575" s="223"/>
      <c r="C5575" s="30" t="s">
        <v>1157</v>
      </c>
      <c r="D5575" s="30" t="s">
        <v>12</v>
      </c>
      <c r="E5575" s="146">
        <f>ROUND(220/(1+110.14%),4)</f>
        <v>104.6921</v>
      </c>
      <c r="F5575" s="25">
        <v>25.146499999999996</v>
      </c>
      <c r="G5575" s="48">
        <f t="shared" si="110"/>
        <v>2632.6398926499996</v>
      </c>
      <c r="H5575" s="33">
        <f>SUM(G5575:G5575)</f>
        <v>2632.6398926499996</v>
      </c>
      <c r="I5575" s="34"/>
      <c r="J5575" s="138">
        <v>0</v>
      </c>
    </row>
    <row r="5576" spans="1:10" ht="15.75" hidden="1" thickBot="1" x14ac:dyDescent="0.3">
      <c r="A5576" s="234"/>
      <c r="B5576" s="223"/>
      <c r="C5576" s="152"/>
      <c r="D5576" s="26"/>
      <c r="E5576" s="153"/>
      <c r="F5576" s="48" t="s">
        <v>521</v>
      </c>
      <c r="G5576" s="48" t="str">
        <f t="shared" si="110"/>
        <v/>
      </c>
      <c r="H5576" s="67"/>
      <c r="I5576" s="68"/>
      <c r="J5576" s="138">
        <v>0</v>
      </c>
    </row>
    <row r="5577" spans="1:10" ht="26.25" hidden="1" thickBot="1" x14ac:dyDescent="0.3">
      <c r="A5577" s="234"/>
      <c r="B5577" s="223"/>
      <c r="C5577" s="42" t="s">
        <v>780</v>
      </c>
      <c r="D5577" s="26"/>
      <c r="E5577" s="153"/>
      <c r="F5577" s="48" t="s">
        <v>521</v>
      </c>
      <c r="G5577" s="48" t="str">
        <f t="shared" si="110"/>
        <v/>
      </c>
      <c r="H5577" s="67"/>
      <c r="I5577" s="68"/>
      <c r="J5577" s="138">
        <v>0</v>
      </c>
    </row>
    <row r="5578" spans="1:10" ht="15.75" hidden="1" thickBot="1" x14ac:dyDescent="0.3">
      <c r="A5578" s="235"/>
      <c r="B5578" s="224"/>
      <c r="C5578" s="49"/>
      <c r="D5578" s="148"/>
      <c r="E5578" s="60"/>
      <c r="F5578" s="70" t="s">
        <v>521</v>
      </c>
      <c r="G5578" s="70" t="str">
        <f t="shared" si="110"/>
        <v/>
      </c>
      <c r="H5578" s="71"/>
      <c r="I5578" s="68"/>
      <c r="J5578" s="138">
        <v>0</v>
      </c>
    </row>
    <row r="5579" spans="1:10" ht="15.75" hidden="1" thickBot="1" x14ac:dyDescent="0.3">
      <c r="A5579" s="228" t="s">
        <v>2014</v>
      </c>
      <c r="B5579" s="222" t="e">
        <f>INDEX(Orçamentária!A:B,MATCH(Composições!A5579,Orçamentária!A:A,0),2)</f>
        <v>#N/A</v>
      </c>
      <c r="C5579" s="35"/>
      <c r="D5579" s="20" t="s">
        <v>1503</v>
      </c>
      <c r="E5579" s="21"/>
      <c r="F5579" s="43" t="s">
        <v>521</v>
      </c>
      <c r="G5579" s="22" t="str">
        <f t="shared" si="110"/>
        <v/>
      </c>
      <c r="H5579" s="23"/>
      <c r="I5579" s="24"/>
      <c r="J5579" s="138">
        <v>0</v>
      </c>
    </row>
    <row r="5580" spans="1:10" ht="15.75" hidden="1" thickBot="1" x14ac:dyDescent="0.3">
      <c r="A5580" s="234"/>
      <c r="B5580" s="223"/>
      <c r="C5580" s="152"/>
      <c r="D5580" s="26"/>
      <c r="E5580" s="153"/>
      <c r="F5580" s="48" t="s">
        <v>521</v>
      </c>
      <c r="G5580" s="48" t="str">
        <f t="shared" si="110"/>
        <v/>
      </c>
      <c r="H5580" s="67"/>
      <c r="I5580" s="68"/>
      <c r="J5580" s="138">
        <v>0</v>
      </c>
    </row>
    <row r="5581" spans="1:10" ht="15.75" hidden="1" thickBot="1" x14ac:dyDescent="0.3">
      <c r="A5581" s="234"/>
      <c r="B5581" s="223"/>
      <c r="C5581" s="30" t="s">
        <v>1156</v>
      </c>
      <c r="D5581" s="30" t="s">
        <v>12</v>
      </c>
      <c r="E5581" s="146">
        <f>ROUND(220/(1+110.14%),4)</f>
        <v>104.6921</v>
      </c>
      <c r="F5581" s="25">
        <v>19.4085</v>
      </c>
      <c r="G5581" s="48">
        <f t="shared" si="110"/>
        <v>2031.9166228499998</v>
      </c>
      <c r="H5581" s="33">
        <f>SUM(G5581:G5581)</f>
        <v>2031.9166228499998</v>
      </c>
      <c r="I5581" s="34"/>
      <c r="J5581" s="138">
        <v>0</v>
      </c>
    </row>
    <row r="5582" spans="1:10" ht="15.75" hidden="1" thickBot="1" x14ac:dyDescent="0.3">
      <c r="A5582" s="234"/>
      <c r="B5582" s="223"/>
      <c r="C5582" s="152"/>
      <c r="D5582" s="26"/>
      <c r="E5582" s="153"/>
      <c r="F5582" s="48" t="s">
        <v>521</v>
      </c>
      <c r="G5582" s="48" t="str">
        <f t="shared" si="110"/>
        <v/>
      </c>
      <c r="H5582" s="67"/>
      <c r="I5582" s="68"/>
      <c r="J5582" s="138">
        <v>0</v>
      </c>
    </row>
    <row r="5583" spans="1:10" ht="26.25" hidden="1" thickBot="1" x14ac:dyDescent="0.3">
      <c r="A5583" s="234"/>
      <c r="B5583" s="223"/>
      <c r="C5583" s="42" t="s">
        <v>780</v>
      </c>
      <c r="D5583" s="26"/>
      <c r="E5583" s="153"/>
      <c r="F5583" s="48" t="s">
        <v>521</v>
      </c>
      <c r="G5583" s="48" t="str">
        <f t="shared" si="110"/>
        <v/>
      </c>
      <c r="H5583" s="67"/>
      <c r="I5583" s="68"/>
      <c r="J5583" s="138">
        <v>0</v>
      </c>
    </row>
    <row r="5584" spans="1:10" ht="15.75" hidden="1" thickBot="1" x14ac:dyDescent="0.3">
      <c r="A5584" s="235"/>
      <c r="B5584" s="224"/>
      <c r="C5584" s="49"/>
      <c r="D5584" s="148"/>
      <c r="E5584" s="60"/>
      <c r="F5584" s="70" t="s">
        <v>521</v>
      </c>
      <c r="G5584" s="70" t="str">
        <f t="shared" si="110"/>
        <v/>
      </c>
      <c r="H5584" s="71"/>
      <c r="I5584" s="68"/>
      <c r="J5584" s="138">
        <v>0</v>
      </c>
    </row>
    <row r="5585" spans="1:10" ht="15.75" hidden="1" thickBot="1" x14ac:dyDescent="0.3">
      <c r="A5585" s="228" t="s">
        <v>2015</v>
      </c>
      <c r="B5585" s="222" t="e">
        <f>INDEX(Orçamentária!A:B,MATCH(Composições!A5585,Orçamentária!A:A,0),2)</f>
        <v>#N/A</v>
      </c>
      <c r="C5585" s="35"/>
      <c r="D5585" s="20" t="s">
        <v>1503</v>
      </c>
      <c r="E5585" s="21"/>
      <c r="F5585" s="43" t="s">
        <v>521</v>
      </c>
      <c r="G5585" s="22" t="str">
        <f t="shared" si="110"/>
        <v/>
      </c>
      <c r="H5585" s="23"/>
      <c r="I5585" s="24"/>
      <c r="J5585" s="138">
        <v>0</v>
      </c>
    </row>
    <row r="5586" spans="1:10" ht="15.75" hidden="1" thickBot="1" x14ac:dyDescent="0.3">
      <c r="A5586" s="234"/>
      <c r="B5586" s="223"/>
      <c r="C5586" s="152"/>
      <c r="D5586" s="26"/>
      <c r="E5586" s="153"/>
      <c r="F5586" s="48" t="s">
        <v>521</v>
      </c>
      <c r="G5586" s="48" t="str">
        <f t="shared" si="110"/>
        <v/>
      </c>
      <c r="H5586" s="67"/>
      <c r="I5586" s="68"/>
      <c r="J5586" s="138">
        <v>0</v>
      </c>
    </row>
    <row r="5587" spans="1:10" ht="15.75" hidden="1" thickBot="1" x14ac:dyDescent="0.3">
      <c r="A5587" s="234"/>
      <c r="B5587" s="223"/>
      <c r="C5587" s="30" t="s">
        <v>1606</v>
      </c>
      <c r="D5587" s="30" t="s">
        <v>12</v>
      </c>
      <c r="E5587" s="146">
        <f>ROUND(220/(1+110.14%),4)</f>
        <v>104.6921</v>
      </c>
      <c r="F5587" s="25">
        <v>30.551999999999996</v>
      </c>
      <c r="G5587" s="48">
        <f t="shared" si="110"/>
        <v>3198.5530391999996</v>
      </c>
      <c r="H5587" s="33">
        <f>SUM(G5587:G5587)</f>
        <v>3198.5530391999996</v>
      </c>
      <c r="I5587" s="34"/>
      <c r="J5587" s="138">
        <v>0</v>
      </c>
    </row>
    <row r="5588" spans="1:10" ht="15.75" hidden="1" thickBot="1" x14ac:dyDescent="0.3">
      <c r="A5588" s="234"/>
      <c r="B5588" s="223"/>
      <c r="C5588" s="152"/>
      <c r="D5588" s="26"/>
      <c r="E5588" s="153"/>
      <c r="F5588" s="48" t="s">
        <v>521</v>
      </c>
      <c r="G5588" s="48" t="str">
        <f t="shared" si="110"/>
        <v/>
      </c>
      <c r="H5588" s="67"/>
      <c r="I5588" s="68"/>
      <c r="J5588" s="138">
        <v>0</v>
      </c>
    </row>
    <row r="5589" spans="1:10" ht="26.25" hidden="1" thickBot="1" x14ac:dyDescent="0.3">
      <c r="A5589" s="234"/>
      <c r="B5589" s="223"/>
      <c r="C5589" s="42" t="s">
        <v>780</v>
      </c>
      <c r="D5589" s="26"/>
      <c r="E5589" s="153"/>
      <c r="F5589" s="48" t="s">
        <v>521</v>
      </c>
      <c r="G5589" s="48" t="str">
        <f t="shared" si="110"/>
        <v/>
      </c>
      <c r="H5589" s="67"/>
      <c r="I5589" s="68"/>
      <c r="J5589" s="138">
        <v>0</v>
      </c>
    </row>
    <row r="5590" spans="1:10" ht="15.75" hidden="1" thickBot="1" x14ac:dyDescent="0.3">
      <c r="A5590" s="235"/>
      <c r="B5590" s="224"/>
      <c r="C5590" s="49"/>
      <c r="D5590" s="148"/>
      <c r="E5590" s="60"/>
      <c r="F5590" s="70" t="s">
        <v>521</v>
      </c>
      <c r="G5590" s="70" t="str">
        <f t="shared" si="110"/>
        <v/>
      </c>
      <c r="H5590" s="71"/>
      <c r="I5590" s="68"/>
      <c r="J5590" s="138">
        <v>0</v>
      </c>
    </row>
    <row r="5591" spans="1:10" ht="15.75" hidden="1" thickBot="1" x14ac:dyDescent="0.3">
      <c r="A5591" s="228" t="s">
        <v>2016</v>
      </c>
      <c r="B5591" s="222" t="e">
        <f>INDEX(Orçamentária!A:B,MATCH(Composições!A5591,Orçamentária!A:A,0),2)</f>
        <v>#N/A</v>
      </c>
      <c r="C5591" s="35"/>
      <c r="D5591" s="20" t="s">
        <v>1503</v>
      </c>
      <c r="E5591" s="21"/>
      <c r="F5591" s="43" t="s">
        <v>521</v>
      </c>
      <c r="G5591" s="22" t="str">
        <f t="shared" si="110"/>
        <v/>
      </c>
      <c r="H5591" s="23"/>
      <c r="I5591" s="24"/>
      <c r="J5591" s="138">
        <v>0</v>
      </c>
    </row>
    <row r="5592" spans="1:10" ht="15.75" hidden="1" thickBot="1" x14ac:dyDescent="0.3">
      <c r="A5592" s="234"/>
      <c r="B5592" s="223"/>
      <c r="C5592" s="152"/>
      <c r="D5592" s="26"/>
      <c r="E5592" s="153"/>
      <c r="F5592" s="48" t="s">
        <v>521</v>
      </c>
      <c r="G5592" s="48" t="str">
        <f t="shared" si="110"/>
        <v/>
      </c>
      <c r="H5592" s="67"/>
      <c r="I5592" s="68"/>
      <c r="J5592" s="138">
        <v>0</v>
      </c>
    </row>
    <row r="5593" spans="1:10" ht="15.75" hidden="1" thickBot="1" x14ac:dyDescent="0.3">
      <c r="A5593" s="234"/>
      <c r="B5593" s="223"/>
      <c r="C5593" s="30" t="s">
        <v>1606</v>
      </c>
      <c r="D5593" s="30" t="s">
        <v>12</v>
      </c>
      <c r="E5593" s="146">
        <f>ROUND(220/(1+110.14%),4)</f>
        <v>104.6921</v>
      </c>
      <c r="F5593" s="25">
        <v>30.551999999999996</v>
      </c>
      <c r="G5593" s="48">
        <f t="shared" si="110"/>
        <v>3198.5530391999996</v>
      </c>
      <c r="H5593" s="33">
        <f>SUM(G5593:G5593)</f>
        <v>3198.5530391999996</v>
      </c>
      <c r="I5593" s="34"/>
      <c r="J5593" s="138">
        <v>0</v>
      </c>
    </row>
    <row r="5594" spans="1:10" ht="15.75" hidden="1" thickBot="1" x14ac:dyDescent="0.3">
      <c r="A5594" s="234"/>
      <c r="B5594" s="223"/>
      <c r="C5594" s="152"/>
      <c r="D5594" s="26"/>
      <c r="E5594" s="153"/>
      <c r="F5594" s="48" t="s">
        <v>521</v>
      </c>
      <c r="G5594" s="48" t="str">
        <f t="shared" si="110"/>
        <v/>
      </c>
      <c r="H5594" s="67"/>
      <c r="I5594" s="68"/>
      <c r="J5594" s="138">
        <v>0</v>
      </c>
    </row>
    <row r="5595" spans="1:10" ht="26.25" hidden="1" thickBot="1" x14ac:dyDescent="0.3">
      <c r="A5595" s="234"/>
      <c r="B5595" s="223"/>
      <c r="C5595" s="42" t="s">
        <v>780</v>
      </c>
      <c r="D5595" s="26"/>
      <c r="E5595" s="153"/>
      <c r="F5595" s="48" t="s">
        <v>521</v>
      </c>
      <c r="G5595" s="48" t="str">
        <f t="shared" si="110"/>
        <v/>
      </c>
      <c r="H5595" s="67"/>
      <c r="I5595" s="68"/>
      <c r="J5595" s="138">
        <v>0</v>
      </c>
    </row>
    <row r="5596" spans="1:10" ht="15.75" hidden="1" thickBot="1" x14ac:dyDescent="0.3">
      <c r="A5596" s="235"/>
      <c r="B5596" s="224"/>
      <c r="C5596" s="49"/>
      <c r="D5596" s="148"/>
      <c r="E5596" s="60"/>
      <c r="F5596" s="70" t="s">
        <v>521</v>
      </c>
      <c r="G5596" s="70" t="str">
        <f t="shared" si="110"/>
        <v/>
      </c>
      <c r="H5596" s="71"/>
      <c r="I5596" s="68"/>
      <c r="J5596" s="138">
        <v>0</v>
      </c>
    </row>
    <row r="5597" spans="1:10" ht="15.75" hidden="1" thickBot="1" x14ac:dyDescent="0.3">
      <c r="A5597" s="228" t="s">
        <v>2017</v>
      </c>
      <c r="B5597" s="222" t="e">
        <f>INDEX(Orçamentária!A:B,MATCH(Composições!A5597,Orçamentária!A:A,0),2)</f>
        <v>#N/A</v>
      </c>
      <c r="C5597" s="35"/>
      <c r="D5597" s="20" t="s">
        <v>1503</v>
      </c>
      <c r="E5597" s="21"/>
      <c r="F5597" s="43" t="s">
        <v>521</v>
      </c>
      <c r="G5597" s="22" t="str">
        <f t="shared" si="110"/>
        <v/>
      </c>
      <c r="H5597" s="23"/>
      <c r="I5597" s="24"/>
      <c r="J5597" s="138">
        <v>0</v>
      </c>
    </row>
    <row r="5598" spans="1:10" ht="15.75" hidden="1" thickBot="1" x14ac:dyDescent="0.3">
      <c r="A5598" s="234"/>
      <c r="B5598" s="223"/>
      <c r="C5598" s="152"/>
      <c r="D5598" s="26"/>
      <c r="E5598" s="153"/>
      <c r="F5598" s="48" t="s">
        <v>521</v>
      </c>
      <c r="G5598" s="48" t="str">
        <f t="shared" si="110"/>
        <v/>
      </c>
      <c r="H5598" s="67"/>
      <c r="I5598" s="68"/>
      <c r="J5598" s="138">
        <v>0</v>
      </c>
    </row>
    <row r="5599" spans="1:10" ht="15.75" hidden="1" thickBot="1" x14ac:dyDescent="0.3">
      <c r="A5599" s="234"/>
      <c r="B5599" s="223"/>
      <c r="C5599" s="30" t="s">
        <v>1606</v>
      </c>
      <c r="D5599" s="30" t="s">
        <v>12</v>
      </c>
      <c r="E5599" s="146">
        <f>ROUND(220/(1+110.14%),4)</f>
        <v>104.6921</v>
      </c>
      <c r="F5599" s="25">
        <v>30.551999999999996</v>
      </c>
      <c r="G5599" s="48">
        <f t="shared" si="110"/>
        <v>3198.5530391999996</v>
      </c>
      <c r="H5599" s="33">
        <f>SUM(G5599:G5599)</f>
        <v>3198.5530391999996</v>
      </c>
      <c r="I5599" s="34"/>
      <c r="J5599" s="138">
        <v>0</v>
      </c>
    </row>
    <row r="5600" spans="1:10" ht="15.75" hidden="1" thickBot="1" x14ac:dyDescent="0.3">
      <c r="A5600" s="234"/>
      <c r="B5600" s="223"/>
      <c r="C5600" s="152"/>
      <c r="D5600" s="26"/>
      <c r="E5600" s="153"/>
      <c r="F5600" s="48" t="s">
        <v>521</v>
      </c>
      <c r="G5600" s="48" t="str">
        <f t="shared" si="110"/>
        <v/>
      </c>
      <c r="H5600" s="67"/>
      <c r="I5600" s="68"/>
      <c r="J5600" s="138">
        <v>0</v>
      </c>
    </row>
    <row r="5601" spans="1:10" ht="26.25" hidden="1" thickBot="1" x14ac:dyDescent="0.3">
      <c r="A5601" s="234"/>
      <c r="B5601" s="223"/>
      <c r="C5601" s="42" t="s">
        <v>780</v>
      </c>
      <c r="D5601" s="26"/>
      <c r="E5601" s="153"/>
      <c r="F5601" s="48" t="s">
        <v>521</v>
      </c>
      <c r="G5601" s="48" t="str">
        <f t="shared" si="110"/>
        <v/>
      </c>
      <c r="H5601" s="67"/>
      <c r="I5601" s="68"/>
      <c r="J5601" s="138">
        <v>0</v>
      </c>
    </row>
    <row r="5602" spans="1:10" ht="15.75" hidden="1" thickBot="1" x14ac:dyDescent="0.3">
      <c r="A5602" s="235"/>
      <c r="B5602" s="224"/>
      <c r="C5602" s="49"/>
      <c r="D5602" s="148"/>
      <c r="E5602" s="60"/>
      <c r="F5602" s="70" t="s">
        <v>521</v>
      </c>
      <c r="G5602" s="70" t="str">
        <f t="shared" si="110"/>
        <v/>
      </c>
      <c r="H5602" s="71"/>
      <c r="I5602" s="68"/>
      <c r="J5602" s="138">
        <v>0</v>
      </c>
    </row>
    <row r="5603" spans="1:10" ht="15.75" hidden="1" thickBot="1" x14ac:dyDescent="0.3">
      <c r="A5603" s="228" t="s">
        <v>2018</v>
      </c>
      <c r="B5603" s="222" t="e">
        <f>INDEX(Orçamentária!A:B,MATCH(Composições!A5603,Orçamentária!A:A,0),2)</f>
        <v>#N/A</v>
      </c>
      <c r="C5603" s="35"/>
      <c r="D5603" s="20" t="s">
        <v>1503</v>
      </c>
      <c r="E5603" s="21"/>
      <c r="F5603" s="43" t="s">
        <v>521</v>
      </c>
      <c r="G5603" s="22" t="str">
        <f t="shared" si="110"/>
        <v/>
      </c>
      <c r="H5603" s="23"/>
      <c r="I5603" s="24"/>
      <c r="J5603" s="138">
        <v>0</v>
      </c>
    </row>
    <row r="5604" spans="1:10" ht="15.75" hidden="1" thickBot="1" x14ac:dyDescent="0.3">
      <c r="A5604" s="234"/>
      <c r="B5604" s="223"/>
      <c r="C5604" s="152"/>
      <c r="D5604" s="26"/>
      <c r="E5604" s="153"/>
      <c r="F5604" s="48" t="s">
        <v>521</v>
      </c>
      <c r="G5604" s="48" t="str">
        <f t="shared" si="110"/>
        <v/>
      </c>
      <c r="H5604" s="67"/>
      <c r="I5604" s="68"/>
      <c r="J5604" s="138">
        <v>0</v>
      </c>
    </row>
    <row r="5605" spans="1:10" ht="15.75" hidden="1" thickBot="1" x14ac:dyDescent="0.3">
      <c r="A5605" s="234"/>
      <c r="B5605" s="223"/>
      <c r="C5605" s="30" t="s">
        <v>1606</v>
      </c>
      <c r="D5605" s="30" t="s">
        <v>12</v>
      </c>
      <c r="E5605" s="146">
        <f>ROUND(220/(1+110.14%),4)</f>
        <v>104.6921</v>
      </c>
      <c r="F5605" s="25">
        <v>30.551999999999996</v>
      </c>
      <c r="G5605" s="48">
        <f t="shared" si="110"/>
        <v>3198.5530391999996</v>
      </c>
      <c r="H5605" s="33">
        <f>SUM(G5605:G5605)</f>
        <v>3198.5530391999996</v>
      </c>
      <c r="I5605" s="34"/>
      <c r="J5605" s="138">
        <v>0</v>
      </c>
    </row>
    <row r="5606" spans="1:10" ht="15.75" hidden="1" thickBot="1" x14ac:dyDescent="0.3">
      <c r="A5606" s="234"/>
      <c r="B5606" s="223"/>
      <c r="C5606" s="152"/>
      <c r="D5606" s="26"/>
      <c r="E5606" s="153"/>
      <c r="F5606" s="48" t="s">
        <v>521</v>
      </c>
      <c r="G5606" s="48" t="str">
        <f t="shared" si="110"/>
        <v/>
      </c>
      <c r="H5606" s="67"/>
      <c r="I5606" s="68"/>
      <c r="J5606" s="138">
        <v>0</v>
      </c>
    </row>
    <row r="5607" spans="1:10" ht="26.25" hidden="1" thickBot="1" x14ac:dyDescent="0.3">
      <c r="A5607" s="234"/>
      <c r="B5607" s="223"/>
      <c r="C5607" s="42" t="s">
        <v>780</v>
      </c>
      <c r="D5607" s="26"/>
      <c r="E5607" s="153"/>
      <c r="F5607" s="48" t="s">
        <v>521</v>
      </c>
      <c r="G5607" s="48" t="str">
        <f t="shared" si="110"/>
        <v/>
      </c>
      <c r="H5607" s="67"/>
      <c r="I5607" s="68"/>
      <c r="J5607" s="138">
        <v>0</v>
      </c>
    </row>
    <row r="5608" spans="1:10" ht="15.75" hidden="1" thickBot="1" x14ac:dyDescent="0.3">
      <c r="A5608" s="235"/>
      <c r="B5608" s="224"/>
      <c r="C5608" s="49"/>
      <c r="D5608" s="148"/>
      <c r="E5608" s="60"/>
      <c r="F5608" s="70" t="s">
        <v>521</v>
      </c>
      <c r="G5608" s="70" t="str">
        <f t="shared" si="110"/>
        <v/>
      </c>
      <c r="H5608" s="71"/>
      <c r="I5608" s="68"/>
      <c r="J5608" s="138">
        <v>0</v>
      </c>
    </row>
    <row r="5609" spans="1:10" ht="15.75" hidden="1" thickBot="1" x14ac:dyDescent="0.3">
      <c r="A5609" s="228" t="s">
        <v>2019</v>
      </c>
      <c r="B5609" s="222" t="e">
        <f>INDEX(Orçamentária!A:B,MATCH(Composições!A5609,Orçamentária!A:A,0),2)</f>
        <v>#N/A</v>
      </c>
      <c r="C5609" s="35"/>
      <c r="D5609" s="20" t="s">
        <v>1503</v>
      </c>
      <c r="E5609" s="21"/>
      <c r="F5609" s="43" t="s">
        <v>521</v>
      </c>
      <c r="G5609" s="22" t="str">
        <f t="shared" si="110"/>
        <v/>
      </c>
      <c r="H5609" s="23"/>
      <c r="I5609" s="24"/>
      <c r="J5609" s="138">
        <v>0</v>
      </c>
    </row>
    <row r="5610" spans="1:10" ht="15.75" hidden="1" thickBot="1" x14ac:dyDescent="0.3">
      <c r="A5610" s="234"/>
      <c r="B5610" s="223"/>
      <c r="C5610" s="152"/>
      <c r="D5610" s="26"/>
      <c r="E5610" s="153"/>
      <c r="F5610" s="48" t="s">
        <v>521</v>
      </c>
      <c r="G5610" s="48" t="str">
        <f t="shared" si="110"/>
        <v/>
      </c>
      <c r="H5610" s="67"/>
      <c r="I5610" s="68"/>
      <c r="J5610" s="138">
        <v>0</v>
      </c>
    </row>
    <row r="5611" spans="1:10" ht="15.75" hidden="1" thickBot="1" x14ac:dyDescent="0.3">
      <c r="A5611" s="234"/>
      <c r="B5611" s="223"/>
      <c r="C5611" s="30" t="s">
        <v>1157</v>
      </c>
      <c r="D5611" s="30" t="s">
        <v>12</v>
      </c>
      <c r="E5611" s="146">
        <f>ROUND(220/(1+110.14%),4)</f>
        <v>104.6921</v>
      </c>
      <c r="F5611" s="25">
        <v>25.146499999999996</v>
      </c>
      <c r="G5611" s="48">
        <f t="shared" si="110"/>
        <v>2632.6398926499996</v>
      </c>
      <c r="H5611" s="33">
        <f>SUM(G5611:G5611)</f>
        <v>2632.6398926499996</v>
      </c>
      <c r="I5611" s="34"/>
      <c r="J5611" s="138">
        <v>0</v>
      </c>
    </row>
    <row r="5612" spans="1:10" ht="15.75" hidden="1" thickBot="1" x14ac:dyDescent="0.3">
      <c r="A5612" s="234"/>
      <c r="B5612" s="223"/>
      <c r="C5612" s="152"/>
      <c r="D5612" s="26"/>
      <c r="E5612" s="153"/>
      <c r="F5612" s="48" t="s">
        <v>521</v>
      </c>
      <c r="G5612" s="48" t="str">
        <f t="shared" si="110"/>
        <v/>
      </c>
      <c r="H5612" s="67"/>
      <c r="I5612" s="68"/>
      <c r="J5612" s="138">
        <v>0</v>
      </c>
    </row>
    <row r="5613" spans="1:10" ht="26.25" hidden="1" thickBot="1" x14ac:dyDescent="0.3">
      <c r="A5613" s="234"/>
      <c r="B5613" s="223"/>
      <c r="C5613" s="42" t="s">
        <v>780</v>
      </c>
      <c r="D5613" s="26"/>
      <c r="E5613" s="153"/>
      <c r="F5613" s="48" t="s">
        <v>521</v>
      </c>
      <c r="G5613" s="48" t="str">
        <f t="shared" si="110"/>
        <v/>
      </c>
      <c r="H5613" s="67"/>
      <c r="I5613" s="68"/>
      <c r="J5613" s="138">
        <v>0</v>
      </c>
    </row>
    <row r="5614" spans="1:10" ht="15.75" hidden="1" thickBot="1" x14ac:dyDescent="0.3">
      <c r="A5614" s="235"/>
      <c r="B5614" s="224"/>
      <c r="C5614" s="49"/>
      <c r="D5614" s="148"/>
      <c r="E5614" s="60"/>
      <c r="F5614" s="70" t="s">
        <v>521</v>
      </c>
      <c r="G5614" s="70" t="str">
        <f t="shared" si="110"/>
        <v/>
      </c>
      <c r="H5614" s="71"/>
      <c r="I5614" s="68"/>
      <c r="J5614" s="138">
        <v>0</v>
      </c>
    </row>
    <row r="5615" spans="1:10" ht="15.75" hidden="1" thickBot="1" x14ac:dyDescent="0.3">
      <c r="A5615" s="228" t="s">
        <v>2020</v>
      </c>
      <c r="B5615" s="222" t="e">
        <f>INDEX(Orçamentária!A:B,MATCH(Composições!A5615,Orçamentária!A:A,0),2)</f>
        <v>#N/A</v>
      </c>
      <c r="C5615" s="35"/>
      <c r="D5615" s="20" t="s">
        <v>1503</v>
      </c>
      <c r="E5615" s="21"/>
      <c r="F5615" s="43" t="s">
        <v>521</v>
      </c>
      <c r="G5615" s="22" t="str">
        <f t="shared" si="110"/>
        <v/>
      </c>
      <c r="H5615" s="23"/>
      <c r="I5615" s="24"/>
      <c r="J5615" s="138">
        <v>0</v>
      </c>
    </row>
    <row r="5616" spans="1:10" ht="15.75" hidden="1" thickBot="1" x14ac:dyDescent="0.3">
      <c r="A5616" s="234"/>
      <c r="B5616" s="223"/>
      <c r="C5616" s="152"/>
      <c r="D5616" s="26"/>
      <c r="E5616" s="153"/>
      <c r="F5616" s="48" t="s">
        <v>521</v>
      </c>
      <c r="G5616" s="48" t="str">
        <f t="shared" si="110"/>
        <v/>
      </c>
      <c r="H5616" s="67"/>
      <c r="I5616" s="68"/>
      <c r="J5616" s="138">
        <v>0</v>
      </c>
    </row>
    <row r="5617" spans="1:10" ht="15.75" hidden="1" thickBot="1" x14ac:dyDescent="0.3">
      <c r="A5617" s="234"/>
      <c r="B5617" s="223"/>
      <c r="C5617" s="30" t="s">
        <v>1157</v>
      </c>
      <c r="D5617" s="30" t="s">
        <v>12</v>
      </c>
      <c r="E5617" s="146">
        <f>ROUND(220/(1+110.14%),4)</f>
        <v>104.6921</v>
      </c>
      <c r="F5617" s="25">
        <v>25.146499999999996</v>
      </c>
      <c r="G5617" s="48">
        <f t="shared" si="110"/>
        <v>2632.6398926499996</v>
      </c>
      <c r="H5617" s="33">
        <f>SUM(G5617:G5617)</f>
        <v>2632.6398926499996</v>
      </c>
      <c r="I5617" s="34"/>
      <c r="J5617" s="138">
        <v>0</v>
      </c>
    </row>
    <row r="5618" spans="1:10" ht="15.75" hidden="1" thickBot="1" x14ac:dyDescent="0.3">
      <c r="A5618" s="234"/>
      <c r="B5618" s="223"/>
      <c r="C5618" s="152"/>
      <c r="D5618" s="26"/>
      <c r="E5618" s="153"/>
      <c r="F5618" s="48" t="s">
        <v>521</v>
      </c>
      <c r="G5618" s="48" t="str">
        <f t="shared" si="110"/>
        <v/>
      </c>
      <c r="H5618" s="67"/>
      <c r="I5618" s="68"/>
      <c r="J5618" s="138">
        <v>0</v>
      </c>
    </row>
    <row r="5619" spans="1:10" ht="26.25" hidden="1" thickBot="1" x14ac:dyDescent="0.3">
      <c r="A5619" s="234"/>
      <c r="B5619" s="223"/>
      <c r="C5619" s="42" t="s">
        <v>780</v>
      </c>
      <c r="D5619" s="26"/>
      <c r="E5619" s="153"/>
      <c r="F5619" s="48" t="s">
        <v>521</v>
      </c>
      <c r="G5619" s="48" t="str">
        <f t="shared" si="110"/>
        <v/>
      </c>
      <c r="H5619" s="67"/>
      <c r="I5619" s="68"/>
      <c r="J5619" s="138">
        <v>0</v>
      </c>
    </row>
    <row r="5620" spans="1:10" ht="15.75" hidden="1" thickBot="1" x14ac:dyDescent="0.3">
      <c r="A5620" s="235"/>
      <c r="B5620" s="224"/>
      <c r="C5620" s="49"/>
      <c r="D5620" s="148"/>
      <c r="E5620" s="60"/>
      <c r="F5620" s="70" t="s">
        <v>521</v>
      </c>
      <c r="G5620" s="70" t="str">
        <f t="shared" si="110"/>
        <v/>
      </c>
      <c r="H5620" s="71"/>
      <c r="I5620" s="68"/>
      <c r="J5620" s="138">
        <v>0</v>
      </c>
    </row>
    <row r="5621" spans="1:10" ht="15.75" hidden="1" thickBot="1" x14ac:dyDescent="0.3">
      <c r="A5621" s="228" t="s">
        <v>2021</v>
      </c>
      <c r="B5621" s="222" t="e">
        <f>INDEX(Orçamentária!A:B,MATCH(Composições!A5621,Orçamentária!A:A,0),2)</f>
        <v>#N/A</v>
      </c>
      <c r="C5621" s="35"/>
      <c r="D5621" s="20" t="s">
        <v>1503</v>
      </c>
      <c r="E5621" s="21"/>
      <c r="F5621" s="43" t="s">
        <v>521</v>
      </c>
      <c r="G5621" s="22" t="str">
        <f t="shared" si="110"/>
        <v/>
      </c>
      <c r="H5621" s="23"/>
      <c r="I5621" s="24"/>
      <c r="J5621" s="138">
        <v>0</v>
      </c>
    </row>
    <row r="5622" spans="1:10" ht="15.75" hidden="1" thickBot="1" x14ac:dyDescent="0.3">
      <c r="A5622" s="234"/>
      <c r="B5622" s="223"/>
      <c r="C5622" s="152"/>
      <c r="D5622" s="26"/>
      <c r="E5622" s="153"/>
      <c r="F5622" s="48" t="s">
        <v>521</v>
      </c>
      <c r="G5622" s="48" t="str">
        <f t="shared" si="110"/>
        <v/>
      </c>
      <c r="H5622" s="67"/>
      <c r="I5622" s="68"/>
      <c r="J5622" s="138">
        <v>0</v>
      </c>
    </row>
    <row r="5623" spans="1:10" ht="15.75" hidden="1" thickBot="1" x14ac:dyDescent="0.3">
      <c r="A5623" s="234"/>
      <c r="B5623" s="223"/>
      <c r="C5623" s="30" t="s">
        <v>1157</v>
      </c>
      <c r="D5623" s="30" t="s">
        <v>12</v>
      </c>
      <c r="E5623" s="146">
        <f>ROUND(220/(1+110.14%),4)</f>
        <v>104.6921</v>
      </c>
      <c r="F5623" s="25">
        <v>25.146499999999996</v>
      </c>
      <c r="G5623" s="48">
        <f t="shared" si="110"/>
        <v>2632.6398926499996</v>
      </c>
      <c r="H5623" s="33">
        <f>SUM(G5623:G5623)</f>
        <v>2632.6398926499996</v>
      </c>
      <c r="I5623" s="34"/>
      <c r="J5623" s="138">
        <v>0</v>
      </c>
    </row>
    <row r="5624" spans="1:10" ht="15.75" hidden="1" thickBot="1" x14ac:dyDescent="0.3">
      <c r="A5624" s="234"/>
      <c r="B5624" s="223"/>
      <c r="C5624" s="152"/>
      <c r="D5624" s="26"/>
      <c r="E5624" s="153"/>
      <c r="F5624" s="48" t="s">
        <v>521</v>
      </c>
      <c r="G5624" s="48" t="str">
        <f t="shared" si="110"/>
        <v/>
      </c>
      <c r="H5624" s="67"/>
      <c r="I5624" s="68"/>
      <c r="J5624" s="138">
        <v>0</v>
      </c>
    </row>
    <row r="5625" spans="1:10" ht="26.25" hidden="1" thickBot="1" x14ac:dyDescent="0.3">
      <c r="A5625" s="234"/>
      <c r="B5625" s="223"/>
      <c r="C5625" s="42" t="s">
        <v>780</v>
      </c>
      <c r="D5625" s="26"/>
      <c r="E5625" s="153"/>
      <c r="F5625" s="48" t="s">
        <v>521</v>
      </c>
      <c r="G5625" s="48" t="str">
        <f t="shared" si="110"/>
        <v/>
      </c>
      <c r="H5625" s="67"/>
      <c r="I5625" s="68"/>
      <c r="J5625" s="138">
        <v>0</v>
      </c>
    </row>
    <row r="5626" spans="1:10" ht="15.75" hidden="1" thickBot="1" x14ac:dyDescent="0.3">
      <c r="A5626" s="235"/>
      <c r="B5626" s="224"/>
      <c r="C5626" s="49"/>
      <c r="D5626" s="148"/>
      <c r="E5626" s="60"/>
      <c r="F5626" s="70" t="s">
        <v>521</v>
      </c>
      <c r="G5626" s="70" t="str">
        <f t="shared" si="110"/>
        <v/>
      </c>
      <c r="H5626" s="71"/>
      <c r="I5626" s="68"/>
      <c r="J5626" s="138">
        <v>0</v>
      </c>
    </row>
    <row r="5627" spans="1:10" ht="15.75" hidden="1" thickBot="1" x14ac:dyDescent="0.3">
      <c r="A5627" s="228" t="s">
        <v>2022</v>
      </c>
      <c r="B5627" s="222" t="e">
        <f>INDEX(Orçamentária!A:B,MATCH(Composições!A5627,Orçamentária!A:A,0),2)</f>
        <v>#N/A</v>
      </c>
      <c r="C5627" s="35"/>
      <c r="D5627" s="20" t="s">
        <v>1503</v>
      </c>
      <c r="E5627" s="21"/>
      <c r="F5627" s="43" t="s">
        <v>521</v>
      </c>
      <c r="G5627" s="22" t="str">
        <f t="shared" si="110"/>
        <v/>
      </c>
      <c r="H5627" s="23"/>
      <c r="I5627" s="24"/>
      <c r="J5627" s="138">
        <v>0</v>
      </c>
    </row>
    <row r="5628" spans="1:10" ht="15.75" hidden="1" thickBot="1" x14ac:dyDescent="0.3">
      <c r="A5628" s="234"/>
      <c r="B5628" s="223"/>
      <c r="C5628" s="152"/>
      <c r="D5628" s="26"/>
      <c r="E5628" s="153"/>
      <c r="F5628" s="48" t="s">
        <v>521</v>
      </c>
      <c r="G5628" s="48" t="str">
        <f t="shared" si="110"/>
        <v/>
      </c>
      <c r="H5628" s="67"/>
      <c r="I5628" s="68"/>
      <c r="J5628" s="138">
        <v>0</v>
      </c>
    </row>
    <row r="5629" spans="1:10" ht="15.75" hidden="1" thickBot="1" x14ac:dyDescent="0.3">
      <c r="A5629" s="234"/>
      <c r="B5629" s="223"/>
      <c r="C5629" s="30" t="s">
        <v>1157</v>
      </c>
      <c r="D5629" s="30" t="s">
        <v>12</v>
      </c>
      <c r="E5629" s="146">
        <f>ROUND(220/(1+110.14%),4)</f>
        <v>104.6921</v>
      </c>
      <c r="F5629" s="25">
        <v>25.146499999999996</v>
      </c>
      <c r="G5629" s="48">
        <f t="shared" ref="G5629:G5692" si="111">IF(ISNUMBER(F5629),E5629*F5629,"")</f>
        <v>2632.6398926499996</v>
      </c>
      <c r="H5629" s="33">
        <f>SUM(G5629:G5629)</f>
        <v>2632.6398926499996</v>
      </c>
      <c r="I5629" s="34"/>
      <c r="J5629" s="138">
        <v>0</v>
      </c>
    </row>
    <row r="5630" spans="1:10" ht="15.75" hidden="1" thickBot="1" x14ac:dyDescent="0.3">
      <c r="A5630" s="234"/>
      <c r="B5630" s="223"/>
      <c r="C5630" s="152"/>
      <c r="D5630" s="26"/>
      <c r="E5630" s="153"/>
      <c r="F5630" s="48" t="s">
        <v>521</v>
      </c>
      <c r="G5630" s="48" t="str">
        <f t="shared" si="111"/>
        <v/>
      </c>
      <c r="H5630" s="67"/>
      <c r="I5630" s="68"/>
      <c r="J5630" s="138">
        <v>0</v>
      </c>
    </row>
    <row r="5631" spans="1:10" ht="26.25" hidden="1" thickBot="1" x14ac:dyDescent="0.3">
      <c r="A5631" s="234"/>
      <c r="B5631" s="223"/>
      <c r="C5631" s="42" t="s">
        <v>780</v>
      </c>
      <c r="D5631" s="26"/>
      <c r="E5631" s="153"/>
      <c r="F5631" s="48" t="s">
        <v>521</v>
      </c>
      <c r="G5631" s="48" t="str">
        <f t="shared" si="111"/>
        <v/>
      </c>
      <c r="H5631" s="67"/>
      <c r="I5631" s="68"/>
      <c r="J5631" s="138">
        <v>0</v>
      </c>
    </row>
    <row r="5632" spans="1:10" ht="15.75" hidden="1" thickBot="1" x14ac:dyDescent="0.3">
      <c r="A5632" s="235"/>
      <c r="B5632" s="224"/>
      <c r="C5632" s="49"/>
      <c r="D5632" s="148"/>
      <c r="E5632" s="60"/>
      <c r="F5632" s="70" t="s">
        <v>521</v>
      </c>
      <c r="G5632" s="70" t="str">
        <f t="shared" si="111"/>
        <v/>
      </c>
      <c r="H5632" s="71"/>
      <c r="I5632" s="68"/>
      <c r="J5632" s="138">
        <v>0</v>
      </c>
    </row>
    <row r="5633" spans="1:10" ht="15.75" hidden="1" thickBot="1" x14ac:dyDescent="0.3">
      <c r="A5633" s="220" t="s">
        <v>2023</v>
      </c>
      <c r="B5633" s="222" t="e">
        <f>INDEX(Orçamentária!A:B,MATCH(Composições!A5633,Orçamentária!A:A,0),2)</f>
        <v>#N/A</v>
      </c>
      <c r="C5633" s="35"/>
      <c r="D5633" s="20" t="s">
        <v>42</v>
      </c>
      <c r="E5633" s="21"/>
      <c r="F5633" s="43" t="s">
        <v>521</v>
      </c>
      <c r="G5633" s="22" t="str">
        <f t="shared" si="111"/>
        <v/>
      </c>
      <c r="H5633" s="23"/>
      <c r="I5633" s="24"/>
      <c r="J5633" s="138">
        <v>0</v>
      </c>
    </row>
    <row r="5634" spans="1:10" ht="15.75" hidden="1" thickBot="1" x14ac:dyDescent="0.3">
      <c r="A5634" s="225"/>
      <c r="B5634" s="223"/>
      <c r="C5634" s="152"/>
      <c r="D5634" s="26"/>
      <c r="E5634" s="153"/>
      <c r="F5634" s="48" t="s">
        <v>521</v>
      </c>
      <c r="G5634" s="48" t="str">
        <f t="shared" si="111"/>
        <v/>
      </c>
      <c r="H5634" s="67"/>
      <c r="I5634" s="68"/>
      <c r="J5634" s="138">
        <v>0</v>
      </c>
    </row>
    <row r="5635" spans="1:10" ht="26.25" hidden="1" thickBot="1" x14ac:dyDescent="0.3">
      <c r="A5635" s="225"/>
      <c r="B5635" s="223"/>
      <c r="C5635" s="30" t="s">
        <v>1632</v>
      </c>
      <c r="D5635" s="30" t="s">
        <v>42</v>
      </c>
      <c r="E5635" s="146">
        <v>1</v>
      </c>
      <c r="F5635" s="25">
        <v>14.183499999999999</v>
      </c>
      <c r="G5635" s="48">
        <f t="shared" si="111"/>
        <v>14.183499999999999</v>
      </c>
      <c r="H5635" s="33">
        <f>SUM(G5635:G5635)</f>
        <v>14.183499999999999</v>
      </c>
      <c r="I5635" s="34"/>
      <c r="J5635" s="138">
        <v>0</v>
      </c>
    </row>
    <row r="5636" spans="1:10" ht="15.75" hidden="1" thickBot="1" x14ac:dyDescent="0.3">
      <c r="A5636" s="226"/>
      <c r="B5636" s="224"/>
      <c r="C5636" s="49"/>
      <c r="D5636" s="148"/>
      <c r="E5636" s="60"/>
      <c r="F5636" s="70" t="s">
        <v>521</v>
      </c>
      <c r="G5636" s="70" t="str">
        <f t="shared" si="111"/>
        <v/>
      </c>
      <c r="H5636" s="71"/>
      <c r="I5636" s="68"/>
      <c r="J5636" s="138">
        <v>0</v>
      </c>
    </row>
    <row r="5637" spans="1:10" ht="15.75" hidden="1" thickBot="1" x14ac:dyDescent="0.3">
      <c r="A5637" s="220" t="s">
        <v>2024</v>
      </c>
      <c r="B5637" s="222" t="e">
        <f>INDEX(Orçamentária!A:B,MATCH(Composições!A5637,Orçamentária!A:A,0),2)</f>
        <v>#N/A</v>
      </c>
      <c r="C5637" s="35"/>
      <c r="D5637" s="20" t="s">
        <v>42</v>
      </c>
      <c r="E5637" s="21"/>
      <c r="F5637" s="43" t="s">
        <v>521</v>
      </c>
      <c r="G5637" s="22" t="str">
        <f t="shared" si="111"/>
        <v/>
      </c>
      <c r="H5637" s="23"/>
      <c r="I5637" s="24"/>
      <c r="J5637" s="138">
        <v>0</v>
      </c>
    </row>
    <row r="5638" spans="1:10" ht="15.75" hidden="1" thickBot="1" x14ac:dyDescent="0.3">
      <c r="A5638" s="225"/>
      <c r="B5638" s="223"/>
      <c r="C5638" s="152"/>
      <c r="D5638" s="26"/>
      <c r="E5638" s="153"/>
      <c r="F5638" s="48" t="s">
        <v>521</v>
      </c>
      <c r="G5638" s="48" t="str">
        <f t="shared" si="111"/>
        <v/>
      </c>
      <c r="H5638" s="67"/>
      <c r="I5638" s="68"/>
      <c r="J5638" s="138">
        <v>0</v>
      </c>
    </row>
    <row r="5639" spans="1:10" ht="26.25" hidden="1" thickBot="1" x14ac:dyDescent="0.3">
      <c r="A5639" s="225"/>
      <c r="B5639" s="223"/>
      <c r="C5639" s="30" t="s">
        <v>130</v>
      </c>
      <c r="D5639" s="30" t="s">
        <v>42</v>
      </c>
      <c r="E5639" s="146">
        <v>1</v>
      </c>
      <c r="F5639" s="25">
        <v>13.337999999999999</v>
      </c>
      <c r="G5639" s="48">
        <f t="shared" si="111"/>
        <v>13.337999999999999</v>
      </c>
      <c r="H5639" s="33">
        <f>SUM(G5639:G5639)</f>
        <v>13.337999999999999</v>
      </c>
      <c r="I5639" s="34"/>
      <c r="J5639" s="138">
        <v>0</v>
      </c>
    </row>
    <row r="5640" spans="1:10" ht="15.75" hidden="1" thickBot="1" x14ac:dyDescent="0.3">
      <c r="A5640" s="226"/>
      <c r="B5640" s="224"/>
      <c r="C5640" s="49"/>
      <c r="D5640" s="148"/>
      <c r="E5640" s="60"/>
      <c r="F5640" s="70" t="s">
        <v>521</v>
      </c>
      <c r="G5640" s="70" t="str">
        <f t="shared" si="111"/>
        <v/>
      </c>
      <c r="H5640" s="71"/>
      <c r="I5640" s="68"/>
      <c r="J5640" s="138">
        <v>0</v>
      </c>
    </row>
    <row r="5641" spans="1:10" ht="15.75" hidden="1" thickBot="1" x14ac:dyDescent="0.3">
      <c r="A5641" s="220" t="s">
        <v>2025</v>
      </c>
      <c r="B5641" s="222" t="e">
        <f>INDEX(Orçamentária!A:B,MATCH(Composições!A5641,Orçamentária!A:A,0),2)</f>
        <v>#N/A</v>
      </c>
      <c r="C5641" s="35"/>
      <c r="D5641" s="20" t="s">
        <v>20</v>
      </c>
      <c r="E5641" s="21"/>
      <c r="F5641" s="43" t="s">
        <v>521</v>
      </c>
      <c r="G5641" s="22" t="str">
        <f t="shared" si="111"/>
        <v/>
      </c>
      <c r="H5641" s="23"/>
      <c r="I5641" s="24"/>
      <c r="J5641" s="138">
        <v>0</v>
      </c>
    </row>
    <row r="5642" spans="1:10" ht="15.75" hidden="1" thickBot="1" x14ac:dyDescent="0.3">
      <c r="A5642" s="225"/>
      <c r="B5642" s="223"/>
      <c r="C5642" s="152"/>
      <c r="D5642" s="26"/>
      <c r="E5642" s="153"/>
      <c r="F5642" s="48" t="s">
        <v>521</v>
      </c>
      <c r="G5642" s="48" t="str">
        <f t="shared" si="111"/>
        <v/>
      </c>
      <c r="H5642" s="67"/>
      <c r="I5642" s="68"/>
      <c r="J5642" s="138">
        <v>0</v>
      </c>
    </row>
    <row r="5643" spans="1:10" ht="26.25" hidden="1" thickBot="1" x14ac:dyDescent="0.3">
      <c r="A5643" s="225"/>
      <c r="B5643" s="223"/>
      <c r="C5643" s="30" t="s">
        <v>1644</v>
      </c>
      <c r="D5643" s="30" t="s">
        <v>20</v>
      </c>
      <c r="E5643" s="146">
        <v>1</v>
      </c>
      <c r="F5643" s="25">
        <v>10.696999999999999</v>
      </c>
      <c r="G5643" s="48">
        <f t="shared" si="111"/>
        <v>10.696999999999999</v>
      </c>
      <c r="H5643" s="33">
        <f>SUM(G5643:G5643)</f>
        <v>10.696999999999999</v>
      </c>
      <c r="I5643" s="34"/>
      <c r="J5643" s="138">
        <v>0</v>
      </c>
    </row>
    <row r="5644" spans="1:10" ht="15.75" hidden="1" thickBot="1" x14ac:dyDescent="0.3">
      <c r="A5644" s="226"/>
      <c r="B5644" s="224"/>
      <c r="C5644" s="49"/>
      <c r="D5644" s="148"/>
      <c r="E5644" s="60"/>
      <c r="F5644" s="70" t="s">
        <v>521</v>
      </c>
      <c r="G5644" s="70" t="str">
        <f t="shared" si="111"/>
        <v/>
      </c>
      <c r="H5644" s="71"/>
      <c r="I5644" s="68"/>
      <c r="J5644" s="138">
        <v>0</v>
      </c>
    </row>
    <row r="5645" spans="1:10" ht="15.75" hidden="1" thickBot="1" x14ac:dyDescent="0.3">
      <c r="A5645" s="220" t="s">
        <v>2026</v>
      </c>
      <c r="B5645" s="222" t="e">
        <f>INDEX(Orçamentária!A:B,MATCH(Composições!A5645,Orçamentária!A:A,0),2)</f>
        <v>#N/A</v>
      </c>
      <c r="C5645" s="35"/>
      <c r="D5645" s="20" t="s">
        <v>20</v>
      </c>
      <c r="E5645" s="21"/>
      <c r="F5645" s="43" t="s">
        <v>521</v>
      </c>
      <c r="G5645" s="22" t="str">
        <f t="shared" si="111"/>
        <v/>
      </c>
      <c r="H5645" s="23"/>
      <c r="I5645" s="24"/>
      <c r="J5645" s="138">
        <v>0</v>
      </c>
    </row>
    <row r="5646" spans="1:10" ht="15.75" hidden="1" thickBot="1" x14ac:dyDescent="0.3">
      <c r="A5646" s="225"/>
      <c r="B5646" s="223"/>
      <c r="C5646" s="152"/>
      <c r="D5646" s="26"/>
      <c r="E5646" s="153"/>
      <c r="F5646" s="48" t="s">
        <v>521</v>
      </c>
      <c r="G5646" s="48" t="str">
        <f t="shared" si="111"/>
        <v/>
      </c>
      <c r="H5646" s="67"/>
      <c r="I5646" s="68"/>
      <c r="J5646" s="138">
        <v>0</v>
      </c>
    </row>
    <row r="5647" spans="1:10" ht="26.25" hidden="1" thickBot="1" x14ac:dyDescent="0.3">
      <c r="A5647" s="225"/>
      <c r="B5647" s="223"/>
      <c r="C5647" s="30" t="s">
        <v>1642</v>
      </c>
      <c r="D5647" s="30" t="s">
        <v>20</v>
      </c>
      <c r="E5647" s="146">
        <v>1</v>
      </c>
      <c r="F5647" s="25">
        <v>17.964500000000001</v>
      </c>
      <c r="G5647" s="48">
        <f t="shared" si="111"/>
        <v>17.964500000000001</v>
      </c>
      <c r="H5647" s="33">
        <f>SUM(G5647:G5647)</f>
        <v>17.964500000000001</v>
      </c>
      <c r="I5647" s="34"/>
      <c r="J5647" s="138">
        <v>0</v>
      </c>
    </row>
    <row r="5648" spans="1:10" ht="15.75" hidden="1" thickBot="1" x14ac:dyDescent="0.3">
      <c r="A5648" s="226"/>
      <c r="B5648" s="224"/>
      <c r="C5648" s="49"/>
      <c r="D5648" s="148"/>
      <c r="E5648" s="60"/>
      <c r="F5648" s="70" t="s">
        <v>521</v>
      </c>
      <c r="G5648" s="70" t="str">
        <f t="shared" si="111"/>
        <v/>
      </c>
      <c r="H5648" s="71"/>
      <c r="I5648" s="68"/>
      <c r="J5648" s="138">
        <v>0</v>
      </c>
    </row>
    <row r="5649" spans="1:10" ht="15.75" hidden="1" thickBot="1" x14ac:dyDescent="0.3">
      <c r="A5649" s="220" t="s">
        <v>2027</v>
      </c>
      <c r="B5649" s="222" t="e">
        <f>INDEX(Orçamentária!A:B,MATCH(Composições!A5649,Orçamentária!A:A,0),2)</f>
        <v>#N/A</v>
      </c>
      <c r="C5649" s="35"/>
      <c r="D5649" s="20" t="s">
        <v>20</v>
      </c>
      <c r="E5649" s="21"/>
      <c r="F5649" s="43" t="s">
        <v>521</v>
      </c>
      <c r="G5649" s="22" t="str">
        <f t="shared" si="111"/>
        <v/>
      </c>
      <c r="H5649" s="23"/>
      <c r="I5649" s="24"/>
      <c r="J5649" s="138">
        <v>0</v>
      </c>
    </row>
    <row r="5650" spans="1:10" ht="15.75" hidden="1" thickBot="1" x14ac:dyDescent="0.3">
      <c r="A5650" s="225"/>
      <c r="B5650" s="223"/>
      <c r="C5650" s="152"/>
      <c r="D5650" s="26"/>
      <c r="E5650" s="153"/>
      <c r="F5650" s="48" t="s">
        <v>521</v>
      </c>
      <c r="G5650" s="48" t="str">
        <f t="shared" si="111"/>
        <v/>
      </c>
      <c r="H5650" s="67"/>
      <c r="I5650" s="68"/>
      <c r="J5650" s="138">
        <v>0</v>
      </c>
    </row>
    <row r="5651" spans="1:10" ht="26.25" hidden="1" thickBot="1" x14ac:dyDescent="0.3">
      <c r="A5651" s="225"/>
      <c r="B5651" s="223"/>
      <c r="C5651" s="30" t="s">
        <v>2281</v>
      </c>
      <c r="D5651" s="30" t="s">
        <v>20</v>
      </c>
      <c r="E5651" s="146">
        <v>1</v>
      </c>
      <c r="F5651" s="25">
        <v>22.0305</v>
      </c>
      <c r="G5651" s="48">
        <f t="shared" si="111"/>
        <v>22.0305</v>
      </c>
      <c r="H5651" s="33">
        <f>SUM(G5651:G5651)</f>
        <v>22.0305</v>
      </c>
      <c r="I5651" s="34"/>
      <c r="J5651" s="138">
        <v>0</v>
      </c>
    </row>
    <row r="5652" spans="1:10" ht="15.75" hidden="1" thickBot="1" x14ac:dyDescent="0.3">
      <c r="A5652" s="226"/>
      <c r="B5652" s="224"/>
      <c r="C5652" s="49"/>
      <c r="D5652" s="148"/>
      <c r="E5652" s="60"/>
      <c r="F5652" s="70" t="s">
        <v>521</v>
      </c>
      <c r="G5652" s="70" t="str">
        <f t="shared" si="111"/>
        <v/>
      </c>
      <c r="H5652" s="71"/>
      <c r="I5652" s="68"/>
      <c r="J5652" s="138">
        <v>0</v>
      </c>
    </row>
    <row r="5653" spans="1:10" ht="15.75" hidden="1" thickBot="1" x14ac:dyDescent="0.3">
      <c r="A5653" s="220" t="s">
        <v>2028</v>
      </c>
      <c r="B5653" s="222" t="e">
        <f>INDEX(Orçamentária!A:B,MATCH(Composições!A5653,Orçamentária!A:A,0),2)</f>
        <v>#N/A</v>
      </c>
      <c r="C5653" s="35"/>
      <c r="D5653" s="20" t="s">
        <v>20</v>
      </c>
      <c r="E5653" s="21"/>
      <c r="F5653" s="43" t="s">
        <v>521</v>
      </c>
      <c r="G5653" s="22" t="str">
        <f t="shared" si="111"/>
        <v/>
      </c>
      <c r="H5653" s="23"/>
      <c r="I5653" s="24"/>
      <c r="J5653" s="138">
        <v>0</v>
      </c>
    </row>
    <row r="5654" spans="1:10" ht="15.75" hidden="1" thickBot="1" x14ac:dyDescent="0.3">
      <c r="A5654" s="225"/>
      <c r="B5654" s="223"/>
      <c r="C5654" s="152"/>
      <c r="D5654" s="26"/>
      <c r="E5654" s="153"/>
      <c r="F5654" s="48" t="s">
        <v>521</v>
      </c>
      <c r="G5654" s="48" t="str">
        <f t="shared" si="111"/>
        <v/>
      </c>
      <c r="H5654" s="67"/>
      <c r="I5654" s="68"/>
      <c r="J5654" s="138">
        <v>0</v>
      </c>
    </row>
    <row r="5655" spans="1:10" ht="26.25" hidden="1" thickBot="1" x14ac:dyDescent="0.3">
      <c r="A5655" s="225"/>
      <c r="B5655" s="223"/>
      <c r="C5655" s="30" t="s">
        <v>1641</v>
      </c>
      <c r="D5655" s="30" t="s">
        <v>20</v>
      </c>
      <c r="E5655" s="146">
        <v>1</v>
      </c>
      <c r="F5655" s="25">
        <v>29.279</v>
      </c>
      <c r="G5655" s="48">
        <f t="shared" si="111"/>
        <v>29.279</v>
      </c>
      <c r="H5655" s="33">
        <f>SUM(G5655:G5655)</f>
        <v>29.279</v>
      </c>
      <c r="I5655" s="34"/>
      <c r="J5655" s="138">
        <v>0</v>
      </c>
    </row>
    <row r="5656" spans="1:10" ht="15.75" hidden="1" thickBot="1" x14ac:dyDescent="0.3">
      <c r="A5656" s="226"/>
      <c r="B5656" s="224"/>
      <c r="C5656" s="49"/>
      <c r="D5656" s="148"/>
      <c r="E5656" s="60"/>
      <c r="F5656" s="70" t="s">
        <v>521</v>
      </c>
      <c r="G5656" s="70" t="str">
        <f t="shared" si="111"/>
        <v/>
      </c>
      <c r="H5656" s="71"/>
      <c r="I5656" s="68"/>
      <c r="J5656" s="138">
        <v>0</v>
      </c>
    </row>
    <row r="5657" spans="1:10" ht="15.75" hidden="1" thickBot="1" x14ac:dyDescent="0.3">
      <c r="A5657" s="220" t="s">
        <v>2029</v>
      </c>
      <c r="B5657" s="222" t="e">
        <f>INDEX(Orçamentária!A:B,MATCH(Composições!A5657,Orçamentária!A:A,0),2)</f>
        <v>#N/A</v>
      </c>
      <c r="C5657" s="35"/>
      <c r="D5657" s="20" t="s">
        <v>20</v>
      </c>
      <c r="E5657" s="21"/>
      <c r="F5657" s="43" t="s">
        <v>521</v>
      </c>
      <c r="G5657" s="22" t="str">
        <f t="shared" si="111"/>
        <v/>
      </c>
      <c r="H5657" s="23"/>
      <c r="I5657" s="24"/>
      <c r="J5657" s="138">
        <v>0</v>
      </c>
    </row>
    <row r="5658" spans="1:10" ht="15.75" hidden="1" thickBot="1" x14ac:dyDescent="0.3">
      <c r="A5658" s="225"/>
      <c r="B5658" s="223"/>
      <c r="C5658" s="152"/>
      <c r="D5658" s="26"/>
      <c r="E5658" s="153"/>
      <c r="F5658" s="48" t="s">
        <v>521</v>
      </c>
      <c r="G5658" s="48" t="str">
        <f t="shared" si="111"/>
        <v/>
      </c>
      <c r="H5658" s="67"/>
      <c r="I5658" s="68"/>
      <c r="J5658" s="138">
        <v>0</v>
      </c>
    </row>
    <row r="5659" spans="1:10" ht="26.25" hidden="1" thickBot="1" x14ac:dyDescent="0.3">
      <c r="A5659" s="225"/>
      <c r="B5659" s="223"/>
      <c r="C5659" s="30" t="s">
        <v>1643</v>
      </c>
      <c r="D5659" s="30" t="s">
        <v>20</v>
      </c>
      <c r="E5659" s="146">
        <v>1</v>
      </c>
      <c r="F5659" s="25">
        <v>42.9495</v>
      </c>
      <c r="G5659" s="48">
        <f t="shared" si="111"/>
        <v>42.9495</v>
      </c>
      <c r="H5659" s="33">
        <f>SUM(G5659:G5659)</f>
        <v>42.9495</v>
      </c>
      <c r="I5659" s="34"/>
      <c r="J5659" s="138">
        <v>0</v>
      </c>
    </row>
    <row r="5660" spans="1:10" ht="15.75" hidden="1" thickBot="1" x14ac:dyDescent="0.3">
      <c r="A5660" s="226"/>
      <c r="B5660" s="224"/>
      <c r="C5660" s="49"/>
      <c r="D5660" s="148"/>
      <c r="E5660" s="60"/>
      <c r="F5660" s="70" t="s">
        <v>521</v>
      </c>
      <c r="G5660" s="70" t="str">
        <f t="shared" si="111"/>
        <v/>
      </c>
      <c r="H5660" s="71"/>
      <c r="I5660" s="68"/>
      <c r="J5660" s="138">
        <v>0</v>
      </c>
    </row>
    <row r="5661" spans="1:10" ht="15.75" hidden="1" thickBot="1" x14ac:dyDescent="0.3">
      <c r="A5661" s="220" t="s">
        <v>2030</v>
      </c>
      <c r="B5661" s="222" t="e">
        <f>INDEX(Orçamentária!A:B,MATCH(Composições!A5661,Orçamentária!A:A,0),2)</f>
        <v>#N/A</v>
      </c>
      <c r="C5661" s="35"/>
      <c r="D5661" s="20" t="s">
        <v>20</v>
      </c>
      <c r="E5661" s="21"/>
      <c r="F5661" s="43" t="s">
        <v>521</v>
      </c>
      <c r="G5661" s="22" t="str">
        <f t="shared" si="111"/>
        <v/>
      </c>
      <c r="H5661" s="23"/>
      <c r="I5661" s="24"/>
      <c r="J5661" s="138">
        <v>0</v>
      </c>
    </row>
    <row r="5662" spans="1:10" ht="15.75" hidden="1" thickBot="1" x14ac:dyDescent="0.3">
      <c r="A5662" s="225"/>
      <c r="B5662" s="223"/>
      <c r="C5662" s="152"/>
      <c r="D5662" s="26"/>
      <c r="E5662" s="153"/>
      <c r="F5662" s="48" t="s">
        <v>521</v>
      </c>
      <c r="G5662" s="48" t="str">
        <f t="shared" si="111"/>
        <v/>
      </c>
      <c r="H5662" s="67"/>
      <c r="I5662" s="68"/>
      <c r="J5662" s="138">
        <v>0</v>
      </c>
    </row>
    <row r="5663" spans="1:10" ht="26.25" hidden="1" thickBot="1" x14ac:dyDescent="0.3">
      <c r="A5663" s="225"/>
      <c r="B5663" s="223"/>
      <c r="C5663" s="30" t="s">
        <v>1645</v>
      </c>
      <c r="D5663" s="30" t="s">
        <v>20</v>
      </c>
      <c r="E5663" s="146">
        <v>1</v>
      </c>
      <c r="F5663" s="25">
        <v>119.26300000000001</v>
      </c>
      <c r="G5663" s="48">
        <f t="shared" si="111"/>
        <v>119.26300000000001</v>
      </c>
      <c r="H5663" s="33">
        <f>SUM(G5663:G5663)</f>
        <v>119.26300000000001</v>
      </c>
      <c r="I5663" s="34"/>
      <c r="J5663" s="138">
        <v>0</v>
      </c>
    </row>
    <row r="5664" spans="1:10" ht="15.75" hidden="1" thickBot="1" x14ac:dyDescent="0.3">
      <c r="A5664" s="226"/>
      <c r="B5664" s="224"/>
      <c r="C5664" s="49"/>
      <c r="D5664" s="148"/>
      <c r="E5664" s="60"/>
      <c r="F5664" s="70" t="s">
        <v>521</v>
      </c>
      <c r="G5664" s="70" t="str">
        <f t="shared" si="111"/>
        <v/>
      </c>
      <c r="H5664" s="71"/>
      <c r="I5664" s="68"/>
      <c r="J5664" s="138">
        <v>0</v>
      </c>
    </row>
    <row r="5665" spans="1:10" ht="15.75" hidden="1" thickBot="1" x14ac:dyDescent="0.3">
      <c r="A5665" s="220" t="s">
        <v>2031</v>
      </c>
      <c r="B5665" s="222" t="e">
        <f>INDEX(Orçamentária!A:B,MATCH(Composições!A5665,Orçamentária!A:A,0),2)</f>
        <v>#N/A</v>
      </c>
      <c r="C5665" s="35"/>
      <c r="D5665" s="20" t="s">
        <v>20</v>
      </c>
      <c r="E5665" s="21"/>
      <c r="F5665" s="43" t="s">
        <v>521</v>
      </c>
      <c r="G5665" s="22" t="str">
        <f t="shared" si="111"/>
        <v/>
      </c>
      <c r="H5665" s="23"/>
      <c r="I5665" s="24"/>
      <c r="J5665" s="138">
        <v>0</v>
      </c>
    </row>
    <row r="5666" spans="1:10" ht="15.75" hidden="1" thickBot="1" x14ac:dyDescent="0.3">
      <c r="A5666" s="225"/>
      <c r="B5666" s="223"/>
      <c r="C5666" s="152"/>
      <c r="D5666" s="26"/>
      <c r="E5666" s="153"/>
      <c r="F5666" s="48" t="s">
        <v>521</v>
      </c>
      <c r="G5666" s="48" t="str">
        <f t="shared" si="111"/>
        <v/>
      </c>
      <c r="H5666" s="67"/>
      <c r="I5666" s="68"/>
      <c r="J5666" s="138">
        <v>0</v>
      </c>
    </row>
    <row r="5667" spans="1:10" ht="26.25" hidden="1" thickBot="1" x14ac:dyDescent="0.3">
      <c r="A5667" s="225"/>
      <c r="B5667" s="223"/>
      <c r="C5667" s="30" t="s">
        <v>1640</v>
      </c>
      <c r="D5667" s="30" t="s">
        <v>20</v>
      </c>
      <c r="E5667" s="146">
        <v>1</v>
      </c>
      <c r="F5667" s="25">
        <v>218.9085</v>
      </c>
      <c r="G5667" s="48">
        <f t="shared" si="111"/>
        <v>218.9085</v>
      </c>
      <c r="H5667" s="33">
        <f>SUM(G5667:G5667)</f>
        <v>218.9085</v>
      </c>
      <c r="I5667" s="34"/>
      <c r="J5667" s="138">
        <v>0</v>
      </c>
    </row>
    <row r="5668" spans="1:10" ht="15.75" hidden="1" thickBot="1" x14ac:dyDescent="0.3">
      <c r="A5668" s="226"/>
      <c r="B5668" s="224"/>
      <c r="C5668" s="49"/>
      <c r="D5668" s="148"/>
      <c r="E5668" s="60"/>
      <c r="F5668" s="70" t="s">
        <v>521</v>
      </c>
      <c r="G5668" s="70" t="str">
        <f t="shared" si="111"/>
        <v/>
      </c>
      <c r="H5668" s="71"/>
      <c r="I5668" s="68"/>
      <c r="J5668" s="138">
        <v>0</v>
      </c>
    </row>
    <row r="5669" spans="1:10" ht="15.75" hidden="1" thickBot="1" x14ac:dyDescent="0.3">
      <c r="A5669" s="220" t="s">
        <v>2032</v>
      </c>
      <c r="B5669" s="222" t="e">
        <f>INDEX(Orçamentária!A:B,MATCH(Composições!A5669,Orçamentária!A:A,0),2)</f>
        <v>#N/A</v>
      </c>
      <c r="C5669" s="35"/>
      <c r="D5669" s="20" t="s">
        <v>20</v>
      </c>
      <c r="E5669" s="21"/>
      <c r="F5669" s="43" t="s">
        <v>521</v>
      </c>
      <c r="G5669" s="22" t="str">
        <f t="shared" si="111"/>
        <v/>
      </c>
      <c r="H5669" s="23"/>
      <c r="I5669" s="24"/>
      <c r="J5669" s="138">
        <v>0</v>
      </c>
    </row>
    <row r="5670" spans="1:10" ht="15.75" hidden="1" thickBot="1" x14ac:dyDescent="0.3">
      <c r="A5670" s="225"/>
      <c r="B5670" s="223"/>
      <c r="C5670" s="152"/>
      <c r="D5670" s="26"/>
      <c r="E5670" s="153"/>
      <c r="F5670" s="48" t="s">
        <v>521</v>
      </c>
      <c r="G5670" s="48" t="str">
        <f t="shared" si="111"/>
        <v/>
      </c>
      <c r="H5670" s="67"/>
      <c r="I5670" s="68"/>
      <c r="J5670" s="138">
        <v>0</v>
      </c>
    </row>
    <row r="5671" spans="1:10" ht="15.75" hidden="1" thickBot="1" x14ac:dyDescent="0.3">
      <c r="A5671" s="225"/>
      <c r="B5671" s="223"/>
      <c r="C5671" s="30" t="s">
        <v>1732</v>
      </c>
      <c r="D5671" s="30" t="s">
        <v>20</v>
      </c>
      <c r="E5671" s="146">
        <v>1</v>
      </c>
      <c r="F5671" s="25">
        <v>4.5979999999999999</v>
      </c>
      <c r="G5671" s="48">
        <f t="shared" si="111"/>
        <v>4.5979999999999999</v>
      </c>
      <c r="H5671" s="33">
        <f>SUM(G5671:G5671)</f>
        <v>4.5979999999999999</v>
      </c>
      <c r="I5671" s="34"/>
      <c r="J5671" s="138">
        <v>0</v>
      </c>
    </row>
    <row r="5672" spans="1:10" ht="15.75" hidden="1" thickBot="1" x14ac:dyDescent="0.3">
      <c r="A5672" s="226"/>
      <c r="B5672" s="224"/>
      <c r="C5672" s="49"/>
      <c r="D5672" s="148"/>
      <c r="E5672" s="60"/>
      <c r="F5672" s="70" t="s">
        <v>521</v>
      </c>
      <c r="G5672" s="70" t="str">
        <f t="shared" si="111"/>
        <v/>
      </c>
      <c r="H5672" s="71"/>
      <c r="I5672" s="68"/>
      <c r="J5672" s="138">
        <v>0</v>
      </c>
    </row>
    <row r="5673" spans="1:10" ht="15.75" hidden="1" thickBot="1" x14ac:dyDescent="0.3">
      <c r="A5673" s="220" t="s">
        <v>2033</v>
      </c>
      <c r="B5673" s="222" t="e">
        <f>INDEX(Orçamentária!A:B,MATCH(Composições!A5673,Orçamentária!A:A,0),2)</f>
        <v>#N/A</v>
      </c>
      <c r="C5673" s="35"/>
      <c r="D5673" s="20" t="s">
        <v>20</v>
      </c>
      <c r="E5673" s="21"/>
      <c r="F5673" s="43" t="s">
        <v>521</v>
      </c>
      <c r="G5673" s="22" t="str">
        <f t="shared" si="111"/>
        <v/>
      </c>
      <c r="H5673" s="23"/>
      <c r="I5673" s="24"/>
      <c r="J5673" s="138">
        <v>0</v>
      </c>
    </row>
    <row r="5674" spans="1:10" ht="15.75" hidden="1" thickBot="1" x14ac:dyDescent="0.3">
      <c r="A5674" s="225"/>
      <c r="B5674" s="223"/>
      <c r="C5674" s="152"/>
      <c r="D5674" s="26"/>
      <c r="E5674" s="153"/>
      <c r="F5674" s="48" t="s">
        <v>521</v>
      </c>
      <c r="G5674" s="48" t="str">
        <f t="shared" si="111"/>
        <v/>
      </c>
      <c r="H5674" s="67"/>
      <c r="I5674" s="68"/>
      <c r="J5674" s="138">
        <v>0</v>
      </c>
    </row>
    <row r="5675" spans="1:10" ht="26.25" hidden="1" thickBot="1" x14ac:dyDescent="0.3">
      <c r="A5675" s="225"/>
      <c r="B5675" s="223"/>
      <c r="C5675" s="30" t="s">
        <v>1743</v>
      </c>
      <c r="D5675" s="30" t="s">
        <v>20</v>
      </c>
      <c r="E5675" s="146">
        <v>1</v>
      </c>
      <c r="F5675" s="25">
        <v>2.1755</v>
      </c>
      <c r="G5675" s="48">
        <f t="shared" si="111"/>
        <v>2.1755</v>
      </c>
      <c r="H5675" s="33">
        <f>SUM(G5675:G5675)</f>
        <v>2.1755</v>
      </c>
      <c r="I5675" s="34"/>
      <c r="J5675" s="138">
        <v>0</v>
      </c>
    </row>
    <row r="5676" spans="1:10" ht="15.75" hidden="1" thickBot="1" x14ac:dyDescent="0.3">
      <c r="A5676" s="226"/>
      <c r="B5676" s="224"/>
      <c r="C5676" s="49"/>
      <c r="D5676" s="148"/>
      <c r="E5676" s="60"/>
      <c r="F5676" s="70" t="s">
        <v>521</v>
      </c>
      <c r="G5676" s="70" t="str">
        <f t="shared" si="111"/>
        <v/>
      </c>
      <c r="H5676" s="71"/>
      <c r="I5676" s="68"/>
      <c r="J5676" s="138">
        <v>0</v>
      </c>
    </row>
    <row r="5677" spans="1:10" ht="15.75" hidden="1" thickBot="1" x14ac:dyDescent="0.3">
      <c r="A5677" s="220" t="s">
        <v>2034</v>
      </c>
      <c r="B5677" s="222" t="e">
        <f>INDEX(Orçamentária!A:B,MATCH(Composições!A5677,Orçamentária!A:A,0),2)</f>
        <v>#N/A</v>
      </c>
      <c r="C5677" s="35"/>
      <c r="D5677" s="20" t="s">
        <v>20</v>
      </c>
      <c r="E5677" s="21"/>
      <c r="F5677" s="43" t="s">
        <v>521</v>
      </c>
      <c r="G5677" s="22" t="str">
        <f t="shared" si="111"/>
        <v/>
      </c>
      <c r="H5677" s="23"/>
      <c r="I5677" s="24"/>
      <c r="J5677" s="138">
        <v>0</v>
      </c>
    </row>
    <row r="5678" spans="1:10" ht="15.75" hidden="1" thickBot="1" x14ac:dyDescent="0.3">
      <c r="A5678" s="225"/>
      <c r="B5678" s="223"/>
      <c r="C5678" s="152"/>
      <c r="D5678" s="26"/>
      <c r="E5678" s="153"/>
      <c r="F5678" s="48" t="s">
        <v>521</v>
      </c>
      <c r="G5678" s="48" t="str">
        <f t="shared" si="111"/>
        <v/>
      </c>
      <c r="H5678" s="67"/>
      <c r="I5678" s="68"/>
      <c r="J5678" s="138">
        <v>0</v>
      </c>
    </row>
    <row r="5679" spans="1:10" ht="26.25" hidden="1" thickBot="1" x14ac:dyDescent="0.3">
      <c r="A5679" s="225"/>
      <c r="B5679" s="223"/>
      <c r="C5679" s="30" t="s">
        <v>1744</v>
      </c>
      <c r="D5679" s="30" t="s">
        <v>20</v>
      </c>
      <c r="E5679" s="146">
        <v>1</v>
      </c>
      <c r="F5679" s="25">
        <v>2.4510000000000001</v>
      </c>
      <c r="G5679" s="48">
        <f t="shared" si="111"/>
        <v>2.4510000000000001</v>
      </c>
      <c r="H5679" s="33">
        <f>SUM(G5679:G5679)</f>
        <v>2.4510000000000001</v>
      </c>
      <c r="I5679" s="34"/>
      <c r="J5679" s="138">
        <v>0</v>
      </c>
    </row>
    <row r="5680" spans="1:10" ht="15.75" hidden="1" thickBot="1" x14ac:dyDescent="0.3">
      <c r="A5680" s="226"/>
      <c r="B5680" s="224"/>
      <c r="C5680" s="49"/>
      <c r="D5680" s="148"/>
      <c r="E5680" s="60"/>
      <c r="F5680" s="70" t="s">
        <v>521</v>
      </c>
      <c r="G5680" s="70" t="str">
        <f t="shared" si="111"/>
        <v/>
      </c>
      <c r="H5680" s="71"/>
      <c r="I5680" s="68"/>
      <c r="J5680" s="138">
        <v>0</v>
      </c>
    </row>
    <row r="5681" spans="1:10" ht="15.75" hidden="1" thickBot="1" x14ac:dyDescent="0.3">
      <c r="A5681" s="220" t="s">
        <v>2035</v>
      </c>
      <c r="B5681" s="222" t="e">
        <f>INDEX(Orçamentária!A:B,MATCH(Composições!A5681,Orçamentária!A:A,0),2)</f>
        <v>#N/A</v>
      </c>
      <c r="C5681" s="35"/>
      <c r="D5681" s="20" t="s">
        <v>20</v>
      </c>
      <c r="E5681" s="21"/>
      <c r="F5681" s="43" t="s">
        <v>521</v>
      </c>
      <c r="G5681" s="22" t="str">
        <f t="shared" si="111"/>
        <v/>
      </c>
      <c r="H5681" s="23"/>
      <c r="I5681" s="24"/>
      <c r="J5681" s="138">
        <v>0</v>
      </c>
    </row>
    <row r="5682" spans="1:10" ht="15.75" hidden="1" thickBot="1" x14ac:dyDescent="0.3">
      <c r="A5682" s="225"/>
      <c r="B5682" s="223"/>
      <c r="C5682" s="152"/>
      <c r="D5682" s="26"/>
      <c r="E5682" s="153"/>
      <c r="F5682" s="48" t="s">
        <v>521</v>
      </c>
      <c r="G5682" s="48" t="str">
        <f t="shared" si="111"/>
        <v/>
      </c>
      <c r="H5682" s="67"/>
      <c r="I5682" s="68"/>
      <c r="J5682" s="138">
        <v>0</v>
      </c>
    </row>
    <row r="5683" spans="1:10" ht="26.25" hidden="1" thickBot="1" x14ac:dyDescent="0.3">
      <c r="A5683" s="225"/>
      <c r="B5683" s="223"/>
      <c r="C5683" s="30" t="s">
        <v>1745</v>
      </c>
      <c r="D5683" s="30" t="s">
        <v>20</v>
      </c>
      <c r="E5683" s="146">
        <v>1</v>
      </c>
      <c r="F5683" s="25">
        <v>4.2560000000000002</v>
      </c>
      <c r="G5683" s="48">
        <f t="shared" si="111"/>
        <v>4.2560000000000002</v>
      </c>
      <c r="H5683" s="33">
        <f>SUM(G5683:G5683)</f>
        <v>4.2560000000000002</v>
      </c>
      <c r="I5683" s="34"/>
      <c r="J5683" s="138">
        <v>0</v>
      </c>
    </row>
    <row r="5684" spans="1:10" ht="15.75" hidden="1" thickBot="1" x14ac:dyDescent="0.3">
      <c r="A5684" s="226"/>
      <c r="B5684" s="224"/>
      <c r="C5684" s="49"/>
      <c r="D5684" s="148"/>
      <c r="E5684" s="60"/>
      <c r="F5684" s="70" t="s">
        <v>521</v>
      </c>
      <c r="G5684" s="70" t="str">
        <f t="shared" si="111"/>
        <v/>
      </c>
      <c r="H5684" s="71"/>
      <c r="I5684" s="68"/>
      <c r="J5684" s="138">
        <v>0</v>
      </c>
    </row>
    <row r="5685" spans="1:10" ht="15.75" hidden="1" thickBot="1" x14ac:dyDescent="0.3">
      <c r="A5685" s="220" t="s">
        <v>2036</v>
      </c>
      <c r="B5685" s="222" t="e">
        <f>INDEX(Orçamentária!A:B,MATCH(Composições!A5685,Orçamentária!A:A,0),2)</f>
        <v>#N/A</v>
      </c>
      <c r="C5685" s="35"/>
      <c r="D5685" s="20" t="s">
        <v>20</v>
      </c>
      <c r="E5685" s="21"/>
      <c r="F5685" s="43" t="s">
        <v>521</v>
      </c>
      <c r="G5685" s="22" t="str">
        <f t="shared" si="111"/>
        <v/>
      </c>
      <c r="H5685" s="23"/>
      <c r="I5685" s="24"/>
      <c r="J5685" s="138">
        <v>0</v>
      </c>
    </row>
    <row r="5686" spans="1:10" ht="15.75" hidden="1" thickBot="1" x14ac:dyDescent="0.3">
      <c r="A5686" s="225"/>
      <c r="B5686" s="223"/>
      <c r="C5686" s="152"/>
      <c r="D5686" s="26"/>
      <c r="E5686" s="153"/>
      <c r="F5686" s="48" t="s">
        <v>521</v>
      </c>
      <c r="G5686" s="48" t="str">
        <f t="shared" si="111"/>
        <v/>
      </c>
      <c r="H5686" s="67"/>
      <c r="I5686" s="68"/>
      <c r="J5686" s="138">
        <v>0</v>
      </c>
    </row>
    <row r="5687" spans="1:10" ht="26.25" hidden="1" thickBot="1" x14ac:dyDescent="0.3">
      <c r="A5687" s="225"/>
      <c r="B5687" s="223"/>
      <c r="C5687" s="30" t="s">
        <v>1746</v>
      </c>
      <c r="D5687" s="30" t="s">
        <v>20</v>
      </c>
      <c r="E5687" s="146">
        <v>1</v>
      </c>
      <c r="F5687" s="25">
        <v>5.3104999999999993</v>
      </c>
      <c r="G5687" s="48">
        <f t="shared" si="111"/>
        <v>5.3104999999999993</v>
      </c>
      <c r="H5687" s="33">
        <f>SUM(G5687:G5687)</f>
        <v>5.3104999999999993</v>
      </c>
      <c r="I5687" s="34"/>
      <c r="J5687" s="138">
        <v>0</v>
      </c>
    </row>
    <row r="5688" spans="1:10" ht="15.75" hidden="1" thickBot="1" x14ac:dyDescent="0.3">
      <c r="A5688" s="226"/>
      <c r="B5688" s="224"/>
      <c r="C5688" s="49"/>
      <c r="D5688" s="148"/>
      <c r="E5688" s="60"/>
      <c r="F5688" s="70" t="s">
        <v>521</v>
      </c>
      <c r="G5688" s="70" t="str">
        <f t="shared" si="111"/>
        <v/>
      </c>
      <c r="H5688" s="71"/>
      <c r="I5688" s="68"/>
      <c r="J5688" s="138">
        <v>0</v>
      </c>
    </row>
    <row r="5689" spans="1:10" ht="15.75" hidden="1" thickBot="1" x14ac:dyDescent="0.3">
      <c r="A5689" s="220" t="s">
        <v>2037</v>
      </c>
      <c r="B5689" s="222" t="e">
        <f>INDEX(Orçamentária!A:B,MATCH(Composições!A5689,Orçamentária!A:A,0),2)</f>
        <v>#N/A</v>
      </c>
      <c r="C5689" s="35"/>
      <c r="D5689" s="20" t="s">
        <v>20</v>
      </c>
      <c r="E5689" s="21"/>
      <c r="F5689" s="43" t="s">
        <v>521</v>
      </c>
      <c r="G5689" s="22" t="str">
        <f t="shared" si="111"/>
        <v/>
      </c>
      <c r="H5689" s="23"/>
      <c r="I5689" s="24"/>
      <c r="J5689" s="138">
        <v>0</v>
      </c>
    </row>
    <row r="5690" spans="1:10" ht="15.75" hidden="1" thickBot="1" x14ac:dyDescent="0.3">
      <c r="A5690" s="225"/>
      <c r="B5690" s="223"/>
      <c r="C5690" s="152"/>
      <c r="D5690" s="26"/>
      <c r="E5690" s="153"/>
      <c r="F5690" s="48" t="s">
        <v>521</v>
      </c>
      <c r="G5690" s="48" t="str">
        <f t="shared" si="111"/>
        <v/>
      </c>
      <c r="H5690" s="67"/>
      <c r="I5690" s="68"/>
      <c r="J5690" s="138">
        <v>0</v>
      </c>
    </row>
    <row r="5691" spans="1:10" ht="26.25" hidden="1" thickBot="1" x14ac:dyDescent="0.3">
      <c r="A5691" s="225"/>
      <c r="B5691" s="223"/>
      <c r="C5691" s="30" t="s">
        <v>1747</v>
      </c>
      <c r="D5691" s="30" t="s">
        <v>20</v>
      </c>
      <c r="E5691" s="146">
        <v>1</v>
      </c>
      <c r="F5691" s="25">
        <v>6.5359999999999996</v>
      </c>
      <c r="G5691" s="48">
        <f t="shared" si="111"/>
        <v>6.5359999999999996</v>
      </c>
      <c r="H5691" s="33">
        <f>SUM(G5691:G5691)</f>
        <v>6.5359999999999996</v>
      </c>
      <c r="I5691" s="34"/>
      <c r="J5691" s="138">
        <v>0</v>
      </c>
    </row>
    <row r="5692" spans="1:10" ht="15.75" hidden="1" thickBot="1" x14ac:dyDescent="0.3">
      <c r="A5692" s="226"/>
      <c r="B5692" s="224"/>
      <c r="C5692" s="49"/>
      <c r="D5692" s="148"/>
      <c r="E5692" s="60"/>
      <c r="F5692" s="70" t="s">
        <v>521</v>
      </c>
      <c r="G5692" s="70" t="str">
        <f t="shared" si="111"/>
        <v/>
      </c>
      <c r="H5692" s="71"/>
      <c r="I5692" s="68"/>
      <c r="J5692" s="138">
        <v>0</v>
      </c>
    </row>
    <row r="5693" spans="1:10" ht="15.75" hidden="1" thickBot="1" x14ac:dyDescent="0.3">
      <c r="A5693" s="220" t="s">
        <v>2038</v>
      </c>
      <c r="B5693" s="222" t="e">
        <f>INDEX(Orçamentária!A:B,MATCH(Composições!A5693,Orçamentária!A:A,0),2)</f>
        <v>#N/A</v>
      </c>
      <c r="C5693" s="35"/>
      <c r="D5693" s="20" t="s">
        <v>20</v>
      </c>
      <c r="E5693" s="21"/>
      <c r="F5693" s="43" t="s">
        <v>521</v>
      </c>
      <c r="G5693" s="22" t="str">
        <f t="shared" ref="G5693:G5756" si="112">IF(ISNUMBER(F5693),E5693*F5693,"")</f>
        <v/>
      </c>
      <c r="H5693" s="23"/>
      <c r="I5693" s="24"/>
      <c r="J5693" s="138">
        <v>0</v>
      </c>
    </row>
    <row r="5694" spans="1:10" ht="15.75" hidden="1" thickBot="1" x14ac:dyDescent="0.3">
      <c r="A5694" s="225"/>
      <c r="B5694" s="223"/>
      <c r="C5694" s="152"/>
      <c r="D5694" s="26"/>
      <c r="E5694" s="153"/>
      <c r="F5694" s="48" t="s">
        <v>521</v>
      </c>
      <c r="G5694" s="48" t="str">
        <f t="shared" si="112"/>
        <v/>
      </c>
      <c r="H5694" s="67"/>
      <c r="I5694" s="68"/>
      <c r="J5694" s="138">
        <v>0</v>
      </c>
    </row>
    <row r="5695" spans="1:10" ht="26.25" hidden="1" thickBot="1" x14ac:dyDescent="0.3">
      <c r="A5695" s="225"/>
      <c r="B5695" s="223"/>
      <c r="C5695" s="30" t="s">
        <v>1742</v>
      </c>
      <c r="D5695" s="30" t="s">
        <v>20</v>
      </c>
      <c r="E5695" s="146">
        <v>1</v>
      </c>
      <c r="F5695" s="25">
        <v>9.1959999999999997</v>
      </c>
      <c r="G5695" s="48">
        <f t="shared" si="112"/>
        <v>9.1959999999999997</v>
      </c>
      <c r="H5695" s="33">
        <f>SUM(G5695:G5695)</f>
        <v>9.1959999999999997</v>
      </c>
      <c r="I5695" s="34"/>
      <c r="J5695" s="138">
        <v>0</v>
      </c>
    </row>
    <row r="5696" spans="1:10" ht="15.75" hidden="1" thickBot="1" x14ac:dyDescent="0.3">
      <c r="A5696" s="226"/>
      <c r="B5696" s="224"/>
      <c r="C5696" s="49"/>
      <c r="D5696" s="148"/>
      <c r="E5696" s="60"/>
      <c r="F5696" s="70" t="s">
        <v>521</v>
      </c>
      <c r="G5696" s="70" t="str">
        <f t="shared" si="112"/>
        <v/>
      </c>
      <c r="H5696" s="71"/>
      <c r="I5696" s="68"/>
      <c r="J5696" s="138">
        <v>0</v>
      </c>
    </row>
    <row r="5697" spans="1:10" ht="15.75" hidden="1" thickBot="1" x14ac:dyDescent="0.3">
      <c r="A5697" s="220" t="s">
        <v>2039</v>
      </c>
      <c r="B5697" s="222" t="e">
        <f>INDEX(Orçamentária!A:B,MATCH(Composições!A5697,Orçamentária!A:A,0),2)</f>
        <v>#N/A</v>
      </c>
      <c r="C5697" s="35"/>
      <c r="D5697" s="20" t="s">
        <v>20</v>
      </c>
      <c r="E5697" s="21"/>
      <c r="F5697" s="43" t="s">
        <v>521</v>
      </c>
      <c r="G5697" s="22" t="str">
        <f t="shared" si="112"/>
        <v/>
      </c>
      <c r="H5697" s="23"/>
      <c r="I5697" s="24"/>
      <c r="J5697" s="138">
        <v>0</v>
      </c>
    </row>
    <row r="5698" spans="1:10" ht="15.75" hidden="1" thickBot="1" x14ac:dyDescent="0.3">
      <c r="A5698" s="225"/>
      <c r="B5698" s="223"/>
      <c r="C5698" s="152"/>
      <c r="D5698" s="26"/>
      <c r="E5698" s="153"/>
      <c r="F5698" s="48" t="s">
        <v>521</v>
      </c>
      <c r="G5698" s="48" t="str">
        <f t="shared" si="112"/>
        <v/>
      </c>
      <c r="H5698" s="67"/>
      <c r="I5698" s="68"/>
      <c r="J5698" s="138">
        <v>0</v>
      </c>
    </row>
    <row r="5699" spans="1:10" ht="26.25" hidden="1" thickBot="1" x14ac:dyDescent="0.3">
      <c r="A5699" s="225"/>
      <c r="B5699" s="223"/>
      <c r="C5699" s="30" t="s">
        <v>1748</v>
      </c>
      <c r="D5699" s="30" t="s">
        <v>20</v>
      </c>
      <c r="E5699" s="146">
        <v>1</v>
      </c>
      <c r="F5699" s="25">
        <v>20.700499999999998</v>
      </c>
      <c r="G5699" s="48">
        <f t="shared" si="112"/>
        <v>20.700499999999998</v>
      </c>
      <c r="H5699" s="33">
        <f>SUM(G5699:G5699)</f>
        <v>20.700499999999998</v>
      </c>
      <c r="I5699" s="34"/>
      <c r="J5699" s="138">
        <v>0</v>
      </c>
    </row>
    <row r="5700" spans="1:10" ht="15.75" hidden="1" thickBot="1" x14ac:dyDescent="0.3">
      <c r="A5700" s="226"/>
      <c r="B5700" s="224"/>
      <c r="C5700" s="49"/>
      <c r="D5700" s="148"/>
      <c r="E5700" s="60"/>
      <c r="F5700" s="70" t="s">
        <v>521</v>
      </c>
      <c r="G5700" s="70" t="str">
        <f t="shared" si="112"/>
        <v/>
      </c>
      <c r="H5700" s="71"/>
      <c r="I5700" s="68"/>
      <c r="J5700" s="138">
        <v>0</v>
      </c>
    </row>
    <row r="5701" spans="1:10" ht="15.75" hidden="1" thickBot="1" x14ac:dyDescent="0.3">
      <c r="A5701" s="220" t="s">
        <v>2040</v>
      </c>
      <c r="B5701" s="222" t="e">
        <f>INDEX(Orçamentária!A:B,MATCH(Composições!A5701,Orçamentária!A:A,0),2)</f>
        <v>#N/A</v>
      </c>
      <c r="C5701" s="35"/>
      <c r="D5701" s="20" t="s">
        <v>20</v>
      </c>
      <c r="E5701" s="21"/>
      <c r="F5701" s="43" t="s">
        <v>521</v>
      </c>
      <c r="G5701" s="22" t="str">
        <f t="shared" si="112"/>
        <v/>
      </c>
      <c r="H5701" s="23"/>
      <c r="I5701" s="24"/>
      <c r="J5701" s="138">
        <v>0</v>
      </c>
    </row>
    <row r="5702" spans="1:10" ht="15.75" hidden="1" thickBot="1" x14ac:dyDescent="0.3">
      <c r="A5702" s="225"/>
      <c r="B5702" s="223"/>
      <c r="C5702" s="152"/>
      <c r="D5702" s="26"/>
      <c r="E5702" s="153"/>
      <c r="F5702" s="48" t="s">
        <v>521</v>
      </c>
      <c r="G5702" s="48" t="str">
        <f t="shared" si="112"/>
        <v/>
      </c>
      <c r="H5702" s="67"/>
      <c r="I5702" s="68"/>
      <c r="J5702" s="138">
        <v>0</v>
      </c>
    </row>
    <row r="5703" spans="1:10" ht="26.25" hidden="1" thickBot="1" x14ac:dyDescent="0.3">
      <c r="A5703" s="225"/>
      <c r="B5703" s="223"/>
      <c r="C5703" s="30" t="s">
        <v>1749</v>
      </c>
      <c r="D5703" s="30" t="s">
        <v>20</v>
      </c>
      <c r="E5703" s="146">
        <v>1</v>
      </c>
      <c r="F5703" s="25">
        <v>22.628999999999998</v>
      </c>
      <c r="G5703" s="48">
        <f t="shared" si="112"/>
        <v>22.628999999999998</v>
      </c>
      <c r="H5703" s="33">
        <f>SUM(G5703:G5703)</f>
        <v>22.628999999999998</v>
      </c>
      <c r="I5703" s="34"/>
      <c r="J5703" s="138">
        <v>0</v>
      </c>
    </row>
    <row r="5704" spans="1:10" ht="15.75" hidden="1" thickBot="1" x14ac:dyDescent="0.3">
      <c r="A5704" s="226"/>
      <c r="B5704" s="224"/>
      <c r="C5704" s="49"/>
      <c r="D5704" s="148"/>
      <c r="E5704" s="60"/>
      <c r="F5704" s="70" t="s">
        <v>521</v>
      </c>
      <c r="G5704" s="70" t="str">
        <f t="shared" si="112"/>
        <v/>
      </c>
      <c r="H5704" s="71"/>
      <c r="I5704" s="68"/>
      <c r="J5704" s="138">
        <v>0</v>
      </c>
    </row>
    <row r="5705" spans="1:10" ht="15.75" hidden="1" thickBot="1" x14ac:dyDescent="0.3">
      <c r="A5705" s="220" t="s">
        <v>2041</v>
      </c>
      <c r="B5705" s="222" t="e">
        <f>INDEX(Orçamentária!A:B,MATCH(Composições!A5705,Orçamentária!A:A,0),2)</f>
        <v>#N/A</v>
      </c>
      <c r="C5705" s="35"/>
      <c r="D5705" s="20" t="s">
        <v>20</v>
      </c>
      <c r="E5705" s="21"/>
      <c r="F5705" s="43" t="s">
        <v>521</v>
      </c>
      <c r="G5705" s="22" t="str">
        <f t="shared" si="112"/>
        <v/>
      </c>
      <c r="H5705" s="23"/>
      <c r="I5705" s="24"/>
      <c r="J5705" s="138">
        <v>0</v>
      </c>
    </row>
    <row r="5706" spans="1:10" ht="15.75" hidden="1" thickBot="1" x14ac:dyDescent="0.3">
      <c r="A5706" s="225"/>
      <c r="B5706" s="223"/>
      <c r="C5706" s="152"/>
      <c r="D5706" s="26"/>
      <c r="E5706" s="153"/>
      <c r="F5706" s="48" t="s">
        <v>521</v>
      </c>
      <c r="G5706" s="48" t="str">
        <f t="shared" si="112"/>
        <v/>
      </c>
      <c r="H5706" s="67"/>
      <c r="I5706" s="68"/>
      <c r="J5706" s="138">
        <v>0</v>
      </c>
    </row>
    <row r="5707" spans="1:10" ht="26.25" hidden="1" thickBot="1" x14ac:dyDescent="0.3">
      <c r="A5707" s="225"/>
      <c r="B5707" s="223"/>
      <c r="C5707" s="30" t="s">
        <v>1750</v>
      </c>
      <c r="D5707" s="30" t="s">
        <v>20</v>
      </c>
      <c r="E5707" s="146">
        <v>1</v>
      </c>
      <c r="F5707" s="25">
        <v>29.858499999999999</v>
      </c>
      <c r="G5707" s="48">
        <f t="shared" si="112"/>
        <v>29.858499999999999</v>
      </c>
      <c r="H5707" s="33">
        <f>SUM(G5707:G5707)</f>
        <v>29.858499999999999</v>
      </c>
      <c r="I5707" s="34"/>
      <c r="J5707" s="138">
        <v>0</v>
      </c>
    </row>
    <row r="5708" spans="1:10" ht="15.75" hidden="1" thickBot="1" x14ac:dyDescent="0.3">
      <c r="A5708" s="226"/>
      <c r="B5708" s="224"/>
      <c r="C5708" s="49"/>
      <c r="D5708" s="148"/>
      <c r="E5708" s="60"/>
      <c r="F5708" s="70" t="s">
        <v>521</v>
      </c>
      <c r="G5708" s="70" t="str">
        <f t="shared" si="112"/>
        <v/>
      </c>
      <c r="H5708" s="71"/>
      <c r="I5708" s="68"/>
      <c r="J5708" s="138">
        <v>0</v>
      </c>
    </row>
    <row r="5709" spans="1:10" ht="15.75" hidden="1" thickBot="1" x14ac:dyDescent="0.3">
      <c r="A5709" s="220" t="s">
        <v>2042</v>
      </c>
      <c r="B5709" s="222" t="e">
        <f>INDEX(Orçamentária!A:B,MATCH(Composições!A5709,Orçamentária!A:A,0),2)</f>
        <v>#N/A</v>
      </c>
      <c r="C5709" s="35"/>
      <c r="D5709" s="20" t="s">
        <v>20</v>
      </c>
      <c r="E5709" s="21"/>
      <c r="F5709" s="43" t="s">
        <v>521</v>
      </c>
      <c r="G5709" s="22" t="str">
        <f t="shared" si="112"/>
        <v/>
      </c>
      <c r="H5709" s="23"/>
      <c r="I5709" s="24"/>
      <c r="J5709" s="138">
        <v>0</v>
      </c>
    </row>
    <row r="5710" spans="1:10" ht="15.75" hidden="1" thickBot="1" x14ac:dyDescent="0.3">
      <c r="A5710" s="225"/>
      <c r="B5710" s="223"/>
      <c r="C5710" s="152"/>
      <c r="D5710" s="26"/>
      <c r="E5710" s="153"/>
      <c r="F5710" s="48" t="s">
        <v>521</v>
      </c>
      <c r="G5710" s="48" t="str">
        <f t="shared" si="112"/>
        <v/>
      </c>
      <c r="H5710" s="67"/>
      <c r="I5710" s="68"/>
      <c r="J5710" s="138">
        <v>0</v>
      </c>
    </row>
    <row r="5711" spans="1:10" ht="26.25" hidden="1" thickBot="1" x14ac:dyDescent="0.3">
      <c r="A5711" s="225"/>
      <c r="B5711" s="223"/>
      <c r="C5711" s="30" t="s">
        <v>1751</v>
      </c>
      <c r="D5711" s="30" t="s">
        <v>20</v>
      </c>
      <c r="E5711" s="146">
        <v>1</v>
      </c>
      <c r="F5711" s="25">
        <v>43.443499999999993</v>
      </c>
      <c r="G5711" s="48">
        <f t="shared" si="112"/>
        <v>43.443499999999993</v>
      </c>
      <c r="H5711" s="33">
        <f>SUM(G5711:G5711)</f>
        <v>43.443499999999993</v>
      </c>
      <c r="I5711" s="34"/>
      <c r="J5711" s="138">
        <v>0</v>
      </c>
    </row>
    <row r="5712" spans="1:10" ht="15.75" hidden="1" thickBot="1" x14ac:dyDescent="0.3">
      <c r="A5712" s="226"/>
      <c r="B5712" s="224"/>
      <c r="C5712" s="49"/>
      <c r="D5712" s="148"/>
      <c r="E5712" s="60"/>
      <c r="F5712" s="70" t="s">
        <v>521</v>
      </c>
      <c r="G5712" s="70" t="str">
        <f t="shared" si="112"/>
        <v/>
      </c>
      <c r="H5712" s="71"/>
      <c r="I5712" s="68"/>
      <c r="J5712" s="138">
        <v>0</v>
      </c>
    </row>
    <row r="5713" spans="1:10" ht="15.75" hidden="1" thickBot="1" x14ac:dyDescent="0.3">
      <c r="A5713" s="220" t="s">
        <v>2043</v>
      </c>
      <c r="B5713" s="222" t="e">
        <f>INDEX(Orçamentária!A:B,MATCH(Composições!A5713,Orçamentária!A:A,0),2)</f>
        <v>#N/A</v>
      </c>
      <c r="C5713" s="35"/>
      <c r="D5713" s="20" t="s">
        <v>93</v>
      </c>
      <c r="E5713" s="21"/>
      <c r="F5713" s="43" t="s">
        <v>521</v>
      </c>
      <c r="G5713" s="22" t="str">
        <f t="shared" si="112"/>
        <v/>
      </c>
      <c r="H5713" s="23"/>
      <c r="I5713" s="24"/>
      <c r="J5713" s="138">
        <v>0</v>
      </c>
    </row>
    <row r="5714" spans="1:10" ht="15.75" hidden="1" thickBot="1" x14ac:dyDescent="0.3">
      <c r="A5714" s="225"/>
      <c r="B5714" s="223"/>
      <c r="C5714" s="152"/>
      <c r="D5714" s="26"/>
      <c r="E5714" s="153"/>
      <c r="F5714" s="48" t="s">
        <v>521</v>
      </c>
      <c r="G5714" s="48" t="str">
        <f t="shared" si="112"/>
        <v/>
      </c>
      <c r="H5714" s="67"/>
      <c r="I5714" s="68"/>
      <c r="J5714" s="138">
        <v>0</v>
      </c>
    </row>
    <row r="5715" spans="1:10" ht="15.75" hidden="1" thickBot="1" x14ac:dyDescent="0.3">
      <c r="A5715" s="225"/>
      <c r="B5715" s="223"/>
      <c r="C5715" s="30" t="s">
        <v>1623</v>
      </c>
      <c r="D5715" s="30" t="s">
        <v>93</v>
      </c>
      <c r="E5715" s="146">
        <v>1</v>
      </c>
      <c r="F5715" s="25">
        <v>14.430499999999999</v>
      </c>
      <c r="G5715" s="48">
        <f t="shared" si="112"/>
        <v>14.430499999999999</v>
      </c>
      <c r="H5715" s="33">
        <f>SUM(G5715:G5715)</f>
        <v>14.430499999999999</v>
      </c>
      <c r="I5715" s="34"/>
      <c r="J5715" s="138">
        <v>0</v>
      </c>
    </row>
    <row r="5716" spans="1:10" ht="15.75" hidden="1" thickBot="1" x14ac:dyDescent="0.3">
      <c r="A5716" s="226"/>
      <c r="B5716" s="224"/>
      <c r="C5716" s="49"/>
      <c r="D5716" s="148"/>
      <c r="E5716" s="60"/>
      <c r="F5716" s="70" t="s">
        <v>521</v>
      </c>
      <c r="G5716" s="70" t="str">
        <f t="shared" si="112"/>
        <v/>
      </c>
      <c r="H5716" s="71"/>
      <c r="I5716" s="68"/>
      <c r="J5716" s="138">
        <v>0</v>
      </c>
    </row>
    <row r="5717" spans="1:10" ht="15.75" hidden="1" thickBot="1" x14ac:dyDescent="0.3">
      <c r="A5717" s="220" t="s">
        <v>2044</v>
      </c>
      <c r="B5717" s="222" t="e">
        <f>INDEX(Orçamentária!A:B,MATCH(Composições!A5717,Orçamentária!A:A,0),2)</f>
        <v>#N/A</v>
      </c>
      <c r="C5717" s="35"/>
      <c r="D5717" s="20" t="s">
        <v>93</v>
      </c>
      <c r="E5717" s="21"/>
      <c r="F5717" s="43" t="s">
        <v>521</v>
      </c>
      <c r="G5717" s="22" t="str">
        <f t="shared" si="112"/>
        <v/>
      </c>
      <c r="H5717" s="23"/>
      <c r="I5717" s="24"/>
      <c r="J5717" s="138">
        <v>0</v>
      </c>
    </row>
    <row r="5718" spans="1:10" ht="15.75" hidden="1" thickBot="1" x14ac:dyDescent="0.3">
      <c r="A5718" s="225"/>
      <c r="B5718" s="223"/>
      <c r="C5718" s="152"/>
      <c r="D5718" s="26"/>
      <c r="E5718" s="153"/>
      <c r="F5718" s="48" t="s">
        <v>521</v>
      </c>
      <c r="G5718" s="48" t="str">
        <f t="shared" si="112"/>
        <v/>
      </c>
      <c r="H5718" s="67"/>
      <c r="I5718" s="68"/>
      <c r="J5718" s="138">
        <v>0</v>
      </c>
    </row>
    <row r="5719" spans="1:10" ht="15.75" hidden="1" thickBot="1" x14ac:dyDescent="0.3">
      <c r="A5719" s="225"/>
      <c r="B5719" s="223"/>
      <c r="C5719" s="30" t="s">
        <v>1624</v>
      </c>
      <c r="D5719" s="30" t="s">
        <v>93</v>
      </c>
      <c r="E5719" s="146">
        <v>1</v>
      </c>
      <c r="F5719" s="25">
        <v>22.286999999999999</v>
      </c>
      <c r="G5719" s="48">
        <f t="shared" si="112"/>
        <v>22.286999999999999</v>
      </c>
      <c r="H5719" s="33">
        <f>SUM(G5719:G5719)</f>
        <v>22.286999999999999</v>
      </c>
      <c r="I5719" s="34"/>
      <c r="J5719" s="138">
        <v>0</v>
      </c>
    </row>
    <row r="5720" spans="1:10" ht="15.75" hidden="1" thickBot="1" x14ac:dyDescent="0.3">
      <c r="A5720" s="226"/>
      <c r="B5720" s="224"/>
      <c r="C5720" s="49"/>
      <c r="D5720" s="148"/>
      <c r="E5720" s="60"/>
      <c r="F5720" s="70" t="s">
        <v>521</v>
      </c>
      <c r="G5720" s="70" t="str">
        <f t="shared" si="112"/>
        <v/>
      </c>
      <c r="H5720" s="71"/>
      <c r="I5720" s="68"/>
      <c r="J5720" s="138">
        <v>0</v>
      </c>
    </row>
    <row r="5721" spans="1:10" ht="15.75" hidden="1" thickBot="1" x14ac:dyDescent="0.3">
      <c r="A5721" s="220" t="s">
        <v>2045</v>
      </c>
      <c r="B5721" s="222" t="e">
        <f>INDEX(Orçamentária!A:B,MATCH(Composições!A5721,Orçamentária!A:A,0),2)</f>
        <v>#N/A</v>
      </c>
      <c r="C5721" s="35"/>
      <c r="D5721" s="20" t="s">
        <v>93</v>
      </c>
      <c r="E5721" s="21"/>
      <c r="F5721" s="43" t="s">
        <v>521</v>
      </c>
      <c r="G5721" s="22" t="str">
        <f t="shared" si="112"/>
        <v/>
      </c>
      <c r="H5721" s="23"/>
      <c r="I5721" s="24"/>
      <c r="J5721" s="138">
        <v>0</v>
      </c>
    </row>
    <row r="5722" spans="1:10" ht="15.75" hidden="1" thickBot="1" x14ac:dyDescent="0.3">
      <c r="A5722" s="225"/>
      <c r="B5722" s="223"/>
      <c r="C5722" s="152"/>
      <c r="D5722" s="26"/>
      <c r="E5722" s="153"/>
      <c r="F5722" s="48" t="s">
        <v>521</v>
      </c>
      <c r="G5722" s="48" t="str">
        <f t="shared" si="112"/>
        <v/>
      </c>
      <c r="H5722" s="67"/>
      <c r="I5722" s="68"/>
      <c r="J5722" s="138">
        <v>0</v>
      </c>
    </row>
    <row r="5723" spans="1:10" ht="15.75" hidden="1" thickBot="1" x14ac:dyDescent="0.3">
      <c r="A5723" s="225"/>
      <c r="B5723" s="223"/>
      <c r="C5723" s="30" t="s">
        <v>1625</v>
      </c>
      <c r="D5723" s="30" t="s">
        <v>93</v>
      </c>
      <c r="E5723" s="146">
        <v>1</v>
      </c>
      <c r="F5723" s="25">
        <v>30.789499999999997</v>
      </c>
      <c r="G5723" s="48">
        <f t="shared" si="112"/>
        <v>30.789499999999997</v>
      </c>
      <c r="H5723" s="33">
        <f>SUM(G5723:G5723)</f>
        <v>30.789499999999997</v>
      </c>
      <c r="I5723" s="34"/>
      <c r="J5723" s="138">
        <v>0</v>
      </c>
    </row>
    <row r="5724" spans="1:10" ht="15.75" hidden="1" thickBot="1" x14ac:dyDescent="0.3">
      <c r="A5724" s="226"/>
      <c r="B5724" s="224"/>
      <c r="C5724" s="49"/>
      <c r="D5724" s="148"/>
      <c r="E5724" s="60"/>
      <c r="F5724" s="70" t="s">
        <v>521</v>
      </c>
      <c r="G5724" s="70" t="str">
        <f t="shared" si="112"/>
        <v/>
      </c>
      <c r="H5724" s="71"/>
      <c r="I5724" s="68"/>
      <c r="J5724" s="138">
        <v>0</v>
      </c>
    </row>
    <row r="5725" spans="1:10" ht="15.75" hidden="1" thickBot="1" x14ac:dyDescent="0.3">
      <c r="A5725" s="220" t="s">
        <v>2046</v>
      </c>
      <c r="B5725" s="222" t="e">
        <f>INDEX(Orçamentária!A:B,MATCH(Composições!A5725,Orçamentária!A:A,0),2)</f>
        <v>#N/A</v>
      </c>
      <c r="C5725" s="35"/>
      <c r="D5725" s="20" t="s">
        <v>93</v>
      </c>
      <c r="E5725" s="21"/>
      <c r="F5725" s="43" t="s">
        <v>521</v>
      </c>
      <c r="G5725" s="22" t="str">
        <f t="shared" si="112"/>
        <v/>
      </c>
      <c r="H5725" s="23"/>
      <c r="I5725" s="24"/>
      <c r="J5725" s="138">
        <v>0</v>
      </c>
    </row>
    <row r="5726" spans="1:10" ht="15.75" hidden="1" thickBot="1" x14ac:dyDescent="0.3">
      <c r="A5726" s="225"/>
      <c r="B5726" s="223"/>
      <c r="C5726" s="152"/>
      <c r="D5726" s="26"/>
      <c r="E5726" s="153"/>
      <c r="F5726" s="48" t="s">
        <v>521</v>
      </c>
      <c r="G5726" s="48" t="str">
        <f t="shared" si="112"/>
        <v/>
      </c>
      <c r="H5726" s="67"/>
      <c r="I5726" s="68"/>
      <c r="J5726" s="138">
        <v>0</v>
      </c>
    </row>
    <row r="5727" spans="1:10" ht="15.75" hidden="1" thickBot="1" x14ac:dyDescent="0.3">
      <c r="A5727" s="225"/>
      <c r="B5727" s="223"/>
      <c r="C5727" s="30" t="s">
        <v>1626</v>
      </c>
      <c r="D5727" s="30" t="s">
        <v>93</v>
      </c>
      <c r="E5727" s="146">
        <v>1</v>
      </c>
      <c r="F5727" s="25">
        <v>42.882999999999996</v>
      </c>
      <c r="G5727" s="48">
        <f t="shared" si="112"/>
        <v>42.882999999999996</v>
      </c>
      <c r="H5727" s="33">
        <f>SUM(G5727:G5727)</f>
        <v>42.882999999999996</v>
      </c>
      <c r="I5727" s="34"/>
      <c r="J5727" s="138">
        <v>0</v>
      </c>
    </row>
    <row r="5728" spans="1:10" ht="15.75" hidden="1" thickBot="1" x14ac:dyDescent="0.3">
      <c r="A5728" s="226"/>
      <c r="B5728" s="224"/>
      <c r="C5728" s="49"/>
      <c r="D5728" s="148"/>
      <c r="E5728" s="60"/>
      <c r="F5728" s="70" t="s">
        <v>521</v>
      </c>
      <c r="G5728" s="70" t="str">
        <f t="shared" si="112"/>
        <v/>
      </c>
      <c r="H5728" s="71"/>
      <c r="I5728" s="68"/>
      <c r="J5728" s="138">
        <v>0</v>
      </c>
    </row>
    <row r="5729" spans="1:10" ht="15.75" hidden="1" thickBot="1" x14ac:dyDescent="0.3">
      <c r="A5729" s="220" t="s">
        <v>2047</v>
      </c>
      <c r="B5729" s="222" t="e">
        <f>INDEX(Orçamentária!A:B,MATCH(Composições!A5729,Orçamentária!A:A,0),2)</f>
        <v>#N/A</v>
      </c>
      <c r="C5729" s="35"/>
      <c r="D5729" s="20" t="s">
        <v>93</v>
      </c>
      <c r="E5729" s="21"/>
      <c r="F5729" s="43" t="s">
        <v>521</v>
      </c>
      <c r="G5729" s="22" t="str">
        <f t="shared" si="112"/>
        <v/>
      </c>
      <c r="H5729" s="23"/>
      <c r="I5729" s="24"/>
      <c r="J5729" s="138">
        <v>0</v>
      </c>
    </row>
    <row r="5730" spans="1:10" ht="15.75" hidden="1" thickBot="1" x14ac:dyDescent="0.3">
      <c r="A5730" s="225"/>
      <c r="B5730" s="223"/>
      <c r="C5730" s="152"/>
      <c r="D5730" s="26"/>
      <c r="E5730" s="153"/>
      <c r="F5730" s="48" t="s">
        <v>521</v>
      </c>
      <c r="G5730" s="48" t="str">
        <f t="shared" si="112"/>
        <v/>
      </c>
      <c r="H5730" s="67"/>
      <c r="I5730" s="68"/>
      <c r="J5730" s="138">
        <v>0</v>
      </c>
    </row>
    <row r="5731" spans="1:10" ht="15.75" hidden="1" thickBot="1" x14ac:dyDescent="0.3">
      <c r="A5731" s="225"/>
      <c r="B5731" s="223"/>
      <c r="C5731" s="30" t="s">
        <v>1627</v>
      </c>
      <c r="D5731" s="30" t="s">
        <v>93</v>
      </c>
      <c r="E5731" s="146">
        <v>1</v>
      </c>
      <c r="F5731" s="25">
        <v>60.410499999999999</v>
      </c>
      <c r="G5731" s="48">
        <f t="shared" si="112"/>
        <v>60.410499999999999</v>
      </c>
      <c r="H5731" s="33">
        <f>SUM(G5731:G5731)</f>
        <v>60.410499999999999</v>
      </c>
      <c r="I5731" s="34"/>
      <c r="J5731" s="138">
        <v>0</v>
      </c>
    </row>
    <row r="5732" spans="1:10" ht="15.75" hidden="1" thickBot="1" x14ac:dyDescent="0.3">
      <c r="A5732" s="226"/>
      <c r="B5732" s="224"/>
      <c r="C5732" s="49"/>
      <c r="D5732" s="148"/>
      <c r="E5732" s="60"/>
      <c r="F5732" s="70" t="s">
        <v>521</v>
      </c>
      <c r="G5732" s="70" t="str">
        <f t="shared" si="112"/>
        <v/>
      </c>
      <c r="H5732" s="71"/>
      <c r="I5732" s="68"/>
      <c r="J5732" s="138">
        <v>0</v>
      </c>
    </row>
    <row r="5733" spans="1:10" ht="15.75" hidden="1" thickBot="1" x14ac:dyDescent="0.3">
      <c r="A5733" s="228" t="s">
        <v>2048</v>
      </c>
      <c r="B5733" s="222" t="e">
        <f>INDEX(Orçamentária!A:B,MATCH(Composições!A5733,Orçamentária!A:A,0),2)</f>
        <v>#N/A</v>
      </c>
      <c r="C5733" s="35"/>
      <c r="D5733" s="20" t="s">
        <v>93</v>
      </c>
      <c r="E5733" s="21"/>
      <c r="F5733" s="43" t="s">
        <v>521</v>
      </c>
      <c r="G5733" s="22" t="str">
        <f t="shared" si="112"/>
        <v/>
      </c>
      <c r="H5733" s="23"/>
      <c r="I5733" s="24"/>
      <c r="J5733" s="138">
        <v>0</v>
      </c>
    </row>
    <row r="5734" spans="1:10" ht="15.75" hidden="1" thickBot="1" x14ac:dyDescent="0.3">
      <c r="A5734" s="234"/>
      <c r="B5734" s="223"/>
      <c r="C5734" s="152"/>
      <c r="D5734" s="26"/>
      <c r="E5734" s="153"/>
      <c r="F5734" s="48" t="s">
        <v>521</v>
      </c>
      <c r="G5734" s="48" t="str">
        <f t="shared" si="112"/>
        <v/>
      </c>
      <c r="H5734" s="67"/>
      <c r="I5734" s="68"/>
      <c r="J5734" s="138">
        <v>0</v>
      </c>
    </row>
    <row r="5735" spans="1:10" ht="26.25" hidden="1" thickBot="1" x14ac:dyDescent="0.3">
      <c r="A5735" s="234"/>
      <c r="B5735" s="223"/>
      <c r="C5735" s="30" t="s">
        <v>2185</v>
      </c>
      <c r="D5735" s="30" t="s">
        <v>93</v>
      </c>
      <c r="E5735" s="146">
        <v>1</v>
      </c>
      <c r="F5735" s="25">
        <v>0</v>
      </c>
      <c r="G5735" s="48">
        <f t="shared" si="112"/>
        <v>0</v>
      </c>
      <c r="H5735" s="33">
        <f>SUM(G5735:G5735)</f>
        <v>0</v>
      </c>
      <c r="I5735" s="34"/>
      <c r="J5735" s="138">
        <v>0</v>
      </c>
    </row>
    <row r="5736" spans="1:10" ht="15.75" hidden="1" thickBot="1" x14ac:dyDescent="0.3">
      <c r="A5736" s="235"/>
      <c r="B5736" s="224"/>
      <c r="C5736" s="49"/>
      <c r="D5736" s="148"/>
      <c r="E5736" s="60"/>
      <c r="F5736" s="70" t="s">
        <v>521</v>
      </c>
      <c r="G5736" s="70" t="str">
        <f t="shared" si="112"/>
        <v/>
      </c>
      <c r="H5736" s="71"/>
      <c r="I5736" s="68"/>
      <c r="J5736" s="138">
        <v>0</v>
      </c>
    </row>
    <row r="5737" spans="1:10" ht="15.75" hidden="1" thickBot="1" x14ac:dyDescent="0.3">
      <c r="A5737" s="228" t="s">
        <v>2049</v>
      </c>
      <c r="B5737" s="222" t="e">
        <f>INDEX(Orçamentária!A:B,MATCH(Composições!A5737,Orçamentária!A:A,0),2)</f>
        <v>#N/A</v>
      </c>
      <c r="C5737" s="35"/>
      <c r="D5737" s="20" t="s">
        <v>93</v>
      </c>
      <c r="E5737" s="21"/>
      <c r="F5737" s="43" t="s">
        <v>521</v>
      </c>
      <c r="G5737" s="22" t="str">
        <f t="shared" si="112"/>
        <v/>
      </c>
      <c r="H5737" s="23"/>
      <c r="I5737" s="24"/>
      <c r="J5737" s="138">
        <v>0</v>
      </c>
    </row>
    <row r="5738" spans="1:10" ht="15.75" hidden="1" thickBot="1" x14ac:dyDescent="0.3">
      <c r="A5738" s="234"/>
      <c r="B5738" s="223"/>
      <c r="C5738" s="152"/>
      <c r="D5738" s="26"/>
      <c r="E5738" s="153"/>
      <c r="F5738" s="48" t="s">
        <v>521</v>
      </c>
      <c r="G5738" s="48" t="str">
        <f t="shared" si="112"/>
        <v/>
      </c>
      <c r="H5738" s="67"/>
      <c r="I5738" s="68"/>
      <c r="J5738" s="138">
        <v>0</v>
      </c>
    </row>
    <row r="5739" spans="1:10" ht="26.25" hidden="1" thickBot="1" x14ac:dyDescent="0.3">
      <c r="A5739" s="234"/>
      <c r="B5739" s="223"/>
      <c r="C5739" s="30" t="s">
        <v>2186</v>
      </c>
      <c r="D5739" s="30" t="s">
        <v>93</v>
      </c>
      <c r="E5739" s="146">
        <v>1</v>
      </c>
      <c r="F5739" s="25">
        <v>0</v>
      </c>
      <c r="G5739" s="48">
        <f t="shared" si="112"/>
        <v>0</v>
      </c>
      <c r="H5739" s="33">
        <f>SUM(G5739:G5739)</f>
        <v>0</v>
      </c>
      <c r="I5739" s="34"/>
      <c r="J5739" s="138">
        <v>0</v>
      </c>
    </row>
    <row r="5740" spans="1:10" ht="15.75" hidden="1" thickBot="1" x14ac:dyDescent="0.3">
      <c r="A5740" s="235"/>
      <c r="B5740" s="224"/>
      <c r="C5740" s="49"/>
      <c r="D5740" s="148"/>
      <c r="E5740" s="60"/>
      <c r="F5740" s="70" t="s">
        <v>521</v>
      </c>
      <c r="G5740" s="70" t="str">
        <f t="shared" si="112"/>
        <v/>
      </c>
      <c r="H5740" s="71"/>
      <c r="I5740" s="68"/>
      <c r="J5740" s="138">
        <v>0</v>
      </c>
    </row>
    <row r="5741" spans="1:10" ht="15.75" hidden="1" thickBot="1" x14ac:dyDescent="0.3">
      <c r="A5741" s="228" t="s">
        <v>2050</v>
      </c>
      <c r="B5741" s="222" t="e">
        <f>INDEX(Orçamentária!A:B,MATCH(Composições!A5741,Orçamentária!A:A,0),2)</f>
        <v>#N/A</v>
      </c>
      <c r="C5741" s="35"/>
      <c r="D5741" s="20" t="s">
        <v>93</v>
      </c>
      <c r="E5741" s="21"/>
      <c r="F5741" s="43" t="s">
        <v>521</v>
      </c>
      <c r="G5741" s="22" t="str">
        <f t="shared" si="112"/>
        <v/>
      </c>
      <c r="H5741" s="23"/>
      <c r="I5741" s="24"/>
      <c r="J5741" s="138">
        <v>0</v>
      </c>
    </row>
    <row r="5742" spans="1:10" ht="15.75" hidden="1" thickBot="1" x14ac:dyDescent="0.3">
      <c r="A5742" s="234"/>
      <c r="B5742" s="223"/>
      <c r="C5742" s="152"/>
      <c r="D5742" s="26"/>
      <c r="E5742" s="153"/>
      <c r="F5742" s="48" t="s">
        <v>521</v>
      </c>
      <c r="G5742" s="48" t="str">
        <f t="shared" si="112"/>
        <v/>
      </c>
      <c r="H5742" s="67"/>
      <c r="I5742" s="68"/>
      <c r="J5742" s="138">
        <v>0</v>
      </c>
    </row>
    <row r="5743" spans="1:10" ht="26.25" hidden="1" thickBot="1" x14ac:dyDescent="0.3">
      <c r="A5743" s="234"/>
      <c r="B5743" s="223"/>
      <c r="C5743" s="30" t="s">
        <v>2187</v>
      </c>
      <c r="D5743" s="30" t="s">
        <v>93</v>
      </c>
      <c r="E5743" s="146">
        <v>1</v>
      </c>
      <c r="F5743" s="25">
        <v>0</v>
      </c>
      <c r="G5743" s="48">
        <f t="shared" si="112"/>
        <v>0</v>
      </c>
      <c r="H5743" s="33">
        <f>SUM(G5743:G5743)</f>
        <v>0</v>
      </c>
      <c r="I5743" s="34"/>
      <c r="J5743" s="138">
        <v>0</v>
      </c>
    </row>
    <row r="5744" spans="1:10" ht="15.75" hidden="1" thickBot="1" x14ac:dyDescent="0.3">
      <c r="A5744" s="235"/>
      <c r="B5744" s="224"/>
      <c r="C5744" s="49"/>
      <c r="D5744" s="148"/>
      <c r="E5744" s="60"/>
      <c r="F5744" s="70" t="s">
        <v>521</v>
      </c>
      <c r="G5744" s="70" t="str">
        <f t="shared" si="112"/>
        <v/>
      </c>
      <c r="H5744" s="71"/>
      <c r="I5744" s="68"/>
      <c r="J5744" s="138">
        <v>0</v>
      </c>
    </row>
    <row r="5745" spans="1:10" ht="15.75" hidden="1" thickBot="1" x14ac:dyDescent="0.3">
      <c r="A5745" s="228" t="s">
        <v>2051</v>
      </c>
      <c r="B5745" s="222" t="e">
        <f>INDEX(Orçamentária!A:B,MATCH(Composições!A5745,Orçamentária!A:A,0),2)</f>
        <v>#N/A</v>
      </c>
      <c r="C5745" s="35"/>
      <c r="D5745" s="20" t="s">
        <v>93</v>
      </c>
      <c r="E5745" s="21"/>
      <c r="F5745" s="43" t="s">
        <v>521</v>
      </c>
      <c r="G5745" s="22" t="str">
        <f t="shared" si="112"/>
        <v/>
      </c>
      <c r="H5745" s="23"/>
      <c r="I5745" s="24"/>
      <c r="J5745" s="138">
        <v>0</v>
      </c>
    </row>
    <row r="5746" spans="1:10" ht="15.75" hidden="1" thickBot="1" x14ac:dyDescent="0.3">
      <c r="A5746" s="234"/>
      <c r="B5746" s="223"/>
      <c r="C5746" s="152"/>
      <c r="D5746" s="26"/>
      <c r="E5746" s="153"/>
      <c r="F5746" s="48" t="s">
        <v>521</v>
      </c>
      <c r="G5746" s="48" t="str">
        <f t="shared" si="112"/>
        <v/>
      </c>
      <c r="H5746" s="67"/>
      <c r="I5746" s="68"/>
      <c r="J5746" s="138">
        <v>0</v>
      </c>
    </row>
    <row r="5747" spans="1:10" ht="26.25" hidden="1" thickBot="1" x14ac:dyDescent="0.3">
      <c r="A5747" s="234"/>
      <c r="B5747" s="223"/>
      <c r="C5747" s="30" t="s">
        <v>2188</v>
      </c>
      <c r="D5747" s="30" t="s">
        <v>93</v>
      </c>
      <c r="E5747" s="146">
        <v>1</v>
      </c>
      <c r="F5747" s="25">
        <v>0</v>
      </c>
      <c r="G5747" s="48">
        <f t="shared" si="112"/>
        <v>0</v>
      </c>
      <c r="H5747" s="33">
        <f>SUM(G5747:G5747)</f>
        <v>0</v>
      </c>
      <c r="I5747" s="34"/>
      <c r="J5747" s="138">
        <v>0</v>
      </c>
    </row>
    <row r="5748" spans="1:10" ht="15.75" hidden="1" thickBot="1" x14ac:dyDescent="0.3">
      <c r="A5748" s="235"/>
      <c r="B5748" s="224"/>
      <c r="C5748" s="49"/>
      <c r="D5748" s="148"/>
      <c r="E5748" s="60"/>
      <c r="F5748" s="70" t="s">
        <v>521</v>
      </c>
      <c r="G5748" s="70" t="str">
        <f t="shared" si="112"/>
        <v/>
      </c>
      <c r="H5748" s="71"/>
      <c r="I5748" s="68"/>
      <c r="J5748" s="138">
        <v>0</v>
      </c>
    </row>
    <row r="5749" spans="1:10" ht="15.75" hidden="1" thickBot="1" x14ac:dyDescent="0.3">
      <c r="A5749" s="228" t="s">
        <v>2052</v>
      </c>
      <c r="B5749" s="222" t="e">
        <f>INDEX(Orçamentária!A:B,MATCH(Composições!A5749,Orçamentária!A:A,0),2)</f>
        <v>#N/A</v>
      </c>
      <c r="C5749" s="35"/>
      <c r="D5749" s="20" t="s">
        <v>93</v>
      </c>
      <c r="E5749" s="21"/>
      <c r="F5749" s="43" t="s">
        <v>521</v>
      </c>
      <c r="G5749" s="22" t="str">
        <f t="shared" si="112"/>
        <v/>
      </c>
      <c r="H5749" s="23"/>
      <c r="I5749" s="24"/>
      <c r="J5749" s="138">
        <v>0</v>
      </c>
    </row>
    <row r="5750" spans="1:10" ht="15.75" hidden="1" thickBot="1" x14ac:dyDescent="0.3">
      <c r="A5750" s="234"/>
      <c r="B5750" s="223"/>
      <c r="C5750" s="152"/>
      <c r="D5750" s="26"/>
      <c r="E5750" s="153"/>
      <c r="F5750" s="48" t="s">
        <v>521</v>
      </c>
      <c r="G5750" s="48" t="str">
        <f t="shared" si="112"/>
        <v/>
      </c>
      <c r="H5750" s="67"/>
      <c r="I5750" s="68"/>
      <c r="J5750" s="138">
        <v>0</v>
      </c>
    </row>
    <row r="5751" spans="1:10" ht="26.25" hidden="1" thickBot="1" x14ac:dyDescent="0.3">
      <c r="A5751" s="234"/>
      <c r="B5751" s="223"/>
      <c r="C5751" s="30" t="s">
        <v>2189</v>
      </c>
      <c r="D5751" s="30" t="s">
        <v>93</v>
      </c>
      <c r="E5751" s="146">
        <v>1</v>
      </c>
      <c r="F5751" s="25">
        <v>0</v>
      </c>
      <c r="G5751" s="48">
        <f t="shared" si="112"/>
        <v>0</v>
      </c>
      <c r="H5751" s="33">
        <f>SUM(G5751:G5751)</f>
        <v>0</v>
      </c>
      <c r="I5751" s="34"/>
      <c r="J5751" s="138">
        <v>0</v>
      </c>
    </row>
    <row r="5752" spans="1:10" ht="15.75" hidden="1" thickBot="1" x14ac:dyDescent="0.3">
      <c r="A5752" s="235"/>
      <c r="B5752" s="224"/>
      <c r="C5752" s="49"/>
      <c r="D5752" s="148"/>
      <c r="E5752" s="60"/>
      <c r="F5752" s="70" t="s">
        <v>521</v>
      </c>
      <c r="G5752" s="70" t="str">
        <f t="shared" si="112"/>
        <v/>
      </c>
      <c r="H5752" s="71"/>
      <c r="I5752" s="68"/>
      <c r="J5752" s="138">
        <v>0</v>
      </c>
    </row>
    <row r="5753" spans="1:10" ht="15.75" hidden="1" thickBot="1" x14ac:dyDescent="0.3">
      <c r="A5753" s="228" t="s">
        <v>2053</v>
      </c>
      <c r="B5753" s="222" t="e">
        <f>INDEX(Orçamentária!A:B,MATCH(Composições!A5753,Orçamentária!A:A,0),2)</f>
        <v>#N/A</v>
      </c>
      <c r="C5753" s="35"/>
      <c r="D5753" s="20" t="s">
        <v>93</v>
      </c>
      <c r="E5753" s="21"/>
      <c r="F5753" s="43" t="s">
        <v>521</v>
      </c>
      <c r="G5753" s="22" t="str">
        <f t="shared" si="112"/>
        <v/>
      </c>
      <c r="H5753" s="23"/>
      <c r="I5753" s="24"/>
      <c r="J5753" s="138">
        <v>0</v>
      </c>
    </row>
    <row r="5754" spans="1:10" ht="15.75" hidden="1" thickBot="1" x14ac:dyDescent="0.3">
      <c r="A5754" s="234"/>
      <c r="B5754" s="223"/>
      <c r="C5754" s="152"/>
      <c r="D5754" s="26"/>
      <c r="E5754" s="153"/>
      <c r="F5754" s="48" t="s">
        <v>521</v>
      </c>
      <c r="G5754" s="48" t="str">
        <f t="shared" si="112"/>
        <v/>
      </c>
      <c r="H5754" s="67"/>
      <c r="I5754" s="68"/>
      <c r="J5754" s="138">
        <v>0</v>
      </c>
    </row>
    <row r="5755" spans="1:10" ht="26.25" hidden="1" thickBot="1" x14ac:dyDescent="0.3">
      <c r="A5755" s="234"/>
      <c r="B5755" s="223"/>
      <c r="C5755" s="30" t="s">
        <v>2190</v>
      </c>
      <c r="D5755" s="30" t="s">
        <v>93</v>
      </c>
      <c r="E5755" s="146">
        <v>1</v>
      </c>
      <c r="F5755" s="25">
        <v>0</v>
      </c>
      <c r="G5755" s="48">
        <f t="shared" si="112"/>
        <v>0</v>
      </c>
      <c r="H5755" s="33">
        <f>SUM(G5755:G5755)</f>
        <v>0</v>
      </c>
      <c r="I5755" s="34"/>
      <c r="J5755" s="138">
        <v>0</v>
      </c>
    </row>
    <row r="5756" spans="1:10" ht="15.75" hidden="1" thickBot="1" x14ac:dyDescent="0.3">
      <c r="A5756" s="235"/>
      <c r="B5756" s="224"/>
      <c r="C5756" s="49"/>
      <c r="D5756" s="148"/>
      <c r="E5756" s="60"/>
      <c r="F5756" s="70" t="s">
        <v>521</v>
      </c>
      <c r="G5756" s="70" t="str">
        <f t="shared" si="112"/>
        <v/>
      </c>
      <c r="H5756" s="71"/>
      <c r="I5756" s="68"/>
      <c r="J5756" s="138">
        <v>0</v>
      </c>
    </row>
    <row r="5757" spans="1:10" ht="15.75" hidden="1" thickBot="1" x14ac:dyDescent="0.3">
      <c r="A5757" s="228" t="s">
        <v>2054</v>
      </c>
      <c r="B5757" s="222" t="e">
        <f>INDEX(Orçamentária!A:B,MATCH(Composições!A5757,Orçamentária!A:A,0),2)</f>
        <v>#N/A</v>
      </c>
      <c r="C5757" s="35"/>
      <c r="D5757" s="20" t="s">
        <v>93</v>
      </c>
      <c r="E5757" s="21"/>
      <c r="F5757" s="43" t="s">
        <v>521</v>
      </c>
      <c r="G5757" s="22" t="str">
        <f t="shared" ref="G5757:G5820" si="113">IF(ISNUMBER(F5757),E5757*F5757,"")</f>
        <v/>
      </c>
      <c r="H5757" s="23"/>
      <c r="I5757" s="24"/>
      <c r="J5757" s="138">
        <v>0</v>
      </c>
    </row>
    <row r="5758" spans="1:10" ht="15.75" hidden="1" thickBot="1" x14ac:dyDescent="0.3">
      <c r="A5758" s="234"/>
      <c r="B5758" s="223"/>
      <c r="C5758" s="152"/>
      <c r="D5758" s="26"/>
      <c r="E5758" s="153"/>
      <c r="F5758" s="48" t="s">
        <v>521</v>
      </c>
      <c r="G5758" s="48" t="str">
        <f t="shared" si="113"/>
        <v/>
      </c>
      <c r="H5758" s="67"/>
      <c r="I5758" s="68"/>
      <c r="J5758" s="138">
        <v>0</v>
      </c>
    </row>
    <row r="5759" spans="1:10" ht="26.25" hidden="1" thickBot="1" x14ac:dyDescent="0.3">
      <c r="A5759" s="234"/>
      <c r="B5759" s="223"/>
      <c r="C5759" s="30" t="s">
        <v>2191</v>
      </c>
      <c r="D5759" s="30" t="s">
        <v>93</v>
      </c>
      <c r="E5759" s="146">
        <v>1</v>
      </c>
      <c r="F5759" s="25">
        <v>0</v>
      </c>
      <c r="G5759" s="48">
        <f t="shared" si="113"/>
        <v>0</v>
      </c>
      <c r="H5759" s="33">
        <f>SUM(G5759:G5759)</f>
        <v>0</v>
      </c>
      <c r="I5759" s="34"/>
      <c r="J5759" s="138">
        <v>0</v>
      </c>
    </row>
    <row r="5760" spans="1:10" ht="15.75" hidden="1" thickBot="1" x14ac:dyDescent="0.3">
      <c r="A5760" s="235"/>
      <c r="B5760" s="224"/>
      <c r="C5760" s="49"/>
      <c r="D5760" s="148"/>
      <c r="E5760" s="60"/>
      <c r="F5760" s="70" t="s">
        <v>521</v>
      </c>
      <c r="G5760" s="70" t="str">
        <f t="shared" si="113"/>
        <v/>
      </c>
      <c r="H5760" s="71"/>
      <c r="I5760" s="68"/>
      <c r="J5760" s="138">
        <v>0</v>
      </c>
    </row>
    <row r="5761" spans="1:10" ht="15.75" hidden="1" thickBot="1" x14ac:dyDescent="0.3">
      <c r="A5761" s="228" t="s">
        <v>2055</v>
      </c>
      <c r="B5761" s="222" t="e">
        <f>INDEX(Orçamentária!A:B,MATCH(Composições!A5761,Orçamentária!A:A,0),2)</f>
        <v>#N/A</v>
      </c>
      <c r="C5761" s="35"/>
      <c r="D5761" s="20" t="s">
        <v>93</v>
      </c>
      <c r="E5761" s="21"/>
      <c r="F5761" s="43" t="s">
        <v>521</v>
      </c>
      <c r="G5761" s="22" t="str">
        <f t="shared" si="113"/>
        <v/>
      </c>
      <c r="H5761" s="23"/>
      <c r="I5761" s="24"/>
      <c r="J5761" s="138">
        <v>0</v>
      </c>
    </row>
    <row r="5762" spans="1:10" ht="15.75" hidden="1" thickBot="1" x14ac:dyDescent="0.3">
      <c r="A5762" s="234"/>
      <c r="B5762" s="223"/>
      <c r="C5762" s="152"/>
      <c r="D5762" s="26"/>
      <c r="E5762" s="153"/>
      <c r="F5762" s="48" t="s">
        <v>521</v>
      </c>
      <c r="G5762" s="48" t="str">
        <f t="shared" si="113"/>
        <v/>
      </c>
      <c r="H5762" s="67"/>
      <c r="I5762" s="68"/>
      <c r="J5762" s="138">
        <v>0</v>
      </c>
    </row>
    <row r="5763" spans="1:10" ht="26.25" hidden="1" thickBot="1" x14ac:dyDescent="0.3">
      <c r="A5763" s="234"/>
      <c r="B5763" s="223"/>
      <c r="C5763" s="30" t="s">
        <v>2192</v>
      </c>
      <c r="D5763" s="30" t="s">
        <v>144</v>
      </c>
      <c r="E5763" s="146">
        <v>1</v>
      </c>
      <c r="F5763" s="25">
        <v>0</v>
      </c>
      <c r="G5763" s="48">
        <f t="shared" si="113"/>
        <v>0</v>
      </c>
      <c r="H5763" s="33">
        <f>SUM(G5763:G5763)</f>
        <v>0</v>
      </c>
      <c r="I5763" s="34"/>
      <c r="J5763" s="138">
        <v>0</v>
      </c>
    </row>
    <row r="5764" spans="1:10" ht="15.75" hidden="1" thickBot="1" x14ac:dyDescent="0.3">
      <c r="A5764" s="235"/>
      <c r="B5764" s="224"/>
      <c r="C5764" s="49"/>
      <c r="D5764" s="148"/>
      <c r="E5764" s="60"/>
      <c r="F5764" s="70" t="s">
        <v>521</v>
      </c>
      <c r="G5764" s="70" t="str">
        <f t="shared" si="113"/>
        <v/>
      </c>
      <c r="H5764" s="71"/>
      <c r="I5764" s="68"/>
      <c r="J5764" s="138">
        <v>0</v>
      </c>
    </row>
    <row r="5765" spans="1:10" ht="15.75" hidden="1" thickBot="1" x14ac:dyDescent="0.3">
      <c r="A5765" s="228" t="s">
        <v>2056</v>
      </c>
      <c r="B5765" s="222" t="e">
        <f>INDEX(Orçamentária!A:B,MATCH(Composições!A5765,Orçamentária!A:A,0),2)</f>
        <v>#N/A</v>
      </c>
      <c r="C5765" s="35"/>
      <c r="D5765" s="20" t="s">
        <v>20</v>
      </c>
      <c r="E5765" s="21"/>
      <c r="F5765" s="43" t="s">
        <v>521</v>
      </c>
      <c r="G5765" s="22" t="str">
        <f t="shared" si="113"/>
        <v/>
      </c>
      <c r="H5765" s="23"/>
      <c r="I5765" s="24"/>
      <c r="J5765" s="138">
        <v>0</v>
      </c>
    </row>
    <row r="5766" spans="1:10" ht="15.75" hidden="1" thickBot="1" x14ac:dyDescent="0.3">
      <c r="A5766" s="234"/>
      <c r="B5766" s="223"/>
      <c r="C5766" s="152"/>
      <c r="D5766" s="26"/>
      <c r="E5766" s="153"/>
      <c r="F5766" s="48" t="s">
        <v>521</v>
      </c>
      <c r="G5766" s="48" t="str">
        <f t="shared" si="113"/>
        <v/>
      </c>
      <c r="H5766" s="67"/>
      <c r="I5766" s="68"/>
      <c r="J5766" s="138">
        <v>0</v>
      </c>
    </row>
    <row r="5767" spans="1:10" ht="26.25" hidden="1" thickBot="1" x14ac:dyDescent="0.3">
      <c r="A5767" s="234"/>
      <c r="B5767" s="223"/>
      <c r="C5767" s="30" t="s">
        <v>1706</v>
      </c>
      <c r="D5767" s="30" t="s">
        <v>20</v>
      </c>
      <c r="E5767" s="146">
        <v>1</v>
      </c>
      <c r="F5767" s="25">
        <v>2.2799999999999998</v>
      </c>
      <c r="G5767" s="48">
        <f t="shared" si="113"/>
        <v>2.2799999999999998</v>
      </c>
      <c r="H5767" s="33">
        <f>SUM(G5767:G5767)</f>
        <v>2.2799999999999998</v>
      </c>
      <c r="I5767" s="34"/>
      <c r="J5767" s="138">
        <v>0</v>
      </c>
    </row>
    <row r="5768" spans="1:10" ht="15.75" hidden="1" thickBot="1" x14ac:dyDescent="0.3">
      <c r="A5768" s="235"/>
      <c r="B5768" s="224"/>
      <c r="C5768" s="49"/>
      <c r="D5768" s="148"/>
      <c r="E5768" s="60"/>
      <c r="F5768" s="70" t="s">
        <v>521</v>
      </c>
      <c r="G5768" s="70" t="str">
        <f t="shared" si="113"/>
        <v/>
      </c>
      <c r="H5768" s="71"/>
      <c r="I5768" s="68"/>
      <c r="J5768" s="138">
        <v>0</v>
      </c>
    </row>
    <row r="5769" spans="1:10" ht="15.75" hidden="1" thickBot="1" x14ac:dyDescent="0.3">
      <c r="A5769" s="220" t="s">
        <v>2057</v>
      </c>
      <c r="B5769" s="222" t="e">
        <f>INDEX(Orçamentária!A:B,MATCH(Composições!A5769,Orçamentária!A:A,0),2)</f>
        <v>#N/A</v>
      </c>
      <c r="C5769" s="35"/>
      <c r="D5769" s="20" t="s">
        <v>20</v>
      </c>
      <c r="E5769" s="21"/>
      <c r="F5769" s="43" t="s">
        <v>521</v>
      </c>
      <c r="G5769" s="22" t="str">
        <f t="shared" si="113"/>
        <v/>
      </c>
      <c r="H5769" s="23"/>
      <c r="I5769" s="24"/>
      <c r="J5769" s="138">
        <v>0</v>
      </c>
    </row>
    <row r="5770" spans="1:10" ht="15.75" hidden="1" thickBot="1" x14ac:dyDescent="0.3">
      <c r="A5770" s="225"/>
      <c r="B5770" s="223"/>
      <c r="C5770" s="152"/>
      <c r="D5770" s="26"/>
      <c r="E5770" s="153"/>
      <c r="F5770" s="48" t="s">
        <v>521</v>
      </c>
      <c r="G5770" s="48" t="str">
        <f t="shared" si="113"/>
        <v/>
      </c>
      <c r="H5770" s="67"/>
      <c r="I5770" s="68"/>
      <c r="J5770" s="138">
        <v>0</v>
      </c>
    </row>
    <row r="5771" spans="1:10" ht="26.25" hidden="1" thickBot="1" x14ac:dyDescent="0.3">
      <c r="A5771" s="225"/>
      <c r="B5771" s="223"/>
      <c r="C5771" s="30" t="s">
        <v>1670</v>
      </c>
      <c r="D5771" s="30" t="s">
        <v>20</v>
      </c>
      <c r="E5771" s="146">
        <v>1</v>
      </c>
      <c r="F5771" s="25">
        <v>5.6999999999999993</v>
      </c>
      <c r="G5771" s="48">
        <f t="shared" si="113"/>
        <v>5.6999999999999993</v>
      </c>
      <c r="H5771" s="33">
        <f>SUM(G5771:G5771)</f>
        <v>5.6999999999999993</v>
      </c>
      <c r="I5771" s="34"/>
      <c r="J5771" s="138">
        <v>0</v>
      </c>
    </row>
    <row r="5772" spans="1:10" ht="15.75" hidden="1" thickBot="1" x14ac:dyDescent="0.3">
      <c r="A5772" s="226"/>
      <c r="B5772" s="224"/>
      <c r="C5772" s="49"/>
      <c r="D5772" s="148"/>
      <c r="E5772" s="60"/>
      <c r="F5772" s="70" t="s">
        <v>521</v>
      </c>
      <c r="G5772" s="70" t="str">
        <f t="shared" si="113"/>
        <v/>
      </c>
      <c r="H5772" s="71"/>
      <c r="I5772" s="68"/>
      <c r="J5772" s="138">
        <v>0</v>
      </c>
    </row>
    <row r="5773" spans="1:10" ht="15.75" hidden="1" thickBot="1" x14ac:dyDescent="0.3">
      <c r="A5773" s="220" t="s">
        <v>2058</v>
      </c>
      <c r="B5773" s="222" t="e">
        <f>INDEX(Orçamentária!A:B,MATCH(Composições!A5773,Orçamentária!A:A,0),2)</f>
        <v>#N/A</v>
      </c>
      <c r="C5773" s="35"/>
      <c r="D5773" s="20" t="s">
        <v>20</v>
      </c>
      <c r="E5773" s="21"/>
      <c r="F5773" s="43" t="s">
        <v>521</v>
      </c>
      <c r="G5773" s="22" t="str">
        <f t="shared" si="113"/>
        <v/>
      </c>
      <c r="H5773" s="23"/>
      <c r="I5773" s="24"/>
      <c r="J5773" s="138">
        <v>0</v>
      </c>
    </row>
    <row r="5774" spans="1:10" ht="15.75" hidden="1" thickBot="1" x14ac:dyDescent="0.3">
      <c r="A5774" s="225"/>
      <c r="B5774" s="223"/>
      <c r="C5774" s="152"/>
      <c r="D5774" s="26"/>
      <c r="E5774" s="153"/>
      <c r="F5774" s="48" t="s">
        <v>521</v>
      </c>
      <c r="G5774" s="48" t="str">
        <f t="shared" si="113"/>
        <v/>
      </c>
      <c r="H5774" s="67"/>
      <c r="I5774" s="68"/>
      <c r="J5774" s="138">
        <v>0</v>
      </c>
    </row>
    <row r="5775" spans="1:10" ht="39" hidden="1" thickBot="1" x14ac:dyDescent="0.3">
      <c r="A5775" s="225"/>
      <c r="B5775" s="223"/>
      <c r="C5775" s="30" t="s">
        <v>1660</v>
      </c>
      <c r="D5775" s="30" t="s">
        <v>20</v>
      </c>
      <c r="E5775" s="146">
        <v>1</v>
      </c>
      <c r="F5775" s="25">
        <v>2.1469999999999998</v>
      </c>
      <c r="G5775" s="48">
        <f t="shared" si="113"/>
        <v>2.1469999999999998</v>
      </c>
      <c r="H5775" s="33">
        <f>SUM(G5775:G5775)</f>
        <v>2.1469999999999998</v>
      </c>
      <c r="I5775" s="34"/>
      <c r="J5775" s="138">
        <v>0</v>
      </c>
    </row>
    <row r="5776" spans="1:10" ht="15.75" hidden="1" thickBot="1" x14ac:dyDescent="0.3">
      <c r="A5776" s="226"/>
      <c r="B5776" s="224"/>
      <c r="C5776" s="49"/>
      <c r="D5776" s="148"/>
      <c r="E5776" s="60"/>
      <c r="F5776" s="70" t="s">
        <v>521</v>
      </c>
      <c r="G5776" s="70" t="str">
        <f t="shared" si="113"/>
        <v/>
      </c>
      <c r="H5776" s="71"/>
      <c r="I5776" s="68"/>
      <c r="J5776" s="138">
        <v>0</v>
      </c>
    </row>
    <row r="5777" spans="1:10" ht="15.75" hidden="1" thickBot="1" x14ac:dyDescent="0.3">
      <c r="A5777" s="220" t="s">
        <v>2059</v>
      </c>
      <c r="B5777" s="222" t="e">
        <f>INDEX(Orçamentária!A:B,MATCH(Composições!A5777,Orçamentária!A:A,0),2)</f>
        <v>#N/A</v>
      </c>
      <c r="C5777" s="35"/>
      <c r="D5777" s="20" t="s">
        <v>20</v>
      </c>
      <c r="E5777" s="21"/>
      <c r="F5777" s="43" t="s">
        <v>521</v>
      </c>
      <c r="G5777" s="22" t="str">
        <f t="shared" si="113"/>
        <v/>
      </c>
      <c r="H5777" s="23"/>
      <c r="I5777" s="24"/>
      <c r="J5777" s="138">
        <v>0</v>
      </c>
    </row>
    <row r="5778" spans="1:10" ht="15.75" hidden="1" thickBot="1" x14ac:dyDescent="0.3">
      <c r="A5778" s="225"/>
      <c r="B5778" s="223"/>
      <c r="C5778" s="152"/>
      <c r="D5778" s="26"/>
      <c r="E5778" s="153"/>
      <c r="F5778" s="48" t="s">
        <v>521</v>
      </c>
      <c r="G5778" s="48" t="str">
        <f t="shared" si="113"/>
        <v/>
      </c>
      <c r="H5778" s="67"/>
      <c r="I5778" s="68"/>
      <c r="J5778" s="138">
        <v>0</v>
      </c>
    </row>
    <row r="5779" spans="1:10" ht="39" hidden="1" thickBot="1" x14ac:dyDescent="0.3">
      <c r="A5779" s="225"/>
      <c r="B5779" s="223"/>
      <c r="C5779" s="30" t="s">
        <v>1653</v>
      </c>
      <c r="D5779" s="30" t="s">
        <v>20</v>
      </c>
      <c r="E5779" s="146">
        <v>1</v>
      </c>
      <c r="F5779" s="25">
        <v>10.1175</v>
      </c>
      <c r="G5779" s="48">
        <f t="shared" si="113"/>
        <v>10.1175</v>
      </c>
      <c r="H5779" s="33">
        <f>SUM(G5779:G5779)</f>
        <v>10.1175</v>
      </c>
      <c r="I5779" s="34"/>
      <c r="J5779" s="138">
        <v>0</v>
      </c>
    </row>
    <row r="5780" spans="1:10" ht="15.75" hidden="1" thickBot="1" x14ac:dyDescent="0.3">
      <c r="A5780" s="226"/>
      <c r="B5780" s="224"/>
      <c r="C5780" s="49"/>
      <c r="D5780" s="148"/>
      <c r="E5780" s="60"/>
      <c r="F5780" s="70" t="s">
        <v>521</v>
      </c>
      <c r="G5780" s="70" t="str">
        <f t="shared" si="113"/>
        <v/>
      </c>
      <c r="H5780" s="71"/>
      <c r="I5780" s="68"/>
      <c r="J5780" s="138">
        <v>0</v>
      </c>
    </row>
    <row r="5781" spans="1:10" ht="15.75" hidden="1" thickBot="1" x14ac:dyDescent="0.3">
      <c r="A5781" s="228" t="s">
        <v>2060</v>
      </c>
      <c r="B5781" s="222" t="e">
        <f>INDEX(Orçamentária!A:B,MATCH(Composições!A5781,Orçamentária!A:A,0),2)</f>
        <v>#N/A</v>
      </c>
      <c r="C5781" s="35"/>
      <c r="D5781" s="20" t="s">
        <v>20</v>
      </c>
      <c r="E5781" s="21"/>
      <c r="F5781" s="43" t="s">
        <v>521</v>
      </c>
      <c r="G5781" s="22" t="str">
        <f t="shared" si="113"/>
        <v/>
      </c>
      <c r="H5781" s="23"/>
      <c r="I5781" s="24"/>
      <c r="J5781" s="138">
        <v>0</v>
      </c>
    </row>
    <row r="5782" spans="1:10" ht="15.75" hidden="1" thickBot="1" x14ac:dyDescent="0.3">
      <c r="A5782" s="234"/>
      <c r="B5782" s="223"/>
      <c r="C5782" s="152"/>
      <c r="D5782" s="26"/>
      <c r="E5782" s="153"/>
      <c r="F5782" s="48" t="s">
        <v>521</v>
      </c>
      <c r="G5782" s="48" t="str">
        <f t="shared" si="113"/>
        <v/>
      </c>
      <c r="H5782" s="67"/>
      <c r="I5782" s="68"/>
      <c r="J5782" s="138">
        <v>0</v>
      </c>
    </row>
    <row r="5783" spans="1:10" ht="26.25" hidden="1" thickBot="1" x14ac:dyDescent="0.3">
      <c r="A5783" s="234"/>
      <c r="B5783" s="223"/>
      <c r="C5783" s="30" t="s">
        <v>1707</v>
      </c>
      <c r="D5783" s="30" t="s">
        <v>20</v>
      </c>
      <c r="E5783" s="146">
        <v>1</v>
      </c>
      <c r="F5783" s="25">
        <v>2.4319999999999999</v>
      </c>
      <c r="G5783" s="48">
        <f t="shared" si="113"/>
        <v>2.4319999999999999</v>
      </c>
      <c r="H5783" s="33">
        <f>SUM(G5783:G5783)</f>
        <v>2.4319999999999999</v>
      </c>
      <c r="I5783" s="34"/>
      <c r="J5783" s="138">
        <v>0</v>
      </c>
    </row>
    <row r="5784" spans="1:10" ht="15.75" hidden="1" thickBot="1" x14ac:dyDescent="0.3">
      <c r="A5784" s="235"/>
      <c r="B5784" s="224"/>
      <c r="C5784" s="49"/>
      <c r="D5784" s="148"/>
      <c r="E5784" s="60"/>
      <c r="F5784" s="70" t="s">
        <v>521</v>
      </c>
      <c r="G5784" s="70" t="str">
        <f t="shared" si="113"/>
        <v/>
      </c>
      <c r="H5784" s="71"/>
      <c r="I5784" s="68"/>
      <c r="J5784" s="138">
        <v>0</v>
      </c>
    </row>
    <row r="5785" spans="1:10" ht="15.75" hidden="1" thickBot="1" x14ac:dyDescent="0.3">
      <c r="A5785" s="228" t="s">
        <v>2061</v>
      </c>
      <c r="B5785" s="222" t="e">
        <f>INDEX(Orçamentária!A:B,MATCH(Composições!A5785,Orçamentária!A:A,0),2)</f>
        <v>#N/A</v>
      </c>
      <c r="C5785" s="35"/>
      <c r="D5785" s="20" t="s">
        <v>20</v>
      </c>
      <c r="E5785" s="21"/>
      <c r="F5785" s="43" t="s">
        <v>521</v>
      </c>
      <c r="G5785" s="22" t="str">
        <f t="shared" si="113"/>
        <v/>
      </c>
      <c r="H5785" s="23"/>
      <c r="I5785" s="24"/>
      <c r="J5785" s="138">
        <v>0</v>
      </c>
    </row>
    <row r="5786" spans="1:10" ht="15.75" hidden="1" thickBot="1" x14ac:dyDescent="0.3">
      <c r="A5786" s="234"/>
      <c r="B5786" s="223"/>
      <c r="C5786" s="152"/>
      <c r="D5786" s="26"/>
      <c r="E5786" s="153"/>
      <c r="F5786" s="48" t="s">
        <v>521</v>
      </c>
      <c r="G5786" s="48" t="str">
        <f t="shared" si="113"/>
        <v/>
      </c>
      <c r="H5786" s="67"/>
      <c r="I5786" s="68"/>
      <c r="J5786" s="138">
        <v>0</v>
      </c>
    </row>
    <row r="5787" spans="1:10" ht="26.25" hidden="1" thickBot="1" x14ac:dyDescent="0.3">
      <c r="A5787" s="234"/>
      <c r="B5787" s="223"/>
      <c r="C5787" s="30" t="s">
        <v>1671</v>
      </c>
      <c r="D5787" s="30" t="s">
        <v>20</v>
      </c>
      <c r="E5787" s="146">
        <v>1</v>
      </c>
      <c r="F5787" s="25">
        <v>6.4504999999999999</v>
      </c>
      <c r="G5787" s="48">
        <f t="shared" si="113"/>
        <v>6.4504999999999999</v>
      </c>
      <c r="H5787" s="33">
        <f>SUM(G5787:G5787)</f>
        <v>6.4504999999999999</v>
      </c>
      <c r="I5787" s="34"/>
      <c r="J5787" s="138">
        <v>0</v>
      </c>
    </row>
    <row r="5788" spans="1:10" ht="15.75" hidden="1" thickBot="1" x14ac:dyDescent="0.3">
      <c r="A5788" s="235"/>
      <c r="B5788" s="224"/>
      <c r="C5788" s="49"/>
      <c r="D5788" s="148"/>
      <c r="E5788" s="60"/>
      <c r="F5788" s="70" t="s">
        <v>521</v>
      </c>
      <c r="G5788" s="70" t="str">
        <f t="shared" si="113"/>
        <v/>
      </c>
      <c r="H5788" s="71"/>
      <c r="I5788" s="68"/>
      <c r="J5788" s="138">
        <v>0</v>
      </c>
    </row>
    <row r="5789" spans="1:10" ht="15.75" hidden="1" thickBot="1" x14ac:dyDescent="0.3">
      <c r="A5789" s="228" t="s">
        <v>2062</v>
      </c>
      <c r="B5789" s="222" t="e">
        <f>INDEX(Orçamentária!A:B,MATCH(Composições!A5789,Orçamentária!A:A,0),2)</f>
        <v>#N/A</v>
      </c>
      <c r="C5789" s="35"/>
      <c r="D5789" s="20" t="s">
        <v>20</v>
      </c>
      <c r="E5789" s="21"/>
      <c r="F5789" s="43" t="s">
        <v>521</v>
      </c>
      <c r="G5789" s="22" t="str">
        <f t="shared" si="113"/>
        <v/>
      </c>
      <c r="H5789" s="23"/>
      <c r="I5789" s="24"/>
      <c r="J5789" s="138">
        <v>0</v>
      </c>
    </row>
    <row r="5790" spans="1:10" ht="15.75" hidden="1" thickBot="1" x14ac:dyDescent="0.3">
      <c r="A5790" s="234"/>
      <c r="B5790" s="223"/>
      <c r="C5790" s="152"/>
      <c r="D5790" s="26"/>
      <c r="E5790" s="153"/>
      <c r="F5790" s="48" t="s">
        <v>521</v>
      </c>
      <c r="G5790" s="48" t="str">
        <f t="shared" si="113"/>
        <v/>
      </c>
      <c r="H5790" s="67"/>
      <c r="I5790" s="68"/>
      <c r="J5790" s="138">
        <v>0</v>
      </c>
    </row>
    <row r="5791" spans="1:10" ht="39" hidden="1" thickBot="1" x14ac:dyDescent="0.3">
      <c r="A5791" s="234"/>
      <c r="B5791" s="223"/>
      <c r="C5791" s="30" t="s">
        <v>1658</v>
      </c>
      <c r="D5791" s="30" t="s">
        <v>20</v>
      </c>
      <c r="E5791" s="146">
        <v>1</v>
      </c>
      <c r="F5791" s="25">
        <v>3.8285</v>
      </c>
      <c r="G5791" s="48">
        <f t="shared" si="113"/>
        <v>3.8285</v>
      </c>
      <c r="H5791" s="33">
        <f>SUM(G5791:G5791)</f>
        <v>3.8285</v>
      </c>
      <c r="I5791" s="34"/>
      <c r="J5791" s="138">
        <v>0</v>
      </c>
    </row>
    <row r="5792" spans="1:10" ht="15.75" hidden="1" thickBot="1" x14ac:dyDescent="0.3">
      <c r="A5792" s="235"/>
      <c r="B5792" s="224"/>
      <c r="C5792" s="49"/>
      <c r="D5792" s="148"/>
      <c r="E5792" s="60"/>
      <c r="F5792" s="70" t="s">
        <v>521</v>
      </c>
      <c r="G5792" s="70" t="str">
        <f t="shared" si="113"/>
        <v/>
      </c>
      <c r="H5792" s="71"/>
      <c r="I5792" s="68"/>
      <c r="J5792" s="138">
        <v>0</v>
      </c>
    </row>
    <row r="5793" spans="1:10" ht="15.75" hidden="1" thickBot="1" x14ac:dyDescent="0.3">
      <c r="A5793" s="228" t="s">
        <v>2063</v>
      </c>
      <c r="B5793" s="222" t="e">
        <f>INDEX(Orçamentária!A:B,MATCH(Composições!A5793,Orçamentária!A:A,0),2)</f>
        <v>#N/A</v>
      </c>
      <c r="C5793" s="35"/>
      <c r="D5793" s="20" t="s">
        <v>20</v>
      </c>
      <c r="E5793" s="21"/>
      <c r="F5793" s="43" t="s">
        <v>521</v>
      </c>
      <c r="G5793" s="22" t="str">
        <f t="shared" si="113"/>
        <v/>
      </c>
      <c r="H5793" s="23"/>
      <c r="I5793" s="24"/>
      <c r="J5793" s="138">
        <v>0</v>
      </c>
    </row>
    <row r="5794" spans="1:10" ht="15.75" hidden="1" thickBot="1" x14ac:dyDescent="0.3">
      <c r="A5794" s="234"/>
      <c r="B5794" s="223"/>
      <c r="C5794" s="152"/>
      <c r="D5794" s="26"/>
      <c r="E5794" s="153"/>
      <c r="F5794" s="48" t="s">
        <v>521</v>
      </c>
      <c r="G5794" s="48" t="str">
        <f t="shared" si="113"/>
        <v/>
      </c>
      <c r="H5794" s="67"/>
      <c r="I5794" s="68"/>
      <c r="J5794" s="138">
        <v>0</v>
      </c>
    </row>
    <row r="5795" spans="1:10" ht="39" hidden="1" thickBot="1" x14ac:dyDescent="0.3">
      <c r="A5795" s="234"/>
      <c r="B5795" s="223"/>
      <c r="C5795" s="30" t="s">
        <v>1650</v>
      </c>
      <c r="D5795" s="30" t="s">
        <v>20</v>
      </c>
      <c r="E5795" s="146">
        <v>1</v>
      </c>
      <c r="F5795" s="25">
        <v>12.16</v>
      </c>
      <c r="G5795" s="48">
        <f t="shared" si="113"/>
        <v>12.16</v>
      </c>
      <c r="H5795" s="33">
        <f>SUM(G5795:G5795)</f>
        <v>12.16</v>
      </c>
      <c r="I5795" s="34"/>
      <c r="J5795" s="138">
        <v>0</v>
      </c>
    </row>
    <row r="5796" spans="1:10" ht="15.75" hidden="1" thickBot="1" x14ac:dyDescent="0.3">
      <c r="A5796" s="235"/>
      <c r="B5796" s="224"/>
      <c r="C5796" s="49"/>
      <c r="D5796" s="148"/>
      <c r="E5796" s="60"/>
      <c r="F5796" s="70" t="s">
        <v>521</v>
      </c>
      <c r="G5796" s="70" t="str">
        <f t="shared" si="113"/>
        <v/>
      </c>
      <c r="H5796" s="71"/>
      <c r="I5796" s="68"/>
      <c r="J5796" s="138">
        <v>0</v>
      </c>
    </row>
    <row r="5797" spans="1:10" ht="15.75" hidden="1" thickBot="1" x14ac:dyDescent="0.3">
      <c r="A5797" s="228" t="s">
        <v>2064</v>
      </c>
      <c r="B5797" s="222" t="e">
        <f>INDEX(Orçamentária!A:B,MATCH(Composições!A5797,Orçamentária!A:A,0),2)</f>
        <v>#N/A</v>
      </c>
      <c r="C5797" s="35"/>
      <c r="D5797" s="20" t="s">
        <v>20</v>
      </c>
      <c r="E5797" s="21"/>
      <c r="F5797" s="43" t="s">
        <v>521</v>
      </c>
      <c r="G5797" s="22" t="str">
        <f t="shared" si="113"/>
        <v/>
      </c>
      <c r="H5797" s="23"/>
      <c r="I5797" s="24"/>
      <c r="J5797" s="138">
        <v>0</v>
      </c>
    </row>
    <row r="5798" spans="1:10" ht="15.75" hidden="1" thickBot="1" x14ac:dyDescent="0.3">
      <c r="A5798" s="234"/>
      <c r="B5798" s="223"/>
      <c r="C5798" s="152"/>
      <c r="D5798" s="26"/>
      <c r="E5798" s="153"/>
      <c r="F5798" s="48" t="s">
        <v>521</v>
      </c>
      <c r="G5798" s="48" t="str">
        <f t="shared" si="113"/>
        <v/>
      </c>
      <c r="H5798" s="67"/>
      <c r="I5798" s="68"/>
      <c r="J5798" s="138">
        <v>0</v>
      </c>
    </row>
    <row r="5799" spans="1:10" ht="26.25" hidden="1" thickBot="1" x14ac:dyDescent="0.3">
      <c r="A5799" s="234"/>
      <c r="B5799" s="223"/>
      <c r="C5799" s="30" t="s">
        <v>1708</v>
      </c>
      <c r="D5799" s="30" t="s">
        <v>20</v>
      </c>
      <c r="E5799" s="146">
        <v>1</v>
      </c>
      <c r="F5799" s="25">
        <v>2.831</v>
      </c>
      <c r="G5799" s="48">
        <f t="shared" si="113"/>
        <v>2.831</v>
      </c>
      <c r="H5799" s="33">
        <f>SUM(G5799:G5799)</f>
        <v>2.831</v>
      </c>
      <c r="I5799" s="34"/>
      <c r="J5799" s="138">
        <v>0</v>
      </c>
    </row>
    <row r="5800" spans="1:10" ht="15.75" hidden="1" thickBot="1" x14ac:dyDescent="0.3">
      <c r="A5800" s="235"/>
      <c r="B5800" s="224"/>
      <c r="C5800" s="49"/>
      <c r="D5800" s="148"/>
      <c r="E5800" s="60"/>
      <c r="F5800" s="70" t="s">
        <v>521</v>
      </c>
      <c r="G5800" s="70" t="str">
        <f t="shared" si="113"/>
        <v/>
      </c>
      <c r="H5800" s="71"/>
      <c r="I5800" s="68"/>
      <c r="J5800" s="138">
        <v>0</v>
      </c>
    </row>
    <row r="5801" spans="1:10" ht="15.75" hidden="1" thickBot="1" x14ac:dyDescent="0.3">
      <c r="A5801" s="228" t="s">
        <v>2065</v>
      </c>
      <c r="B5801" s="222" t="e">
        <f>INDEX(Orçamentária!A:B,MATCH(Composições!A5801,Orçamentária!A:A,0),2)</f>
        <v>#N/A</v>
      </c>
      <c r="C5801" s="35"/>
      <c r="D5801" s="20" t="s">
        <v>20</v>
      </c>
      <c r="E5801" s="21"/>
      <c r="F5801" s="43" t="s">
        <v>521</v>
      </c>
      <c r="G5801" s="22" t="str">
        <f t="shared" si="113"/>
        <v/>
      </c>
      <c r="H5801" s="23"/>
      <c r="I5801" s="24"/>
      <c r="J5801" s="138">
        <v>0</v>
      </c>
    </row>
    <row r="5802" spans="1:10" ht="15.75" hidden="1" thickBot="1" x14ac:dyDescent="0.3">
      <c r="A5802" s="234"/>
      <c r="B5802" s="223"/>
      <c r="C5802" s="152"/>
      <c r="D5802" s="26"/>
      <c r="E5802" s="153"/>
      <c r="F5802" s="48" t="s">
        <v>521</v>
      </c>
      <c r="G5802" s="48" t="str">
        <f t="shared" si="113"/>
        <v/>
      </c>
      <c r="H5802" s="67"/>
      <c r="I5802" s="68"/>
      <c r="J5802" s="138">
        <v>0</v>
      </c>
    </row>
    <row r="5803" spans="1:10" ht="26.25" hidden="1" thickBot="1" x14ac:dyDescent="0.3">
      <c r="A5803" s="234"/>
      <c r="B5803" s="223"/>
      <c r="C5803" s="30" t="s">
        <v>1672</v>
      </c>
      <c r="D5803" s="30" t="s">
        <v>20</v>
      </c>
      <c r="E5803" s="146">
        <v>1</v>
      </c>
      <c r="F5803" s="25">
        <v>8.7684999999999995</v>
      </c>
      <c r="G5803" s="48">
        <f t="shared" si="113"/>
        <v>8.7684999999999995</v>
      </c>
      <c r="H5803" s="33">
        <f>SUM(G5803:G5803)</f>
        <v>8.7684999999999995</v>
      </c>
      <c r="I5803" s="34"/>
      <c r="J5803" s="138">
        <v>0</v>
      </c>
    </row>
    <row r="5804" spans="1:10" ht="15.75" hidden="1" thickBot="1" x14ac:dyDescent="0.3">
      <c r="A5804" s="235"/>
      <c r="B5804" s="224"/>
      <c r="C5804" s="49"/>
      <c r="D5804" s="148"/>
      <c r="E5804" s="60"/>
      <c r="F5804" s="70" t="s">
        <v>521</v>
      </c>
      <c r="G5804" s="70" t="str">
        <f t="shared" si="113"/>
        <v/>
      </c>
      <c r="H5804" s="71"/>
      <c r="I5804" s="68"/>
      <c r="J5804" s="138">
        <v>0</v>
      </c>
    </row>
    <row r="5805" spans="1:10" ht="15.75" hidden="1" thickBot="1" x14ac:dyDescent="0.3">
      <c r="A5805" s="228" t="s">
        <v>2066</v>
      </c>
      <c r="B5805" s="222" t="e">
        <f>INDEX(Orçamentária!A:B,MATCH(Composições!A5805,Orçamentária!A:A,0),2)</f>
        <v>#N/A</v>
      </c>
      <c r="C5805" s="35"/>
      <c r="D5805" s="20" t="s">
        <v>20</v>
      </c>
      <c r="E5805" s="21"/>
      <c r="F5805" s="43" t="s">
        <v>521</v>
      </c>
      <c r="G5805" s="22" t="str">
        <f t="shared" si="113"/>
        <v/>
      </c>
      <c r="H5805" s="23"/>
      <c r="I5805" s="24"/>
      <c r="J5805" s="138">
        <v>0</v>
      </c>
    </row>
    <row r="5806" spans="1:10" ht="15.75" hidden="1" thickBot="1" x14ac:dyDescent="0.3">
      <c r="A5806" s="234"/>
      <c r="B5806" s="223"/>
      <c r="C5806" s="152"/>
      <c r="D5806" s="26"/>
      <c r="E5806" s="153"/>
      <c r="F5806" s="48" t="s">
        <v>521</v>
      </c>
      <c r="G5806" s="48" t="str">
        <f t="shared" si="113"/>
        <v/>
      </c>
      <c r="H5806" s="67"/>
      <c r="I5806" s="68"/>
      <c r="J5806" s="138">
        <v>0</v>
      </c>
    </row>
    <row r="5807" spans="1:10" ht="39" hidden="1" thickBot="1" x14ac:dyDescent="0.3">
      <c r="A5807" s="234"/>
      <c r="B5807" s="223"/>
      <c r="C5807" s="30" t="s">
        <v>1657</v>
      </c>
      <c r="D5807" s="30" t="s">
        <v>20</v>
      </c>
      <c r="E5807" s="146">
        <v>1</v>
      </c>
      <c r="F5807" s="25">
        <v>5.3769999999999998</v>
      </c>
      <c r="G5807" s="48">
        <f t="shared" si="113"/>
        <v>5.3769999999999998</v>
      </c>
      <c r="H5807" s="33">
        <f>SUM(G5807:G5807)</f>
        <v>5.3769999999999998</v>
      </c>
      <c r="I5807" s="34"/>
      <c r="J5807" s="138">
        <v>0</v>
      </c>
    </row>
    <row r="5808" spans="1:10" ht="15.75" hidden="1" thickBot="1" x14ac:dyDescent="0.3">
      <c r="A5808" s="235"/>
      <c r="B5808" s="224"/>
      <c r="C5808" s="49"/>
      <c r="D5808" s="148"/>
      <c r="E5808" s="60"/>
      <c r="F5808" s="70" t="s">
        <v>521</v>
      </c>
      <c r="G5808" s="70" t="str">
        <f t="shared" si="113"/>
        <v/>
      </c>
      <c r="H5808" s="71"/>
      <c r="I5808" s="68"/>
      <c r="J5808" s="138">
        <v>0</v>
      </c>
    </row>
    <row r="5809" spans="1:10" ht="15.75" hidden="1" thickBot="1" x14ac:dyDescent="0.3">
      <c r="A5809" s="228" t="s">
        <v>2067</v>
      </c>
      <c r="B5809" s="222" t="e">
        <f>INDEX(Orçamentária!A:B,MATCH(Composições!A5809,Orçamentária!A:A,0),2)</f>
        <v>#N/A</v>
      </c>
      <c r="C5809" s="35"/>
      <c r="D5809" s="20" t="s">
        <v>20</v>
      </c>
      <c r="E5809" s="21"/>
      <c r="F5809" s="43" t="s">
        <v>521</v>
      </c>
      <c r="G5809" s="22" t="str">
        <f t="shared" si="113"/>
        <v/>
      </c>
      <c r="H5809" s="23"/>
      <c r="I5809" s="24"/>
      <c r="J5809" s="138">
        <v>0</v>
      </c>
    </row>
    <row r="5810" spans="1:10" ht="15.75" hidden="1" thickBot="1" x14ac:dyDescent="0.3">
      <c r="A5810" s="234"/>
      <c r="B5810" s="223"/>
      <c r="C5810" s="152"/>
      <c r="D5810" s="26"/>
      <c r="E5810" s="153"/>
      <c r="F5810" s="48" t="s">
        <v>521</v>
      </c>
      <c r="G5810" s="48" t="str">
        <f t="shared" si="113"/>
        <v/>
      </c>
      <c r="H5810" s="67"/>
      <c r="I5810" s="68"/>
      <c r="J5810" s="138">
        <v>0</v>
      </c>
    </row>
    <row r="5811" spans="1:10" ht="39" hidden="1" thickBot="1" x14ac:dyDescent="0.3">
      <c r="A5811" s="234"/>
      <c r="B5811" s="223"/>
      <c r="C5811" s="30" t="s">
        <v>1649</v>
      </c>
      <c r="D5811" s="30" t="s">
        <v>20</v>
      </c>
      <c r="E5811" s="146">
        <v>1</v>
      </c>
      <c r="F5811" s="25">
        <v>15.142999999999999</v>
      </c>
      <c r="G5811" s="48">
        <f t="shared" si="113"/>
        <v>15.142999999999999</v>
      </c>
      <c r="H5811" s="33">
        <f>SUM(G5811:G5811)</f>
        <v>15.142999999999999</v>
      </c>
      <c r="I5811" s="34"/>
      <c r="J5811" s="138">
        <v>0</v>
      </c>
    </row>
    <row r="5812" spans="1:10" ht="15.75" hidden="1" thickBot="1" x14ac:dyDescent="0.3">
      <c r="A5812" s="235"/>
      <c r="B5812" s="224"/>
      <c r="C5812" s="49"/>
      <c r="D5812" s="148"/>
      <c r="E5812" s="60"/>
      <c r="F5812" s="70" t="s">
        <v>521</v>
      </c>
      <c r="G5812" s="70" t="str">
        <f t="shared" si="113"/>
        <v/>
      </c>
      <c r="H5812" s="71"/>
      <c r="I5812" s="68"/>
      <c r="J5812" s="138">
        <v>0</v>
      </c>
    </row>
    <row r="5813" spans="1:10" ht="15.75" hidden="1" thickBot="1" x14ac:dyDescent="0.3">
      <c r="A5813" s="228" t="s">
        <v>2068</v>
      </c>
      <c r="B5813" s="222" t="e">
        <f>INDEX(Orçamentária!A:B,MATCH(Composições!A5813,Orçamentária!A:A,0),2)</f>
        <v>#N/A</v>
      </c>
      <c r="C5813" s="35"/>
      <c r="D5813" s="20" t="s">
        <v>20</v>
      </c>
      <c r="E5813" s="21"/>
      <c r="F5813" s="43" t="s">
        <v>521</v>
      </c>
      <c r="G5813" s="22" t="str">
        <f t="shared" si="113"/>
        <v/>
      </c>
      <c r="H5813" s="23"/>
      <c r="I5813" s="24"/>
      <c r="J5813" s="138">
        <v>0</v>
      </c>
    </row>
    <row r="5814" spans="1:10" ht="15.75" hidden="1" thickBot="1" x14ac:dyDescent="0.3">
      <c r="A5814" s="234"/>
      <c r="B5814" s="223"/>
      <c r="C5814" s="152"/>
      <c r="D5814" s="26"/>
      <c r="E5814" s="153"/>
      <c r="F5814" s="48" t="s">
        <v>521</v>
      </c>
      <c r="G5814" s="48" t="str">
        <f t="shared" si="113"/>
        <v/>
      </c>
      <c r="H5814" s="67"/>
      <c r="I5814" s="68"/>
      <c r="J5814" s="138">
        <v>0</v>
      </c>
    </row>
    <row r="5815" spans="1:10" ht="26.25" hidden="1" thickBot="1" x14ac:dyDescent="0.3">
      <c r="A5815" s="234"/>
      <c r="B5815" s="223"/>
      <c r="C5815" s="30" t="s">
        <v>1709</v>
      </c>
      <c r="D5815" s="30" t="s">
        <v>20</v>
      </c>
      <c r="E5815" s="146">
        <v>1</v>
      </c>
      <c r="F5815" s="25">
        <v>5.016</v>
      </c>
      <c r="G5815" s="48">
        <f t="shared" si="113"/>
        <v>5.016</v>
      </c>
      <c r="H5815" s="33">
        <f>SUM(G5815:G5815)</f>
        <v>5.016</v>
      </c>
      <c r="I5815" s="34"/>
      <c r="J5815" s="138">
        <v>0</v>
      </c>
    </row>
    <row r="5816" spans="1:10" ht="15.75" hidden="1" thickBot="1" x14ac:dyDescent="0.3">
      <c r="A5816" s="235"/>
      <c r="B5816" s="224"/>
      <c r="C5816" s="49"/>
      <c r="D5816" s="148"/>
      <c r="E5816" s="60"/>
      <c r="F5816" s="70" t="s">
        <v>521</v>
      </c>
      <c r="G5816" s="70" t="str">
        <f t="shared" si="113"/>
        <v/>
      </c>
      <c r="H5816" s="71"/>
      <c r="I5816" s="68"/>
      <c r="J5816" s="138">
        <v>0</v>
      </c>
    </row>
    <row r="5817" spans="1:10" ht="15.75" hidden="1" thickBot="1" x14ac:dyDescent="0.3">
      <c r="A5817" s="228" t="s">
        <v>2069</v>
      </c>
      <c r="B5817" s="222" t="e">
        <f>INDEX(Orçamentária!A:B,MATCH(Composições!A5817,Orçamentária!A:A,0),2)</f>
        <v>#N/A</v>
      </c>
      <c r="C5817" s="35"/>
      <c r="D5817" s="20" t="s">
        <v>20</v>
      </c>
      <c r="E5817" s="21"/>
      <c r="F5817" s="43" t="s">
        <v>521</v>
      </c>
      <c r="G5817" s="22" t="str">
        <f t="shared" si="113"/>
        <v/>
      </c>
      <c r="H5817" s="23"/>
      <c r="I5817" s="24"/>
      <c r="J5817" s="138">
        <v>0</v>
      </c>
    </row>
    <row r="5818" spans="1:10" ht="15.75" hidden="1" thickBot="1" x14ac:dyDescent="0.3">
      <c r="A5818" s="234"/>
      <c r="B5818" s="223"/>
      <c r="C5818" s="152"/>
      <c r="D5818" s="26"/>
      <c r="E5818" s="153"/>
      <c r="F5818" s="48" t="s">
        <v>521</v>
      </c>
      <c r="G5818" s="48" t="str">
        <f t="shared" si="113"/>
        <v/>
      </c>
      <c r="H5818" s="67"/>
      <c r="I5818" s="68"/>
      <c r="J5818" s="138">
        <v>0</v>
      </c>
    </row>
    <row r="5819" spans="1:10" ht="26.25" hidden="1" thickBot="1" x14ac:dyDescent="0.3">
      <c r="A5819" s="234"/>
      <c r="B5819" s="223"/>
      <c r="C5819" s="30" t="s">
        <v>1673</v>
      </c>
      <c r="D5819" s="30" t="s">
        <v>20</v>
      </c>
      <c r="E5819" s="146">
        <v>1</v>
      </c>
      <c r="F5819" s="25">
        <v>19.968999999999998</v>
      </c>
      <c r="G5819" s="48">
        <f t="shared" si="113"/>
        <v>19.968999999999998</v>
      </c>
      <c r="H5819" s="33">
        <f>SUM(G5819:G5819)</f>
        <v>19.968999999999998</v>
      </c>
      <c r="I5819" s="34"/>
      <c r="J5819" s="138">
        <v>0</v>
      </c>
    </row>
    <row r="5820" spans="1:10" ht="15.75" hidden="1" thickBot="1" x14ac:dyDescent="0.3">
      <c r="A5820" s="235"/>
      <c r="B5820" s="224"/>
      <c r="C5820" s="49"/>
      <c r="D5820" s="148"/>
      <c r="E5820" s="60"/>
      <c r="F5820" s="70" t="s">
        <v>521</v>
      </c>
      <c r="G5820" s="70" t="str">
        <f t="shared" si="113"/>
        <v/>
      </c>
      <c r="H5820" s="71"/>
      <c r="I5820" s="68"/>
      <c r="J5820" s="138">
        <v>0</v>
      </c>
    </row>
    <row r="5821" spans="1:10" ht="15.75" hidden="1" thickBot="1" x14ac:dyDescent="0.3">
      <c r="A5821" s="228" t="s">
        <v>2070</v>
      </c>
      <c r="B5821" s="222" t="e">
        <f>INDEX(Orçamentária!A:B,MATCH(Composições!A5821,Orçamentária!A:A,0),2)</f>
        <v>#N/A</v>
      </c>
      <c r="C5821" s="35"/>
      <c r="D5821" s="20" t="s">
        <v>20</v>
      </c>
      <c r="E5821" s="21"/>
      <c r="F5821" s="43" t="s">
        <v>521</v>
      </c>
      <c r="G5821" s="22" t="str">
        <f t="shared" ref="G5821:G5884" si="114">IF(ISNUMBER(F5821),E5821*F5821,"")</f>
        <v/>
      </c>
      <c r="H5821" s="23"/>
      <c r="I5821" s="24"/>
      <c r="J5821" s="138">
        <v>0</v>
      </c>
    </row>
    <row r="5822" spans="1:10" ht="15.75" hidden="1" thickBot="1" x14ac:dyDescent="0.3">
      <c r="A5822" s="234"/>
      <c r="B5822" s="223"/>
      <c r="C5822" s="152"/>
      <c r="D5822" s="26"/>
      <c r="E5822" s="153"/>
      <c r="F5822" s="48" t="s">
        <v>521</v>
      </c>
      <c r="G5822" s="48" t="str">
        <f t="shared" si="114"/>
        <v/>
      </c>
      <c r="H5822" s="67"/>
      <c r="I5822" s="68"/>
      <c r="J5822" s="138">
        <v>0</v>
      </c>
    </row>
    <row r="5823" spans="1:10" ht="39" hidden="1" thickBot="1" x14ac:dyDescent="0.3">
      <c r="A5823" s="234"/>
      <c r="B5823" s="223"/>
      <c r="C5823" s="30" t="s">
        <v>1656</v>
      </c>
      <c r="D5823" s="30" t="s">
        <v>20</v>
      </c>
      <c r="E5823" s="146">
        <v>1</v>
      </c>
      <c r="F5823" s="25">
        <v>8.3885000000000005</v>
      </c>
      <c r="G5823" s="48">
        <f t="shared" si="114"/>
        <v>8.3885000000000005</v>
      </c>
      <c r="H5823" s="33">
        <f>SUM(G5823:G5823)</f>
        <v>8.3885000000000005</v>
      </c>
      <c r="I5823" s="34"/>
      <c r="J5823" s="138">
        <v>0</v>
      </c>
    </row>
    <row r="5824" spans="1:10" ht="15.75" hidden="1" thickBot="1" x14ac:dyDescent="0.3">
      <c r="A5824" s="235"/>
      <c r="B5824" s="224"/>
      <c r="C5824" s="49"/>
      <c r="D5824" s="148"/>
      <c r="E5824" s="60"/>
      <c r="F5824" s="70" t="s">
        <v>521</v>
      </c>
      <c r="G5824" s="70" t="str">
        <f t="shared" si="114"/>
        <v/>
      </c>
      <c r="H5824" s="71"/>
      <c r="I5824" s="68"/>
      <c r="J5824" s="138">
        <v>0</v>
      </c>
    </row>
    <row r="5825" spans="1:10" ht="15.75" hidden="1" thickBot="1" x14ac:dyDescent="0.3">
      <c r="A5825" s="228" t="s">
        <v>2071</v>
      </c>
      <c r="B5825" s="222" t="e">
        <f>INDEX(Orçamentária!A:B,MATCH(Composições!A5825,Orçamentária!A:A,0),2)</f>
        <v>#N/A</v>
      </c>
      <c r="C5825" s="35"/>
      <c r="D5825" s="20" t="s">
        <v>20</v>
      </c>
      <c r="E5825" s="21"/>
      <c r="F5825" s="43" t="s">
        <v>521</v>
      </c>
      <c r="G5825" s="22" t="str">
        <f t="shared" si="114"/>
        <v/>
      </c>
      <c r="H5825" s="23"/>
      <c r="I5825" s="24"/>
      <c r="J5825" s="138">
        <v>0</v>
      </c>
    </row>
    <row r="5826" spans="1:10" ht="15.75" hidden="1" thickBot="1" x14ac:dyDescent="0.3">
      <c r="A5826" s="234"/>
      <c r="B5826" s="223"/>
      <c r="C5826" s="152"/>
      <c r="D5826" s="26"/>
      <c r="E5826" s="153"/>
      <c r="F5826" s="48" t="s">
        <v>521</v>
      </c>
      <c r="G5826" s="48" t="str">
        <f t="shared" si="114"/>
        <v/>
      </c>
      <c r="H5826" s="67"/>
      <c r="I5826" s="68"/>
      <c r="J5826" s="138">
        <v>0</v>
      </c>
    </row>
    <row r="5827" spans="1:10" ht="39" hidden="1" thickBot="1" x14ac:dyDescent="0.3">
      <c r="A5827" s="234"/>
      <c r="B5827" s="223"/>
      <c r="C5827" s="30" t="s">
        <v>1648</v>
      </c>
      <c r="D5827" s="30" t="s">
        <v>20</v>
      </c>
      <c r="E5827" s="146">
        <v>1</v>
      </c>
      <c r="F5827" s="25">
        <v>23.436499999999999</v>
      </c>
      <c r="G5827" s="48">
        <f t="shared" si="114"/>
        <v>23.436499999999999</v>
      </c>
      <c r="H5827" s="33">
        <f>SUM(G5827:G5827)</f>
        <v>23.436499999999999</v>
      </c>
      <c r="I5827" s="34"/>
      <c r="J5827" s="138">
        <v>0</v>
      </c>
    </row>
    <row r="5828" spans="1:10" ht="15.75" hidden="1" thickBot="1" x14ac:dyDescent="0.3">
      <c r="A5828" s="235"/>
      <c r="B5828" s="224"/>
      <c r="C5828" s="49"/>
      <c r="D5828" s="148"/>
      <c r="E5828" s="60"/>
      <c r="F5828" s="70" t="s">
        <v>521</v>
      </c>
      <c r="G5828" s="70" t="str">
        <f t="shared" si="114"/>
        <v/>
      </c>
      <c r="H5828" s="71"/>
      <c r="I5828" s="68"/>
      <c r="J5828" s="138">
        <v>0</v>
      </c>
    </row>
    <row r="5829" spans="1:10" ht="15.75" hidden="1" thickBot="1" x14ac:dyDescent="0.3">
      <c r="A5829" s="228" t="s">
        <v>2072</v>
      </c>
      <c r="B5829" s="222" t="e">
        <f>INDEX(Orçamentária!A:B,MATCH(Composições!A5829,Orçamentária!A:A,0),2)</f>
        <v>#N/A</v>
      </c>
      <c r="C5829" s="35"/>
      <c r="D5829" s="20" t="s">
        <v>20</v>
      </c>
      <c r="E5829" s="21"/>
      <c r="F5829" s="43" t="s">
        <v>521</v>
      </c>
      <c r="G5829" s="22" t="str">
        <f t="shared" si="114"/>
        <v/>
      </c>
      <c r="H5829" s="23"/>
      <c r="I5829" s="24"/>
      <c r="J5829" s="138">
        <v>0</v>
      </c>
    </row>
    <row r="5830" spans="1:10" ht="15.75" hidden="1" thickBot="1" x14ac:dyDescent="0.3">
      <c r="A5830" s="234"/>
      <c r="B5830" s="223"/>
      <c r="C5830" s="152"/>
      <c r="D5830" s="26"/>
      <c r="E5830" s="153"/>
      <c r="F5830" s="48" t="s">
        <v>521</v>
      </c>
      <c r="G5830" s="48" t="str">
        <f t="shared" si="114"/>
        <v/>
      </c>
      <c r="H5830" s="67"/>
      <c r="I5830" s="68"/>
      <c r="J5830" s="138">
        <v>0</v>
      </c>
    </row>
    <row r="5831" spans="1:10" ht="26.25" hidden="1" thickBot="1" x14ac:dyDescent="0.3">
      <c r="A5831" s="234"/>
      <c r="B5831" s="223"/>
      <c r="C5831" s="30" t="s">
        <v>1710</v>
      </c>
      <c r="D5831" s="30" t="s">
        <v>20</v>
      </c>
      <c r="E5831" s="146">
        <v>1</v>
      </c>
      <c r="F5831" s="25">
        <v>7.2579999999999991</v>
      </c>
      <c r="G5831" s="48">
        <f t="shared" si="114"/>
        <v>7.2579999999999991</v>
      </c>
      <c r="H5831" s="33">
        <f>SUM(G5831:G5831)</f>
        <v>7.2579999999999991</v>
      </c>
      <c r="I5831" s="34"/>
      <c r="J5831" s="138">
        <v>0</v>
      </c>
    </row>
    <row r="5832" spans="1:10" ht="15.75" hidden="1" thickBot="1" x14ac:dyDescent="0.3">
      <c r="A5832" s="235"/>
      <c r="B5832" s="224"/>
      <c r="C5832" s="49"/>
      <c r="D5832" s="148"/>
      <c r="E5832" s="60"/>
      <c r="F5832" s="70" t="s">
        <v>521</v>
      </c>
      <c r="G5832" s="70" t="str">
        <f t="shared" si="114"/>
        <v/>
      </c>
      <c r="H5832" s="71"/>
      <c r="I5832" s="68"/>
      <c r="J5832" s="138">
        <v>0</v>
      </c>
    </row>
    <row r="5833" spans="1:10" ht="15.75" hidden="1" thickBot="1" x14ac:dyDescent="0.3">
      <c r="A5833" s="228" t="s">
        <v>2073</v>
      </c>
      <c r="B5833" s="222" t="e">
        <f>INDEX(Orçamentária!A:B,MATCH(Composições!A5705,Orçamentária!A:A,0),2)</f>
        <v>#N/A</v>
      </c>
      <c r="C5833" s="35"/>
      <c r="D5833" s="20" t="s">
        <v>20</v>
      </c>
      <c r="E5833" s="21"/>
      <c r="F5833" s="43" t="s">
        <v>521</v>
      </c>
      <c r="G5833" s="22" t="str">
        <f t="shared" si="114"/>
        <v/>
      </c>
      <c r="H5833" s="23"/>
      <c r="I5833" s="24"/>
      <c r="J5833" s="138">
        <v>0</v>
      </c>
    </row>
    <row r="5834" spans="1:10" ht="15.75" hidden="1" thickBot="1" x14ac:dyDescent="0.3">
      <c r="A5834" s="234"/>
      <c r="B5834" s="223"/>
      <c r="C5834" s="152"/>
      <c r="D5834" s="26"/>
      <c r="E5834" s="153"/>
      <c r="F5834" s="48" t="s">
        <v>521</v>
      </c>
      <c r="G5834" s="48" t="str">
        <f t="shared" si="114"/>
        <v/>
      </c>
      <c r="H5834" s="67"/>
      <c r="I5834" s="68"/>
      <c r="J5834" s="138">
        <v>0</v>
      </c>
    </row>
    <row r="5835" spans="1:10" ht="26.25" hidden="1" thickBot="1" x14ac:dyDescent="0.3">
      <c r="A5835" s="234"/>
      <c r="B5835" s="223"/>
      <c r="C5835" s="30" t="s">
        <v>1674</v>
      </c>
      <c r="D5835" s="30" t="s">
        <v>20</v>
      </c>
      <c r="E5835" s="146">
        <v>1</v>
      </c>
      <c r="F5835" s="25">
        <v>24.348499999999998</v>
      </c>
      <c r="G5835" s="48">
        <f t="shared" si="114"/>
        <v>24.348499999999998</v>
      </c>
      <c r="H5835" s="33">
        <f>SUM(G5835:G5835)</f>
        <v>24.348499999999998</v>
      </c>
      <c r="I5835" s="34"/>
      <c r="J5835" s="138">
        <v>0</v>
      </c>
    </row>
    <row r="5836" spans="1:10" ht="15.75" hidden="1" thickBot="1" x14ac:dyDescent="0.3">
      <c r="A5836" s="235"/>
      <c r="B5836" s="224"/>
      <c r="C5836" s="49"/>
      <c r="D5836" s="148"/>
      <c r="E5836" s="60"/>
      <c r="F5836" s="70" t="s">
        <v>521</v>
      </c>
      <c r="G5836" s="70" t="str">
        <f t="shared" si="114"/>
        <v/>
      </c>
      <c r="H5836" s="71"/>
      <c r="I5836" s="68"/>
      <c r="J5836" s="138">
        <v>0</v>
      </c>
    </row>
    <row r="5837" spans="1:10" ht="15.75" hidden="1" thickBot="1" x14ac:dyDescent="0.3">
      <c r="A5837" s="228" t="s">
        <v>2074</v>
      </c>
      <c r="B5837" s="222" t="e">
        <f>INDEX(Orçamentária!A:B,MATCH(Composições!A5837,Orçamentária!A:A,0),2)</f>
        <v>#N/A</v>
      </c>
      <c r="C5837" s="35"/>
      <c r="D5837" s="20" t="s">
        <v>20</v>
      </c>
      <c r="E5837" s="21"/>
      <c r="F5837" s="43" t="s">
        <v>521</v>
      </c>
      <c r="G5837" s="22" t="str">
        <f t="shared" si="114"/>
        <v/>
      </c>
      <c r="H5837" s="23"/>
      <c r="I5837" s="24"/>
      <c r="J5837" s="138">
        <v>0</v>
      </c>
    </row>
    <row r="5838" spans="1:10" ht="15.75" hidden="1" thickBot="1" x14ac:dyDescent="0.3">
      <c r="A5838" s="234"/>
      <c r="B5838" s="223"/>
      <c r="C5838" s="152"/>
      <c r="D5838" s="26"/>
      <c r="E5838" s="153"/>
      <c r="F5838" s="48" t="s">
        <v>521</v>
      </c>
      <c r="G5838" s="48" t="str">
        <f t="shared" si="114"/>
        <v/>
      </c>
      <c r="H5838" s="67"/>
      <c r="I5838" s="68"/>
      <c r="J5838" s="138">
        <v>0</v>
      </c>
    </row>
    <row r="5839" spans="1:10" ht="39" hidden="1" thickBot="1" x14ac:dyDescent="0.3">
      <c r="A5839" s="234"/>
      <c r="B5839" s="223"/>
      <c r="C5839" s="30" t="s">
        <v>1659</v>
      </c>
      <c r="D5839" s="30" t="s">
        <v>20</v>
      </c>
      <c r="E5839" s="146">
        <v>1</v>
      </c>
      <c r="F5839" s="25">
        <v>9.3004999999999995</v>
      </c>
      <c r="G5839" s="48">
        <f t="shared" si="114"/>
        <v>9.3004999999999995</v>
      </c>
      <c r="H5839" s="33">
        <f>SUM(G5839:G5839)</f>
        <v>9.3004999999999995</v>
      </c>
      <c r="I5839" s="34"/>
      <c r="J5839" s="138">
        <v>0</v>
      </c>
    </row>
    <row r="5840" spans="1:10" ht="15.75" hidden="1" thickBot="1" x14ac:dyDescent="0.3">
      <c r="A5840" s="235"/>
      <c r="B5840" s="224"/>
      <c r="C5840" s="49"/>
      <c r="D5840" s="148"/>
      <c r="E5840" s="60"/>
      <c r="F5840" s="70" t="s">
        <v>521</v>
      </c>
      <c r="G5840" s="70" t="str">
        <f t="shared" si="114"/>
        <v/>
      </c>
      <c r="H5840" s="71"/>
      <c r="I5840" s="68"/>
      <c r="J5840" s="138">
        <v>0</v>
      </c>
    </row>
    <row r="5841" spans="1:10" ht="15.75" hidden="1" thickBot="1" x14ac:dyDescent="0.3">
      <c r="A5841" s="228" t="s">
        <v>2075</v>
      </c>
      <c r="B5841" s="222" t="e">
        <f>INDEX(Orçamentária!A:B,MATCH(Composições!A5841,Orçamentária!A:A,0),2)</f>
        <v>#N/A</v>
      </c>
      <c r="C5841" s="35"/>
      <c r="D5841" s="20" t="s">
        <v>20</v>
      </c>
      <c r="E5841" s="21"/>
      <c r="F5841" s="43" t="s">
        <v>521</v>
      </c>
      <c r="G5841" s="22" t="str">
        <f t="shared" si="114"/>
        <v/>
      </c>
      <c r="H5841" s="23"/>
      <c r="I5841" s="24"/>
      <c r="J5841" s="138">
        <v>0</v>
      </c>
    </row>
    <row r="5842" spans="1:10" ht="15.75" hidden="1" thickBot="1" x14ac:dyDescent="0.3">
      <c r="A5842" s="234"/>
      <c r="B5842" s="223"/>
      <c r="C5842" s="152"/>
      <c r="D5842" s="26"/>
      <c r="E5842" s="153"/>
      <c r="F5842" s="48" t="s">
        <v>521</v>
      </c>
      <c r="G5842" s="48" t="str">
        <f t="shared" si="114"/>
        <v/>
      </c>
      <c r="H5842" s="67"/>
      <c r="I5842" s="68"/>
      <c r="J5842" s="138">
        <v>0</v>
      </c>
    </row>
    <row r="5843" spans="1:10" ht="39" hidden="1" thickBot="1" x14ac:dyDescent="0.3">
      <c r="A5843" s="234"/>
      <c r="B5843" s="223"/>
      <c r="C5843" s="30" t="s">
        <v>1652</v>
      </c>
      <c r="D5843" s="30" t="s">
        <v>20</v>
      </c>
      <c r="E5843" s="146">
        <v>1</v>
      </c>
      <c r="F5843" s="25">
        <v>47.490499999999997</v>
      </c>
      <c r="G5843" s="48">
        <f t="shared" si="114"/>
        <v>47.490499999999997</v>
      </c>
      <c r="H5843" s="33">
        <f>SUM(G5843:G5843)</f>
        <v>47.490499999999997</v>
      </c>
      <c r="I5843" s="34"/>
      <c r="J5843" s="138">
        <v>0</v>
      </c>
    </row>
    <row r="5844" spans="1:10" ht="15.75" hidden="1" thickBot="1" x14ac:dyDescent="0.3">
      <c r="A5844" s="235"/>
      <c r="B5844" s="224"/>
      <c r="C5844" s="49"/>
      <c r="D5844" s="148"/>
      <c r="E5844" s="60"/>
      <c r="F5844" s="70" t="s">
        <v>521</v>
      </c>
      <c r="G5844" s="70" t="str">
        <f t="shared" si="114"/>
        <v/>
      </c>
      <c r="H5844" s="71"/>
      <c r="I5844" s="68"/>
      <c r="J5844" s="138">
        <v>0</v>
      </c>
    </row>
    <row r="5845" spans="1:10" ht="15.75" hidden="1" thickBot="1" x14ac:dyDescent="0.3">
      <c r="A5845" s="228" t="s">
        <v>2076</v>
      </c>
      <c r="B5845" s="222" t="e">
        <f>INDEX(Orçamentária!A:B,MATCH(Composições!A5845,Orçamentária!A:A,0),2)</f>
        <v>#N/A</v>
      </c>
      <c r="C5845" s="35"/>
      <c r="D5845" s="20" t="s">
        <v>20</v>
      </c>
      <c r="E5845" s="21"/>
      <c r="F5845" s="43" t="s">
        <v>521</v>
      </c>
      <c r="G5845" s="22" t="str">
        <f t="shared" si="114"/>
        <v/>
      </c>
      <c r="H5845" s="23"/>
      <c r="I5845" s="24"/>
      <c r="J5845" s="138">
        <v>0</v>
      </c>
    </row>
    <row r="5846" spans="1:10" ht="15.75" hidden="1" thickBot="1" x14ac:dyDescent="0.3">
      <c r="A5846" s="234"/>
      <c r="B5846" s="223"/>
      <c r="C5846" s="152"/>
      <c r="D5846" s="26"/>
      <c r="E5846" s="153"/>
      <c r="F5846" s="48" t="s">
        <v>521</v>
      </c>
      <c r="G5846" s="48" t="str">
        <f t="shared" si="114"/>
        <v/>
      </c>
      <c r="H5846" s="67"/>
      <c r="I5846" s="68"/>
      <c r="J5846" s="138">
        <v>0</v>
      </c>
    </row>
    <row r="5847" spans="1:10" ht="26.25" hidden="1" thickBot="1" x14ac:dyDescent="0.3">
      <c r="A5847" s="234"/>
      <c r="B5847" s="223"/>
      <c r="C5847" s="30" t="s">
        <v>1711</v>
      </c>
      <c r="D5847" s="30" t="s">
        <v>20</v>
      </c>
      <c r="E5847" s="146">
        <v>1</v>
      </c>
      <c r="F5847" s="25">
        <v>10.1175</v>
      </c>
      <c r="G5847" s="48">
        <f t="shared" si="114"/>
        <v>10.1175</v>
      </c>
      <c r="H5847" s="33">
        <f>SUM(G5847:G5847)</f>
        <v>10.1175</v>
      </c>
      <c r="I5847" s="34"/>
      <c r="J5847" s="138">
        <v>0</v>
      </c>
    </row>
    <row r="5848" spans="1:10" ht="15.75" hidden="1" thickBot="1" x14ac:dyDescent="0.3">
      <c r="A5848" s="235"/>
      <c r="B5848" s="224"/>
      <c r="C5848" s="49"/>
      <c r="D5848" s="148"/>
      <c r="E5848" s="60"/>
      <c r="F5848" s="70" t="s">
        <v>521</v>
      </c>
      <c r="G5848" s="70" t="str">
        <f t="shared" si="114"/>
        <v/>
      </c>
      <c r="H5848" s="71"/>
      <c r="I5848" s="68"/>
      <c r="J5848" s="138">
        <v>0</v>
      </c>
    </row>
    <row r="5849" spans="1:10" ht="15.75" hidden="1" thickBot="1" x14ac:dyDescent="0.3">
      <c r="A5849" s="228" t="s">
        <v>2077</v>
      </c>
      <c r="B5849" s="222" t="e">
        <f>INDEX(Orçamentária!A:B,MATCH(Composições!A5849,Orçamentária!A:A,0),2)</f>
        <v>#N/A</v>
      </c>
      <c r="C5849" s="35"/>
      <c r="D5849" s="20" t="s">
        <v>20</v>
      </c>
      <c r="E5849" s="21"/>
      <c r="F5849" s="43" t="s">
        <v>521</v>
      </c>
      <c r="G5849" s="22" t="str">
        <f t="shared" si="114"/>
        <v/>
      </c>
      <c r="H5849" s="23"/>
      <c r="I5849" s="24"/>
      <c r="J5849" s="138">
        <v>0</v>
      </c>
    </row>
    <row r="5850" spans="1:10" ht="15.75" hidden="1" thickBot="1" x14ac:dyDescent="0.3">
      <c r="A5850" s="234"/>
      <c r="B5850" s="223"/>
      <c r="C5850" s="152"/>
      <c r="D5850" s="26"/>
      <c r="E5850" s="153"/>
      <c r="F5850" s="48" t="s">
        <v>521</v>
      </c>
      <c r="G5850" s="48" t="str">
        <f t="shared" si="114"/>
        <v/>
      </c>
      <c r="H5850" s="67"/>
      <c r="I5850" s="68"/>
      <c r="J5850" s="138">
        <v>0</v>
      </c>
    </row>
    <row r="5851" spans="1:10" ht="26.25" hidden="1" thickBot="1" x14ac:dyDescent="0.3">
      <c r="A5851" s="234"/>
      <c r="B5851" s="223"/>
      <c r="C5851" s="30" t="s">
        <v>1675</v>
      </c>
      <c r="D5851" s="30" t="s">
        <v>20</v>
      </c>
      <c r="E5851" s="146">
        <v>1</v>
      </c>
      <c r="F5851" s="25">
        <v>35.7485</v>
      </c>
      <c r="G5851" s="48">
        <f t="shared" si="114"/>
        <v>35.7485</v>
      </c>
      <c r="H5851" s="33">
        <f>SUM(G5851:G5851)</f>
        <v>35.7485</v>
      </c>
      <c r="I5851" s="34"/>
      <c r="J5851" s="138">
        <v>0</v>
      </c>
    </row>
    <row r="5852" spans="1:10" ht="15.75" hidden="1" thickBot="1" x14ac:dyDescent="0.3">
      <c r="A5852" s="235"/>
      <c r="B5852" s="224"/>
      <c r="C5852" s="49"/>
      <c r="D5852" s="148"/>
      <c r="E5852" s="60"/>
      <c r="F5852" s="70" t="s">
        <v>521</v>
      </c>
      <c r="G5852" s="70" t="str">
        <f t="shared" si="114"/>
        <v/>
      </c>
      <c r="H5852" s="71"/>
      <c r="I5852" s="68"/>
      <c r="J5852" s="138">
        <v>0</v>
      </c>
    </row>
    <row r="5853" spans="1:10" ht="15.75" hidden="1" thickBot="1" x14ac:dyDescent="0.3">
      <c r="A5853" s="228" t="s">
        <v>2078</v>
      </c>
      <c r="B5853" s="222" t="e">
        <f>INDEX(Orçamentária!A:B,MATCH(Composições!A5853,Orçamentária!A:A,0),2)</f>
        <v>#N/A</v>
      </c>
      <c r="C5853" s="35"/>
      <c r="D5853" s="20" t="s">
        <v>20</v>
      </c>
      <c r="E5853" s="21"/>
      <c r="F5853" s="43" t="s">
        <v>521</v>
      </c>
      <c r="G5853" s="22" t="str">
        <f t="shared" si="114"/>
        <v/>
      </c>
      <c r="H5853" s="23"/>
      <c r="I5853" s="24"/>
      <c r="J5853" s="138">
        <v>0</v>
      </c>
    </row>
    <row r="5854" spans="1:10" ht="15.75" hidden="1" thickBot="1" x14ac:dyDescent="0.3">
      <c r="A5854" s="234"/>
      <c r="B5854" s="223"/>
      <c r="C5854" s="152"/>
      <c r="D5854" s="26"/>
      <c r="E5854" s="153"/>
      <c r="F5854" s="48" t="s">
        <v>521</v>
      </c>
      <c r="G5854" s="48" t="str">
        <f t="shared" si="114"/>
        <v/>
      </c>
      <c r="H5854" s="67"/>
      <c r="I5854" s="68"/>
      <c r="J5854" s="138">
        <v>0</v>
      </c>
    </row>
    <row r="5855" spans="1:10" ht="39" hidden="1" thickBot="1" x14ac:dyDescent="0.3">
      <c r="A5855" s="234"/>
      <c r="B5855" s="223"/>
      <c r="C5855" s="30" t="s">
        <v>1651</v>
      </c>
      <c r="D5855" s="30" t="s">
        <v>20</v>
      </c>
      <c r="E5855" s="146">
        <v>1</v>
      </c>
      <c r="F5855" s="25">
        <v>111.568</v>
      </c>
      <c r="G5855" s="48">
        <f t="shared" si="114"/>
        <v>111.568</v>
      </c>
      <c r="H5855" s="33">
        <f>SUM(G5855:G5855)</f>
        <v>111.568</v>
      </c>
      <c r="I5855" s="34"/>
      <c r="J5855" s="138">
        <v>0</v>
      </c>
    </row>
    <row r="5856" spans="1:10" ht="15.75" hidden="1" thickBot="1" x14ac:dyDescent="0.3">
      <c r="A5856" s="235"/>
      <c r="B5856" s="224"/>
      <c r="C5856" s="49"/>
      <c r="D5856" s="148"/>
      <c r="E5856" s="60"/>
      <c r="F5856" s="70" t="s">
        <v>521</v>
      </c>
      <c r="G5856" s="70" t="str">
        <f t="shared" si="114"/>
        <v/>
      </c>
      <c r="H5856" s="71"/>
      <c r="I5856" s="68"/>
      <c r="J5856" s="138">
        <v>0</v>
      </c>
    </row>
    <row r="5857" spans="1:10" ht="15.75" hidden="1" thickBot="1" x14ac:dyDescent="0.3">
      <c r="A5857" s="228" t="s">
        <v>2079</v>
      </c>
      <c r="B5857" s="222" t="e">
        <f>INDEX(Orçamentária!A:B,MATCH(Composições!A5857,Orçamentária!A:A,0),2)</f>
        <v>#N/A</v>
      </c>
      <c r="C5857" s="35"/>
      <c r="D5857" s="20" t="s">
        <v>20</v>
      </c>
      <c r="E5857" s="21"/>
      <c r="F5857" s="43" t="s">
        <v>521</v>
      </c>
      <c r="G5857" s="22" t="str">
        <f t="shared" si="114"/>
        <v/>
      </c>
      <c r="H5857" s="23"/>
      <c r="I5857" s="24"/>
      <c r="J5857" s="138">
        <v>0</v>
      </c>
    </row>
    <row r="5858" spans="1:10" ht="15.75" hidden="1" thickBot="1" x14ac:dyDescent="0.3">
      <c r="A5858" s="234"/>
      <c r="B5858" s="223"/>
      <c r="C5858" s="152"/>
      <c r="D5858" s="26"/>
      <c r="E5858" s="153"/>
      <c r="F5858" s="48" t="s">
        <v>521</v>
      </c>
      <c r="G5858" s="48" t="str">
        <f t="shared" si="114"/>
        <v/>
      </c>
      <c r="H5858" s="67"/>
      <c r="I5858" s="68"/>
      <c r="J5858" s="138">
        <v>0</v>
      </c>
    </row>
    <row r="5859" spans="1:10" ht="26.25" hidden="1" thickBot="1" x14ac:dyDescent="0.3">
      <c r="A5859" s="234"/>
      <c r="B5859" s="223"/>
      <c r="C5859" s="30" t="s">
        <v>1712</v>
      </c>
      <c r="D5859" s="30" t="s">
        <v>20</v>
      </c>
      <c r="E5859" s="146">
        <v>1</v>
      </c>
      <c r="F5859" s="25">
        <v>14.772500000000001</v>
      </c>
      <c r="G5859" s="48">
        <f t="shared" si="114"/>
        <v>14.772500000000001</v>
      </c>
      <c r="H5859" s="33">
        <f>SUM(G5859:G5859)</f>
        <v>14.772500000000001</v>
      </c>
      <c r="I5859" s="34"/>
      <c r="J5859" s="138">
        <v>0</v>
      </c>
    </row>
    <row r="5860" spans="1:10" ht="15.75" hidden="1" thickBot="1" x14ac:dyDescent="0.3">
      <c r="A5860" s="235"/>
      <c r="B5860" s="224"/>
      <c r="C5860" s="49"/>
      <c r="D5860" s="148"/>
      <c r="E5860" s="60"/>
      <c r="F5860" s="70" t="s">
        <v>521</v>
      </c>
      <c r="G5860" s="70" t="str">
        <f t="shared" si="114"/>
        <v/>
      </c>
      <c r="H5860" s="71"/>
      <c r="I5860" s="68"/>
      <c r="J5860" s="138">
        <v>0</v>
      </c>
    </row>
    <row r="5861" spans="1:10" ht="15.75" hidden="1" thickBot="1" x14ac:dyDescent="0.3">
      <c r="A5861" s="228" t="s">
        <v>2080</v>
      </c>
      <c r="B5861" s="222" t="e">
        <f>INDEX(Orçamentária!A:B,MATCH(Composições!A5861,Orçamentária!A:A,0),2)</f>
        <v>#N/A</v>
      </c>
      <c r="C5861" s="35"/>
      <c r="D5861" s="20" t="s">
        <v>20</v>
      </c>
      <c r="E5861" s="21"/>
      <c r="F5861" s="43" t="s">
        <v>521</v>
      </c>
      <c r="G5861" s="22" t="str">
        <f t="shared" si="114"/>
        <v/>
      </c>
      <c r="H5861" s="23"/>
      <c r="I5861" s="24"/>
      <c r="J5861" s="138">
        <v>0</v>
      </c>
    </row>
    <row r="5862" spans="1:10" ht="15.75" hidden="1" thickBot="1" x14ac:dyDescent="0.3">
      <c r="A5862" s="234"/>
      <c r="B5862" s="223"/>
      <c r="C5862" s="152"/>
      <c r="D5862" s="26"/>
      <c r="E5862" s="153"/>
      <c r="F5862" s="48" t="s">
        <v>521</v>
      </c>
      <c r="G5862" s="48" t="str">
        <f t="shared" si="114"/>
        <v/>
      </c>
      <c r="H5862" s="67"/>
      <c r="I5862" s="68"/>
      <c r="J5862" s="138">
        <v>0</v>
      </c>
    </row>
    <row r="5863" spans="1:10" ht="26.25" hidden="1" thickBot="1" x14ac:dyDescent="0.3">
      <c r="A5863" s="234"/>
      <c r="B5863" s="223"/>
      <c r="C5863" s="30" t="s">
        <v>1676</v>
      </c>
      <c r="D5863" s="30" t="s">
        <v>20</v>
      </c>
      <c r="E5863" s="146">
        <v>1</v>
      </c>
      <c r="F5863" s="25">
        <v>90.525500000000008</v>
      </c>
      <c r="G5863" s="48">
        <f t="shared" si="114"/>
        <v>90.525500000000008</v>
      </c>
      <c r="H5863" s="33">
        <f>SUM(G5863:G5863)</f>
        <v>90.525500000000008</v>
      </c>
      <c r="I5863" s="34"/>
      <c r="J5863" s="138">
        <v>0</v>
      </c>
    </row>
    <row r="5864" spans="1:10" ht="15.75" hidden="1" thickBot="1" x14ac:dyDescent="0.3">
      <c r="A5864" s="235"/>
      <c r="B5864" s="224"/>
      <c r="C5864" s="49"/>
      <c r="D5864" s="148"/>
      <c r="E5864" s="60"/>
      <c r="F5864" s="70" t="s">
        <v>521</v>
      </c>
      <c r="G5864" s="70" t="str">
        <f t="shared" si="114"/>
        <v/>
      </c>
      <c r="H5864" s="71"/>
      <c r="I5864" s="68"/>
      <c r="J5864" s="138">
        <v>0</v>
      </c>
    </row>
    <row r="5865" spans="1:10" ht="15.75" hidden="1" thickBot="1" x14ac:dyDescent="0.3">
      <c r="A5865" s="228" t="s">
        <v>2081</v>
      </c>
      <c r="B5865" s="222" t="e">
        <f>INDEX(Orçamentária!A:B,MATCH(Composições!A5865,Orçamentária!A:A,0),2)</f>
        <v>#N/A</v>
      </c>
      <c r="C5865" s="35"/>
      <c r="D5865" s="20" t="s">
        <v>20</v>
      </c>
      <c r="E5865" s="21"/>
      <c r="F5865" s="43" t="s">
        <v>521</v>
      </c>
      <c r="G5865" s="22" t="str">
        <f t="shared" si="114"/>
        <v/>
      </c>
      <c r="H5865" s="23"/>
      <c r="I5865" s="24"/>
      <c r="J5865" s="138">
        <v>0</v>
      </c>
    </row>
    <row r="5866" spans="1:10" ht="15.75" hidden="1" thickBot="1" x14ac:dyDescent="0.3">
      <c r="A5866" s="234"/>
      <c r="B5866" s="223"/>
      <c r="C5866" s="152"/>
      <c r="D5866" s="26"/>
      <c r="E5866" s="153"/>
      <c r="F5866" s="48" t="s">
        <v>521</v>
      </c>
      <c r="G5866" s="48" t="str">
        <f t="shared" si="114"/>
        <v/>
      </c>
      <c r="H5866" s="67"/>
      <c r="I5866" s="68"/>
      <c r="J5866" s="138">
        <v>0</v>
      </c>
    </row>
    <row r="5867" spans="1:10" ht="39" hidden="1" thickBot="1" x14ac:dyDescent="0.3">
      <c r="A5867" s="234"/>
      <c r="B5867" s="223"/>
      <c r="C5867" s="30" t="s">
        <v>1661</v>
      </c>
      <c r="D5867" s="30" t="s">
        <v>20</v>
      </c>
      <c r="E5867" s="146">
        <v>1</v>
      </c>
      <c r="F5867" s="25">
        <v>30.666</v>
      </c>
      <c r="G5867" s="48">
        <f t="shared" si="114"/>
        <v>30.666</v>
      </c>
      <c r="H5867" s="33">
        <f>SUM(G5867:G5867)</f>
        <v>30.666</v>
      </c>
      <c r="I5867" s="34"/>
      <c r="J5867" s="138">
        <v>0</v>
      </c>
    </row>
    <row r="5868" spans="1:10" ht="15.75" hidden="1" thickBot="1" x14ac:dyDescent="0.3">
      <c r="A5868" s="235"/>
      <c r="B5868" s="224"/>
      <c r="C5868" s="49"/>
      <c r="D5868" s="148"/>
      <c r="E5868" s="60"/>
      <c r="F5868" s="70" t="s">
        <v>521</v>
      </c>
      <c r="G5868" s="70" t="str">
        <f t="shared" si="114"/>
        <v/>
      </c>
      <c r="H5868" s="71"/>
      <c r="I5868" s="68"/>
      <c r="J5868" s="138">
        <v>0</v>
      </c>
    </row>
    <row r="5869" spans="1:10" ht="15.75" hidden="1" thickBot="1" x14ac:dyDescent="0.3">
      <c r="A5869" s="228" t="s">
        <v>2082</v>
      </c>
      <c r="B5869" s="222" t="e">
        <f>INDEX(Orçamentária!A:B,MATCH(Composições!A5869,Orçamentária!A:A,0),2)</f>
        <v>#N/A</v>
      </c>
      <c r="C5869" s="35"/>
      <c r="D5869" s="20" t="s">
        <v>20</v>
      </c>
      <c r="E5869" s="21"/>
      <c r="F5869" s="43" t="s">
        <v>521</v>
      </c>
      <c r="G5869" s="22" t="str">
        <f t="shared" si="114"/>
        <v/>
      </c>
      <c r="H5869" s="23"/>
      <c r="I5869" s="24"/>
      <c r="J5869" s="138">
        <v>0</v>
      </c>
    </row>
    <row r="5870" spans="1:10" ht="15.75" hidden="1" thickBot="1" x14ac:dyDescent="0.3">
      <c r="A5870" s="234"/>
      <c r="B5870" s="223"/>
      <c r="C5870" s="152"/>
      <c r="D5870" s="26"/>
      <c r="E5870" s="153"/>
      <c r="F5870" s="48" t="s">
        <v>521</v>
      </c>
      <c r="G5870" s="48" t="str">
        <f t="shared" si="114"/>
        <v/>
      </c>
      <c r="H5870" s="67"/>
      <c r="I5870" s="68"/>
      <c r="J5870" s="138">
        <v>0</v>
      </c>
    </row>
    <row r="5871" spans="1:10" ht="39" hidden="1" thickBot="1" x14ac:dyDescent="0.3">
      <c r="A5871" s="234"/>
      <c r="B5871" s="223"/>
      <c r="C5871" s="30" t="s">
        <v>1654</v>
      </c>
      <c r="D5871" s="30" t="s">
        <v>20</v>
      </c>
      <c r="E5871" s="146">
        <v>1</v>
      </c>
      <c r="F5871" s="25">
        <v>134.52950000000001</v>
      </c>
      <c r="G5871" s="48">
        <f t="shared" si="114"/>
        <v>134.52950000000001</v>
      </c>
      <c r="H5871" s="33">
        <f>SUM(G5871:G5871)</f>
        <v>134.52950000000001</v>
      </c>
      <c r="I5871" s="34"/>
      <c r="J5871" s="138">
        <v>0</v>
      </c>
    </row>
    <row r="5872" spans="1:10" ht="15.75" hidden="1" thickBot="1" x14ac:dyDescent="0.3">
      <c r="A5872" s="235"/>
      <c r="B5872" s="224"/>
      <c r="C5872" s="49"/>
      <c r="D5872" s="148"/>
      <c r="E5872" s="60"/>
      <c r="F5872" s="70" t="s">
        <v>521</v>
      </c>
      <c r="G5872" s="70" t="str">
        <f t="shared" si="114"/>
        <v/>
      </c>
      <c r="H5872" s="71"/>
      <c r="I5872" s="68"/>
      <c r="J5872" s="138">
        <v>0</v>
      </c>
    </row>
    <row r="5873" spans="1:10" ht="15.75" hidden="1" thickBot="1" x14ac:dyDescent="0.3">
      <c r="A5873" s="228" t="s">
        <v>2083</v>
      </c>
      <c r="B5873" s="222" t="e">
        <f>INDEX(Orçamentária!A:B,MATCH(Composições!A5873,Orçamentária!A:A,0),2)</f>
        <v>#N/A</v>
      </c>
      <c r="C5873" s="35"/>
      <c r="D5873" s="20" t="s">
        <v>20</v>
      </c>
      <c r="E5873" s="21"/>
      <c r="F5873" s="43" t="s">
        <v>521</v>
      </c>
      <c r="G5873" s="22" t="str">
        <f t="shared" si="114"/>
        <v/>
      </c>
      <c r="H5873" s="23"/>
      <c r="I5873" s="24"/>
      <c r="J5873" s="138">
        <v>0</v>
      </c>
    </row>
    <row r="5874" spans="1:10" ht="15.75" hidden="1" thickBot="1" x14ac:dyDescent="0.3">
      <c r="A5874" s="234"/>
      <c r="B5874" s="223"/>
      <c r="C5874" s="152"/>
      <c r="D5874" s="26"/>
      <c r="E5874" s="153"/>
      <c r="F5874" s="48" t="s">
        <v>521</v>
      </c>
      <c r="G5874" s="48" t="str">
        <f t="shared" si="114"/>
        <v/>
      </c>
      <c r="H5874" s="67"/>
      <c r="I5874" s="68"/>
      <c r="J5874" s="138">
        <v>0</v>
      </c>
    </row>
    <row r="5875" spans="1:10" ht="26.25" hidden="1" thickBot="1" x14ac:dyDescent="0.3">
      <c r="A5875" s="234"/>
      <c r="B5875" s="223"/>
      <c r="C5875" s="30" t="s">
        <v>1713</v>
      </c>
      <c r="D5875" s="30" t="s">
        <v>20</v>
      </c>
      <c r="E5875" s="146">
        <v>1</v>
      </c>
      <c r="F5875" s="25">
        <v>22.486499999999999</v>
      </c>
      <c r="G5875" s="48">
        <f t="shared" si="114"/>
        <v>22.486499999999999</v>
      </c>
      <c r="H5875" s="33">
        <f>SUM(G5875:G5875)</f>
        <v>22.486499999999999</v>
      </c>
      <c r="I5875" s="34"/>
      <c r="J5875" s="138">
        <v>0</v>
      </c>
    </row>
    <row r="5876" spans="1:10" ht="15.75" hidden="1" thickBot="1" x14ac:dyDescent="0.3">
      <c r="A5876" s="235"/>
      <c r="B5876" s="224"/>
      <c r="C5876" s="49"/>
      <c r="D5876" s="148"/>
      <c r="E5876" s="60"/>
      <c r="F5876" s="70" t="s">
        <v>521</v>
      </c>
      <c r="G5876" s="70" t="str">
        <f t="shared" si="114"/>
        <v/>
      </c>
      <c r="H5876" s="71"/>
      <c r="I5876" s="68"/>
      <c r="J5876" s="138">
        <v>0</v>
      </c>
    </row>
    <row r="5877" spans="1:10" ht="15.75" hidden="1" thickBot="1" x14ac:dyDescent="0.3">
      <c r="A5877" s="228" t="s">
        <v>2084</v>
      </c>
      <c r="B5877" s="222" t="e">
        <f>INDEX(Orçamentária!A:B,MATCH(Composições!A5877,Orçamentária!A:A,0),2)</f>
        <v>#N/A</v>
      </c>
      <c r="C5877" s="35"/>
      <c r="D5877" s="20" t="s">
        <v>20</v>
      </c>
      <c r="E5877" s="21"/>
      <c r="F5877" s="43" t="s">
        <v>521</v>
      </c>
      <c r="G5877" s="22" t="str">
        <f t="shared" si="114"/>
        <v/>
      </c>
      <c r="H5877" s="23"/>
      <c r="I5877" s="24"/>
      <c r="J5877" s="138">
        <v>0</v>
      </c>
    </row>
    <row r="5878" spans="1:10" ht="15.75" hidden="1" thickBot="1" x14ac:dyDescent="0.3">
      <c r="A5878" s="234"/>
      <c r="B5878" s="223"/>
      <c r="C5878" s="152"/>
      <c r="D5878" s="26"/>
      <c r="E5878" s="153"/>
      <c r="F5878" s="48" t="s">
        <v>521</v>
      </c>
      <c r="G5878" s="48" t="str">
        <f t="shared" si="114"/>
        <v/>
      </c>
      <c r="H5878" s="67"/>
      <c r="I5878" s="68"/>
      <c r="J5878" s="138">
        <v>0</v>
      </c>
    </row>
    <row r="5879" spans="1:10" ht="26.25" hidden="1" thickBot="1" x14ac:dyDescent="0.3">
      <c r="A5879" s="234"/>
      <c r="B5879" s="223"/>
      <c r="C5879" s="30" t="s">
        <v>1677</v>
      </c>
      <c r="D5879" s="30" t="s">
        <v>20</v>
      </c>
      <c r="E5879" s="146">
        <v>1</v>
      </c>
      <c r="F5879" s="25">
        <v>118.84499999999998</v>
      </c>
      <c r="G5879" s="48">
        <f t="shared" si="114"/>
        <v>118.84499999999998</v>
      </c>
      <c r="H5879" s="33">
        <f>SUM(G5879:G5879)</f>
        <v>118.84499999999998</v>
      </c>
      <c r="I5879" s="34"/>
      <c r="J5879" s="138">
        <v>0</v>
      </c>
    </row>
    <row r="5880" spans="1:10" ht="15.75" hidden="1" thickBot="1" x14ac:dyDescent="0.3">
      <c r="A5880" s="235"/>
      <c r="B5880" s="224"/>
      <c r="C5880" s="49"/>
      <c r="D5880" s="148"/>
      <c r="E5880" s="60"/>
      <c r="F5880" s="70" t="s">
        <v>521</v>
      </c>
      <c r="G5880" s="70" t="str">
        <f t="shared" si="114"/>
        <v/>
      </c>
      <c r="H5880" s="71"/>
      <c r="I5880" s="68"/>
      <c r="J5880" s="138">
        <v>0</v>
      </c>
    </row>
    <row r="5881" spans="1:10" ht="15.75" hidden="1" thickBot="1" x14ac:dyDescent="0.3">
      <c r="A5881" s="228" t="s">
        <v>2085</v>
      </c>
      <c r="B5881" s="222" t="e">
        <f>INDEX(Orçamentária!A:B,MATCH(Composições!A5881,Orçamentária!A:A,0),2)</f>
        <v>#N/A</v>
      </c>
      <c r="C5881" s="35"/>
      <c r="D5881" s="20" t="s">
        <v>20</v>
      </c>
      <c r="E5881" s="21"/>
      <c r="F5881" s="43" t="s">
        <v>521</v>
      </c>
      <c r="G5881" s="22" t="str">
        <f t="shared" si="114"/>
        <v/>
      </c>
      <c r="H5881" s="23"/>
      <c r="I5881" s="24"/>
      <c r="J5881" s="138">
        <v>0</v>
      </c>
    </row>
    <row r="5882" spans="1:10" ht="15.75" hidden="1" thickBot="1" x14ac:dyDescent="0.3">
      <c r="A5882" s="234"/>
      <c r="B5882" s="223"/>
      <c r="C5882" s="152"/>
      <c r="D5882" s="26"/>
      <c r="E5882" s="153"/>
      <c r="F5882" s="48" t="s">
        <v>521</v>
      </c>
      <c r="G5882" s="48" t="str">
        <f t="shared" si="114"/>
        <v/>
      </c>
      <c r="H5882" s="67"/>
      <c r="I5882" s="68"/>
      <c r="J5882" s="138">
        <v>0</v>
      </c>
    </row>
    <row r="5883" spans="1:10" ht="39" hidden="1" thickBot="1" x14ac:dyDescent="0.3">
      <c r="A5883" s="234"/>
      <c r="B5883" s="223"/>
      <c r="C5883" s="30" t="s">
        <v>1662</v>
      </c>
      <c r="D5883" s="30" t="s">
        <v>20</v>
      </c>
      <c r="E5883" s="146">
        <v>1</v>
      </c>
      <c r="F5883" s="25">
        <v>48.060499999999998</v>
      </c>
      <c r="G5883" s="48">
        <f t="shared" si="114"/>
        <v>48.060499999999998</v>
      </c>
      <c r="H5883" s="33">
        <f>SUM(G5883:G5883)</f>
        <v>48.060499999999998</v>
      </c>
      <c r="I5883" s="34"/>
      <c r="J5883" s="138">
        <v>0</v>
      </c>
    </row>
    <row r="5884" spans="1:10" ht="15.75" hidden="1" thickBot="1" x14ac:dyDescent="0.3">
      <c r="A5884" s="235"/>
      <c r="B5884" s="224"/>
      <c r="C5884" s="49"/>
      <c r="D5884" s="148"/>
      <c r="E5884" s="60"/>
      <c r="F5884" s="70" t="s">
        <v>521</v>
      </c>
      <c r="G5884" s="70" t="str">
        <f t="shared" si="114"/>
        <v/>
      </c>
      <c r="H5884" s="71"/>
      <c r="I5884" s="68"/>
      <c r="J5884" s="138">
        <v>0</v>
      </c>
    </row>
    <row r="5885" spans="1:10" ht="15.75" hidden="1" thickBot="1" x14ac:dyDescent="0.3">
      <c r="A5885" s="228" t="s">
        <v>2086</v>
      </c>
      <c r="B5885" s="222" t="e">
        <f>INDEX(Orçamentária!A:B,MATCH(Composições!A5885,Orçamentária!A:A,0),2)</f>
        <v>#N/A</v>
      </c>
      <c r="C5885" s="35"/>
      <c r="D5885" s="20" t="s">
        <v>20</v>
      </c>
      <c r="E5885" s="21"/>
      <c r="F5885" s="43" t="s">
        <v>521</v>
      </c>
      <c r="G5885" s="22" t="str">
        <f t="shared" ref="G5885:G5948" si="115">IF(ISNUMBER(F5885),E5885*F5885,"")</f>
        <v/>
      </c>
      <c r="H5885" s="23"/>
      <c r="I5885" s="24"/>
      <c r="J5885" s="138">
        <v>0</v>
      </c>
    </row>
    <row r="5886" spans="1:10" ht="15.75" hidden="1" thickBot="1" x14ac:dyDescent="0.3">
      <c r="A5886" s="234"/>
      <c r="B5886" s="223"/>
      <c r="C5886" s="152"/>
      <c r="D5886" s="26"/>
      <c r="E5886" s="153"/>
      <c r="F5886" s="48" t="s">
        <v>521</v>
      </c>
      <c r="G5886" s="48" t="str">
        <f t="shared" si="115"/>
        <v/>
      </c>
      <c r="H5886" s="67"/>
      <c r="I5886" s="68"/>
      <c r="J5886" s="138">
        <v>0</v>
      </c>
    </row>
    <row r="5887" spans="1:10" ht="39" hidden="1" thickBot="1" x14ac:dyDescent="0.3">
      <c r="A5887" s="234"/>
      <c r="B5887" s="223"/>
      <c r="C5887" s="30" t="s">
        <v>1655</v>
      </c>
      <c r="D5887" s="30" t="s">
        <v>20</v>
      </c>
      <c r="E5887" s="146">
        <v>1</v>
      </c>
      <c r="F5887" s="25">
        <v>247.60799999999998</v>
      </c>
      <c r="G5887" s="48">
        <f t="shared" si="115"/>
        <v>247.60799999999998</v>
      </c>
      <c r="H5887" s="33">
        <f>SUM(G5887:G5887)</f>
        <v>247.60799999999998</v>
      </c>
      <c r="I5887" s="34"/>
      <c r="J5887" s="138">
        <v>0</v>
      </c>
    </row>
    <row r="5888" spans="1:10" ht="15.75" hidden="1" thickBot="1" x14ac:dyDescent="0.3">
      <c r="A5888" s="235"/>
      <c r="B5888" s="224"/>
      <c r="C5888" s="49"/>
      <c r="D5888" s="148"/>
      <c r="E5888" s="60"/>
      <c r="F5888" s="70" t="s">
        <v>521</v>
      </c>
      <c r="G5888" s="70" t="str">
        <f t="shared" si="115"/>
        <v/>
      </c>
      <c r="H5888" s="71"/>
      <c r="I5888" s="68"/>
      <c r="J5888" s="138">
        <v>0</v>
      </c>
    </row>
    <row r="5889" spans="1:10" ht="15.75" hidden="1" thickBot="1" x14ac:dyDescent="0.3">
      <c r="A5889" s="228" t="s">
        <v>2087</v>
      </c>
      <c r="B5889" s="222" t="e">
        <f>INDEX(Orçamentária!A:B,MATCH(Composições!A5889,Orçamentária!A:A,0),2)</f>
        <v>#N/A</v>
      </c>
      <c r="C5889" s="35"/>
      <c r="D5889" s="20" t="s">
        <v>20</v>
      </c>
      <c r="E5889" s="21"/>
      <c r="F5889" s="43" t="s">
        <v>521</v>
      </c>
      <c r="G5889" s="22" t="str">
        <f t="shared" si="115"/>
        <v/>
      </c>
      <c r="H5889" s="23"/>
      <c r="I5889" s="24"/>
      <c r="J5889" s="138">
        <v>0</v>
      </c>
    </row>
    <row r="5890" spans="1:10" ht="15.75" hidden="1" thickBot="1" x14ac:dyDescent="0.3">
      <c r="A5890" s="234"/>
      <c r="B5890" s="223"/>
      <c r="C5890" s="152"/>
      <c r="D5890" s="26"/>
      <c r="E5890" s="153"/>
      <c r="F5890" s="48" t="s">
        <v>521</v>
      </c>
      <c r="G5890" s="48" t="str">
        <f t="shared" si="115"/>
        <v/>
      </c>
      <c r="H5890" s="67"/>
      <c r="I5890" s="68"/>
      <c r="J5890" s="138">
        <v>0</v>
      </c>
    </row>
    <row r="5891" spans="1:10" ht="26.25" hidden="1" thickBot="1" x14ac:dyDescent="0.3">
      <c r="A5891" s="234"/>
      <c r="B5891" s="223"/>
      <c r="C5891" s="30" t="s">
        <v>1705</v>
      </c>
      <c r="D5891" s="30" t="s">
        <v>20</v>
      </c>
      <c r="E5891" s="146">
        <v>1</v>
      </c>
      <c r="F5891" s="25">
        <v>35.491999999999997</v>
      </c>
      <c r="G5891" s="48">
        <f t="shared" si="115"/>
        <v>35.491999999999997</v>
      </c>
      <c r="H5891" s="33">
        <f>SUM(G5891:G5891)</f>
        <v>35.491999999999997</v>
      </c>
      <c r="I5891" s="34"/>
      <c r="J5891" s="138">
        <v>0</v>
      </c>
    </row>
    <row r="5892" spans="1:10" ht="15.75" hidden="1" thickBot="1" x14ac:dyDescent="0.3">
      <c r="A5892" s="235"/>
      <c r="B5892" s="224"/>
      <c r="C5892" s="49"/>
      <c r="D5892" s="148"/>
      <c r="E5892" s="60"/>
      <c r="F5892" s="70" t="s">
        <v>521</v>
      </c>
      <c r="G5892" s="70" t="str">
        <f t="shared" si="115"/>
        <v/>
      </c>
      <c r="H5892" s="71"/>
      <c r="I5892" s="68"/>
      <c r="J5892" s="138">
        <v>0</v>
      </c>
    </row>
    <row r="5893" spans="1:10" ht="15.75" hidden="1" thickBot="1" x14ac:dyDescent="0.3">
      <c r="A5893" s="228" t="s">
        <v>2088</v>
      </c>
      <c r="B5893" s="222" t="e">
        <f>INDEX(Orçamentária!A:B,MATCH(Composições!A5893,Orçamentária!A:A,0),2)</f>
        <v>#N/A</v>
      </c>
      <c r="C5893" s="35"/>
      <c r="D5893" s="20" t="s">
        <v>20</v>
      </c>
      <c r="E5893" s="21"/>
      <c r="F5893" s="43" t="s">
        <v>521</v>
      </c>
      <c r="G5893" s="22" t="str">
        <f t="shared" si="115"/>
        <v/>
      </c>
      <c r="H5893" s="23"/>
      <c r="I5893" s="24"/>
      <c r="J5893" s="138">
        <v>0</v>
      </c>
    </row>
    <row r="5894" spans="1:10" ht="15.75" hidden="1" thickBot="1" x14ac:dyDescent="0.3">
      <c r="A5894" s="234"/>
      <c r="B5894" s="223"/>
      <c r="C5894" s="152"/>
      <c r="D5894" s="26"/>
      <c r="E5894" s="153"/>
      <c r="F5894" s="48" t="s">
        <v>521</v>
      </c>
      <c r="G5894" s="48" t="str">
        <f t="shared" si="115"/>
        <v/>
      </c>
      <c r="H5894" s="67"/>
      <c r="I5894" s="68"/>
      <c r="J5894" s="138">
        <v>0</v>
      </c>
    </row>
    <row r="5895" spans="1:10" ht="26.25" hidden="1" thickBot="1" x14ac:dyDescent="0.3">
      <c r="A5895" s="234"/>
      <c r="B5895" s="223"/>
      <c r="C5895" s="30" t="s">
        <v>1669</v>
      </c>
      <c r="D5895" s="30" t="s">
        <v>20</v>
      </c>
      <c r="E5895" s="146">
        <v>1</v>
      </c>
      <c r="F5895" s="25">
        <v>201.56149999999997</v>
      </c>
      <c r="G5895" s="48">
        <f t="shared" si="115"/>
        <v>201.56149999999997</v>
      </c>
      <c r="H5895" s="33">
        <f>SUM(G5895:G5895)</f>
        <v>201.56149999999997</v>
      </c>
      <c r="I5895" s="34"/>
      <c r="J5895" s="138">
        <v>0</v>
      </c>
    </row>
    <row r="5896" spans="1:10" ht="15.75" hidden="1" thickBot="1" x14ac:dyDescent="0.3">
      <c r="A5896" s="235"/>
      <c r="B5896" s="224"/>
      <c r="C5896" s="49"/>
      <c r="D5896" s="148"/>
      <c r="E5896" s="60"/>
      <c r="F5896" s="70" t="s">
        <v>521</v>
      </c>
      <c r="G5896" s="70" t="str">
        <f t="shared" si="115"/>
        <v/>
      </c>
      <c r="H5896" s="71"/>
      <c r="I5896" s="68"/>
      <c r="J5896" s="138">
        <v>0</v>
      </c>
    </row>
    <row r="5897" spans="1:10" ht="15.75" hidden="1" thickBot="1" x14ac:dyDescent="0.3">
      <c r="A5897" s="228" t="s">
        <v>2089</v>
      </c>
      <c r="B5897" s="222" t="e">
        <f>INDEX(Orçamentária!A:B,MATCH(Composições!A5897,Orçamentária!A:A,0),2)</f>
        <v>#N/A</v>
      </c>
      <c r="C5897" s="35"/>
      <c r="D5897" s="20" t="s">
        <v>93</v>
      </c>
      <c r="E5897" s="21"/>
      <c r="F5897" s="43" t="s">
        <v>521</v>
      </c>
      <c r="G5897" s="22" t="str">
        <f t="shared" si="115"/>
        <v/>
      </c>
      <c r="H5897" s="23"/>
      <c r="I5897" s="24"/>
      <c r="J5897" s="138">
        <v>0</v>
      </c>
    </row>
    <row r="5898" spans="1:10" ht="15.75" hidden="1" thickBot="1" x14ac:dyDescent="0.3">
      <c r="A5898" s="234"/>
      <c r="B5898" s="223"/>
      <c r="C5898" s="152"/>
      <c r="D5898" s="26"/>
      <c r="E5898" s="153"/>
      <c r="F5898" s="48" t="s">
        <v>521</v>
      </c>
      <c r="G5898" s="48" t="str">
        <f t="shared" si="115"/>
        <v/>
      </c>
      <c r="H5898" s="67"/>
      <c r="I5898" s="68"/>
      <c r="J5898" s="138">
        <v>0</v>
      </c>
    </row>
    <row r="5899" spans="1:10" ht="26.25" hidden="1" thickBot="1" x14ac:dyDescent="0.3">
      <c r="A5899" s="234"/>
      <c r="B5899" s="223"/>
      <c r="C5899" s="30" t="s">
        <v>1688</v>
      </c>
      <c r="D5899" s="30" t="s">
        <v>93</v>
      </c>
      <c r="E5899" s="146">
        <v>1</v>
      </c>
      <c r="F5899" s="25">
        <v>4.1420000000000003</v>
      </c>
      <c r="G5899" s="48">
        <f t="shared" si="115"/>
        <v>4.1420000000000003</v>
      </c>
      <c r="H5899" s="33">
        <f>SUM(G5899:G5899)</f>
        <v>4.1420000000000003</v>
      </c>
      <c r="I5899" s="34"/>
      <c r="J5899" s="138">
        <v>0</v>
      </c>
    </row>
    <row r="5900" spans="1:10" ht="15.75" hidden="1" thickBot="1" x14ac:dyDescent="0.3">
      <c r="A5900" s="235"/>
      <c r="B5900" s="224"/>
      <c r="C5900" s="49"/>
      <c r="D5900" s="148"/>
      <c r="E5900" s="60"/>
      <c r="F5900" s="70" t="s">
        <v>521</v>
      </c>
      <c r="G5900" s="70" t="str">
        <f t="shared" si="115"/>
        <v/>
      </c>
      <c r="H5900" s="71"/>
      <c r="I5900" s="68"/>
      <c r="J5900" s="138">
        <v>0</v>
      </c>
    </row>
    <row r="5901" spans="1:10" ht="15.75" hidden="1" thickBot="1" x14ac:dyDescent="0.3">
      <c r="A5901" s="228" t="s">
        <v>2090</v>
      </c>
      <c r="B5901" s="222" t="e">
        <f>INDEX(Orçamentária!A:B,MATCH(Composições!A5901,Orçamentária!A:A,0),2)</f>
        <v>#N/A</v>
      </c>
      <c r="C5901" s="35"/>
      <c r="D5901" s="20" t="s">
        <v>93</v>
      </c>
      <c r="E5901" s="21"/>
      <c r="F5901" s="43" t="s">
        <v>521</v>
      </c>
      <c r="G5901" s="22" t="str">
        <f t="shared" si="115"/>
        <v/>
      </c>
      <c r="H5901" s="23"/>
      <c r="I5901" s="24"/>
      <c r="J5901" s="138">
        <v>0</v>
      </c>
    </row>
    <row r="5902" spans="1:10" ht="15.75" hidden="1" thickBot="1" x14ac:dyDescent="0.3">
      <c r="A5902" s="234"/>
      <c r="B5902" s="223"/>
      <c r="C5902" s="152"/>
      <c r="D5902" s="26"/>
      <c r="E5902" s="153"/>
      <c r="F5902" s="48" t="s">
        <v>521</v>
      </c>
      <c r="G5902" s="48" t="str">
        <f t="shared" si="115"/>
        <v/>
      </c>
      <c r="H5902" s="67"/>
      <c r="I5902" s="68"/>
      <c r="J5902" s="138">
        <v>0</v>
      </c>
    </row>
    <row r="5903" spans="1:10" ht="26.25" hidden="1" thickBot="1" x14ac:dyDescent="0.3">
      <c r="A5903" s="234"/>
      <c r="B5903" s="223"/>
      <c r="C5903" s="30" t="s">
        <v>1689</v>
      </c>
      <c r="D5903" s="30" t="s">
        <v>93</v>
      </c>
      <c r="E5903" s="146">
        <v>1</v>
      </c>
      <c r="F5903" s="25">
        <v>7.9705000000000004</v>
      </c>
      <c r="G5903" s="48">
        <f t="shared" si="115"/>
        <v>7.9705000000000004</v>
      </c>
      <c r="H5903" s="33">
        <f>SUM(G5903:G5903)</f>
        <v>7.9705000000000004</v>
      </c>
      <c r="I5903" s="34"/>
      <c r="J5903" s="138">
        <v>0</v>
      </c>
    </row>
    <row r="5904" spans="1:10" ht="15.75" hidden="1" thickBot="1" x14ac:dyDescent="0.3">
      <c r="A5904" s="235"/>
      <c r="B5904" s="224"/>
      <c r="C5904" s="49"/>
      <c r="D5904" s="148"/>
      <c r="E5904" s="60"/>
      <c r="F5904" s="70" t="s">
        <v>521</v>
      </c>
      <c r="G5904" s="70" t="str">
        <f t="shared" si="115"/>
        <v/>
      </c>
      <c r="H5904" s="71"/>
      <c r="I5904" s="68"/>
      <c r="J5904" s="138">
        <v>0</v>
      </c>
    </row>
    <row r="5905" spans="1:10" ht="15.75" hidden="1" thickBot="1" x14ac:dyDescent="0.3">
      <c r="A5905" s="228" t="s">
        <v>2091</v>
      </c>
      <c r="B5905" s="222" t="e">
        <f>INDEX(Orçamentária!A:B,MATCH(Composições!A5905,Orçamentária!A:A,0),2)</f>
        <v>#N/A</v>
      </c>
      <c r="C5905" s="35"/>
      <c r="D5905" s="20" t="s">
        <v>93</v>
      </c>
      <c r="E5905" s="21"/>
      <c r="F5905" s="43" t="s">
        <v>521</v>
      </c>
      <c r="G5905" s="22" t="str">
        <f t="shared" si="115"/>
        <v/>
      </c>
      <c r="H5905" s="23"/>
      <c r="I5905" s="24"/>
      <c r="J5905" s="138">
        <v>0</v>
      </c>
    </row>
    <row r="5906" spans="1:10" ht="15.75" hidden="1" thickBot="1" x14ac:dyDescent="0.3">
      <c r="A5906" s="234"/>
      <c r="B5906" s="223"/>
      <c r="C5906" s="152"/>
      <c r="D5906" s="26"/>
      <c r="E5906" s="153"/>
      <c r="F5906" s="48" t="s">
        <v>521</v>
      </c>
      <c r="G5906" s="48" t="str">
        <f t="shared" si="115"/>
        <v/>
      </c>
      <c r="H5906" s="67"/>
      <c r="I5906" s="68"/>
      <c r="J5906" s="138">
        <v>0</v>
      </c>
    </row>
    <row r="5907" spans="1:10" ht="39" hidden="1" thickBot="1" x14ac:dyDescent="0.3">
      <c r="A5907" s="234"/>
      <c r="B5907" s="223"/>
      <c r="C5907" s="30" t="s">
        <v>1684</v>
      </c>
      <c r="D5907" s="30" t="s">
        <v>93</v>
      </c>
      <c r="E5907" s="146">
        <v>1</v>
      </c>
      <c r="F5907" s="25">
        <v>14.648999999999999</v>
      </c>
      <c r="G5907" s="48">
        <f t="shared" si="115"/>
        <v>14.648999999999999</v>
      </c>
      <c r="H5907" s="33">
        <f>SUM(G5907:G5907)</f>
        <v>14.648999999999999</v>
      </c>
      <c r="I5907" s="34"/>
      <c r="J5907" s="138">
        <v>0</v>
      </c>
    </row>
    <row r="5908" spans="1:10" ht="15.75" hidden="1" thickBot="1" x14ac:dyDescent="0.3">
      <c r="A5908" s="235"/>
      <c r="B5908" s="224"/>
      <c r="C5908" s="49"/>
      <c r="D5908" s="148"/>
      <c r="E5908" s="60"/>
      <c r="F5908" s="70" t="s">
        <v>521</v>
      </c>
      <c r="G5908" s="70" t="str">
        <f t="shared" si="115"/>
        <v/>
      </c>
      <c r="H5908" s="71"/>
      <c r="I5908" s="68"/>
      <c r="J5908" s="138">
        <v>0</v>
      </c>
    </row>
    <row r="5909" spans="1:10" ht="15.75" hidden="1" thickBot="1" x14ac:dyDescent="0.3">
      <c r="A5909" s="228" t="s">
        <v>2092</v>
      </c>
      <c r="B5909" s="222" t="e">
        <f>INDEX(Orçamentária!A:B,MATCH(Composições!A5909,Orçamentária!A:A,0),2)</f>
        <v>#N/A</v>
      </c>
      <c r="C5909" s="35"/>
      <c r="D5909" s="20" t="s">
        <v>93</v>
      </c>
      <c r="E5909" s="21"/>
      <c r="F5909" s="43" t="s">
        <v>521</v>
      </c>
      <c r="G5909" s="22" t="str">
        <f t="shared" si="115"/>
        <v/>
      </c>
      <c r="H5909" s="23"/>
      <c r="I5909" s="24"/>
      <c r="J5909" s="138">
        <v>0</v>
      </c>
    </row>
    <row r="5910" spans="1:10" ht="15.75" hidden="1" thickBot="1" x14ac:dyDescent="0.3">
      <c r="A5910" s="234"/>
      <c r="B5910" s="223"/>
      <c r="C5910" s="152"/>
      <c r="D5910" s="26"/>
      <c r="E5910" s="153"/>
      <c r="F5910" s="48" t="s">
        <v>521</v>
      </c>
      <c r="G5910" s="48" t="str">
        <f t="shared" si="115"/>
        <v/>
      </c>
      <c r="H5910" s="67"/>
      <c r="I5910" s="68"/>
      <c r="J5910" s="138">
        <v>0</v>
      </c>
    </row>
    <row r="5911" spans="1:10" ht="39" hidden="1" thickBot="1" x14ac:dyDescent="0.3">
      <c r="A5911" s="234"/>
      <c r="B5911" s="223"/>
      <c r="C5911" s="30" t="s">
        <v>1685</v>
      </c>
      <c r="D5911" s="30" t="s">
        <v>93</v>
      </c>
      <c r="E5911" s="146">
        <v>1</v>
      </c>
      <c r="F5911" s="25">
        <v>19.218499999999999</v>
      </c>
      <c r="G5911" s="48">
        <f t="shared" si="115"/>
        <v>19.218499999999999</v>
      </c>
      <c r="H5911" s="33">
        <f>SUM(G5911:G5911)</f>
        <v>19.218499999999999</v>
      </c>
      <c r="I5911" s="34"/>
      <c r="J5911" s="138">
        <v>0</v>
      </c>
    </row>
    <row r="5912" spans="1:10" ht="15.75" hidden="1" thickBot="1" x14ac:dyDescent="0.3">
      <c r="A5912" s="235"/>
      <c r="B5912" s="224"/>
      <c r="C5912" s="49"/>
      <c r="D5912" s="148"/>
      <c r="E5912" s="60"/>
      <c r="F5912" s="70" t="s">
        <v>521</v>
      </c>
      <c r="G5912" s="70" t="str">
        <f t="shared" si="115"/>
        <v/>
      </c>
      <c r="H5912" s="71"/>
      <c r="I5912" s="68"/>
      <c r="J5912" s="138">
        <v>0</v>
      </c>
    </row>
    <row r="5913" spans="1:10" ht="15.75" hidden="1" thickBot="1" x14ac:dyDescent="0.3">
      <c r="A5913" s="228" t="s">
        <v>2093</v>
      </c>
      <c r="B5913" s="222" t="e">
        <f>INDEX(Orçamentária!A:B,MATCH(Composições!A5913,Orçamentária!A:A,0),2)</f>
        <v>#N/A</v>
      </c>
      <c r="C5913" s="35"/>
      <c r="D5913" s="20" t="s">
        <v>93</v>
      </c>
      <c r="E5913" s="21"/>
      <c r="F5913" s="43" t="s">
        <v>521</v>
      </c>
      <c r="G5913" s="22" t="str">
        <f t="shared" si="115"/>
        <v/>
      </c>
      <c r="H5913" s="23"/>
      <c r="I5913" s="24"/>
      <c r="J5913" s="138">
        <v>0</v>
      </c>
    </row>
    <row r="5914" spans="1:10" ht="15.75" hidden="1" thickBot="1" x14ac:dyDescent="0.3">
      <c r="A5914" s="234"/>
      <c r="B5914" s="223"/>
      <c r="C5914" s="152"/>
      <c r="D5914" s="26"/>
      <c r="E5914" s="153"/>
      <c r="F5914" s="48" t="s">
        <v>521</v>
      </c>
      <c r="G5914" s="48" t="str">
        <f t="shared" si="115"/>
        <v/>
      </c>
      <c r="H5914" s="67"/>
      <c r="I5914" s="68"/>
      <c r="J5914" s="138">
        <v>0</v>
      </c>
    </row>
    <row r="5915" spans="1:10" ht="39" hidden="1" thickBot="1" x14ac:dyDescent="0.3">
      <c r="A5915" s="234"/>
      <c r="B5915" s="223"/>
      <c r="C5915" s="30" t="s">
        <v>1686</v>
      </c>
      <c r="D5915" s="30" t="s">
        <v>93</v>
      </c>
      <c r="E5915" s="146">
        <v>1</v>
      </c>
      <c r="F5915" s="25">
        <v>28.994</v>
      </c>
      <c r="G5915" s="48">
        <f t="shared" si="115"/>
        <v>28.994</v>
      </c>
      <c r="H5915" s="33">
        <f>SUM(G5915:G5915)</f>
        <v>28.994</v>
      </c>
      <c r="I5915" s="34"/>
      <c r="J5915" s="138">
        <v>0</v>
      </c>
    </row>
    <row r="5916" spans="1:10" ht="15.75" hidden="1" thickBot="1" x14ac:dyDescent="0.3">
      <c r="A5916" s="235"/>
      <c r="B5916" s="224"/>
      <c r="C5916" s="49"/>
      <c r="D5916" s="148"/>
      <c r="E5916" s="60"/>
      <c r="F5916" s="70" t="s">
        <v>521</v>
      </c>
      <c r="G5916" s="70" t="str">
        <f t="shared" si="115"/>
        <v/>
      </c>
      <c r="H5916" s="71"/>
      <c r="I5916" s="68"/>
      <c r="J5916" s="138">
        <v>0</v>
      </c>
    </row>
    <row r="5917" spans="1:10" ht="15.75" hidden="1" thickBot="1" x14ac:dyDescent="0.3">
      <c r="A5917" s="228" t="s">
        <v>2094</v>
      </c>
      <c r="B5917" s="222" t="e">
        <f>INDEX(Orçamentária!A:B,MATCH(Composições!A5917,Orçamentária!A:A,0),2)</f>
        <v>#N/A</v>
      </c>
      <c r="C5917" s="35"/>
      <c r="D5917" s="20" t="s">
        <v>93</v>
      </c>
      <c r="E5917" s="21"/>
      <c r="F5917" s="43" t="s">
        <v>521</v>
      </c>
      <c r="G5917" s="22" t="str">
        <f t="shared" si="115"/>
        <v/>
      </c>
      <c r="H5917" s="23"/>
      <c r="I5917" s="24"/>
      <c r="J5917" s="138">
        <v>0</v>
      </c>
    </row>
    <row r="5918" spans="1:10" ht="15.75" hidden="1" thickBot="1" x14ac:dyDescent="0.3">
      <c r="A5918" s="234"/>
      <c r="B5918" s="223"/>
      <c r="C5918" s="152"/>
      <c r="D5918" s="26"/>
      <c r="E5918" s="153"/>
      <c r="F5918" s="48" t="s">
        <v>521</v>
      </c>
      <c r="G5918" s="48" t="str">
        <f t="shared" si="115"/>
        <v/>
      </c>
      <c r="H5918" s="67"/>
      <c r="I5918" s="68"/>
      <c r="J5918" s="138">
        <v>0</v>
      </c>
    </row>
    <row r="5919" spans="1:10" ht="39" hidden="1" thickBot="1" x14ac:dyDescent="0.3">
      <c r="A5919" s="234"/>
      <c r="B5919" s="223"/>
      <c r="C5919" s="30" t="s">
        <v>1207</v>
      </c>
      <c r="D5919" s="30" t="s">
        <v>93</v>
      </c>
      <c r="E5919" s="146">
        <v>1</v>
      </c>
      <c r="F5919" s="25">
        <v>37.316000000000003</v>
      </c>
      <c r="G5919" s="48">
        <f t="shared" si="115"/>
        <v>37.316000000000003</v>
      </c>
      <c r="H5919" s="33">
        <f>SUM(G5919:G5919)</f>
        <v>37.316000000000003</v>
      </c>
      <c r="I5919" s="34"/>
      <c r="J5919" s="138">
        <v>0</v>
      </c>
    </row>
    <row r="5920" spans="1:10" ht="15.75" hidden="1" thickBot="1" x14ac:dyDescent="0.3">
      <c r="A5920" s="235"/>
      <c r="B5920" s="224"/>
      <c r="C5920" s="49"/>
      <c r="D5920" s="148"/>
      <c r="E5920" s="60"/>
      <c r="F5920" s="70" t="s">
        <v>521</v>
      </c>
      <c r="G5920" s="70" t="str">
        <f t="shared" si="115"/>
        <v/>
      </c>
      <c r="H5920" s="71"/>
      <c r="I5920" s="68"/>
      <c r="J5920" s="138">
        <v>0</v>
      </c>
    </row>
    <row r="5921" spans="1:10" ht="15.75" hidden="1" thickBot="1" x14ac:dyDescent="0.3">
      <c r="A5921" s="228" t="s">
        <v>2095</v>
      </c>
      <c r="B5921" s="222" t="e">
        <f>INDEX(Orçamentária!A:B,MATCH(Composições!A5921,Orçamentária!A:A,0),2)</f>
        <v>#N/A</v>
      </c>
      <c r="C5921" s="35"/>
      <c r="D5921" s="20" t="s">
        <v>93</v>
      </c>
      <c r="E5921" s="21"/>
      <c r="F5921" s="43" t="s">
        <v>521</v>
      </c>
      <c r="G5921" s="22" t="str">
        <f t="shared" si="115"/>
        <v/>
      </c>
      <c r="H5921" s="23"/>
      <c r="I5921" s="24"/>
      <c r="J5921" s="138">
        <v>0</v>
      </c>
    </row>
    <row r="5922" spans="1:10" ht="15.75" hidden="1" thickBot="1" x14ac:dyDescent="0.3">
      <c r="A5922" s="234"/>
      <c r="B5922" s="223"/>
      <c r="C5922" s="152"/>
      <c r="D5922" s="26"/>
      <c r="E5922" s="153"/>
      <c r="F5922" s="48" t="s">
        <v>521</v>
      </c>
      <c r="G5922" s="48" t="str">
        <f t="shared" si="115"/>
        <v/>
      </c>
      <c r="H5922" s="67"/>
      <c r="I5922" s="68"/>
      <c r="J5922" s="138">
        <v>0</v>
      </c>
    </row>
    <row r="5923" spans="1:10" ht="39" hidden="1" thickBot="1" x14ac:dyDescent="0.3">
      <c r="A5923" s="234"/>
      <c r="B5923" s="223"/>
      <c r="C5923" s="30" t="s">
        <v>1687</v>
      </c>
      <c r="D5923" s="30" t="s">
        <v>93</v>
      </c>
      <c r="E5923" s="146">
        <v>1</v>
      </c>
      <c r="F5923" s="25">
        <v>49.704000000000001</v>
      </c>
      <c r="G5923" s="48">
        <f t="shared" si="115"/>
        <v>49.704000000000001</v>
      </c>
      <c r="H5923" s="33">
        <f>SUM(G5923:G5923)</f>
        <v>49.704000000000001</v>
      </c>
      <c r="I5923" s="34"/>
      <c r="J5923" s="138">
        <v>0</v>
      </c>
    </row>
    <row r="5924" spans="1:10" ht="15.75" hidden="1" thickBot="1" x14ac:dyDescent="0.3">
      <c r="A5924" s="235"/>
      <c r="B5924" s="224"/>
      <c r="C5924" s="49"/>
      <c r="D5924" s="148"/>
      <c r="E5924" s="60"/>
      <c r="F5924" s="70" t="s">
        <v>521</v>
      </c>
      <c r="G5924" s="70" t="str">
        <f t="shared" si="115"/>
        <v/>
      </c>
      <c r="H5924" s="71"/>
      <c r="I5924" s="68"/>
      <c r="J5924" s="138">
        <v>0</v>
      </c>
    </row>
    <row r="5925" spans="1:10" ht="15.75" hidden="1" thickBot="1" x14ac:dyDescent="0.3">
      <c r="A5925" s="228" t="s">
        <v>2096</v>
      </c>
      <c r="B5925" s="222" t="e">
        <f>INDEX(Orçamentária!A:B,MATCH(Composições!A5925,Orçamentária!A:A,0),2)</f>
        <v>#N/A</v>
      </c>
      <c r="C5925" s="35"/>
      <c r="D5925" s="20" t="s">
        <v>93</v>
      </c>
      <c r="E5925" s="21"/>
      <c r="F5925" s="43" t="s">
        <v>521</v>
      </c>
      <c r="G5925" s="22" t="str">
        <f t="shared" si="115"/>
        <v/>
      </c>
      <c r="H5925" s="23"/>
      <c r="I5925" s="24"/>
      <c r="J5925" s="138">
        <v>0</v>
      </c>
    </row>
    <row r="5926" spans="1:10" ht="15.75" hidden="1" thickBot="1" x14ac:dyDescent="0.3">
      <c r="A5926" s="234"/>
      <c r="B5926" s="223"/>
      <c r="C5926" s="152"/>
      <c r="D5926" s="26"/>
      <c r="E5926" s="153"/>
      <c r="F5926" s="48" t="s">
        <v>521</v>
      </c>
      <c r="G5926" s="48" t="str">
        <f t="shared" si="115"/>
        <v/>
      </c>
      <c r="H5926" s="67"/>
      <c r="I5926" s="68"/>
      <c r="J5926" s="138">
        <v>0</v>
      </c>
    </row>
    <row r="5927" spans="1:10" ht="39" hidden="1" thickBot="1" x14ac:dyDescent="0.3">
      <c r="A5927" s="234"/>
      <c r="B5927" s="223"/>
      <c r="C5927" s="30" t="s">
        <v>2367</v>
      </c>
      <c r="D5927" s="30" t="s">
        <v>93</v>
      </c>
      <c r="E5927" s="146">
        <v>1</v>
      </c>
      <c r="F5927" s="25">
        <v>3.7049999999999996</v>
      </c>
      <c r="G5927" s="48">
        <f t="shared" si="115"/>
        <v>3.7049999999999996</v>
      </c>
      <c r="H5927" s="33">
        <f>SUM(G5927:G5927)</f>
        <v>3.7049999999999996</v>
      </c>
      <c r="I5927" s="34"/>
      <c r="J5927" s="138">
        <v>0</v>
      </c>
    </row>
    <row r="5928" spans="1:10" ht="15.75" hidden="1" thickBot="1" x14ac:dyDescent="0.3">
      <c r="A5928" s="235"/>
      <c r="B5928" s="224"/>
      <c r="C5928" s="49"/>
      <c r="D5928" s="148"/>
      <c r="E5928" s="60"/>
      <c r="F5928" s="70" t="s">
        <v>521</v>
      </c>
      <c r="G5928" s="70" t="str">
        <f t="shared" si="115"/>
        <v/>
      </c>
      <c r="H5928" s="71"/>
      <c r="I5928" s="68"/>
      <c r="J5928" s="138">
        <v>0</v>
      </c>
    </row>
    <row r="5929" spans="1:10" ht="15.75" hidden="1" thickBot="1" x14ac:dyDescent="0.3">
      <c r="A5929" s="228" t="s">
        <v>2097</v>
      </c>
      <c r="B5929" s="222" t="e">
        <f>INDEX(Orçamentária!A:B,MATCH(Composições!A5929,Orçamentária!A:A,0),2)</f>
        <v>#N/A</v>
      </c>
      <c r="C5929" s="35"/>
      <c r="D5929" s="20" t="s">
        <v>20</v>
      </c>
      <c r="E5929" s="21"/>
      <c r="F5929" s="43" t="s">
        <v>521</v>
      </c>
      <c r="G5929" s="22" t="str">
        <f t="shared" si="115"/>
        <v/>
      </c>
      <c r="H5929" s="23"/>
      <c r="I5929" s="24"/>
      <c r="J5929" s="138">
        <v>0</v>
      </c>
    </row>
    <row r="5930" spans="1:10" ht="15.75" hidden="1" thickBot="1" x14ac:dyDescent="0.3">
      <c r="A5930" s="234"/>
      <c r="B5930" s="223"/>
      <c r="C5930" s="152"/>
      <c r="D5930" s="26"/>
      <c r="E5930" s="153"/>
      <c r="F5930" s="48" t="s">
        <v>521</v>
      </c>
      <c r="G5930" s="48" t="str">
        <f t="shared" si="115"/>
        <v/>
      </c>
      <c r="H5930" s="67"/>
      <c r="I5930" s="68"/>
      <c r="J5930" s="138">
        <v>0</v>
      </c>
    </row>
    <row r="5931" spans="1:10" ht="26.25" hidden="1" thickBot="1" x14ac:dyDescent="0.3">
      <c r="A5931" s="234"/>
      <c r="B5931" s="223"/>
      <c r="C5931" s="30" t="s">
        <v>1733</v>
      </c>
      <c r="D5931" s="30" t="s">
        <v>20</v>
      </c>
      <c r="E5931" s="146">
        <v>1</v>
      </c>
      <c r="F5931" s="25">
        <v>6.1559999999999997</v>
      </c>
      <c r="G5931" s="48">
        <f t="shared" si="115"/>
        <v>6.1559999999999997</v>
      </c>
      <c r="H5931" s="33">
        <f>SUM(G5931:G5931)</f>
        <v>6.1559999999999997</v>
      </c>
      <c r="I5931" s="34"/>
      <c r="J5931" s="138">
        <v>0</v>
      </c>
    </row>
    <row r="5932" spans="1:10" ht="15.75" hidden="1" thickBot="1" x14ac:dyDescent="0.3">
      <c r="A5932" s="235"/>
      <c r="B5932" s="224"/>
      <c r="C5932" s="49"/>
      <c r="D5932" s="148"/>
      <c r="E5932" s="60"/>
      <c r="F5932" s="70" t="s">
        <v>521</v>
      </c>
      <c r="G5932" s="70" t="str">
        <f t="shared" si="115"/>
        <v/>
      </c>
      <c r="H5932" s="71"/>
      <c r="I5932" s="68"/>
      <c r="J5932" s="138">
        <v>0</v>
      </c>
    </row>
    <row r="5933" spans="1:10" ht="15.75" hidden="1" thickBot="1" x14ac:dyDescent="0.3">
      <c r="A5933" s="228" t="s">
        <v>2098</v>
      </c>
      <c r="B5933" s="222" t="e">
        <f>INDEX(Orçamentária!A:B,MATCH(Composições!A5933,Orçamentária!A:A,0),2)</f>
        <v>#N/A</v>
      </c>
      <c r="C5933" s="35"/>
      <c r="D5933" s="20" t="s">
        <v>93</v>
      </c>
      <c r="E5933" s="21"/>
      <c r="F5933" s="43" t="s">
        <v>521</v>
      </c>
      <c r="G5933" s="22" t="str">
        <f t="shared" si="115"/>
        <v/>
      </c>
      <c r="H5933" s="23"/>
      <c r="I5933" s="24"/>
      <c r="J5933" s="138">
        <v>0</v>
      </c>
    </row>
    <row r="5934" spans="1:10" ht="15.75" hidden="1" thickBot="1" x14ac:dyDescent="0.3">
      <c r="A5934" s="234"/>
      <c r="B5934" s="223"/>
      <c r="C5934" s="152"/>
      <c r="D5934" s="26"/>
      <c r="E5934" s="153"/>
      <c r="F5934" s="48" t="s">
        <v>521</v>
      </c>
      <c r="G5934" s="48" t="str">
        <f t="shared" si="115"/>
        <v/>
      </c>
      <c r="H5934" s="67"/>
      <c r="I5934" s="68"/>
      <c r="J5934" s="138">
        <v>0</v>
      </c>
    </row>
    <row r="5935" spans="1:10" ht="39" hidden="1" thickBot="1" x14ac:dyDescent="0.3">
      <c r="A5935" s="234"/>
      <c r="B5935" s="223"/>
      <c r="C5935" s="30" t="s">
        <v>2280</v>
      </c>
      <c r="D5935" s="30" t="s">
        <v>93</v>
      </c>
      <c r="E5935" s="146">
        <v>1</v>
      </c>
      <c r="F5935" s="25">
        <v>6.0989999999999993</v>
      </c>
      <c r="G5935" s="48">
        <f t="shared" si="115"/>
        <v>6.0989999999999993</v>
      </c>
      <c r="H5935" s="33">
        <f>SUM(G5935:G5935)</f>
        <v>6.0989999999999993</v>
      </c>
      <c r="I5935" s="34"/>
      <c r="J5935" s="138">
        <v>0</v>
      </c>
    </row>
    <row r="5936" spans="1:10" ht="15.75" hidden="1" thickBot="1" x14ac:dyDescent="0.3">
      <c r="A5936" s="235"/>
      <c r="B5936" s="224"/>
      <c r="C5936" s="49"/>
      <c r="D5936" s="148"/>
      <c r="E5936" s="60"/>
      <c r="F5936" s="70" t="s">
        <v>521</v>
      </c>
      <c r="G5936" s="70" t="str">
        <f t="shared" si="115"/>
        <v/>
      </c>
      <c r="H5936" s="71"/>
      <c r="I5936" s="68"/>
      <c r="J5936" s="138">
        <v>0</v>
      </c>
    </row>
    <row r="5937" spans="1:10" ht="15.75" hidden="1" thickBot="1" x14ac:dyDescent="0.3">
      <c r="A5937" s="228" t="s">
        <v>2099</v>
      </c>
      <c r="B5937" s="222" t="e">
        <f>INDEX(Orçamentária!A:B,MATCH(Composições!A5937,Orçamentária!A:A,0),2)</f>
        <v>#N/A</v>
      </c>
      <c r="C5937" s="35"/>
      <c r="D5937" s="20" t="s">
        <v>20</v>
      </c>
      <c r="E5937" s="21"/>
      <c r="F5937" s="43" t="s">
        <v>521</v>
      </c>
      <c r="G5937" s="22" t="str">
        <f t="shared" si="115"/>
        <v/>
      </c>
      <c r="H5937" s="23"/>
      <c r="I5937" s="24"/>
      <c r="J5937" s="138">
        <v>0</v>
      </c>
    </row>
    <row r="5938" spans="1:10" ht="15.75" hidden="1" thickBot="1" x14ac:dyDescent="0.3">
      <c r="A5938" s="234"/>
      <c r="B5938" s="223"/>
      <c r="C5938" s="152"/>
      <c r="D5938" s="26"/>
      <c r="E5938" s="153"/>
      <c r="F5938" s="48" t="s">
        <v>521</v>
      </c>
      <c r="G5938" s="48" t="str">
        <f t="shared" si="115"/>
        <v/>
      </c>
      <c r="H5938" s="67"/>
      <c r="I5938" s="68"/>
      <c r="J5938" s="138">
        <v>0</v>
      </c>
    </row>
    <row r="5939" spans="1:10" ht="26.25" hidden="1" thickBot="1" x14ac:dyDescent="0.3">
      <c r="A5939" s="234"/>
      <c r="B5939" s="223"/>
      <c r="C5939" s="30" t="s">
        <v>1734</v>
      </c>
      <c r="D5939" s="30" t="s">
        <v>20</v>
      </c>
      <c r="E5939" s="146">
        <v>1</v>
      </c>
      <c r="F5939" s="25">
        <v>7.03</v>
      </c>
      <c r="G5939" s="48">
        <f t="shared" si="115"/>
        <v>7.03</v>
      </c>
      <c r="H5939" s="33">
        <f>SUM(G5939:G5939)</f>
        <v>7.03</v>
      </c>
      <c r="I5939" s="34"/>
      <c r="J5939" s="138">
        <v>0</v>
      </c>
    </row>
    <row r="5940" spans="1:10" ht="15.75" hidden="1" thickBot="1" x14ac:dyDescent="0.3">
      <c r="A5940" s="235"/>
      <c r="B5940" s="224"/>
      <c r="C5940" s="49"/>
      <c r="D5940" s="148"/>
      <c r="E5940" s="60"/>
      <c r="F5940" s="70" t="s">
        <v>521</v>
      </c>
      <c r="G5940" s="70" t="str">
        <f t="shared" si="115"/>
        <v/>
      </c>
      <c r="H5940" s="71"/>
      <c r="I5940" s="68"/>
      <c r="J5940" s="138">
        <v>0</v>
      </c>
    </row>
    <row r="5941" spans="1:10" ht="15.75" hidden="1" thickBot="1" x14ac:dyDescent="0.3">
      <c r="A5941" s="228" t="s">
        <v>2100</v>
      </c>
      <c r="B5941" s="222" t="e">
        <f>INDEX(Orçamentária!A:B,MATCH(Composições!A5941,Orçamentária!A:A,0),2)</f>
        <v>#N/A</v>
      </c>
      <c r="C5941" s="35"/>
      <c r="D5941" s="20" t="s">
        <v>93</v>
      </c>
      <c r="E5941" s="21"/>
      <c r="F5941" s="43" t="s">
        <v>521</v>
      </c>
      <c r="G5941" s="22" t="str">
        <f t="shared" si="115"/>
        <v/>
      </c>
      <c r="H5941" s="23"/>
      <c r="I5941" s="24"/>
      <c r="J5941" s="138">
        <v>0</v>
      </c>
    </row>
    <row r="5942" spans="1:10" ht="15.75" hidden="1" thickBot="1" x14ac:dyDescent="0.3">
      <c r="A5942" s="234"/>
      <c r="B5942" s="223"/>
      <c r="C5942" s="152"/>
      <c r="D5942" s="26"/>
      <c r="E5942" s="153"/>
      <c r="F5942" s="48" t="s">
        <v>521</v>
      </c>
      <c r="G5942" s="48" t="str">
        <f t="shared" si="115"/>
        <v/>
      </c>
      <c r="H5942" s="67"/>
      <c r="I5942" s="68"/>
      <c r="J5942" s="138">
        <v>0</v>
      </c>
    </row>
    <row r="5943" spans="1:10" ht="39" hidden="1" thickBot="1" x14ac:dyDescent="0.3">
      <c r="A5943" s="234"/>
      <c r="B5943" s="223"/>
      <c r="C5943" s="30" t="s">
        <v>2276</v>
      </c>
      <c r="D5943" s="30" t="s">
        <v>93</v>
      </c>
      <c r="E5943" s="146">
        <v>1</v>
      </c>
      <c r="F5943" s="25">
        <v>8.5404999999999998</v>
      </c>
      <c r="G5943" s="48">
        <f t="shared" si="115"/>
        <v>8.5404999999999998</v>
      </c>
      <c r="H5943" s="33">
        <f>SUM(G5943:G5943)</f>
        <v>8.5404999999999998</v>
      </c>
      <c r="I5943" s="34"/>
      <c r="J5943" s="138">
        <v>0</v>
      </c>
    </row>
    <row r="5944" spans="1:10" ht="15.75" hidden="1" thickBot="1" x14ac:dyDescent="0.3">
      <c r="A5944" s="235"/>
      <c r="B5944" s="224"/>
      <c r="C5944" s="49"/>
      <c r="D5944" s="148"/>
      <c r="E5944" s="60"/>
      <c r="F5944" s="70" t="s">
        <v>521</v>
      </c>
      <c r="G5944" s="70" t="str">
        <f t="shared" si="115"/>
        <v/>
      </c>
      <c r="H5944" s="71"/>
      <c r="I5944" s="68"/>
      <c r="J5944" s="138">
        <v>0</v>
      </c>
    </row>
    <row r="5945" spans="1:10" ht="15.75" hidden="1" thickBot="1" x14ac:dyDescent="0.3">
      <c r="A5945" s="228" t="s">
        <v>2101</v>
      </c>
      <c r="B5945" s="222" t="e">
        <f>INDEX(Orçamentária!A:B,MATCH(Composições!A5945,Orçamentária!A:A,0),2)</f>
        <v>#N/A</v>
      </c>
      <c r="C5945" s="35"/>
      <c r="D5945" s="20" t="s">
        <v>20</v>
      </c>
      <c r="E5945" s="21"/>
      <c r="F5945" s="43" t="s">
        <v>521</v>
      </c>
      <c r="G5945" s="22" t="str">
        <f t="shared" si="115"/>
        <v/>
      </c>
      <c r="H5945" s="23"/>
      <c r="I5945" s="24"/>
      <c r="J5945" s="138">
        <v>0</v>
      </c>
    </row>
    <row r="5946" spans="1:10" ht="15.75" hidden="1" thickBot="1" x14ac:dyDescent="0.3">
      <c r="A5946" s="234"/>
      <c r="B5946" s="223"/>
      <c r="C5946" s="152"/>
      <c r="D5946" s="26"/>
      <c r="E5946" s="153"/>
      <c r="F5946" s="48" t="s">
        <v>521</v>
      </c>
      <c r="G5946" s="48" t="str">
        <f t="shared" si="115"/>
        <v/>
      </c>
      <c r="H5946" s="67"/>
      <c r="I5946" s="68"/>
      <c r="J5946" s="138">
        <v>0</v>
      </c>
    </row>
    <row r="5947" spans="1:10" ht="26.25" hidden="1" thickBot="1" x14ac:dyDescent="0.3">
      <c r="A5947" s="234"/>
      <c r="B5947" s="223"/>
      <c r="C5947" s="30" t="s">
        <v>1735</v>
      </c>
      <c r="D5947" s="30" t="s">
        <v>20</v>
      </c>
      <c r="E5947" s="146">
        <v>1</v>
      </c>
      <c r="F5947" s="25">
        <v>10.3645</v>
      </c>
      <c r="G5947" s="48">
        <f t="shared" si="115"/>
        <v>10.3645</v>
      </c>
      <c r="H5947" s="33">
        <f>SUM(G5947:G5947)</f>
        <v>10.3645</v>
      </c>
      <c r="I5947" s="34"/>
      <c r="J5947" s="138">
        <v>0</v>
      </c>
    </row>
    <row r="5948" spans="1:10" ht="15.75" hidden="1" thickBot="1" x14ac:dyDescent="0.3">
      <c r="A5948" s="235"/>
      <c r="B5948" s="224"/>
      <c r="C5948" s="49"/>
      <c r="D5948" s="148"/>
      <c r="E5948" s="60"/>
      <c r="F5948" s="70" t="s">
        <v>521</v>
      </c>
      <c r="G5948" s="70" t="str">
        <f t="shared" si="115"/>
        <v/>
      </c>
      <c r="H5948" s="71"/>
      <c r="I5948" s="68"/>
      <c r="J5948" s="138">
        <v>0</v>
      </c>
    </row>
    <row r="5949" spans="1:10" ht="15.75" hidden="1" thickBot="1" x14ac:dyDescent="0.3">
      <c r="A5949" s="228" t="s">
        <v>2102</v>
      </c>
      <c r="B5949" s="222" t="e">
        <f>INDEX(Orçamentária!A:B,MATCH(Composições!A5949,Orçamentária!A:A,0),2)</f>
        <v>#N/A</v>
      </c>
      <c r="C5949" s="35"/>
      <c r="D5949" s="20" t="s">
        <v>93</v>
      </c>
      <c r="E5949" s="21"/>
      <c r="F5949" s="43" t="s">
        <v>521</v>
      </c>
      <c r="G5949" s="22" t="str">
        <f t="shared" ref="G5949:G6012" si="116">IF(ISNUMBER(F5949),E5949*F5949,"")</f>
        <v/>
      </c>
      <c r="H5949" s="23"/>
      <c r="I5949" s="24"/>
      <c r="J5949" s="138">
        <v>0</v>
      </c>
    </row>
    <row r="5950" spans="1:10" ht="15.75" hidden="1" thickBot="1" x14ac:dyDescent="0.3">
      <c r="A5950" s="234"/>
      <c r="B5950" s="223"/>
      <c r="C5950" s="152"/>
      <c r="D5950" s="26"/>
      <c r="E5950" s="153"/>
      <c r="F5950" s="48" t="s">
        <v>521</v>
      </c>
      <c r="G5950" s="48" t="str">
        <f t="shared" si="116"/>
        <v/>
      </c>
      <c r="H5950" s="67"/>
      <c r="I5950" s="68"/>
      <c r="J5950" s="138">
        <v>0</v>
      </c>
    </row>
    <row r="5951" spans="1:10" ht="15.75" hidden="1" thickBot="1" x14ac:dyDescent="0.3">
      <c r="A5951" s="234"/>
      <c r="B5951" s="223"/>
      <c r="C5951" s="30" t="s">
        <v>1683</v>
      </c>
      <c r="D5951" s="30" t="s">
        <v>93</v>
      </c>
      <c r="E5951" s="146">
        <v>1</v>
      </c>
      <c r="F5951" s="25">
        <v>5.1680000000000001</v>
      </c>
      <c r="G5951" s="48">
        <f t="shared" si="116"/>
        <v>5.1680000000000001</v>
      </c>
      <c r="H5951" s="33">
        <f>SUM(G5951:G5951)</f>
        <v>5.1680000000000001</v>
      </c>
      <c r="I5951" s="34"/>
      <c r="J5951" s="138">
        <v>0</v>
      </c>
    </row>
    <row r="5952" spans="1:10" ht="15.75" hidden="1" thickBot="1" x14ac:dyDescent="0.3">
      <c r="A5952" s="235"/>
      <c r="B5952" s="224"/>
      <c r="C5952" s="49"/>
      <c r="D5952" s="148"/>
      <c r="E5952" s="60"/>
      <c r="F5952" s="70" t="s">
        <v>521</v>
      </c>
      <c r="G5952" s="70" t="str">
        <f t="shared" si="116"/>
        <v/>
      </c>
      <c r="H5952" s="71"/>
      <c r="I5952" s="68"/>
      <c r="J5952" s="138">
        <v>0</v>
      </c>
    </row>
    <row r="5953" spans="1:10" ht="15.75" hidden="1" thickBot="1" x14ac:dyDescent="0.3">
      <c r="A5953" s="228" t="s">
        <v>2103</v>
      </c>
      <c r="B5953" s="222" t="e">
        <f>INDEX(Orçamentária!A:B,MATCH(Composições!A5953,Orçamentária!A:A,0),2)</f>
        <v>#N/A</v>
      </c>
      <c r="C5953" s="35"/>
      <c r="D5953" s="20" t="s">
        <v>20</v>
      </c>
      <c r="E5953" s="21"/>
      <c r="F5953" s="43" t="s">
        <v>521</v>
      </c>
      <c r="G5953" s="22" t="str">
        <f t="shared" si="116"/>
        <v/>
      </c>
      <c r="H5953" s="23"/>
      <c r="I5953" s="24"/>
      <c r="J5953" s="138">
        <v>0</v>
      </c>
    </row>
    <row r="5954" spans="1:10" ht="15.75" hidden="1" thickBot="1" x14ac:dyDescent="0.3">
      <c r="A5954" s="234"/>
      <c r="B5954" s="223"/>
      <c r="C5954" s="152"/>
      <c r="D5954" s="26"/>
      <c r="E5954" s="153"/>
      <c r="F5954" s="48" t="s">
        <v>521</v>
      </c>
      <c r="G5954" s="48" t="str">
        <f t="shared" si="116"/>
        <v/>
      </c>
      <c r="H5954" s="67"/>
      <c r="I5954" s="68"/>
      <c r="J5954" s="138">
        <v>0</v>
      </c>
    </row>
    <row r="5955" spans="1:10" ht="15.75" hidden="1" thickBot="1" x14ac:dyDescent="0.3">
      <c r="A5955" s="234"/>
      <c r="B5955" s="223"/>
      <c r="C5955" s="30" t="s">
        <v>1703</v>
      </c>
      <c r="D5955" s="30" t="s">
        <v>20</v>
      </c>
      <c r="E5955" s="146">
        <v>1</v>
      </c>
      <c r="F5955" s="25">
        <v>1.5484999999999998</v>
      </c>
      <c r="G5955" s="48">
        <f t="shared" si="116"/>
        <v>1.5484999999999998</v>
      </c>
      <c r="H5955" s="33">
        <f>SUM(G5955:G5955)</f>
        <v>1.5484999999999998</v>
      </c>
      <c r="I5955" s="34"/>
      <c r="J5955" s="138">
        <v>0</v>
      </c>
    </row>
    <row r="5956" spans="1:10" ht="15.75" hidden="1" thickBot="1" x14ac:dyDescent="0.3">
      <c r="A5956" s="235"/>
      <c r="B5956" s="224"/>
      <c r="C5956" s="49"/>
      <c r="D5956" s="148"/>
      <c r="E5956" s="60"/>
      <c r="F5956" s="70" t="s">
        <v>521</v>
      </c>
      <c r="G5956" s="70" t="str">
        <f t="shared" si="116"/>
        <v/>
      </c>
      <c r="H5956" s="71"/>
      <c r="I5956" s="68"/>
      <c r="J5956" s="138">
        <v>0</v>
      </c>
    </row>
    <row r="5957" spans="1:10" ht="15.75" hidden="1" thickBot="1" x14ac:dyDescent="0.3">
      <c r="A5957" s="228" t="s">
        <v>2104</v>
      </c>
      <c r="B5957" s="222" t="e">
        <f>INDEX(Orçamentária!A:B,MATCH(Composições!A5957,Orçamentária!A:A,0),2)</f>
        <v>#N/A</v>
      </c>
      <c r="C5957" s="35"/>
      <c r="D5957" s="20" t="s">
        <v>20</v>
      </c>
      <c r="E5957" s="21"/>
      <c r="F5957" s="43" t="s">
        <v>521</v>
      </c>
      <c r="G5957" s="22" t="str">
        <f t="shared" si="116"/>
        <v/>
      </c>
      <c r="H5957" s="23"/>
      <c r="I5957" s="24"/>
      <c r="J5957" s="138">
        <v>0</v>
      </c>
    </row>
    <row r="5958" spans="1:10" ht="15.75" hidden="1" thickBot="1" x14ac:dyDescent="0.3">
      <c r="A5958" s="234"/>
      <c r="B5958" s="223"/>
      <c r="C5958" s="152"/>
      <c r="D5958" s="26"/>
      <c r="E5958" s="153"/>
      <c r="F5958" s="48" t="s">
        <v>521</v>
      </c>
      <c r="G5958" s="48" t="str">
        <f t="shared" si="116"/>
        <v/>
      </c>
      <c r="H5958" s="67"/>
      <c r="I5958" s="68"/>
      <c r="J5958" s="138">
        <v>0</v>
      </c>
    </row>
    <row r="5959" spans="1:10" ht="26.25" hidden="1" thickBot="1" x14ac:dyDescent="0.3">
      <c r="A5959" s="234"/>
      <c r="B5959" s="223"/>
      <c r="C5959" s="30" t="s">
        <v>1664</v>
      </c>
      <c r="D5959" s="30" t="s">
        <v>20</v>
      </c>
      <c r="E5959" s="146">
        <v>1</v>
      </c>
      <c r="F5959" s="25">
        <v>3.3344999999999998</v>
      </c>
      <c r="G5959" s="48">
        <f t="shared" si="116"/>
        <v>3.3344999999999998</v>
      </c>
      <c r="H5959" s="33">
        <f>SUM(G5959:G5959)</f>
        <v>3.3344999999999998</v>
      </c>
      <c r="I5959" s="34"/>
      <c r="J5959" s="138">
        <v>0</v>
      </c>
    </row>
    <row r="5960" spans="1:10" ht="15.75" hidden="1" thickBot="1" x14ac:dyDescent="0.3">
      <c r="A5960" s="235"/>
      <c r="B5960" s="224"/>
      <c r="C5960" s="49"/>
      <c r="D5960" s="148"/>
      <c r="E5960" s="60"/>
      <c r="F5960" s="70" t="s">
        <v>521</v>
      </c>
      <c r="G5960" s="70" t="str">
        <f t="shared" si="116"/>
        <v/>
      </c>
      <c r="H5960" s="71"/>
      <c r="I5960" s="68"/>
      <c r="J5960" s="138">
        <v>0</v>
      </c>
    </row>
    <row r="5961" spans="1:10" ht="15.75" hidden="1" thickBot="1" x14ac:dyDescent="0.3">
      <c r="A5961" s="228" t="s">
        <v>2105</v>
      </c>
      <c r="B5961" s="222" t="e">
        <f>INDEX(Orçamentária!A:B,MATCH(Composições!A5961,Orçamentária!A:A,0),2)</f>
        <v>#N/A</v>
      </c>
      <c r="C5961" s="35"/>
      <c r="D5961" s="20" t="s">
        <v>93</v>
      </c>
      <c r="E5961" s="21"/>
      <c r="F5961" s="43" t="s">
        <v>521</v>
      </c>
      <c r="G5961" s="22" t="str">
        <f t="shared" si="116"/>
        <v/>
      </c>
      <c r="H5961" s="23"/>
      <c r="I5961" s="24"/>
      <c r="J5961" s="138">
        <v>0</v>
      </c>
    </row>
    <row r="5962" spans="1:10" ht="15.75" hidden="1" thickBot="1" x14ac:dyDescent="0.3">
      <c r="A5962" s="234"/>
      <c r="B5962" s="223"/>
      <c r="C5962" s="152"/>
      <c r="D5962" s="26"/>
      <c r="E5962" s="153"/>
      <c r="F5962" s="48" t="s">
        <v>521</v>
      </c>
      <c r="G5962" s="48" t="str">
        <f t="shared" si="116"/>
        <v/>
      </c>
      <c r="H5962" s="67"/>
      <c r="I5962" s="68"/>
      <c r="J5962" s="138">
        <v>0</v>
      </c>
    </row>
    <row r="5963" spans="1:10" ht="15.75" hidden="1" thickBot="1" x14ac:dyDescent="0.3">
      <c r="A5963" s="234"/>
      <c r="B5963" s="223"/>
      <c r="C5963" s="30" t="s">
        <v>1678</v>
      </c>
      <c r="D5963" s="30" t="s">
        <v>93</v>
      </c>
      <c r="E5963" s="146">
        <v>1</v>
      </c>
      <c r="F5963" s="25">
        <v>8.0749999999999993</v>
      </c>
      <c r="G5963" s="48">
        <f t="shared" si="116"/>
        <v>8.0749999999999993</v>
      </c>
      <c r="H5963" s="33">
        <f>SUM(G5963:G5963)</f>
        <v>8.0749999999999993</v>
      </c>
      <c r="I5963" s="34"/>
      <c r="J5963" s="138">
        <v>0</v>
      </c>
    </row>
    <row r="5964" spans="1:10" ht="15.75" hidden="1" thickBot="1" x14ac:dyDescent="0.3">
      <c r="A5964" s="235"/>
      <c r="B5964" s="224"/>
      <c r="C5964" s="49"/>
      <c r="D5964" s="148"/>
      <c r="E5964" s="60"/>
      <c r="F5964" s="70" t="s">
        <v>521</v>
      </c>
      <c r="G5964" s="70" t="str">
        <f t="shared" si="116"/>
        <v/>
      </c>
      <c r="H5964" s="71"/>
      <c r="I5964" s="68"/>
      <c r="J5964" s="138">
        <v>0</v>
      </c>
    </row>
    <row r="5965" spans="1:10" ht="15.75" hidden="1" thickBot="1" x14ac:dyDescent="0.3">
      <c r="A5965" s="228" t="s">
        <v>2106</v>
      </c>
      <c r="B5965" s="222" t="e">
        <f>INDEX(Orçamentária!A:B,MATCH(Composições!A5965,Orçamentária!A:A,0),2)</f>
        <v>#N/A</v>
      </c>
      <c r="C5965" s="35"/>
      <c r="D5965" s="20" t="s">
        <v>20</v>
      </c>
      <c r="E5965" s="21"/>
      <c r="F5965" s="43" t="s">
        <v>521</v>
      </c>
      <c r="G5965" s="22" t="str">
        <f t="shared" si="116"/>
        <v/>
      </c>
      <c r="H5965" s="23"/>
      <c r="I5965" s="24"/>
      <c r="J5965" s="138">
        <v>0</v>
      </c>
    </row>
    <row r="5966" spans="1:10" ht="15.75" hidden="1" thickBot="1" x14ac:dyDescent="0.3">
      <c r="A5966" s="234"/>
      <c r="B5966" s="223"/>
      <c r="C5966" s="152"/>
      <c r="D5966" s="26"/>
      <c r="E5966" s="153"/>
      <c r="F5966" s="48" t="s">
        <v>521</v>
      </c>
      <c r="G5966" s="48" t="str">
        <f t="shared" si="116"/>
        <v/>
      </c>
      <c r="H5966" s="67"/>
      <c r="I5966" s="68"/>
      <c r="J5966" s="138">
        <v>0</v>
      </c>
    </row>
    <row r="5967" spans="1:10" ht="15.75" hidden="1" thickBot="1" x14ac:dyDescent="0.3">
      <c r="A5967" s="234"/>
      <c r="B5967" s="223"/>
      <c r="C5967" s="30" t="s">
        <v>1701</v>
      </c>
      <c r="D5967" s="30" t="s">
        <v>20</v>
      </c>
      <c r="E5967" s="146">
        <v>1</v>
      </c>
      <c r="F5967" s="25">
        <v>2.1564999999999999</v>
      </c>
      <c r="G5967" s="48">
        <f t="shared" si="116"/>
        <v>2.1564999999999999</v>
      </c>
      <c r="H5967" s="33">
        <f>SUM(G5967:G5967)</f>
        <v>2.1564999999999999</v>
      </c>
      <c r="I5967" s="34"/>
      <c r="J5967" s="138">
        <v>0</v>
      </c>
    </row>
    <row r="5968" spans="1:10" ht="15.75" hidden="1" thickBot="1" x14ac:dyDescent="0.3">
      <c r="A5968" s="235"/>
      <c r="B5968" s="224"/>
      <c r="C5968" s="49"/>
      <c r="D5968" s="148"/>
      <c r="E5968" s="60"/>
      <c r="F5968" s="70" t="s">
        <v>521</v>
      </c>
      <c r="G5968" s="70" t="str">
        <f t="shared" si="116"/>
        <v/>
      </c>
      <c r="H5968" s="71"/>
      <c r="I5968" s="68"/>
      <c r="J5968" s="138">
        <v>0</v>
      </c>
    </row>
    <row r="5969" spans="1:10" ht="15.75" hidden="1" thickBot="1" x14ac:dyDescent="0.3">
      <c r="A5969" s="228" t="s">
        <v>2107</v>
      </c>
      <c r="B5969" s="222" t="e">
        <f>INDEX(Orçamentária!A:B,MATCH(Composições!A5969,Orçamentária!A:A,0),2)</f>
        <v>#N/A</v>
      </c>
      <c r="C5969" s="35"/>
      <c r="D5969" s="20" t="s">
        <v>20</v>
      </c>
      <c r="E5969" s="21"/>
      <c r="F5969" s="43" t="s">
        <v>521</v>
      </c>
      <c r="G5969" s="22" t="str">
        <f t="shared" si="116"/>
        <v/>
      </c>
      <c r="H5969" s="23"/>
      <c r="I5969" s="24"/>
      <c r="J5969" s="138">
        <v>0</v>
      </c>
    </row>
    <row r="5970" spans="1:10" ht="15.75" hidden="1" thickBot="1" x14ac:dyDescent="0.3">
      <c r="A5970" s="234"/>
      <c r="B5970" s="223"/>
      <c r="C5970" s="152"/>
      <c r="D5970" s="26"/>
      <c r="E5970" s="153"/>
      <c r="F5970" s="48" t="s">
        <v>521</v>
      </c>
      <c r="G5970" s="48" t="str">
        <f t="shared" si="116"/>
        <v/>
      </c>
      <c r="H5970" s="67"/>
      <c r="I5970" s="68"/>
      <c r="J5970" s="138">
        <v>0</v>
      </c>
    </row>
    <row r="5971" spans="1:10" ht="26.25" hidden="1" thickBot="1" x14ac:dyDescent="0.3">
      <c r="A5971" s="234"/>
      <c r="B5971" s="223"/>
      <c r="C5971" s="30" t="s">
        <v>1663</v>
      </c>
      <c r="D5971" s="30" t="s">
        <v>20</v>
      </c>
      <c r="E5971" s="146">
        <v>1</v>
      </c>
      <c r="F5971" s="25">
        <v>4.607499999999999</v>
      </c>
      <c r="G5971" s="48">
        <f t="shared" si="116"/>
        <v>4.607499999999999</v>
      </c>
      <c r="H5971" s="33">
        <f>SUM(G5971:G5971)</f>
        <v>4.607499999999999</v>
      </c>
      <c r="I5971" s="34"/>
      <c r="J5971" s="138">
        <v>0</v>
      </c>
    </row>
    <row r="5972" spans="1:10" ht="15.75" hidden="1" thickBot="1" x14ac:dyDescent="0.3">
      <c r="A5972" s="235"/>
      <c r="B5972" s="224"/>
      <c r="C5972" s="49"/>
      <c r="D5972" s="148"/>
      <c r="E5972" s="60"/>
      <c r="F5972" s="70" t="s">
        <v>521</v>
      </c>
      <c r="G5972" s="70" t="str">
        <f t="shared" si="116"/>
        <v/>
      </c>
      <c r="H5972" s="71"/>
      <c r="I5972" s="68"/>
      <c r="J5972" s="138">
        <v>0</v>
      </c>
    </row>
    <row r="5973" spans="1:10" ht="15.75" hidden="1" thickBot="1" x14ac:dyDescent="0.3">
      <c r="A5973" s="228" t="s">
        <v>2108</v>
      </c>
      <c r="B5973" s="222" t="e">
        <f>INDEX(Orçamentária!A:B,MATCH(Composições!A5973,Orçamentária!A:A,0),2)</f>
        <v>#N/A</v>
      </c>
      <c r="C5973" s="35"/>
      <c r="D5973" s="20" t="s">
        <v>93</v>
      </c>
      <c r="E5973" s="21"/>
      <c r="F5973" s="43" t="s">
        <v>521</v>
      </c>
      <c r="G5973" s="22" t="str">
        <f t="shared" si="116"/>
        <v/>
      </c>
      <c r="H5973" s="23"/>
      <c r="I5973" s="24"/>
      <c r="J5973" s="138">
        <v>0</v>
      </c>
    </row>
    <row r="5974" spans="1:10" ht="15.75" hidden="1" thickBot="1" x14ac:dyDescent="0.3">
      <c r="A5974" s="234"/>
      <c r="B5974" s="223"/>
      <c r="C5974" s="152"/>
      <c r="D5974" s="26"/>
      <c r="E5974" s="153"/>
      <c r="F5974" s="48" t="s">
        <v>521</v>
      </c>
      <c r="G5974" s="48" t="str">
        <f t="shared" si="116"/>
        <v/>
      </c>
      <c r="H5974" s="67"/>
      <c r="I5974" s="68"/>
      <c r="J5974" s="138">
        <v>0</v>
      </c>
    </row>
    <row r="5975" spans="1:10" ht="15.75" hidden="1" thickBot="1" x14ac:dyDescent="0.3">
      <c r="A5975" s="234"/>
      <c r="B5975" s="223"/>
      <c r="C5975" s="30" t="s">
        <v>1680</v>
      </c>
      <c r="D5975" s="30" t="s">
        <v>93</v>
      </c>
      <c r="E5975" s="146">
        <v>1</v>
      </c>
      <c r="F5975" s="25">
        <v>10.754</v>
      </c>
      <c r="G5975" s="48">
        <f t="shared" si="116"/>
        <v>10.754</v>
      </c>
      <c r="H5975" s="33">
        <f>SUM(G5975:G5975)</f>
        <v>10.754</v>
      </c>
      <c r="I5975" s="34"/>
      <c r="J5975" s="138">
        <v>0</v>
      </c>
    </row>
    <row r="5976" spans="1:10" ht="15.75" hidden="1" thickBot="1" x14ac:dyDescent="0.3">
      <c r="A5976" s="235"/>
      <c r="B5976" s="224"/>
      <c r="C5976" s="49"/>
      <c r="D5976" s="148"/>
      <c r="E5976" s="60"/>
      <c r="F5976" s="70" t="s">
        <v>521</v>
      </c>
      <c r="G5976" s="70" t="str">
        <f t="shared" si="116"/>
        <v/>
      </c>
      <c r="H5976" s="71"/>
      <c r="I5976" s="68"/>
      <c r="J5976" s="138">
        <v>0</v>
      </c>
    </row>
    <row r="5977" spans="1:10" ht="15.75" hidden="1" thickBot="1" x14ac:dyDescent="0.3">
      <c r="A5977" s="228" t="s">
        <v>2109</v>
      </c>
      <c r="B5977" s="222" t="e">
        <f>INDEX(Orçamentária!A:B,MATCH(Composições!A5977,Orçamentária!A:A,0),2)</f>
        <v>#N/A</v>
      </c>
      <c r="C5977" s="35"/>
      <c r="D5977" s="20" t="s">
        <v>20</v>
      </c>
      <c r="E5977" s="21"/>
      <c r="F5977" s="43" t="s">
        <v>521</v>
      </c>
      <c r="G5977" s="22" t="str">
        <f t="shared" si="116"/>
        <v/>
      </c>
      <c r="H5977" s="23"/>
      <c r="I5977" s="24"/>
      <c r="J5977" s="138">
        <v>0</v>
      </c>
    </row>
    <row r="5978" spans="1:10" ht="15.75" hidden="1" thickBot="1" x14ac:dyDescent="0.3">
      <c r="A5978" s="234"/>
      <c r="B5978" s="223"/>
      <c r="C5978" s="152"/>
      <c r="D5978" s="26"/>
      <c r="E5978" s="153"/>
      <c r="F5978" s="48" t="s">
        <v>521</v>
      </c>
      <c r="G5978" s="48" t="str">
        <f t="shared" si="116"/>
        <v/>
      </c>
      <c r="H5978" s="67"/>
      <c r="I5978" s="68"/>
      <c r="J5978" s="138">
        <v>0</v>
      </c>
    </row>
    <row r="5979" spans="1:10" ht="15.75" hidden="1" thickBot="1" x14ac:dyDescent="0.3">
      <c r="A5979" s="234"/>
      <c r="B5979" s="223"/>
      <c r="C5979" s="30" t="s">
        <v>1700</v>
      </c>
      <c r="D5979" s="30" t="s">
        <v>20</v>
      </c>
      <c r="E5979" s="146">
        <v>1</v>
      </c>
      <c r="F5979" s="25">
        <v>3.3439999999999999</v>
      </c>
      <c r="G5979" s="48">
        <f t="shared" si="116"/>
        <v>3.3439999999999999</v>
      </c>
      <c r="H5979" s="33">
        <f>SUM(G5979:G5979)</f>
        <v>3.3439999999999999</v>
      </c>
      <c r="I5979" s="34"/>
      <c r="J5979" s="138">
        <v>0</v>
      </c>
    </row>
    <row r="5980" spans="1:10" ht="15.75" hidden="1" thickBot="1" x14ac:dyDescent="0.3">
      <c r="A5980" s="235"/>
      <c r="B5980" s="224"/>
      <c r="C5980" s="49"/>
      <c r="D5980" s="148"/>
      <c r="E5980" s="60"/>
      <c r="F5980" s="70" t="s">
        <v>521</v>
      </c>
      <c r="G5980" s="70" t="str">
        <f t="shared" si="116"/>
        <v/>
      </c>
      <c r="H5980" s="71"/>
      <c r="I5980" s="68"/>
      <c r="J5980" s="138">
        <v>0</v>
      </c>
    </row>
    <row r="5981" spans="1:10" ht="15.75" hidden="1" thickBot="1" x14ac:dyDescent="0.3">
      <c r="A5981" s="228" t="s">
        <v>2110</v>
      </c>
      <c r="B5981" s="222" t="e">
        <f>INDEX(Orçamentária!A:B,MATCH(Composições!A5981,Orçamentária!A:A,0),2)</f>
        <v>#N/A</v>
      </c>
      <c r="C5981" s="35"/>
      <c r="D5981" s="20" t="s">
        <v>20</v>
      </c>
      <c r="E5981" s="21"/>
      <c r="F5981" s="43" t="s">
        <v>521</v>
      </c>
      <c r="G5981" s="22" t="str">
        <f t="shared" si="116"/>
        <v/>
      </c>
      <c r="H5981" s="23"/>
      <c r="I5981" s="24"/>
      <c r="J5981" s="138">
        <v>0</v>
      </c>
    </row>
    <row r="5982" spans="1:10" ht="15.75" hidden="1" thickBot="1" x14ac:dyDescent="0.3">
      <c r="A5982" s="234"/>
      <c r="B5982" s="223"/>
      <c r="C5982" s="152"/>
      <c r="D5982" s="26"/>
      <c r="E5982" s="153"/>
      <c r="F5982" s="48" t="s">
        <v>521</v>
      </c>
      <c r="G5982" s="48" t="str">
        <f t="shared" si="116"/>
        <v/>
      </c>
      <c r="H5982" s="67"/>
      <c r="I5982" s="68"/>
      <c r="J5982" s="138">
        <v>0</v>
      </c>
    </row>
    <row r="5983" spans="1:10" ht="26.25" hidden="1" thickBot="1" x14ac:dyDescent="0.3">
      <c r="A5983" s="234"/>
      <c r="B5983" s="223"/>
      <c r="C5983" s="30" t="s">
        <v>1666</v>
      </c>
      <c r="D5983" s="30" t="s">
        <v>20</v>
      </c>
      <c r="E5983" s="146">
        <v>1</v>
      </c>
      <c r="F5983" s="25">
        <v>6.0895000000000001</v>
      </c>
      <c r="G5983" s="48">
        <f t="shared" si="116"/>
        <v>6.0895000000000001</v>
      </c>
      <c r="H5983" s="33">
        <f>SUM(G5983:G5983)</f>
        <v>6.0895000000000001</v>
      </c>
      <c r="I5983" s="34"/>
      <c r="J5983" s="138">
        <v>0</v>
      </c>
    </row>
    <row r="5984" spans="1:10" ht="15.75" hidden="1" thickBot="1" x14ac:dyDescent="0.3">
      <c r="A5984" s="235"/>
      <c r="B5984" s="224"/>
      <c r="C5984" s="49"/>
      <c r="D5984" s="148"/>
      <c r="E5984" s="60"/>
      <c r="F5984" s="70" t="s">
        <v>521</v>
      </c>
      <c r="G5984" s="70" t="str">
        <f t="shared" si="116"/>
        <v/>
      </c>
      <c r="H5984" s="71"/>
      <c r="I5984" s="68"/>
      <c r="J5984" s="138">
        <v>0</v>
      </c>
    </row>
    <row r="5985" spans="1:10" ht="15.75" hidden="1" thickBot="1" x14ac:dyDescent="0.3">
      <c r="A5985" s="228" t="s">
        <v>2111</v>
      </c>
      <c r="B5985" s="222" t="e">
        <f>INDEX(Orçamentária!A:B,MATCH(Composições!A5985,Orçamentária!A:A,0),2)</f>
        <v>#N/A</v>
      </c>
      <c r="C5985" s="35"/>
      <c r="D5985" s="20" t="s">
        <v>93</v>
      </c>
      <c r="E5985" s="21"/>
      <c r="F5985" s="43" t="s">
        <v>521</v>
      </c>
      <c r="G5985" s="22" t="str">
        <f t="shared" si="116"/>
        <v/>
      </c>
      <c r="H5985" s="23"/>
      <c r="I5985" s="24"/>
      <c r="J5985" s="138">
        <v>0</v>
      </c>
    </row>
    <row r="5986" spans="1:10" ht="15.75" hidden="1" thickBot="1" x14ac:dyDescent="0.3">
      <c r="A5986" s="234"/>
      <c r="B5986" s="223"/>
      <c r="C5986" s="152"/>
      <c r="D5986" s="26"/>
      <c r="E5986" s="153"/>
      <c r="F5986" s="48" t="s">
        <v>521</v>
      </c>
      <c r="G5986" s="48" t="str">
        <f t="shared" si="116"/>
        <v/>
      </c>
      <c r="H5986" s="67"/>
      <c r="I5986" s="68"/>
      <c r="J5986" s="138">
        <v>0</v>
      </c>
    </row>
    <row r="5987" spans="1:10" ht="15.75" hidden="1" thickBot="1" x14ac:dyDescent="0.3">
      <c r="A5987" s="234"/>
      <c r="B5987" s="223"/>
      <c r="C5987" s="30" t="s">
        <v>1679</v>
      </c>
      <c r="D5987" s="30" t="s">
        <v>93</v>
      </c>
      <c r="E5987" s="146">
        <v>1</v>
      </c>
      <c r="F5987" s="25">
        <v>11.818</v>
      </c>
      <c r="G5987" s="48">
        <f t="shared" si="116"/>
        <v>11.818</v>
      </c>
      <c r="H5987" s="33">
        <f>SUM(G5987:G5987)</f>
        <v>11.818</v>
      </c>
      <c r="I5987" s="34"/>
      <c r="J5987" s="138">
        <v>0</v>
      </c>
    </row>
    <row r="5988" spans="1:10" ht="15.75" hidden="1" thickBot="1" x14ac:dyDescent="0.3">
      <c r="A5988" s="235"/>
      <c r="B5988" s="224"/>
      <c r="C5988" s="49"/>
      <c r="D5988" s="148"/>
      <c r="E5988" s="60"/>
      <c r="F5988" s="70" t="s">
        <v>521</v>
      </c>
      <c r="G5988" s="70" t="str">
        <f t="shared" si="116"/>
        <v/>
      </c>
      <c r="H5988" s="71"/>
      <c r="I5988" s="68"/>
      <c r="J5988" s="138">
        <v>0</v>
      </c>
    </row>
    <row r="5989" spans="1:10" ht="15.75" hidden="1" thickBot="1" x14ac:dyDescent="0.3">
      <c r="A5989" s="228" t="s">
        <v>2112</v>
      </c>
      <c r="B5989" s="222" t="e">
        <f>INDEX(Orçamentária!A:B,MATCH(Composições!A5989,Orçamentária!A:A,0),2)</f>
        <v>#N/A</v>
      </c>
      <c r="C5989" s="35"/>
      <c r="D5989" s="20" t="s">
        <v>20</v>
      </c>
      <c r="E5989" s="21"/>
      <c r="F5989" s="43" t="s">
        <v>521</v>
      </c>
      <c r="G5989" s="22" t="str">
        <f t="shared" si="116"/>
        <v/>
      </c>
      <c r="H5989" s="23"/>
      <c r="I5989" s="24"/>
      <c r="J5989" s="138">
        <v>0</v>
      </c>
    </row>
    <row r="5990" spans="1:10" ht="15.75" hidden="1" thickBot="1" x14ac:dyDescent="0.3">
      <c r="A5990" s="234"/>
      <c r="B5990" s="223"/>
      <c r="C5990" s="152"/>
      <c r="D5990" s="26"/>
      <c r="E5990" s="153"/>
      <c r="F5990" s="48" t="s">
        <v>521</v>
      </c>
      <c r="G5990" s="48" t="str">
        <f t="shared" si="116"/>
        <v/>
      </c>
      <c r="H5990" s="67"/>
      <c r="I5990" s="68"/>
      <c r="J5990" s="138">
        <v>0</v>
      </c>
    </row>
    <row r="5991" spans="1:10" ht="15.75" hidden="1" thickBot="1" x14ac:dyDescent="0.3">
      <c r="A5991" s="234"/>
      <c r="B5991" s="223"/>
      <c r="C5991" s="30" t="s">
        <v>1699</v>
      </c>
      <c r="D5991" s="30" t="s">
        <v>20</v>
      </c>
      <c r="E5991" s="146">
        <v>1</v>
      </c>
      <c r="F5991" s="25">
        <v>4.5979999999999999</v>
      </c>
      <c r="G5991" s="48">
        <f t="shared" si="116"/>
        <v>4.5979999999999999</v>
      </c>
      <c r="H5991" s="33">
        <f>SUM(G5991:G5991)</f>
        <v>4.5979999999999999</v>
      </c>
      <c r="I5991" s="34"/>
      <c r="J5991" s="138">
        <v>0</v>
      </c>
    </row>
    <row r="5992" spans="1:10" ht="15.75" hidden="1" thickBot="1" x14ac:dyDescent="0.3">
      <c r="A5992" s="235"/>
      <c r="B5992" s="224"/>
      <c r="C5992" s="49"/>
      <c r="D5992" s="148"/>
      <c r="E5992" s="60"/>
      <c r="F5992" s="70" t="s">
        <v>521</v>
      </c>
      <c r="G5992" s="70" t="str">
        <f t="shared" si="116"/>
        <v/>
      </c>
      <c r="H5992" s="71"/>
      <c r="I5992" s="68"/>
      <c r="J5992" s="138">
        <v>0</v>
      </c>
    </row>
    <row r="5993" spans="1:10" ht="15.75" hidden="1" thickBot="1" x14ac:dyDescent="0.3">
      <c r="A5993" s="228" t="s">
        <v>2113</v>
      </c>
      <c r="B5993" s="222" t="e">
        <f>INDEX(Orçamentária!A:B,MATCH(Composições!A5993,Orçamentária!A:A,0),2)</f>
        <v>#N/A</v>
      </c>
      <c r="C5993" s="35"/>
      <c r="D5993" s="20" t="s">
        <v>20</v>
      </c>
      <c r="E5993" s="21"/>
      <c r="F5993" s="43" t="s">
        <v>521</v>
      </c>
      <c r="G5993" s="22" t="str">
        <f t="shared" si="116"/>
        <v/>
      </c>
      <c r="H5993" s="23"/>
      <c r="I5993" s="24"/>
      <c r="J5993" s="138">
        <v>0</v>
      </c>
    </row>
    <row r="5994" spans="1:10" ht="15.75" hidden="1" thickBot="1" x14ac:dyDescent="0.3">
      <c r="A5994" s="234"/>
      <c r="B5994" s="223"/>
      <c r="C5994" s="152"/>
      <c r="D5994" s="26"/>
      <c r="E5994" s="153"/>
      <c r="F5994" s="48" t="s">
        <v>521</v>
      </c>
      <c r="G5994" s="48" t="str">
        <f t="shared" si="116"/>
        <v/>
      </c>
      <c r="H5994" s="67"/>
      <c r="I5994" s="68"/>
      <c r="J5994" s="138">
        <v>0</v>
      </c>
    </row>
    <row r="5995" spans="1:10" ht="26.25" hidden="1" thickBot="1" x14ac:dyDescent="0.3">
      <c r="A5995" s="234"/>
      <c r="B5995" s="223"/>
      <c r="C5995" s="30" t="s">
        <v>1665</v>
      </c>
      <c r="D5995" s="30" t="s">
        <v>20</v>
      </c>
      <c r="E5995" s="146">
        <v>1</v>
      </c>
      <c r="F5995" s="25">
        <v>7.3719999999999999</v>
      </c>
      <c r="G5995" s="48">
        <f t="shared" si="116"/>
        <v>7.3719999999999999</v>
      </c>
      <c r="H5995" s="33">
        <f>SUM(G5995:G5995)</f>
        <v>7.3719999999999999</v>
      </c>
      <c r="I5995" s="34"/>
      <c r="J5995" s="138">
        <v>0</v>
      </c>
    </row>
    <row r="5996" spans="1:10" ht="15.75" hidden="1" thickBot="1" x14ac:dyDescent="0.3">
      <c r="A5996" s="235"/>
      <c r="B5996" s="224"/>
      <c r="C5996" s="49"/>
      <c r="D5996" s="148"/>
      <c r="E5996" s="60"/>
      <c r="F5996" s="70" t="s">
        <v>521</v>
      </c>
      <c r="G5996" s="70" t="str">
        <f t="shared" si="116"/>
        <v/>
      </c>
      <c r="H5996" s="71"/>
      <c r="I5996" s="68"/>
      <c r="J5996" s="138">
        <v>0</v>
      </c>
    </row>
    <row r="5997" spans="1:10" ht="15.75" hidden="1" thickBot="1" x14ac:dyDescent="0.3">
      <c r="A5997" s="228" t="s">
        <v>2114</v>
      </c>
      <c r="B5997" s="222" t="e">
        <f>INDEX(Orçamentária!A:B,MATCH(Composições!A5997,Orçamentária!A:A,0),2)</f>
        <v>#N/A</v>
      </c>
      <c r="C5997" s="35"/>
      <c r="D5997" s="20" t="s">
        <v>93</v>
      </c>
      <c r="E5997" s="21"/>
      <c r="F5997" s="43" t="s">
        <v>521</v>
      </c>
      <c r="G5997" s="22" t="str">
        <f t="shared" si="116"/>
        <v/>
      </c>
      <c r="H5997" s="23"/>
      <c r="I5997" s="24"/>
      <c r="J5997" s="138">
        <v>0</v>
      </c>
    </row>
    <row r="5998" spans="1:10" ht="15.75" hidden="1" thickBot="1" x14ac:dyDescent="0.3">
      <c r="A5998" s="234"/>
      <c r="B5998" s="223"/>
      <c r="C5998" s="152"/>
      <c r="D5998" s="26"/>
      <c r="E5998" s="153"/>
      <c r="F5998" s="48" t="s">
        <v>521</v>
      </c>
      <c r="G5998" s="48" t="str">
        <f t="shared" si="116"/>
        <v/>
      </c>
      <c r="H5998" s="67"/>
      <c r="I5998" s="68"/>
      <c r="J5998" s="138">
        <v>0</v>
      </c>
    </row>
    <row r="5999" spans="1:10" ht="15.75" hidden="1" thickBot="1" x14ac:dyDescent="0.3">
      <c r="A5999" s="234"/>
      <c r="B5999" s="223"/>
      <c r="C5999" s="30" t="s">
        <v>1681</v>
      </c>
      <c r="D5999" s="30" t="s">
        <v>93</v>
      </c>
      <c r="E5999" s="146">
        <v>1</v>
      </c>
      <c r="F5999" s="25">
        <v>19.313499999999998</v>
      </c>
      <c r="G5999" s="48">
        <f t="shared" si="116"/>
        <v>19.313499999999998</v>
      </c>
      <c r="H5999" s="33">
        <f>SUM(G5999:G5999)</f>
        <v>19.313499999999998</v>
      </c>
      <c r="I5999" s="34"/>
      <c r="J5999" s="138">
        <v>0</v>
      </c>
    </row>
    <row r="6000" spans="1:10" ht="15.75" hidden="1" thickBot="1" x14ac:dyDescent="0.3">
      <c r="A6000" s="235"/>
      <c r="B6000" s="224"/>
      <c r="C6000" s="49"/>
      <c r="D6000" s="148"/>
      <c r="E6000" s="60"/>
      <c r="F6000" s="70" t="s">
        <v>521</v>
      </c>
      <c r="G6000" s="70" t="str">
        <f t="shared" si="116"/>
        <v/>
      </c>
      <c r="H6000" s="71"/>
      <c r="I6000" s="68"/>
      <c r="J6000" s="138">
        <v>0</v>
      </c>
    </row>
    <row r="6001" spans="1:10" ht="15.75" hidden="1" thickBot="1" x14ac:dyDescent="0.3">
      <c r="A6001" s="228" t="s">
        <v>2115</v>
      </c>
      <c r="B6001" s="222" t="e">
        <f>INDEX(Orçamentária!A:B,MATCH(Composições!A6001,Orçamentária!A:A,0),2)</f>
        <v>#N/A</v>
      </c>
      <c r="C6001" s="35"/>
      <c r="D6001" s="20" t="s">
        <v>20</v>
      </c>
      <c r="E6001" s="21"/>
      <c r="F6001" s="43" t="s">
        <v>521</v>
      </c>
      <c r="G6001" s="22" t="str">
        <f t="shared" si="116"/>
        <v/>
      </c>
      <c r="H6001" s="23"/>
      <c r="I6001" s="24"/>
      <c r="J6001" s="138">
        <v>0</v>
      </c>
    </row>
    <row r="6002" spans="1:10" ht="15.75" hidden="1" thickBot="1" x14ac:dyDescent="0.3">
      <c r="A6002" s="234"/>
      <c r="B6002" s="223"/>
      <c r="C6002" s="152"/>
      <c r="D6002" s="26"/>
      <c r="E6002" s="153"/>
      <c r="F6002" s="48" t="s">
        <v>521</v>
      </c>
      <c r="G6002" s="48" t="str">
        <f t="shared" si="116"/>
        <v/>
      </c>
      <c r="H6002" s="67"/>
      <c r="I6002" s="68"/>
      <c r="J6002" s="138">
        <v>0</v>
      </c>
    </row>
    <row r="6003" spans="1:10" ht="15.75" hidden="1" thickBot="1" x14ac:dyDescent="0.3">
      <c r="A6003" s="234"/>
      <c r="B6003" s="223"/>
      <c r="C6003" s="30" t="s">
        <v>1702</v>
      </c>
      <c r="D6003" s="30" t="s">
        <v>20</v>
      </c>
      <c r="E6003" s="146">
        <v>1</v>
      </c>
      <c r="F6003" s="25">
        <v>6.6594999999999995</v>
      </c>
      <c r="G6003" s="48">
        <f t="shared" si="116"/>
        <v>6.6594999999999995</v>
      </c>
      <c r="H6003" s="33">
        <f>SUM(G6003:G6003)</f>
        <v>6.6594999999999995</v>
      </c>
      <c r="I6003" s="34"/>
      <c r="J6003" s="138">
        <v>0</v>
      </c>
    </row>
    <row r="6004" spans="1:10" ht="15.75" hidden="1" thickBot="1" x14ac:dyDescent="0.3">
      <c r="A6004" s="235"/>
      <c r="B6004" s="224"/>
      <c r="C6004" s="49"/>
      <c r="D6004" s="148"/>
      <c r="E6004" s="60"/>
      <c r="F6004" s="70" t="s">
        <v>521</v>
      </c>
      <c r="G6004" s="70" t="str">
        <f t="shared" si="116"/>
        <v/>
      </c>
      <c r="H6004" s="71"/>
      <c r="I6004" s="68"/>
      <c r="J6004" s="138">
        <v>0</v>
      </c>
    </row>
    <row r="6005" spans="1:10" ht="15.75" hidden="1" thickBot="1" x14ac:dyDescent="0.3">
      <c r="A6005" s="228" t="s">
        <v>2116</v>
      </c>
      <c r="B6005" s="222" t="e">
        <f>INDEX(Orçamentária!A:B,MATCH(Composições!A6005,Orçamentária!A:A,0),2)</f>
        <v>#N/A</v>
      </c>
      <c r="C6005" s="35"/>
      <c r="D6005" s="20" t="s">
        <v>20</v>
      </c>
      <c r="E6005" s="21"/>
      <c r="F6005" s="43" t="s">
        <v>521</v>
      </c>
      <c r="G6005" s="22" t="str">
        <f t="shared" si="116"/>
        <v/>
      </c>
      <c r="H6005" s="23"/>
      <c r="I6005" s="24"/>
      <c r="J6005" s="138">
        <v>0</v>
      </c>
    </row>
    <row r="6006" spans="1:10" ht="15.75" hidden="1" thickBot="1" x14ac:dyDescent="0.3">
      <c r="A6006" s="234"/>
      <c r="B6006" s="223"/>
      <c r="C6006" s="152"/>
      <c r="D6006" s="26"/>
      <c r="E6006" s="153"/>
      <c r="F6006" s="48" t="s">
        <v>521</v>
      </c>
      <c r="G6006" s="48" t="str">
        <f t="shared" si="116"/>
        <v/>
      </c>
      <c r="H6006" s="67"/>
      <c r="I6006" s="68"/>
      <c r="J6006" s="138">
        <v>0</v>
      </c>
    </row>
    <row r="6007" spans="1:10" ht="26.25" hidden="1" thickBot="1" x14ac:dyDescent="0.3">
      <c r="A6007" s="234"/>
      <c r="B6007" s="223"/>
      <c r="C6007" s="30" t="s">
        <v>1667</v>
      </c>
      <c r="D6007" s="30" t="s">
        <v>20</v>
      </c>
      <c r="E6007" s="146">
        <v>1</v>
      </c>
      <c r="F6007" s="25">
        <v>11.979499999999998</v>
      </c>
      <c r="G6007" s="48">
        <f t="shared" si="116"/>
        <v>11.979499999999998</v>
      </c>
      <c r="H6007" s="33">
        <f>SUM(G6007:G6007)</f>
        <v>11.979499999999998</v>
      </c>
      <c r="I6007" s="34"/>
      <c r="J6007" s="138">
        <v>0</v>
      </c>
    </row>
    <row r="6008" spans="1:10" ht="15.75" hidden="1" thickBot="1" x14ac:dyDescent="0.3">
      <c r="A6008" s="235"/>
      <c r="B6008" s="224"/>
      <c r="C6008" s="49"/>
      <c r="D6008" s="148"/>
      <c r="E6008" s="60"/>
      <c r="F6008" s="70" t="s">
        <v>521</v>
      </c>
      <c r="G6008" s="70" t="str">
        <f t="shared" si="116"/>
        <v/>
      </c>
      <c r="H6008" s="71"/>
      <c r="I6008" s="68"/>
      <c r="J6008" s="138">
        <v>0</v>
      </c>
    </row>
    <row r="6009" spans="1:10" ht="15.75" hidden="1" thickBot="1" x14ac:dyDescent="0.3">
      <c r="A6009" s="228" t="s">
        <v>2117</v>
      </c>
      <c r="B6009" s="222" t="e">
        <f>INDEX(Orçamentária!A:B,MATCH(Composições!A6009,Orçamentária!A:A,0),2)</f>
        <v>#N/A</v>
      </c>
      <c r="C6009" s="35"/>
      <c r="D6009" s="20" t="s">
        <v>93</v>
      </c>
      <c r="E6009" s="21"/>
      <c r="F6009" s="43" t="s">
        <v>521</v>
      </c>
      <c r="G6009" s="22" t="str">
        <f t="shared" si="116"/>
        <v/>
      </c>
      <c r="H6009" s="23"/>
      <c r="I6009" s="24"/>
      <c r="J6009" s="138">
        <v>0</v>
      </c>
    </row>
    <row r="6010" spans="1:10" ht="15.75" hidden="1" thickBot="1" x14ac:dyDescent="0.3">
      <c r="A6010" s="234"/>
      <c r="B6010" s="223"/>
      <c r="C6010" s="152"/>
      <c r="D6010" s="26"/>
      <c r="E6010" s="153"/>
      <c r="F6010" s="48" t="s">
        <v>521</v>
      </c>
      <c r="G6010" s="48" t="str">
        <f t="shared" si="116"/>
        <v/>
      </c>
      <c r="H6010" s="67"/>
      <c r="I6010" s="68"/>
      <c r="J6010" s="138">
        <v>0</v>
      </c>
    </row>
    <row r="6011" spans="1:10" ht="15.75" hidden="1" thickBot="1" x14ac:dyDescent="0.3">
      <c r="A6011" s="234"/>
      <c r="B6011" s="223"/>
      <c r="C6011" s="30" t="s">
        <v>1682</v>
      </c>
      <c r="D6011" s="30" t="s">
        <v>93</v>
      </c>
      <c r="E6011" s="146">
        <v>1</v>
      </c>
      <c r="F6011" s="25">
        <v>35.340000000000003</v>
      </c>
      <c r="G6011" s="48">
        <f t="shared" si="116"/>
        <v>35.340000000000003</v>
      </c>
      <c r="H6011" s="33">
        <f>SUM(G6011:G6011)</f>
        <v>35.340000000000003</v>
      </c>
      <c r="I6011" s="34"/>
      <c r="J6011" s="138">
        <v>0</v>
      </c>
    </row>
    <row r="6012" spans="1:10" ht="15.75" hidden="1" thickBot="1" x14ac:dyDescent="0.3">
      <c r="A6012" s="235"/>
      <c r="B6012" s="224"/>
      <c r="C6012" s="49"/>
      <c r="D6012" s="148"/>
      <c r="E6012" s="60"/>
      <c r="F6012" s="70" t="s">
        <v>521</v>
      </c>
      <c r="G6012" s="70" t="str">
        <f t="shared" si="116"/>
        <v/>
      </c>
      <c r="H6012" s="71"/>
      <c r="I6012" s="68"/>
      <c r="J6012" s="138">
        <v>0</v>
      </c>
    </row>
    <row r="6013" spans="1:10" ht="15.75" hidden="1" thickBot="1" x14ac:dyDescent="0.3">
      <c r="A6013" s="228" t="s">
        <v>2118</v>
      </c>
      <c r="B6013" s="222" t="e">
        <f>INDEX(Orçamentária!A:B,MATCH(Composições!A6013,Orçamentária!A:A,0),2)</f>
        <v>#N/A</v>
      </c>
      <c r="C6013" s="35"/>
      <c r="D6013" s="20" t="s">
        <v>20</v>
      </c>
      <c r="E6013" s="21"/>
      <c r="F6013" s="43" t="s">
        <v>521</v>
      </c>
      <c r="G6013" s="22" t="str">
        <f t="shared" ref="G6013:G6076" si="117">IF(ISNUMBER(F6013),E6013*F6013,"")</f>
        <v/>
      </c>
      <c r="H6013" s="23"/>
      <c r="I6013" s="24"/>
      <c r="J6013" s="138">
        <v>0</v>
      </c>
    </row>
    <row r="6014" spans="1:10" ht="15.75" hidden="1" thickBot="1" x14ac:dyDescent="0.3">
      <c r="A6014" s="234"/>
      <c r="B6014" s="223"/>
      <c r="C6014" s="152"/>
      <c r="D6014" s="26"/>
      <c r="E6014" s="153"/>
      <c r="F6014" s="48" t="s">
        <v>521</v>
      </c>
      <c r="G6014" s="48" t="str">
        <f t="shared" si="117"/>
        <v/>
      </c>
      <c r="H6014" s="67"/>
      <c r="I6014" s="68"/>
      <c r="J6014" s="138">
        <v>0</v>
      </c>
    </row>
    <row r="6015" spans="1:10" ht="15.75" hidden="1" thickBot="1" x14ac:dyDescent="0.3">
      <c r="A6015" s="234"/>
      <c r="B6015" s="223"/>
      <c r="C6015" s="30" t="s">
        <v>1704</v>
      </c>
      <c r="D6015" s="30" t="s">
        <v>20</v>
      </c>
      <c r="E6015" s="146">
        <v>1</v>
      </c>
      <c r="F6015" s="25">
        <v>19.883499999999998</v>
      </c>
      <c r="G6015" s="48">
        <f t="shared" si="117"/>
        <v>19.883499999999998</v>
      </c>
      <c r="H6015" s="33">
        <f>SUM(G6015:G6015)</f>
        <v>19.883499999999998</v>
      </c>
      <c r="I6015" s="34"/>
      <c r="J6015" s="138">
        <v>0</v>
      </c>
    </row>
    <row r="6016" spans="1:10" ht="15.75" hidden="1" thickBot="1" x14ac:dyDescent="0.3">
      <c r="A6016" s="235"/>
      <c r="B6016" s="224"/>
      <c r="C6016" s="49"/>
      <c r="D6016" s="148"/>
      <c r="E6016" s="60"/>
      <c r="F6016" s="70" t="s">
        <v>521</v>
      </c>
      <c r="G6016" s="70" t="str">
        <f t="shared" si="117"/>
        <v/>
      </c>
      <c r="H6016" s="71"/>
      <c r="I6016" s="68"/>
      <c r="J6016" s="138">
        <v>0</v>
      </c>
    </row>
    <row r="6017" spans="1:10" ht="15.75" hidden="1" thickBot="1" x14ac:dyDescent="0.3">
      <c r="A6017" s="228" t="s">
        <v>2119</v>
      </c>
      <c r="B6017" s="222" t="e">
        <f>INDEX(Orçamentária!A:B,MATCH(Composições!A6017,Orçamentária!A:A,0),2)</f>
        <v>#N/A</v>
      </c>
      <c r="C6017" s="35"/>
      <c r="D6017" s="20" t="s">
        <v>20</v>
      </c>
      <c r="E6017" s="21"/>
      <c r="F6017" s="43" t="s">
        <v>521</v>
      </c>
      <c r="G6017" s="22" t="str">
        <f t="shared" si="117"/>
        <v/>
      </c>
      <c r="H6017" s="23"/>
      <c r="I6017" s="24"/>
      <c r="J6017" s="138">
        <v>0</v>
      </c>
    </row>
    <row r="6018" spans="1:10" ht="15.75" hidden="1" thickBot="1" x14ac:dyDescent="0.3">
      <c r="A6018" s="234"/>
      <c r="B6018" s="223"/>
      <c r="C6018" s="152"/>
      <c r="D6018" s="26"/>
      <c r="E6018" s="153"/>
      <c r="F6018" s="48" t="s">
        <v>521</v>
      </c>
      <c r="G6018" s="48" t="str">
        <f t="shared" si="117"/>
        <v/>
      </c>
      <c r="H6018" s="67"/>
      <c r="I6018" s="68"/>
      <c r="J6018" s="138">
        <v>0</v>
      </c>
    </row>
    <row r="6019" spans="1:10" ht="26.25" hidden="1" thickBot="1" x14ac:dyDescent="0.3">
      <c r="A6019" s="234"/>
      <c r="B6019" s="223"/>
      <c r="C6019" s="30" t="s">
        <v>1668</v>
      </c>
      <c r="D6019" s="30" t="s">
        <v>20</v>
      </c>
      <c r="E6019" s="146">
        <v>1</v>
      </c>
      <c r="F6019" s="25">
        <v>30.599499999999999</v>
      </c>
      <c r="G6019" s="48">
        <f t="shared" si="117"/>
        <v>30.599499999999999</v>
      </c>
      <c r="H6019" s="33">
        <f>SUM(G6019:G6019)</f>
        <v>30.599499999999999</v>
      </c>
      <c r="I6019" s="34"/>
      <c r="J6019" s="138">
        <v>0</v>
      </c>
    </row>
    <row r="6020" spans="1:10" ht="15.75" hidden="1" thickBot="1" x14ac:dyDescent="0.3">
      <c r="A6020" s="235"/>
      <c r="B6020" s="224"/>
      <c r="C6020" s="49"/>
      <c r="D6020" s="148"/>
      <c r="E6020" s="60"/>
      <c r="F6020" s="70" t="s">
        <v>521</v>
      </c>
      <c r="G6020" s="70" t="str">
        <f t="shared" si="117"/>
        <v/>
      </c>
      <c r="H6020" s="71"/>
      <c r="I6020" s="68"/>
      <c r="J6020" s="138">
        <v>0</v>
      </c>
    </row>
    <row r="6021" spans="1:10" ht="15.75" hidden="1" thickBot="1" x14ac:dyDescent="0.3">
      <c r="A6021" s="228" t="s">
        <v>2120</v>
      </c>
      <c r="B6021" s="222" t="e">
        <f>INDEX(Orçamentária!A:B,MATCH(Composições!A6021,Orçamentária!A:A,0),2)</f>
        <v>#N/A</v>
      </c>
      <c r="C6021" s="35"/>
      <c r="D6021" s="20" t="s">
        <v>20</v>
      </c>
      <c r="E6021" s="21"/>
      <c r="F6021" s="43" t="s">
        <v>521</v>
      </c>
      <c r="G6021" s="22" t="str">
        <f t="shared" si="117"/>
        <v/>
      </c>
      <c r="H6021" s="23"/>
      <c r="I6021" s="24"/>
      <c r="J6021" s="138">
        <v>0</v>
      </c>
    </row>
    <row r="6022" spans="1:10" ht="15.75" hidden="1" thickBot="1" x14ac:dyDescent="0.3">
      <c r="A6022" s="234"/>
      <c r="B6022" s="223"/>
      <c r="C6022" s="152"/>
      <c r="D6022" s="26"/>
      <c r="E6022" s="153"/>
      <c r="F6022" s="48" t="s">
        <v>521</v>
      </c>
      <c r="G6022" s="48" t="str">
        <f t="shared" si="117"/>
        <v/>
      </c>
      <c r="H6022" s="67"/>
      <c r="I6022" s="68"/>
      <c r="J6022" s="138">
        <v>0</v>
      </c>
    </row>
    <row r="6023" spans="1:10" ht="26.25" hidden="1" thickBot="1" x14ac:dyDescent="0.3">
      <c r="A6023" s="234"/>
      <c r="B6023" s="223"/>
      <c r="C6023" s="30" t="s">
        <v>2193</v>
      </c>
      <c r="D6023" s="30" t="s">
        <v>20</v>
      </c>
      <c r="E6023" s="146">
        <v>1</v>
      </c>
      <c r="F6023" s="25">
        <v>0</v>
      </c>
      <c r="G6023" s="48">
        <f t="shared" si="117"/>
        <v>0</v>
      </c>
      <c r="H6023" s="33">
        <f>SUM(G6023:G6023)</f>
        <v>0</v>
      </c>
      <c r="I6023" s="34"/>
      <c r="J6023" s="138">
        <v>0</v>
      </c>
    </row>
    <row r="6024" spans="1:10" ht="15.75" hidden="1" thickBot="1" x14ac:dyDescent="0.3">
      <c r="A6024" s="235"/>
      <c r="B6024" s="224"/>
      <c r="C6024" s="49"/>
      <c r="D6024" s="148"/>
      <c r="E6024" s="60"/>
      <c r="F6024" s="70" t="s">
        <v>521</v>
      </c>
      <c r="G6024" s="70" t="str">
        <f t="shared" si="117"/>
        <v/>
      </c>
      <c r="H6024" s="71"/>
      <c r="I6024" s="68"/>
      <c r="J6024" s="138">
        <v>0</v>
      </c>
    </row>
    <row r="6025" spans="1:10" ht="15.75" hidden="1" customHeight="1" thickBot="1" x14ac:dyDescent="0.3">
      <c r="A6025" s="228" t="s">
        <v>2121</v>
      </c>
      <c r="B6025" s="222" t="e">
        <f>INDEX(Orçamentária!A:B,MATCH(Composições!A6025,Orçamentária!A:A,0),2)</f>
        <v>#N/A</v>
      </c>
      <c r="C6025" s="35"/>
      <c r="D6025" s="20" t="s">
        <v>20</v>
      </c>
      <c r="E6025" s="21"/>
      <c r="F6025" s="43" t="s">
        <v>521</v>
      </c>
      <c r="G6025" s="22" t="str">
        <f t="shared" si="117"/>
        <v/>
      </c>
      <c r="H6025" s="23"/>
      <c r="I6025" s="24"/>
      <c r="J6025" s="138">
        <v>0</v>
      </c>
    </row>
    <row r="6026" spans="1:10" ht="15.75" hidden="1" thickBot="1" x14ac:dyDescent="0.3">
      <c r="A6026" s="234"/>
      <c r="B6026" s="223"/>
      <c r="C6026" s="152"/>
      <c r="D6026" s="26"/>
      <c r="E6026" s="153"/>
      <c r="F6026" s="48" t="s">
        <v>521</v>
      </c>
      <c r="G6026" s="48" t="str">
        <f t="shared" si="117"/>
        <v/>
      </c>
      <c r="H6026" s="67"/>
      <c r="I6026" s="68"/>
      <c r="J6026" s="138">
        <v>0</v>
      </c>
    </row>
    <row r="6027" spans="1:10" ht="26.25" hidden="1" thickBot="1" x14ac:dyDescent="0.3">
      <c r="A6027" s="234"/>
      <c r="B6027" s="223"/>
      <c r="C6027" s="30" t="s">
        <v>2194</v>
      </c>
      <c r="D6027" s="30" t="s">
        <v>20</v>
      </c>
      <c r="E6027" s="146">
        <v>1</v>
      </c>
      <c r="F6027" s="25">
        <v>0</v>
      </c>
      <c r="G6027" s="48">
        <f t="shared" si="117"/>
        <v>0</v>
      </c>
      <c r="H6027" s="33">
        <f>SUM(G6027:G6027)</f>
        <v>0</v>
      </c>
      <c r="I6027" s="34"/>
      <c r="J6027" s="138">
        <v>0</v>
      </c>
    </row>
    <row r="6028" spans="1:10" ht="15.75" hidden="1" thickBot="1" x14ac:dyDescent="0.3">
      <c r="A6028" s="235"/>
      <c r="B6028" s="224"/>
      <c r="C6028" s="49"/>
      <c r="D6028" s="148"/>
      <c r="E6028" s="60"/>
      <c r="F6028" s="70" t="s">
        <v>521</v>
      </c>
      <c r="G6028" s="70" t="str">
        <f t="shared" si="117"/>
        <v/>
      </c>
      <c r="H6028" s="71"/>
      <c r="I6028" s="68"/>
      <c r="J6028" s="138">
        <v>0</v>
      </c>
    </row>
    <row r="6029" spans="1:10" ht="15.75" hidden="1" customHeight="1" thickBot="1" x14ac:dyDescent="0.3">
      <c r="A6029" s="228" t="s">
        <v>2122</v>
      </c>
      <c r="B6029" s="222" t="e">
        <f>INDEX(Orçamentária!A:B,MATCH(Composições!A6029,Orçamentária!A:A,0),2)</f>
        <v>#N/A</v>
      </c>
      <c r="C6029" s="35"/>
      <c r="D6029" s="20" t="s">
        <v>20</v>
      </c>
      <c r="E6029" s="21"/>
      <c r="F6029" s="43" t="s">
        <v>521</v>
      </c>
      <c r="G6029" s="22" t="str">
        <f t="shared" si="117"/>
        <v/>
      </c>
      <c r="H6029" s="23"/>
      <c r="I6029" s="24"/>
      <c r="J6029" s="138">
        <v>0</v>
      </c>
    </row>
    <row r="6030" spans="1:10" ht="15.75" hidden="1" thickBot="1" x14ac:dyDescent="0.3">
      <c r="A6030" s="234"/>
      <c r="B6030" s="223"/>
      <c r="C6030" s="152"/>
      <c r="D6030" s="26"/>
      <c r="E6030" s="153"/>
      <c r="F6030" s="48" t="s">
        <v>521</v>
      </c>
      <c r="G6030" s="48" t="str">
        <f t="shared" si="117"/>
        <v/>
      </c>
      <c r="H6030" s="67"/>
      <c r="I6030" s="68"/>
      <c r="J6030" s="138">
        <v>0</v>
      </c>
    </row>
    <row r="6031" spans="1:10" ht="26.25" hidden="1" thickBot="1" x14ac:dyDescent="0.3">
      <c r="A6031" s="234"/>
      <c r="B6031" s="223"/>
      <c r="C6031" s="30" t="s">
        <v>2195</v>
      </c>
      <c r="D6031" s="30" t="s">
        <v>20</v>
      </c>
      <c r="E6031" s="146">
        <v>1</v>
      </c>
      <c r="F6031" s="25">
        <v>0</v>
      </c>
      <c r="G6031" s="48">
        <f t="shared" si="117"/>
        <v>0</v>
      </c>
      <c r="H6031" s="33">
        <f>SUM(G6031:G6031)</f>
        <v>0</v>
      </c>
      <c r="I6031" s="34"/>
      <c r="J6031" s="138">
        <v>0</v>
      </c>
    </row>
    <row r="6032" spans="1:10" ht="15.75" hidden="1" thickBot="1" x14ac:dyDescent="0.3">
      <c r="A6032" s="235"/>
      <c r="B6032" s="224"/>
      <c r="C6032" s="49"/>
      <c r="D6032" s="148"/>
      <c r="E6032" s="60"/>
      <c r="F6032" s="70" t="s">
        <v>521</v>
      </c>
      <c r="G6032" s="70" t="str">
        <f t="shared" si="117"/>
        <v/>
      </c>
      <c r="H6032" s="71"/>
      <c r="I6032" s="68"/>
      <c r="J6032" s="138">
        <v>0</v>
      </c>
    </row>
    <row r="6033" spans="1:10" ht="15.75" hidden="1" thickBot="1" x14ac:dyDescent="0.3">
      <c r="A6033" s="228" t="s">
        <v>2123</v>
      </c>
      <c r="B6033" s="222" t="e">
        <f>INDEX(Orçamentária!A:B,MATCH(Composições!A6033,Orçamentária!A:A,0),2)</f>
        <v>#N/A</v>
      </c>
      <c r="C6033" s="35"/>
      <c r="D6033" s="20" t="s">
        <v>20</v>
      </c>
      <c r="E6033" s="21"/>
      <c r="F6033" s="43" t="s">
        <v>521</v>
      </c>
      <c r="G6033" s="22" t="str">
        <f t="shared" si="117"/>
        <v/>
      </c>
      <c r="H6033" s="23"/>
      <c r="I6033" s="24"/>
      <c r="J6033" s="138">
        <v>0</v>
      </c>
    </row>
    <row r="6034" spans="1:10" ht="15.75" hidden="1" thickBot="1" x14ac:dyDescent="0.3">
      <c r="A6034" s="234"/>
      <c r="B6034" s="223"/>
      <c r="C6034" s="152"/>
      <c r="D6034" s="26"/>
      <c r="E6034" s="153"/>
      <c r="F6034" s="48" t="s">
        <v>521</v>
      </c>
      <c r="G6034" s="48" t="str">
        <f t="shared" si="117"/>
        <v/>
      </c>
      <c r="H6034" s="67"/>
      <c r="I6034" s="68"/>
      <c r="J6034" s="138">
        <v>0</v>
      </c>
    </row>
    <row r="6035" spans="1:10" ht="26.25" hidden="1" thickBot="1" x14ac:dyDescent="0.3">
      <c r="A6035" s="234"/>
      <c r="B6035" s="223"/>
      <c r="C6035" s="30" t="s">
        <v>2196</v>
      </c>
      <c r="D6035" s="30" t="s">
        <v>20</v>
      </c>
      <c r="E6035" s="146">
        <v>1</v>
      </c>
      <c r="F6035" s="25">
        <v>0</v>
      </c>
      <c r="G6035" s="48">
        <f t="shared" si="117"/>
        <v>0</v>
      </c>
      <c r="H6035" s="33">
        <f>SUM(G6035:G6035)</f>
        <v>0</v>
      </c>
      <c r="I6035" s="34"/>
      <c r="J6035" s="138">
        <v>0</v>
      </c>
    </row>
    <row r="6036" spans="1:10" ht="15.75" hidden="1" thickBot="1" x14ac:dyDescent="0.3">
      <c r="A6036" s="235"/>
      <c r="B6036" s="224"/>
      <c r="C6036" s="49"/>
      <c r="D6036" s="148"/>
      <c r="E6036" s="60"/>
      <c r="F6036" s="70" t="s">
        <v>521</v>
      </c>
      <c r="G6036" s="70" t="str">
        <f t="shared" si="117"/>
        <v/>
      </c>
      <c r="H6036" s="71"/>
      <c r="I6036" s="68"/>
      <c r="J6036" s="138">
        <v>0</v>
      </c>
    </row>
    <row r="6037" spans="1:10" ht="15.75" hidden="1" thickBot="1" x14ac:dyDescent="0.3">
      <c r="A6037" s="228" t="s">
        <v>2124</v>
      </c>
      <c r="B6037" s="222" t="e">
        <f>INDEX(Orçamentária!A:B,MATCH(Composições!A6037,Orçamentária!A:A,0),2)</f>
        <v>#N/A</v>
      </c>
      <c r="C6037" s="35"/>
      <c r="D6037" s="20" t="s">
        <v>20</v>
      </c>
      <c r="E6037" s="21"/>
      <c r="F6037" s="43" t="s">
        <v>521</v>
      </c>
      <c r="G6037" s="22" t="str">
        <f t="shared" si="117"/>
        <v/>
      </c>
      <c r="H6037" s="23"/>
      <c r="I6037" s="24"/>
      <c r="J6037" s="138">
        <v>0</v>
      </c>
    </row>
    <row r="6038" spans="1:10" ht="15.75" hidden="1" thickBot="1" x14ac:dyDescent="0.3">
      <c r="A6038" s="234"/>
      <c r="B6038" s="223"/>
      <c r="C6038" s="152"/>
      <c r="D6038" s="26"/>
      <c r="E6038" s="153"/>
      <c r="F6038" s="48" t="s">
        <v>521</v>
      </c>
      <c r="G6038" s="48" t="str">
        <f t="shared" si="117"/>
        <v/>
      </c>
      <c r="H6038" s="67"/>
      <c r="I6038" s="68"/>
      <c r="J6038" s="138">
        <v>0</v>
      </c>
    </row>
    <row r="6039" spans="1:10" ht="15.75" hidden="1" thickBot="1" x14ac:dyDescent="0.3">
      <c r="A6039" s="234"/>
      <c r="B6039" s="223"/>
      <c r="C6039" s="30" t="s">
        <v>2197</v>
      </c>
      <c r="D6039" s="30" t="s">
        <v>20</v>
      </c>
      <c r="E6039" s="146">
        <v>1</v>
      </c>
      <c r="F6039" s="25">
        <v>0</v>
      </c>
      <c r="G6039" s="48">
        <f t="shared" si="117"/>
        <v>0</v>
      </c>
      <c r="H6039" s="33">
        <f>SUM(G6039:G6039)</f>
        <v>0</v>
      </c>
      <c r="I6039" s="34"/>
      <c r="J6039" s="138">
        <v>0</v>
      </c>
    </row>
    <row r="6040" spans="1:10" ht="15.75" hidden="1" thickBot="1" x14ac:dyDescent="0.3">
      <c r="A6040" s="235"/>
      <c r="B6040" s="224"/>
      <c r="C6040" s="49"/>
      <c r="D6040" s="148"/>
      <c r="E6040" s="60"/>
      <c r="F6040" s="70" t="s">
        <v>521</v>
      </c>
      <c r="G6040" s="70" t="str">
        <f t="shared" si="117"/>
        <v/>
      </c>
      <c r="H6040" s="71"/>
      <c r="I6040" s="68"/>
      <c r="J6040" s="138">
        <v>0</v>
      </c>
    </row>
    <row r="6041" spans="1:10" ht="15.75" hidden="1" thickBot="1" x14ac:dyDescent="0.3">
      <c r="A6041" s="228" t="s">
        <v>2125</v>
      </c>
      <c r="B6041" s="222" t="e">
        <f>INDEX(Orçamentária!A:B,MATCH(Composições!A6041,Orçamentária!A:A,0),2)</f>
        <v>#N/A</v>
      </c>
      <c r="C6041" s="35"/>
      <c r="D6041" s="20" t="s">
        <v>20</v>
      </c>
      <c r="E6041" s="21"/>
      <c r="F6041" s="43" t="s">
        <v>521</v>
      </c>
      <c r="G6041" s="22" t="str">
        <f t="shared" si="117"/>
        <v/>
      </c>
      <c r="H6041" s="23"/>
      <c r="I6041" s="24"/>
      <c r="J6041" s="138">
        <v>0</v>
      </c>
    </row>
    <row r="6042" spans="1:10" ht="15.75" hidden="1" thickBot="1" x14ac:dyDescent="0.3">
      <c r="A6042" s="234"/>
      <c r="B6042" s="223"/>
      <c r="C6042" s="152"/>
      <c r="D6042" s="26"/>
      <c r="E6042" s="153"/>
      <c r="F6042" s="48" t="s">
        <v>521</v>
      </c>
      <c r="G6042" s="48" t="str">
        <f t="shared" si="117"/>
        <v/>
      </c>
      <c r="H6042" s="67"/>
      <c r="I6042" s="68"/>
      <c r="J6042" s="138">
        <v>0</v>
      </c>
    </row>
    <row r="6043" spans="1:10" ht="15.75" hidden="1" thickBot="1" x14ac:dyDescent="0.3">
      <c r="A6043" s="234"/>
      <c r="B6043" s="223"/>
      <c r="C6043" s="30" t="s">
        <v>2198</v>
      </c>
      <c r="D6043" s="30" t="s">
        <v>20</v>
      </c>
      <c r="E6043" s="146">
        <v>1</v>
      </c>
      <c r="F6043" s="25">
        <v>0</v>
      </c>
      <c r="G6043" s="48">
        <f t="shared" si="117"/>
        <v>0</v>
      </c>
      <c r="H6043" s="33">
        <f>SUM(G6043:G6043)</f>
        <v>0</v>
      </c>
      <c r="I6043" s="34"/>
      <c r="J6043" s="138">
        <v>0</v>
      </c>
    </row>
    <row r="6044" spans="1:10" ht="15.75" hidden="1" thickBot="1" x14ac:dyDescent="0.3">
      <c r="A6044" s="235"/>
      <c r="B6044" s="224"/>
      <c r="C6044" s="49"/>
      <c r="D6044" s="148"/>
      <c r="E6044" s="60"/>
      <c r="F6044" s="70" t="s">
        <v>521</v>
      </c>
      <c r="G6044" s="70" t="str">
        <f t="shared" si="117"/>
        <v/>
      </c>
      <c r="H6044" s="71"/>
      <c r="I6044" s="68"/>
      <c r="J6044" s="138">
        <v>0</v>
      </c>
    </row>
    <row r="6045" spans="1:10" ht="15.75" hidden="1" thickBot="1" x14ac:dyDescent="0.3">
      <c r="A6045" s="228" t="s">
        <v>2126</v>
      </c>
      <c r="B6045" s="222" t="e">
        <f>INDEX(Orçamentária!A:B,MATCH(Composições!A6045,Orçamentária!A:A,0),2)</f>
        <v>#N/A</v>
      </c>
      <c r="C6045" s="35"/>
      <c r="D6045" s="20" t="s">
        <v>20</v>
      </c>
      <c r="E6045" s="21"/>
      <c r="F6045" s="43" t="s">
        <v>521</v>
      </c>
      <c r="G6045" s="22" t="str">
        <f t="shared" si="117"/>
        <v/>
      </c>
      <c r="H6045" s="23"/>
      <c r="I6045" s="24"/>
      <c r="J6045" s="138">
        <v>0</v>
      </c>
    </row>
    <row r="6046" spans="1:10" ht="15.75" hidden="1" thickBot="1" x14ac:dyDescent="0.3">
      <c r="A6046" s="234"/>
      <c r="B6046" s="223"/>
      <c r="C6046" s="152"/>
      <c r="D6046" s="26"/>
      <c r="E6046" s="153"/>
      <c r="F6046" s="48" t="s">
        <v>521</v>
      </c>
      <c r="G6046" s="48" t="str">
        <f t="shared" si="117"/>
        <v/>
      </c>
      <c r="H6046" s="67"/>
      <c r="I6046" s="68"/>
      <c r="J6046" s="138">
        <v>0</v>
      </c>
    </row>
    <row r="6047" spans="1:10" ht="15.75" hidden="1" thickBot="1" x14ac:dyDescent="0.3">
      <c r="A6047" s="234"/>
      <c r="B6047" s="223"/>
      <c r="C6047" s="30" t="s">
        <v>2199</v>
      </c>
      <c r="D6047" s="30" t="s">
        <v>20</v>
      </c>
      <c r="E6047" s="146">
        <v>1</v>
      </c>
      <c r="F6047" s="25">
        <v>0</v>
      </c>
      <c r="G6047" s="48">
        <f t="shared" si="117"/>
        <v>0</v>
      </c>
      <c r="H6047" s="33">
        <f>SUM(G6047:G6047)</f>
        <v>0</v>
      </c>
      <c r="I6047" s="34"/>
      <c r="J6047" s="138">
        <v>0</v>
      </c>
    </row>
    <row r="6048" spans="1:10" ht="15.75" hidden="1" thickBot="1" x14ac:dyDescent="0.3">
      <c r="A6048" s="235"/>
      <c r="B6048" s="224"/>
      <c r="C6048" s="49"/>
      <c r="D6048" s="148"/>
      <c r="E6048" s="60"/>
      <c r="F6048" s="70" t="s">
        <v>521</v>
      </c>
      <c r="G6048" s="70" t="str">
        <f t="shared" si="117"/>
        <v/>
      </c>
      <c r="H6048" s="71"/>
      <c r="I6048" s="68"/>
      <c r="J6048" s="138">
        <v>0</v>
      </c>
    </row>
    <row r="6049" spans="1:10" ht="15.75" hidden="1" thickBot="1" x14ac:dyDescent="0.3">
      <c r="A6049" s="228" t="s">
        <v>2127</v>
      </c>
      <c r="B6049" s="222" t="e">
        <f>INDEX(Orçamentária!A:B,MATCH(Composições!A6049,Orçamentária!A:A,0),2)</f>
        <v>#N/A</v>
      </c>
      <c r="C6049" s="35"/>
      <c r="D6049" s="20" t="s">
        <v>20</v>
      </c>
      <c r="E6049" s="21"/>
      <c r="F6049" s="43" t="s">
        <v>521</v>
      </c>
      <c r="G6049" s="22" t="str">
        <f t="shared" si="117"/>
        <v/>
      </c>
      <c r="H6049" s="23"/>
      <c r="I6049" s="24"/>
      <c r="J6049" s="138">
        <v>0</v>
      </c>
    </row>
    <row r="6050" spans="1:10" ht="15.75" hidden="1" thickBot="1" x14ac:dyDescent="0.3">
      <c r="A6050" s="234"/>
      <c r="B6050" s="223"/>
      <c r="C6050" s="152"/>
      <c r="D6050" s="26"/>
      <c r="E6050" s="153"/>
      <c r="F6050" s="48" t="s">
        <v>521</v>
      </c>
      <c r="G6050" s="48" t="str">
        <f t="shared" si="117"/>
        <v/>
      </c>
      <c r="H6050" s="67"/>
      <c r="I6050" s="68"/>
      <c r="J6050" s="138">
        <v>0</v>
      </c>
    </row>
    <row r="6051" spans="1:10" ht="15.75" hidden="1" thickBot="1" x14ac:dyDescent="0.3">
      <c r="A6051" s="234"/>
      <c r="B6051" s="223"/>
      <c r="C6051" s="30" t="s">
        <v>2200</v>
      </c>
      <c r="D6051" s="30" t="s">
        <v>20</v>
      </c>
      <c r="E6051" s="146">
        <v>1</v>
      </c>
      <c r="F6051" s="25">
        <v>0</v>
      </c>
      <c r="G6051" s="48">
        <f t="shared" si="117"/>
        <v>0</v>
      </c>
      <c r="H6051" s="33">
        <f>SUM(G6051:G6051)</f>
        <v>0</v>
      </c>
      <c r="I6051" s="34"/>
      <c r="J6051" s="138">
        <v>0</v>
      </c>
    </row>
    <row r="6052" spans="1:10" ht="15.75" hidden="1" thickBot="1" x14ac:dyDescent="0.3">
      <c r="A6052" s="235"/>
      <c r="B6052" s="224"/>
      <c r="C6052" s="49"/>
      <c r="D6052" s="148"/>
      <c r="E6052" s="60"/>
      <c r="F6052" s="70" t="s">
        <v>521</v>
      </c>
      <c r="G6052" s="70" t="str">
        <f t="shared" si="117"/>
        <v/>
      </c>
      <c r="H6052" s="71"/>
      <c r="I6052" s="68"/>
      <c r="J6052" s="138">
        <v>0</v>
      </c>
    </row>
    <row r="6053" spans="1:10" ht="15.75" hidden="1" thickBot="1" x14ac:dyDescent="0.3">
      <c r="A6053" s="228" t="s">
        <v>2128</v>
      </c>
      <c r="B6053" s="222" t="e">
        <f>INDEX(Orçamentária!A:B,MATCH(Composições!A6053,Orçamentária!A:A,0),2)</f>
        <v>#N/A</v>
      </c>
      <c r="C6053" s="35"/>
      <c r="D6053" s="20" t="s">
        <v>20</v>
      </c>
      <c r="E6053" s="21"/>
      <c r="F6053" s="43" t="s">
        <v>521</v>
      </c>
      <c r="G6053" s="22" t="str">
        <f t="shared" si="117"/>
        <v/>
      </c>
      <c r="H6053" s="23"/>
      <c r="I6053" s="24"/>
      <c r="J6053" s="138">
        <v>0</v>
      </c>
    </row>
    <row r="6054" spans="1:10" ht="15.75" hidden="1" thickBot="1" x14ac:dyDescent="0.3">
      <c r="A6054" s="234"/>
      <c r="B6054" s="223"/>
      <c r="C6054" s="152"/>
      <c r="D6054" s="26"/>
      <c r="E6054" s="153"/>
      <c r="F6054" s="48" t="s">
        <v>521</v>
      </c>
      <c r="G6054" s="48" t="str">
        <f t="shared" si="117"/>
        <v/>
      </c>
      <c r="H6054" s="67"/>
      <c r="I6054" s="68"/>
      <c r="J6054" s="138">
        <v>0</v>
      </c>
    </row>
    <row r="6055" spans="1:10" ht="26.25" hidden="1" thickBot="1" x14ac:dyDescent="0.3">
      <c r="A6055" s="234"/>
      <c r="B6055" s="223"/>
      <c r="C6055" s="30" t="s">
        <v>1693</v>
      </c>
      <c r="D6055" s="30" t="s">
        <v>20</v>
      </c>
      <c r="E6055" s="146">
        <v>1</v>
      </c>
      <c r="F6055" s="25">
        <v>4.7119999999999997</v>
      </c>
      <c r="G6055" s="48">
        <f t="shared" si="117"/>
        <v>4.7119999999999997</v>
      </c>
      <c r="H6055" s="33">
        <f>SUM(G6055:G6055)</f>
        <v>4.7119999999999997</v>
      </c>
      <c r="I6055" s="34"/>
      <c r="J6055" s="138">
        <v>0</v>
      </c>
    </row>
    <row r="6056" spans="1:10" ht="15.75" hidden="1" thickBot="1" x14ac:dyDescent="0.3">
      <c r="A6056" s="235"/>
      <c r="B6056" s="224"/>
      <c r="C6056" s="49"/>
      <c r="D6056" s="148"/>
      <c r="E6056" s="60"/>
      <c r="F6056" s="70" t="s">
        <v>521</v>
      </c>
      <c r="G6056" s="70" t="str">
        <f t="shared" si="117"/>
        <v/>
      </c>
      <c r="H6056" s="71"/>
      <c r="I6056" s="68"/>
      <c r="J6056" s="138">
        <v>0</v>
      </c>
    </row>
    <row r="6057" spans="1:10" ht="15.75" hidden="1" thickBot="1" x14ac:dyDescent="0.3">
      <c r="A6057" s="228" t="s">
        <v>2129</v>
      </c>
      <c r="B6057" s="222" t="e">
        <f>INDEX(Orçamentária!A:B,MATCH(Composições!A6057,Orçamentária!A:A,0),2)</f>
        <v>#N/A</v>
      </c>
      <c r="C6057" s="35"/>
      <c r="D6057" s="20" t="s">
        <v>20</v>
      </c>
      <c r="E6057" s="21"/>
      <c r="F6057" s="43" t="s">
        <v>521</v>
      </c>
      <c r="G6057" s="22" t="str">
        <f t="shared" si="117"/>
        <v/>
      </c>
      <c r="H6057" s="23"/>
      <c r="I6057" s="24"/>
      <c r="J6057" s="138">
        <v>0</v>
      </c>
    </row>
    <row r="6058" spans="1:10" ht="15.75" hidden="1" thickBot="1" x14ac:dyDescent="0.3">
      <c r="A6058" s="234"/>
      <c r="B6058" s="223"/>
      <c r="C6058" s="152"/>
      <c r="D6058" s="26"/>
      <c r="E6058" s="153"/>
      <c r="F6058" s="48" t="s">
        <v>521</v>
      </c>
      <c r="G6058" s="48" t="str">
        <f t="shared" si="117"/>
        <v/>
      </c>
      <c r="H6058" s="67"/>
      <c r="I6058" s="68"/>
      <c r="J6058" s="138">
        <v>0</v>
      </c>
    </row>
    <row r="6059" spans="1:10" ht="26.25" hidden="1" thickBot="1" x14ac:dyDescent="0.3">
      <c r="A6059" s="234"/>
      <c r="B6059" s="223"/>
      <c r="C6059" s="30" t="s">
        <v>2715</v>
      </c>
      <c r="D6059" s="30" t="s">
        <v>20</v>
      </c>
      <c r="E6059" s="146">
        <v>1</v>
      </c>
      <c r="F6059" s="25">
        <v>504.18400000000003</v>
      </c>
      <c r="G6059" s="48">
        <f t="shared" si="117"/>
        <v>504.18400000000003</v>
      </c>
      <c r="H6059" s="33">
        <f>SUM(G6059:G6059)</f>
        <v>504.18400000000003</v>
      </c>
      <c r="I6059" s="34"/>
      <c r="J6059" s="138">
        <v>0</v>
      </c>
    </row>
    <row r="6060" spans="1:10" ht="15.75" hidden="1" thickBot="1" x14ac:dyDescent="0.3">
      <c r="A6060" s="235"/>
      <c r="B6060" s="224"/>
      <c r="C6060" s="49"/>
      <c r="D6060" s="148"/>
      <c r="E6060" s="60"/>
      <c r="F6060" s="70" t="s">
        <v>521</v>
      </c>
      <c r="G6060" s="70" t="str">
        <f t="shared" si="117"/>
        <v/>
      </c>
      <c r="H6060" s="71"/>
      <c r="I6060" s="68"/>
      <c r="J6060" s="138">
        <v>0</v>
      </c>
    </row>
    <row r="6061" spans="1:10" ht="15.75" hidden="1" thickBot="1" x14ac:dyDescent="0.3">
      <c r="A6061" s="228" t="s">
        <v>2130</v>
      </c>
      <c r="B6061" s="222" t="e">
        <f>INDEX(Orçamentária!A:B,MATCH(Composições!A6061,Orçamentária!A:A,0),2)</f>
        <v>#N/A</v>
      </c>
      <c r="C6061" s="35"/>
      <c r="D6061" s="20" t="s">
        <v>20</v>
      </c>
      <c r="E6061" s="21"/>
      <c r="F6061" s="43" t="s">
        <v>521</v>
      </c>
      <c r="G6061" s="22" t="str">
        <f t="shared" si="117"/>
        <v/>
      </c>
      <c r="H6061" s="23"/>
      <c r="I6061" s="24"/>
      <c r="J6061" s="138">
        <v>0</v>
      </c>
    </row>
    <row r="6062" spans="1:10" ht="15.75" hidden="1" thickBot="1" x14ac:dyDescent="0.3">
      <c r="A6062" s="234"/>
      <c r="B6062" s="223"/>
      <c r="C6062" s="152"/>
      <c r="D6062" s="26"/>
      <c r="E6062" s="153"/>
      <c r="F6062" s="48" t="s">
        <v>521</v>
      </c>
      <c r="G6062" s="48" t="str">
        <f t="shared" si="117"/>
        <v/>
      </c>
      <c r="H6062" s="67"/>
      <c r="I6062" s="68"/>
      <c r="J6062" s="138">
        <v>0</v>
      </c>
    </row>
    <row r="6063" spans="1:10" ht="26.25" hidden="1" thickBot="1" x14ac:dyDescent="0.3">
      <c r="A6063" s="234"/>
      <c r="B6063" s="223"/>
      <c r="C6063" s="30" t="s">
        <v>2282</v>
      </c>
      <c r="D6063" s="30" t="s">
        <v>20</v>
      </c>
      <c r="E6063" s="146">
        <v>1</v>
      </c>
      <c r="F6063" s="25">
        <v>1956.9334999999996</v>
      </c>
      <c r="G6063" s="48">
        <f t="shared" si="117"/>
        <v>1956.9334999999996</v>
      </c>
      <c r="H6063" s="33">
        <f>SUM(G6063:G6063)</f>
        <v>1956.9334999999996</v>
      </c>
      <c r="I6063" s="34"/>
      <c r="J6063" s="138">
        <v>0</v>
      </c>
    </row>
    <row r="6064" spans="1:10" ht="15.75" hidden="1" thickBot="1" x14ac:dyDescent="0.3">
      <c r="A6064" s="235"/>
      <c r="B6064" s="224"/>
      <c r="C6064" s="49"/>
      <c r="D6064" s="148"/>
      <c r="E6064" s="60"/>
      <c r="F6064" s="70" t="s">
        <v>521</v>
      </c>
      <c r="G6064" s="70" t="str">
        <f t="shared" si="117"/>
        <v/>
      </c>
      <c r="H6064" s="71"/>
      <c r="I6064" s="68"/>
      <c r="J6064" s="138">
        <v>0</v>
      </c>
    </row>
    <row r="6065" spans="1:10" ht="15.75" hidden="1" thickBot="1" x14ac:dyDescent="0.3">
      <c r="A6065" s="228" t="s">
        <v>2131</v>
      </c>
      <c r="B6065" s="222" t="e">
        <f>INDEX(Orçamentária!A:B,MATCH(Composições!A6065,Orçamentária!A:A,0),2)</f>
        <v>#N/A</v>
      </c>
      <c r="C6065" s="35"/>
      <c r="D6065" s="20" t="s">
        <v>20</v>
      </c>
      <c r="E6065" s="21"/>
      <c r="F6065" s="43" t="s">
        <v>521</v>
      </c>
      <c r="G6065" s="22" t="str">
        <f t="shared" si="117"/>
        <v/>
      </c>
      <c r="H6065" s="23"/>
      <c r="I6065" s="24"/>
      <c r="J6065" s="138">
        <v>0</v>
      </c>
    </row>
    <row r="6066" spans="1:10" ht="15.75" hidden="1" thickBot="1" x14ac:dyDescent="0.3">
      <c r="A6066" s="234"/>
      <c r="B6066" s="223"/>
      <c r="C6066" s="152"/>
      <c r="D6066" s="26"/>
      <c r="E6066" s="153"/>
      <c r="F6066" s="48" t="s">
        <v>521</v>
      </c>
      <c r="G6066" s="48" t="str">
        <f t="shared" si="117"/>
        <v/>
      </c>
      <c r="H6066" s="67"/>
      <c r="I6066" s="68"/>
      <c r="J6066" s="138">
        <v>0</v>
      </c>
    </row>
    <row r="6067" spans="1:10" ht="26.25" hidden="1" thickBot="1" x14ac:dyDescent="0.3">
      <c r="A6067" s="234"/>
      <c r="B6067" s="223"/>
      <c r="C6067" s="30" t="s">
        <v>2283</v>
      </c>
      <c r="D6067" s="30" t="s">
        <v>20</v>
      </c>
      <c r="E6067" s="146">
        <v>1</v>
      </c>
      <c r="F6067" s="25">
        <v>2304.3009999999999</v>
      </c>
      <c r="G6067" s="48">
        <f t="shared" si="117"/>
        <v>2304.3009999999999</v>
      </c>
      <c r="H6067" s="33">
        <f>SUM(G6067:G6067)</f>
        <v>2304.3009999999999</v>
      </c>
      <c r="I6067" s="34"/>
      <c r="J6067" s="138">
        <v>0</v>
      </c>
    </row>
    <row r="6068" spans="1:10" ht="15.75" hidden="1" thickBot="1" x14ac:dyDescent="0.3">
      <c r="A6068" s="235"/>
      <c r="B6068" s="224"/>
      <c r="C6068" s="49"/>
      <c r="D6068" s="148"/>
      <c r="E6068" s="60"/>
      <c r="F6068" s="70" t="s">
        <v>521</v>
      </c>
      <c r="G6068" s="70" t="str">
        <f t="shared" si="117"/>
        <v/>
      </c>
      <c r="H6068" s="71"/>
      <c r="I6068" s="68"/>
      <c r="J6068" s="138">
        <v>0</v>
      </c>
    </row>
    <row r="6069" spans="1:10" ht="15.75" hidden="1" thickBot="1" x14ac:dyDescent="0.3">
      <c r="A6069" s="228" t="s">
        <v>2132</v>
      </c>
      <c r="B6069" s="222" t="e">
        <f>INDEX(Orçamentária!A:B,MATCH(Composições!A6069,Orçamentária!A:A,0),2)</f>
        <v>#N/A</v>
      </c>
      <c r="C6069" s="35"/>
      <c r="D6069" s="20" t="s">
        <v>20</v>
      </c>
      <c r="E6069" s="21"/>
      <c r="F6069" s="43" t="s">
        <v>521</v>
      </c>
      <c r="G6069" s="22" t="str">
        <f t="shared" si="117"/>
        <v/>
      </c>
      <c r="H6069" s="23"/>
      <c r="I6069" s="24"/>
      <c r="J6069" s="138">
        <v>0</v>
      </c>
    </row>
    <row r="6070" spans="1:10" ht="15.75" hidden="1" thickBot="1" x14ac:dyDescent="0.3">
      <c r="A6070" s="234"/>
      <c r="B6070" s="223"/>
      <c r="C6070" s="152"/>
      <c r="D6070" s="26"/>
      <c r="E6070" s="153"/>
      <c r="F6070" s="48" t="s">
        <v>521</v>
      </c>
      <c r="G6070" s="48" t="str">
        <f t="shared" si="117"/>
        <v/>
      </c>
      <c r="H6070" s="67"/>
      <c r="I6070" s="68"/>
      <c r="J6070" s="138">
        <v>0</v>
      </c>
    </row>
    <row r="6071" spans="1:10" ht="15.75" hidden="1" thickBot="1" x14ac:dyDescent="0.3">
      <c r="A6071" s="234"/>
      <c r="B6071" s="223"/>
      <c r="C6071" s="30" t="s">
        <v>1621</v>
      </c>
      <c r="D6071" s="30" t="s">
        <v>20</v>
      </c>
      <c r="E6071" s="146">
        <v>1</v>
      </c>
      <c r="F6071" s="25">
        <v>23.75</v>
      </c>
      <c r="G6071" s="48">
        <f t="shared" si="117"/>
        <v>23.75</v>
      </c>
      <c r="H6071" s="33">
        <f>SUM(G6071:G6071)</f>
        <v>23.75</v>
      </c>
      <c r="I6071" s="34"/>
      <c r="J6071" s="138">
        <v>0</v>
      </c>
    </row>
    <row r="6072" spans="1:10" ht="15.75" hidden="1" thickBot="1" x14ac:dyDescent="0.3">
      <c r="A6072" s="235"/>
      <c r="B6072" s="224"/>
      <c r="C6072" s="49"/>
      <c r="D6072" s="148"/>
      <c r="E6072" s="60"/>
      <c r="F6072" s="70" t="s">
        <v>521</v>
      </c>
      <c r="G6072" s="70" t="str">
        <f t="shared" si="117"/>
        <v/>
      </c>
      <c r="H6072" s="71"/>
      <c r="I6072" s="68"/>
      <c r="J6072" s="138">
        <v>0</v>
      </c>
    </row>
    <row r="6073" spans="1:10" ht="15.75" hidden="1" thickBot="1" x14ac:dyDescent="0.3">
      <c r="A6073" s="228" t="s">
        <v>2133</v>
      </c>
      <c r="B6073" s="222" t="e">
        <f>INDEX(Orçamentária!A:B,MATCH(Composições!A6073,Orçamentária!A:A,0),2)</f>
        <v>#N/A</v>
      </c>
      <c r="C6073" s="35"/>
      <c r="D6073" s="20" t="s">
        <v>20</v>
      </c>
      <c r="E6073" s="21"/>
      <c r="F6073" s="43" t="s">
        <v>521</v>
      </c>
      <c r="G6073" s="22" t="str">
        <f t="shared" si="117"/>
        <v/>
      </c>
      <c r="H6073" s="23"/>
      <c r="I6073" s="24"/>
      <c r="J6073" s="138">
        <v>0</v>
      </c>
    </row>
    <row r="6074" spans="1:10" ht="15.75" hidden="1" thickBot="1" x14ac:dyDescent="0.3">
      <c r="A6074" s="234"/>
      <c r="B6074" s="223"/>
      <c r="C6074" s="152"/>
      <c r="D6074" s="26"/>
      <c r="E6074" s="153"/>
      <c r="F6074" s="48" t="s">
        <v>521</v>
      </c>
      <c r="G6074" s="48" t="str">
        <f t="shared" si="117"/>
        <v/>
      </c>
      <c r="H6074" s="67"/>
      <c r="I6074" s="68"/>
      <c r="J6074" s="138">
        <v>0</v>
      </c>
    </row>
    <row r="6075" spans="1:10" ht="15.75" hidden="1" thickBot="1" x14ac:dyDescent="0.3">
      <c r="A6075" s="234"/>
      <c r="B6075" s="223"/>
      <c r="C6075" s="30" t="s">
        <v>2576</v>
      </c>
      <c r="D6075" s="30" t="s">
        <v>20</v>
      </c>
      <c r="E6075" s="146">
        <v>1</v>
      </c>
      <c r="F6075" s="25">
        <v>1.0545</v>
      </c>
      <c r="G6075" s="48">
        <f t="shared" si="117"/>
        <v>1.0545</v>
      </c>
      <c r="H6075" s="33">
        <f>SUM(G6075:G6075)</f>
        <v>1.0545</v>
      </c>
      <c r="I6075" s="34"/>
      <c r="J6075" s="138">
        <v>0</v>
      </c>
    </row>
    <row r="6076" spans="1:10" ht="15.75" hidden="1" thickBot="1" x14ac:dyDescent="0.3">
      <c r="A6076" s="235"/>
      <c r="B6076" s="224"/>
      <c r="C6076" s="49"/>
      <c r="D6076" s="148"/>
      <c r="E6076" s="60"/>
      <c r="F6076" s="70" t="s">
        <v>521</v>
      </c>
      <c r="G6076" s="70" t="str">
        <f t="shared" si="117"/>
        <v/>
      </c>
      <c r="H6076" s="71"/>
      <c r="I6076" s="68"/>
      <c r="J6076" s="138">
        <v>0</v>
      </c>
    </row>
    <row r="6077" spans="1:10" ht="15.75" hidden="1" thickBot="1" x14ac:dyDescent="0.3">
      <c r="A6077" s="228" t="s">
        <v>2135</v>
      </c>
      <c r="B6077" s="222" t="e">
        <f>INDEX(Orçamentária!A:B,MATCH(Composições!A6077,Orçamentária!A:A,0),2)</f>
        <v>#N/A</v>
      </c>
      <c r="C6077" s="35"/>
      <c r="D6077" s="20" t="s">
        <v>20</v>
      </c>
      <c r="E6077" s="21"/>
      <c r="F6077" s="43" t="s">
        <v>521</v>
      </c>
      <c r="G6077" s="22" t="str">
        <f t="shared" ref="G6077:G6140" si="118">IF(ISNUMBER(F6077),E6077*F6077,"")</f>
        <v/>
      </c>
      <c r="H6077" s="23"/>
      <c r="I6077" s="24"/>
      <c r="J6077" s="138">
        <v>0</v>
      </c>
    </row>
    <row r="6078" spans="1:10" ht="15.75" hidden="1" thickBot="1" x14ac:dyDescent="0.3">
      <c r="A6078" s="234"/>
      <c r="B6078" s="223"/>
      <c r="C6078" s="152"/>
      <c r="D6078" s="26"/>
      <c r="E6078" s="153"/>
      <c r="F6078" s="48" t="s">
        <v>521</v>
      </c>
      <c r="G6078" s="48" t="str">
        <f t="shared" si="118"/>
        <v/>
      </c>
      <c r="H6078" s="67"/>
      <c r="I6078" s="68"/>
      <c r="J6078" s="138">
        <v>0</v>
      </c>
    </row>
    <row r="6079" spans="1:10" ht="26.25" hidden="1" thickBot="1" x14ac:dyDescent="0.3">
      <c r="A6079" s="234"/>
      <c r="B6079" s="223"/>
      <c r="C6079" s="30" t="s">
        <v>1629</v>
      </c>
      <c r="D6079" s="30" t="s">
        <v>20</v>
      </c>
      <c r="E6079" s="146">
        <v>1</v>
      </c>
      <c r="F6079" s="25">
        <v>6.1084999999999994</v>
      </c>
      <c r="G6079" s="48">
        <f t="shared" si="118"/>
        <v>6.1084999999999994</v>
      </c>
      <c r="H6079" s="33">
        <f>SUM(G6079:G6079)</f>
        <v>6.1084999999999994</v>
      </c>
      <c r="I6079" s="34"/>
      <c r="J6079" s="138">
        <v>0</v>
      </c>
    </row>
    <row r="6080" spans="1:10" ht="15.75" hidden="1" thickBot="1" x14ac:dyDescent="0.3">
      <c r="A6080" s="235"/>
      <c r="B6080" s="224"/>
      <c r="C6080" s="49"/>
      <c r="D6080" s="148"/>
      <c r="E6080" s="60"/>
      <c r="F6080" s="70" t="s">
        <v>521</v>
      </c>
      <c r="G6080" s="70" t="str">
        <f t="shared" si="118"/>
        <v/>
      </c>
      <c r="H6080" s="71"/>
      <c r="I6080" s="68"/>
      <c r="J6080" s="138">
        <v>0</v>
      </c>
    </row>
    <row r="6081" spans="1:10" ht="15.75" hidden="1" thickBot="1" x14ac:dyDescent="0.3">
      <c r="A6081" s="228" t="s">
        <v>2134</v>
      </c>
      <c r="B6081" s="222" t="e">
        <f>INDEX(Orçamentária!A:B,MATCH(Composições!A6081,Orçamentária!A:A,0),2)</f>
        <v>#N/A</v>
      </c>
      <c r="C6081" s="35"/>
      <c r="D6081" s="20" t="s">
        <v>20</v>
      </c>
      <c r="E6081" s="21"/>
      <c r="F6081" s="43" t="s">
        <v>521</v>
      </c>
      <c r="G6081" s="22" t="str">
        <f t="shared" si="118"/>
        <v/>
      </c>
      <c r="H6081" s="23"/>
      <c r="I6081" s="24"/>
      <c r="J6081" s="138">
        <v>0</v>
      </c>
    </row>
    <row r="6082" spans="1:10" ht="15.75" hidden="1" thickBot="1" x14ac:dyDescent="0.3">
      <c r="A6082" s="234"/>
      <c r="B6082" s="223"/>
      <c r="C6082" s="152"/>
      <c r="D6082" s="26"/>
      <c r="E6082" s="153"/>
      <c r="F6082" s="48" t="s">
        <v>521</v>
      </c>
      <c r="G6082" s="48" t="str">
        <f t="shared" si="118"/>
        <v/>
      </c>
      <c r="H6082" s="67"/>
      <c r="I6082" s="68"/>
      <c r="J6082" s="138">
        <v>0</v>
      </c>
    </row>
    <row r="6083" spans="1:10" ht="26.25" hidden="1" thickBot="1" x14ac:dyDescent="0.3">
      <c r="A6083" s="234"/>
      <c r="B6083" s="223"/>
      <c r="C6083" s="30" t="s">
        <v>1628</v>
      </c>
      <c r="D6083" s="30" t="s">
        <v>20</v>
      </c>
      <c r="E6083" s="146">
        <v>1</v>
      </c>
      <c r="F6083" s="25">
        <v>3.0684999999999998</v>
      </c>
      <c r="G6083" s="48">
        <f t="shared" si="118"/>
        <v>3.0684999999999998</v>
      </c>
      <c r="H6083" s="33">
        <f>SUM(G6083:G6083)</f>
        <v>3.0684999999999998</v>
      </c>
      <c r="I6083" s="34"/>
      <c r="J6083" s="138">
        <v>0</v>
      </c>
    </row>
    <row r="6084" spans="1:10" ht="15.75" hidden="1" thickBot="1" x14ac:dyDescent="0.3">
      <c r="A6084" s="235"/>
      <c r="B6084" s="224"/>
      <c r="C6084" s="49"/>
      <c r="D6084" s="148"/>
      <c r="E6084" s="60"/>
      <c r="F6084" s="70" t="s">
        <v>521</v>
      </c>
      <c r="G6084" s="70" t="str">
        <f t="shared" si="118"/>
        <v/>
      </c>
      <c r="H6084" s="71"/>
      <c r="I6084" s="68"/>
      <c r="J6084" s="138">
        <v>0</v>
      </c>
    </row>
    <row r="6085" spans="1:10" ht="15.75" hidden="1" thickBot="1" x14ac:dyDescent="0.3">
      <c r="A6085" s="228" t="s">
        <v>2135</v>
      </c>
      <c r="B6085" s="222" t="e">
        <f>INDEX(Orçamentária!A:B,MATCH(Composições!A6085,Orçamentária!A:A,0),2)</f>
        <v>#N/A</v>
      </c>
      <c r="C6085" s="35"/>
      <c r="D6085" s="20" t="s">
        <v>20</v>
      </c>
      <c r="E6085" s="21"/>
      <c r="F6085" s="43" t="s">
        <v>521</v>
      </c>
      <c r="G6085" s="22" t="str">
        <f t="shared" si="118"/>
        <v/>
      </c>
      <c r="H6085" s="23"/>
      <c r="I6085" s="24"/>
      <c r="J6085" s="138">
        <v>0</v>
      </c>
    </row>
    <row r="6086" spans="1:10" ht="15.75" hidden="1" thickBot="1" x14ac:dyDescent="0.3">
      <c r="A6086" s="234"/>
      <c r="B6086" s="223"/>
      <c r="C6086" s="152"/>
      <c r="D6086" s="26"/>
      <c r="E6086" s="153"/>
      <c r="F6086" s="48" t="s">
        <v>521</v>
      </c>
      <c r="G6086" s="48" t="str">
        <f t="shared" si="118"/>
        <v/>
      </c>
      <c r="H6086" s="67"/>
      <c r="I6086" s="68"/>
      <c r="J6086" s="138">
        <v>0</v>
      </c>
    </row>
    <row r="6087" spans="1:10" ht="26.25" hidden="1" thickBot="1" x14ac:dyDescent="0.3">
      <c r="A6087" s="234"/>
      <c r="B6087" s="223"/>
      <c r="C6087" s="30" t="s">
        <v>1629</v>
      </c>
      <c r="D6087" s="30" t="s">
        <v>20</v>
      </c>
      <c r="E6087" s="146">
        <v>1</v>
      </c>
      <c r="F6087" s="25">
        <v>6.1084999999999994</v>
      </c>
      <c r="G6087" s="48">
        <f t="shared" si="118"/>
        <v>6.1084999999999994</v>
      </c>
      <c r="H6087" s="33">
        <f>SUM(G6087:G6087)</f>
        <v>6.1084999999999994</v>
      </c>
      <c r="I6087" s="34"/>
      <c r="J6087" s="138">
        <v>0</v>
      </c>
    </row>
    <row r="6088" spans="1:10" ht="15.75" hidden="1" thickBot="1" x14ac:dyDescent="0.3">
      <c r="A6088" s="235"/>
      <c r="B6088" s="224"/>
      <c r="C6088" s="49"/>
      <c r="D6088" s="148"/>
      <c r="E6088" s="60"/>
      <c r="F6088" s="70" t="s">
        <v>521</v>
      </c>
      <c r="G6088" s="70" t="str">
        <f t="shared" si="118"/>
        <v/>
      </c>
      <c r="H6088" s="71"/>
      <c r="I6088" s="68"/>
      <c r="J6088" s="138">
        <v>0</v>
      </c>
    </row>
    <row r="6089" spans="1:10" ht="15.75" hidden="1" thickBot="1" x14ac:dyDescent="0.3">
      <c r="A6089" s="228" t="s">
        <v>2136</v>
      </c>
      <c r="B6089" s="222" t="e">
        <f>INDEX(Orçamentária!A:B,MATCH(Composições!A6089,Orçamentária!A:A,0),2)</f>
        <v>#N/A</v>
      </c>
      <c r="C6089" s="35"/>
      <c r="D6089" s="20" t="s">
        <v>20</v>
      </c>
      <c r="E6089" s="21"/>
      <c r="F6089" s="43" t="s">
        <v>521</v>
      </c>
      <c r="G6089" s="22" t="str">
        <f t="shared" si="118"/>
        <v/>
      </c>
      <c r="H6089" s="23"/>
      <c r="I6089" s="24"/>
      <c r="J6089" s="138">
        <v>0</v>
      </c>
    </row>
    <row r="6090" spans="1:10" ht="15.75" hidden="1" thickBot="1" x14ac:dyDescent="0.3">
      <c r="A6090" s="234"/>
      <c r="B6090" s="223"/>
      <c r="C6090" s="152"/>
      <c r="D6090" s="26"/>
      <c r="E6090" s="153"/>
      <c r="F6090" s="48" t="s">
        <v>521</v>
      </c>
      <c r="G6090" s="48" t="str">
        <f t="shared" si="118"/>
        <v/>
      </c>
      <c r="H6090" s="67"/>
      <c r="I6090" s="68"/>
      <c r="J6090" s="138">
        <v>0</v>
      </c>
    </row>
    <row r="6091" spans="1:10" ht="26.25" hidden="1" thickBot="1" x14ac:dyDescent="0.3">
      <c r="A6091" s="234"/>
      <c r="B6091" s="223"/>
      <c r="C6091" s="30" t="s">
        <v>2201</v>
      </c>
      <c r="D6091" s="30" t="s">
        <v>20</v>
      </c>
      <c r="E6091" s="146">
        <v>1</v>
      </c>
      <c r="F6091" s="25">
        <v>0</v>
      </c>
      <c r="G6091" s="48">
        <f t="shared" si="118"/>
        <v>0</v>
      </c>
      <c r="H6091" s="33">
        <f>SUM(G6091:G6091)</f>
        <v>0</v>
      </c>
      <c r="I6091" s="34"/>
      <c r="J6091" s="138">
        <v>0</v>
      </c>
    </row>
    <row r="6092" spans="1:10" ht="15.75" hidden="1" thickBot="1" x14ac:dyDescent="0.3">
      <c r="A6092" s="235"/>
      <c r="B6092" s="224"/>
      <c r="C6092" s="49"/>
      <c r="D6092" s="148"/>
      <c r="E6092" s="60"/>
      <c r="F6092" s="70" t="s">
        <v>521</v>
      </c>
      <c r="G6092" s="70" t="str">
        <f t="shared" si="118"/>
        <v/>
      </c>
      <c r="H6092" s="71"/>
      <c r="I6092" s="68"/>
      <c r="J6092" s="138">
        <v>0</v>
      </c>
    </row>
    <row r="6093" spans="1:10" ht="15.75" hidden="1" thickBot="1" x14ac:dyDescent="0.3">
      <c r="A6093" s="228" t="s">
        <v>2137</v>
      </c>
      <c r="B6093" s="222" t="e">
        <f>INDEX(Orçamentária!A:B,MATCH(Composições!A6093,Orçamentária!A:A,0),2)</f>
        <v>#N/A</v>
      </c>
      <c r="C6093" s="35"/>
      <c r="D6093" s="20" t="s">
        <v>20</v>
      </c>
      <c r="E6093" s="21"/>
      <c r="F6093" s="43" t="s">
        <v>521</v>
      </c>
      <c r="G6093" s="22" t="str">
        <f t="shared" si="118"/>
        <v/>
      </c>
      <c r="H6093" s="23"/>
      <c r="I6093" s="24"/>
      <c r="J6093" s="138">
        <v>0</v>
      </c>
    </row>
    <row r="6094" spans="1:10" ht="15.75" hidden="1" thickBot="1" x14ac:dyDescent="0.3">
      <c r="A6094" s="234"/>
      <c r="B6094" s="223"/>
      <c r="C6094" s="152"/>
      <c r="D6094" s="26"/>
      <c r="E6094" s="153"/>
      <c r="F6094" s="48" t="s">
        <v>521</v>
      </c>
      <c r="G6094" s="48" t="str">
        <f t="shared" si="118"/>
        <v/>
      </c>
      <c r="H6094" s="67"/>
      <c r="I6094" s="68"/>
      <c r="J6094" s="138">
        <v>0</v>
      </c>
    </row>
    <row r="6095" spans="1:10" ht="26.25" hidden="1" thickBot="1" x14ac:dyDescent="0.3">
      <c r="A6095" s="234"/>
      <c r="B6095" s="223"/>
      <c r="C6095" s="30" t="s">
        <v>2548</v>
      </c>
      <c r="D6095" s="30" t="s">
        <v>20</v>
      </c>
      <c r="E6095" s="146">
        <v>1</v>
      </c>
      <c r="F6095" s="25">
        <v>5.4435000000000002</v>
      </c>
      <c r="G6095" s="48">
        <f t="shared" si="118"/>
        <v>5.4435000000000002</v>
      </c>
      <c r="H6095" s="33">
        <f>SUM(G6095:G6095)</f>
        <v>5.4435000000000002</v>
      </c>
      <c r="I6095" s="34"/>
      <c r="J6095" s="138">
        <v>0</v>
      </c>
    </row>
    <row r="6096" spans="1:10" ht="15.75" hidden="1" thickBot="1" x14ac:dyDescent="0.3">
      <c r="A6096" s="235"/>
      <c r="B6096" s="224"/>
      <c r="C6096" s="49"/>
      <c r="D6096" s="148"/>
      <c r="E6096" s="60"/>
      <c r="F6096" s="70" t="s">
        <v>521</v>
      </c>
      <c r="G6096" s="70" t="str">
        <f t="shared" si="118"/>
        <v/>
      </c>
      <c r="H6096" s="71"/>
      <c r="I6096" s="68"/>
      <c r="J6096" s="138">
        <v>0</v>
      </c>
    </row>
    <row r="6097" spans="1:10" ht="15.75" hidden="1" thickBot="1" x14ac:dyDescent="0.3">
      <c r="A6097" s="228" t="s">
        <v>2138</v>
      </c>
      <c r="B6097" s="222" t="e">
        <f>INDEX(Orçamentária!A:B,MATCH(Composições!A6097,Orçamentária!A:A,0),2)</f>
        <v>#N/A</v>
      </c>
      <c r="C6097" s="35"/>
      <c r="D6097" s="20" t="s">
        <v>20</v>
      </c>
      <c r="E6097" s="21"/>
      <c r="F6097" s="43" t="s">
        <v>521</v>
      </c>
      <c r="G6097" s="22" t="str">
        <f t="shared" si="118"/>
        <v/>
      </c>
      <c r="H6097" s="23"/>
      <c r="I6097" s="24"/>
      <c r="J6097" s="138">
        <v>0</v>
      </c>
    </row>
    <row r="6098" spans="1:10" ht="15.75" hidden="1" thickBot="1" x14ac:dyDescent="0.3">
      <c r="A6098" s="234"/>
      <c r="B6098" s="223"/>
      <c r="C6098" s="152"/>
      <c r="D6098" s="26"/>
      <c r="E6098" s="153"/>
      <c r="F6098" s="48" t="s">
        <v>521</v>
      </c>
      <c r="G6098" s="48" t="str">
        <f t="shared" si="118"/>
        <v/>
      </c>
      <c r="H6098" s="67"/>
      <c r="I6098" s="68"/>
      <c r="J6098" s="138">
        <v>0</v>
      </c>
    </row>
    <row r="6099" spans="1:10" ht="15.75" hidden="1" thickBot="1" x14ac:dyDescent="0.3">
      <c r="A6099" s="234"/>
      <c r="B6099" s="223"/>
      <c r="C6099" s="30" t="s">
        <v>2202</v>
      </c>
      <c r="D6099" s="30" t="s">
        <v>20</v>
      </c>
      <c r="E6099" s="146">
        <v>1</v>
      </c>
      <c r="F6099" s="25">
        <v>0</v>
      </c>
      <c r="G6099" s="48">
        <f t="shared" si="118"/>
        <v>0</v>
      </c>
      <c r="H6099" s="33">
        <f>SUM(G6099:G6099)</f>
        <v>0</v>
      </c>
      <c r="I6099" s="34"/>
      <c r="J6099" s="138">
        <v>0</v>
      </c>
    </row>
    <row r="6100" spans="1:10" ht="15.75" hidden="1" thickBot="1" x14ac:dyDescent="0.3">
      <c r="A6100" s="235"/>
      <c r="B6100" s="224"/>
      <c r="C6100" s="49"/>
      <c r="D6100" s="148"/>
      <c r="E6100" s="60"/>
      <c r="F6100" s="70" t="s">
        <v>521</v>
      </c>
      <c r="G6100" s="70" t="str">
        <f t="shared" si="118"/>
        <v/>
      </c>
      <c r="H6100" s="71"/>
      <c r="I6100" s="68"/>
      <c r="J6100" s="138">
        <v>0</v>
      </c>
    </row>
    <row r="6101" spans="1:10" ht="15.75" hidden="1" thickBot="1" x14ac:dyDescent="0.3">
      <c r="A6101" s="228" t="s">
        <v>2139</v>
      </c>
      <c r="B6101" s="222" t="e">
        <f>INDEX(Orçamentária!A:B,MATCH(Composições!A6101,Orçamentária!A:A,0),2)</f>
        <v>#N/A</v>
      </c>
      <c r="C6101" s="35"/>
      <c r="D6101" s="20" t="s">
        <v>20</v>
      </c>
      <c r="E6101" s="21"/>
      <c r="F6101" s="43" t="s">
        <v>521</v>
      </c>
      <c r="G6101" s="22" t="str">
        <f t="shared" si="118"/>
        <v/>
      </c>
      <c r="H6101" s="23"/>
      <c r="I6101" s="24"/>
      <c r="J6101" s="138">
        <v>0</v>
      </c>
    </row>
    <row r="6102" spans="1:10" ht="15.75" hidden="1" thickBot="1" x14ac:dyDescent="0.3">
      <c r="A6102" s="234"/>
      <c r="B6102" s="223"/>
      <c r="C6102" s="152"/>
      <c r="D6102" s="26"/>
      <c r="E6102" s="153"/>
      <c r="F6102" s="48" t="s">
        <v>521</v>
      </c>
      <c r="G6102" s="48" t="str">
        <f t="shared" si="118"/>
        <v/>
      </c>
      <c r="H6102" s="67"/>
      <c r="I6102" s="68"/>
      <c r="J6102" s="138">
        <v>0</v>
      </c>
    </row>
    <row r="6103" spans="1:10" ht="26.25" hidden="1" thickBot="1" x14ac:dyDescent="0.3">
      <c r="A6103" s="234"/>
      <c r="B6103" s="223"/>
      <c r="C6103" s="30" t="s">
        <v>1718</v>
      </c>
      <c r="D6103" s="30" t="s">
        <v>20</v>
      </c>
      <c r="E6103" s="146">
        <v>1</v>
      </c>
      <c r="F6103" s="25">
        <v>33.012499999999996</v>
      </c>
      <c r="G6103" s="48">
        <f t="shared" si="118"/>
        <v>33.012499999999996</v>
      </c>
      <c r="H6103" s="33">
        <f>SUM(G6103:G6103)</f>
        <v>33.012499999999996</v>
      </c>
      <c r="I6103" s="34"/>
      <c r="J6103" s="138">
        <v>0</v>
      </c>
    </row>
    <row r="6104" spans="1:10" ht="15.75" hidden="1" thickBot="1" x14ac:dyDescent="0.3">
      <c r="A6104" s="235"/>
      <c r="B6104" s="224"/>
      <c r="C6104" s="49"/>
      <c r="D6104" s="148"/>
      <c r="E6104" s="60"/>
      <c r="F6104" s="70" t="s">
        <v>521</v>
      </c>
      <c r="G6104" s="70" t="str">
        <f t="shared" si="118"/>
        <v/>
      </c>
      <c r="H6104" s="71"/>
      <c r="I6104" s="68"/>
      <c r="J6104" s="138">
        <v>0</v>
      </c>
    </row>
    <row r="6105" spans="1:10" ht="15.75" hidden="1" thickBot="1" x14ac:dyDescent="0.3">
      <c r="A6105" s="228" t="s">
        <v>2140</v>
      </c>
      <c r="B6105" s="222" t="e">
        <f>INDEX(Orçamentária!A:B,MATCH(Composições!A6105,Orçamentária!A:A,0),2)</f>
        <v>#N/A</v>
      </c>
      <c r="C6105" s="35"/>
      <c r="D6105" s="20" t="s">
        <v>20</v>
      </c>
      <c r="E6105" s="21"/>
      <c r="F6105" s="43" t="s">
        <v>521</v>
      </c>
      <c r="G6105" s="22" t="str">
        <f t="shared" si="118"/>
        <v/>
      </c>
      <c r="H6105" s="23"/>
      <c r="I6105" s="24"/>
      <c r="J6105" s="138">
        <v>0</v>
      </c>
    </row>
    <row r="6106" spans="1:10" ht="15.75" hidden="1" thickBot="1" x14ac:dyDescent="0.3">
      <c r="A6106" s="234"/>
      <c r="B6106" s="223"/>
      <c r="C6106" s="152"/>
      <c r="D6106" s="26"/>
      <c r="E6106" s="153"/>
      <c r="F6106" s="48" t="s">
        <v>521</v>
      </c>
      <c r="G6106" s="48" t="str">
        <f t="shared" si="118"/>
        <v/>
      </c>
      <c r="H6106" s="67"/>
      <c r="I6106" s="68"/>
      <c r="J6106" s="138">
        <v>0</v>
      </c>
    </row>
    <row r="6107" spans="1:10" ht="39" hidden="1" thickBot="1" x14ac:dyDescent="0.3">
      <c r="A6107" s="234"/>
      <c r="B6107" s="223"/>
      <c r="C6107" s="30" t="s">
        <v>1725</v>
      </c>
      <c r="D6107" s="30" t="s">
        <v>20</v>
      </c>
      <c r="E6107" s="146">
        <v>1</v>
      </c>
      <c r="F6107" s="25">
        <v>159.10599999999999</v>
      </c>
      <c r="G6107" s="48">
        <f t="shared" si="118"/>
        <v>159.10599999999999</v>
      </c>
      <c r="H6107" s="33">
        <f>SUM(G6107:G6107)</f>
        <v>159.10599999999999</v>
      </c>
      <c r="I6107" s="34"/>
      <c r="J6107" s="138">
        <v>0</v>
      </c>
    </row>
    <row r="6108" spans="1:10" ht="15.75" hidden="1" thickBot="1" x14ac:dyDescent="0.3">
      <c r="A6108" s="235"/>
      <c r="B6108" s="224"/>
      <c r="C6108" s="49"/>
      <c r="D6108" s="148"/>
      <c r="E6108" s="60"/>
      <c r="F6108" s="70" t="s">
        <v>521</v>
      </c>
      <c r="G6108" s="70" t="str">
        <f t="shared" si="118"/>
        <v/>
      </c>
      <c r="H6108" s="71"/>
      <c r="I6108" s="68"/>
      <c r="J6108" s="138">
        <v>0</v>
      </c>
    </row>
    <row r="6109" spans="1:10" ht="15.75" hidden="1" thickBot="1" x14ac:dyDescent="0.3">
      <c r="A6109" s="228" t="s">
        <v>2141</v>
      </c>
      <c r="B6109" s="222" t="e">
        <f>INDEX(Orçamentária!A:B,MATCH(Composições!A6109,Orçamentária!A:A,0),2)</f>
        <v>#N/A</v>
      </c>
      <c r="C6109" s="35"/>
      <c r="D6109" s="20" t="s">
        <v>20</v>
      </c>
      <c r="E6109" s="21"/>
      <c r="F6109" s="43" t="s">
        <v>521</v>
      </c>
      <c r="G6109" s="22" t="str">
        <f t="shared" si="118"/>
        <v/>
      </c>
      <c r="H6109" s="23"/>
      <c r="I6109" s="24"/>
      <c r="J6109" s="138">
        <v>0</v>
      </c>
    </row>
    <row r="6110" spans="1:10" ht="15.75" hidden="1" thickBot="1" x14ac:dyDescent="0.3">
      <c r="A6110" s="234"/>
      <c r="B6110" s="223"/>
      <c r="C6110" s="152"/>
      <c r="D6110" s="26"/>
      <c r="E6110" s="153"/>
      <c r="F6110" s="48" t="s">
        <v>521</v>
      </c>
      <c r="G6110" s="48" t="str">
        <f t="shared" si="118"/>
        <v/>
      </c>
      <c r="H6110" s="67"/>
      <c r="I6110" s="68"/>
      <c r="J6110" s="138">
        <v>0</v>
      </c>
    </row>
    <row r="6111" spans="1:10" ht="39" hidden="1" thickBot="1" x14ac:dyDescent="0.3">
      <c r="A6111" s="234"/>
      <c r="B6111" s="223"/>
      <c r="C6111" s="30" t="s">
        <v>1726</v>
      </c>
      <c r="D6111" s="30" t="s">
        <v>20</v>
      </c>
      <c r="E6111" s="146">
        <v>1</v>
      </c>
      <c r="F6111" s="25">
        <v>294.78500000000003</v>
      </c>
      <c r="G6111" s="48">
        <f t="shared" si="118"/>
        <v>294.78500000000003</v>
      </c>
      <c r="H6111" s="33">
        <f>SUM(G6111:G6111)</f>
        <v>294.78500000000003</v>
      </c>
      <c r="I6111" s="34"/>
      <c r="J6111" s="138">
        <v>0</v>
      </c>
    </row>
    <row r="6112" spans="1:10" ht="15.75" hidden="1" thickBot="1" x14ac:dyDescent="0.3">
      <c r="A6112" s="235"/>
      <c r="B6112" s="224"/>
      <c r="C6112" s="49"/>
      <c r="D6112" s="148"/>
      <c r="E6112" s="60"/>
      <c r="F6112" s="70" t="s">
        <v>521</v>
      </c>
      <c r="G6112" s="70" t="str">
        <f t="shared" si="118"/>
        <v/>
      </c>
      <c r="H6112" s="71"/>
      <c r="I6112" s="68"/>
      <c r="J6112" s="138">
        <v>0</v>
      </c>
    </row>
    <row r="6113" spans="1:10" ht="15.75" hidden="1" thickBot="1" x14ac:dyDescent="0.3">
      <c r="A6113" s="228" t="s">
        <v>2142</v>
      </c>
      <c r="B6113" s="222" t="e">
        <f>INDEX(Orçamentária!A:B,MATCH(Composições!A6113,Orçamentária!A:A,0),2)</f>
        <v>#N/A</v>
      </c>
      <c r="C6113" s="35"/>
      <c r="D6113" s="20" t="s">
        <v>20</v>
      </c>
      <c r="E6113" s="21"/>
      <c r="F6113" s="43" t="s">
        <v>521</v>
      </c>
      <c r="G6113" s="22" t="str">
        <f t="shared" si="118"/>
        <v/>
      </c>
      <c r="H6113" s="23"/>
      <c r="I6113" s="24"/>
      <c r="J6113" s="138">
        <v>0</v>
      </c>
    </row>
    <row r="6114" spans="1:10" ht="15.75" hidden="1" thickBot="1" x14ac:dyDescent="0.3">
      <c r="A6114" s="234"/>
      <c r="B6114" s="223"/>
      <c r="C6114" s="152"/>
      <c r="D6114" s="26"/>
      <c r="E6114" s="153"/>
      <c r="F6114" s="48" t="s">
        <v>521</v>
      </c>
      <c r="G6114" s="48" t="str">
        <f t="shared" si="118"/>
        <v/>
      </c>
      <c r="H6114" s="67"/>
      <c r="I6114" s="68"/>
      <c r="J6114" s="138">
        <v>0</v>
      </c>
    </row>
    <row r="6115" spans="1:10" ht="39" hidden="1" thickBot="1" x14ac:dyDescent="0.3">
      <c r="A6115" s="234"/>
      <c r="B6115" s="223"/>
      <c r="C6115" s="30" t="s">
        <v>1727</v>
      </c>
      <c r="D6115" s="30" t="s">
        <v>20</v>
      </c>
      <c r="E6115" s="146">
        <v>1</v>
      </c>
      <c r="F6115" s="25">
        <v>638.8655</v>
      </c>
      <c r="G6115" s="48">
        <f t="shared" si="118"/>
        <v>638.8655</v>
      </c>
      <c r="H6115" s="33">
        <f>SUM(G6115:G6115)</f>
        <v>638.8655</v>
      </c>
      <c r="I6115" s="34"/>
      <c r="J6115" s="138">
        <v>0</v>
      </c>
    </row>
    <row r="6116" spans="1:10" ht="15.75" hidden="1" thickBot="1" x14ac:dyDescent="0.3">
      <c r="A6116" s="235"/>
      <c r="B6116" s="224"/>
      <c r="C6116" s="49"/>
      <c r="D6116" s="148"/>
      <c r="E6116" s="60"/>
      <c r="F6116" s="70" t="s">
        <v>521</v>
      </c>
      <c r="G6116" s="70" t="str">
        <f t="shared" si="118"/>
        <v/>
      </c>
      <c r="H6116" s="71"/>
      <c r="I6116" s="68"/>
      <c r="J6116" s="138">
        <v>0</v>
      </c>
    </row>
    <row r="6117" spans="1:10" ht="15.75" hidden="1" thickBot="1" x14ac:dyDescent="0.3">
      <c r="A6117" s="228" t="s">
        <v>2143</v>
      </c>
      <c r="B6117" s="222" t="e">
        <f>INDEX(Orçamentária!A:B,MATCH(Composições!A6117,Orçamentária!A:A,0),2)</f>
        <v>#N/A</v>
      </c>
      <c r="C6117" s="35"/>
      <c r="D6117" s="20" t="s">
        <v>20</v>
      </c>
      <c r="E6117" s="21"/>
      <c r="F6117" s="43" t="s">
        <v>521</v>
      </c>
      <c r="G6117" s="22" t="str">
        <f t="shared" si="118"/>
        <v/>
      </c>
      <c r="H6117" s="23"/>
      <c r="I6117" s="24"/>
      <c r="J6117" s="138">
        <v>0</v>
      </c>
    </row>
    <row r="6118" spans="1:10" ht="15.75" hidden="1" thickBot="1" x14ac:dyDescent="0.3">
      <c r="A6118" s="234"/>
      <c r="B6118" s="223"/>
      <c r="C6118" s="152"/>
      <c r="D6118" s="26"/>
      <c r="E6118" s="153"/>
      <c r="F6118" s="48" t="s">
        <v>521</v>
      </c>
      <c r="G6118" s="48" t="str">
        <f t="shared" si="118"/>
        <v/>
      </c>
      <c r="H6118" s="67"/>
      <c r="I6118" s="68"/>
      <c r="J6118" s="138">
        <v>0</v>
      </c>
    </row>
    <row r="6119" spans="1:10" ht="39" hidden="1" thickBot="1" x14ac:dyDescent="0.3">
      <c r="A6119" s="234"/>
      <c r="B6119" s="223"/>
      <c r="C6119" s="30" t="s">
        <v>1729</v>
      </c>
      <c r="D6119" s="30" t="s">
        <v>20</v>
      </c>
      <c r="E6119" s="146">
        <v>1</v>
      </c>
      <c r="F6119" s="25">
        <v>42.294000000000004</v>
      </c>
      <c r="G6119" s="48">
        <f t="shared" si="118"/>
        <v>42.294000000000004</v>
      </c>
      <c r="H6119" s="33">
        <f>SUM(G6119:G6119)</f>
        <v>42.294000000000004</v>
      </c>
      <c r="I6119" s="34"/>
      <c r="J6119" s="138">
        <v>0</v>
      </c>
    </row>
    <row r="6120" spans="1:10" ht="15.75" hidden="1" thickBot="1" x14ac:dyDescent="0.3">
      <c r="A6120" s="235"/>
      <c r="B6120" s="224"/>
      <c r="C6120" s="49"/>
      <c r="D6120" s="148"/>
      <c r="E6120" s="60"/>
      <c r="F6120" s="70" t="s">
        <v>521</v>
      </c>
      <c r="G6120" s="70" t="str">
        <f t="shared" si="118"/>
        <v/>
      </c>
      <c r="H6120" s="71"/>
      <c r="I6120" s="68"/>
      <c r="J6120" s="138">
        <v>0</v>
      </c>
    </row>
    <row r="6121" spans="1:10" ht="15.75" hidden="1" thickBot="1" x14ac:dyDescent="0.3">
      <c r="A6121" s="228" t="s">
        <v>2144</v>
      </c>
      <c r="B6121" s="222" t="e">
        <f>INDEX(Orçamentária!A:B,MATCH(Composições!A6121,Orçamentária!A:A,0),2)</f>
        <v>#N/A</v>
      </c>
      <c r="C6121" s="35"/>
      <c r="D6121" s="20" t="s">
        <v>20</v>
      </c>
      <c r="E6121" s="21"/>
      <c r="F6121" s="43" t="s">
        <v>521</v>
      </c>
      <c r="G6121" s="22" t="str">
        <f t="shared" si="118"/>
        <v/>
      </c>
      <c r="H6121" s="23"/>
      <c r="I6121" s="24"/>
      <c r="J6121" s="138">
        <v>0</v>
      </c>
    </row>
    <row r="6122" spans="1:10" ht="15.75" hidden="1" thickBot="1" x14ac:dyDescent="0.3">
      <c r="A6122" s="234"/>
      <c r="B6122" s="223"/>
      <c r="C6122" s="152"/>
      <c r="D6122" s="26"/>
      <c r="E6122" s="153"/>
      <c r="F6122" s="48" t="s">
        <v>521</v>
      </c>
      <c r="G6122" s="48" t="str">
        <f t="shared" si="118"/>
        <v/>
      </c>
      <c r="H6122" s="67"/>
      <c r="I6122" s="68"/>
      <c r="J6122" s="138">
        <v>0</v>
      </c>
    </row>
    <row r="6123" spans="1:10" ht="26.25" hidden="1" thickBot="1" x14ac:dyDescent="0.3">
      <c r="A6123" s="234"/>
      <c r="B6123" s="223"/>
      <c r="C6123" s="30" t="s">
        <v>2284</v>
      </c>
      <c r="D6123" s="30" t="s">
        <v>20</v>
      </c>
      <c r="E6123" s="146">
        <v>1</v>
      </c>
      <c r="F6123" s="25">
        <v>54.406500000000001</v>
      </c>
      <c r="G6123" s="48">
        <f t="shared" si="118"/>
        <v>54.406500000000001</v>
      </c>
      <c r="H6123" s="33">
        <f>SUM(G6123:G6123)</f>
        <v>54.406500000000001</v>
      </c>
      <c r="I6123" s="34"/>
      <c r="J6123" s="138">
        <v>0</v>
      </c>
    </row>
    <row r="6124" spans="1:10" ht="15.75" hidden="1" thickBot="1" x14ac:dyDescent="0.3">
      <c r="A6124" s="235"/>
      <c r="B6124" s="224"/>
      <c r="C6124" s="49"/>
      <c r="D6124" s="148"/>
      <c r="E6124" s="60"/>
      <c r="F6124" s="70" t="s">
        <v>521</v>
      </c>
      <c r="G6124" s="70" t="str">
        <f t="shared" si="118"/>
        <v/>
      </c>
      <c r="H6124" s="71"/>
      <c r="I6124" s="68"/>
      <c r="J6124" s="138">
        <v>0</v>
      </c>
    </row>
    <row r="6125" spans="1:10" ht="15.75" hidden="1" thickBot="1" x14ac:dyDescent="0.3">
      <c r="A6125" s="228" t="s">
        <v>2145</v>
      </c>
      <c r="B6125" s="222" t="e">
        <f>INDEX(Orçamentária!A:B,MATCH(Composições!A6125,Orçamentária!A:A,0),2)</f>
        <v>#N/A</v>
      </c>
      <c r="C6125" s="35"/>
      <c r="D6125" s="20" t="s">
        <v>20</v>
      </c>
      <c r="E6125" s="21"/>
      <c r="F6125" s="43" t="s">
        <v>521</v>
      </c>
      <c r="G6125" s="22" t="str">
        <f t="shared" si="118"/>
        <v/>
      </c>
      <c r="H6125" s="23"/>
      <c r="I6125" s="24"/>
      <c r="J6125" s="138">
        <v>0</v>
      </c>
    </row>
    <row r="6126" spans="1:10" ht="15.75" hidden="1" thickBot="1" x14ac:dyDescent="0.3">
      <c r="A6126" s="234"/>
      <c r="B6126" s="223"/>
      <c r="C6126" s="152"/>
      <c r="D6126" s="26"/>
      <c r="E6126" s="153"/>
      <c r="F6126" s="48" t="s">
        <v>521</v>
      </c>
      <c r="G6126" s="48" t="str">
        <f t="shared" si="118"/>
        <v/>
      </c>
      <c r="H6126" s="67"/>
      <c r="I6126" s="68"/>
      <c r="J6126" s="138">
        <v>0</v>
      </c>
    </row>
    <row r="6127" spans="1:10" ht="39" hidden="1" thickBot="1" x14ac:dyDescent="0.3">
      <c r="A6127" s="234"/>
      <c r="B6127" s="223"/>
      <c r="C6127" s="30" t="s">
        <v>1715</v>
      </c>
      <c r="D6127" s="30" t="s">
        <v>20</v>
      </c>
      <c r="E6127" s="146">
        <v>1</v>
      </c>
      <c r="F6127" s="25">
        <v>97.678999999999988</v>
      </c>
      <c r="G6127" s="48">
        <f t="shared" si="118"/>
        <v>97.678999999999988</v>
      </c>
      <c r="H6127" s="33">
        <f>SUM(G6127:G6127)</f>
        <v>97.678999999999988</v>
      </c>
      <c r="I6127" s="34"/>
      <c r="J6127" s="138">
        <v>0</v>
      </c>
    </row>
    <row r="6128" spans="1:10" ht="15.75" hidden="1" thickBot="1" x14ac:dyDescent="0.3">
      <c r="A6128" s="235"/>
      <c r="B6128" s="224"/>
      <c r="C6128" s="49"/>
      <c r="D6128" s="148"/>
      <c r="E6128" s="60"/>
      <c r="F6128" s="70" t="s">
        <v>521</v>
      </c>
      <c r="G6128" s="70" t="str">
        <f t="shared" si="118"/>
        <v/>
      </c>
      <c r="H6128" s="71"/>
      <c r="I6128" s="68"/>
      <c r="J6128" s="138">
        <v>0</v>
      </c>
    </row>
    <row r="6129" spans="1:10" ht="15.75" hidden="1" thickBot="1" x14ac:dyDescent="0.3">
      <c r="A6129" s="228" t="s">
        <v>2146</v>
      </c>
      <c r="B6129" s="222" t="e">
        <f>INDEX(Orçamentária!A:B,MATCH(Composições!A6129,Orçamentária!A:A,0),2)</f>
        <v>#N/A</v>
      </c>
      <c r="C6129" s="35"/>
      <c r="D6129" s="20" t="s">
        <v>20</v>
      </c>
      <c r="E6129" s="21"/>
      <c r="F6129" s="43" t="s">
        <v>521</v>
      </c>
      <c r="G6129" s="22" t="str">
        <f t="shared" si="118"/>
        <v/>
      </c>
      <c r="H6129" s="23"/>
      <c r="I6129" s="24"/>
      <c r="J6129" s="138">
        <v>0</v>
      </c>
    </row>
    <row r="6130" spans="1:10" ht="15.75" hidden="1" thickBot="1" x14ac:dyDescent="0.3">
      <c r="A6130" s="234"/>
      <c r="B6130" s="223"/>
      <c r="C6130" s="152"/>
      <c r="D6130" s="26"/>
      <c r="E6130" s="153"/>
      <c r="F6130" s="48" t="s">
        <v>521</v>
      </c>
      <c r="G6130" s="48" t="str">
        <f t="shared" si="118"/>
        <v/>
      </c>
      <c r="H6130" s="67"/>
      <c r="I6130" s="68"/>
      <c r="J6130" s="138">
        <v>0</v>
      </c>
    </row>
    <row r="6131" spans="1:10" ht="15.75" hidden="1" thickBot="1" x14ac:dyDescent="0.3">
      <c r="A6131" s="234"/>
      <c r="B6131" s="223"/>
      <c r="C6131" s="30" t="s">
        <v>2312</v>
      </c>
      <c r="D6131" s="30" t="s">
        <v>93</v>
      </c>
      <c r="E6131" s="146">
        <v>3</v>
      </c>
      <c r="F6131" s="25">
        <v>46.578499999999998</v>
      </c>
      <c r="G6131" s="48">
        <f t="shared" si="118"/>
        <v>139.7355</v>
      </c>
      <c r="H6131" s="33">
        <f>SUM(G6131:G6131)</f>
        <v>139.7355</v>
      </c>
      <c r="I6131" s="34"/>
      <c r="J6131" s="138">
        <v>0</v>
      </c>
    </row>
    <row r="6132" spans="1:10" ht="15.75" hidden="1" thickBot="1" x14ac:dyDescent="0.3">
      <c r="A6132" s="235"/>
      <c r="B6132" s="224"/>
      <c r="C6132" s="49"/>
      <c r="D6132" s="148"/>
      <c r="E6132" s="60"/>
      <c r="F6132" s="70" t="s">
        <v>521</v>
      </c>
      <c r="G6132" s="70" t="str">
        <f t="shared" si="118"/>
        <v/>
      </c>
      <c r="H6132" s="71"/>
      <c r="I6132" s="68"/>
      <c r="J6132" s="138">
        <v>0</v>
      </c>
    </row>
    <row r="6133" spans="1:10" ht="15.75" hidden="1" thickBot="1" x14ac:dyDescent="0.3">
      <c r="A6133" s="228" t="s">
        <v>2147</v>
      </c>
      <c r="B6133" s="222" t="e">
        <f>INDEX(Orçamentária!A:B,MATCH(Composições!A6133,Orçamentária!A:A,0),2)</f>
        <v>#N/A</v>
      </c>
      <c r="C6133" s="35"/>
      <c r="D6133" s="20" t="s">
        <v>1996</v>
      </c>
      <c r="E6133" s="21"/>
      <c r="F6133" s="43" t="s">
        <v>521</v>
      </c>
      <c r="G6133" s="22" t="str">
        <f t="shared" si="118"/>
        <v/>
      </c>
      <c r="H6133" s="23"/>
      <c r="I6133" s="24"/>
      <c r="J6133" s="138">
        <v>0</v>
      </c>
    </row>
    <row r="6134" spans="1:10" ht="15.75" hidden="1" thickBot="1" x14ac:dyDescent="0.3">
      <c r="A6134" s="234"/>
      <c r="B6134" s="223"/>
      <c r="C6134" s="152"/>
      <c r="D6134" s="26"/>
      <c r="E6134" s="153"/>
      <c r="F6134" s="48" t="s">
        <v>521</v>
      </c>
      <c r="G6134" s="48" t="str">
        <f t="shared" si="118"/>
        <v/>
      </c>
      <c r="H6134" s="67"/>
      <c r="I6134" s="68"/>
      <c r="J6134" s="138">
        <v>0</v>
      </c>
    </row>
    <row r="6135" spans="1:10" ht="26.25" hidden="1" thickBot="1" x14ac:dyDescent="0.3">
      <c r="A6135" s="234"/>
      <c r="B6135" s="223"/>
      <c r="C6135" s="30" t="s">
        <v>775</v>
      </c>
      <c r="D6135" s="30" t="s">
        <v>42</v>
      </c>
      <c r="E6135" s="146">
        <v>1</v>
      </c>
      <c r="F6135" s="25">
        <v>46.844499999999996</v>
      </c>
      <c r="G6135" s="48">
        <f t="shared" si="118"/>
        <v>46.844499999999996</v>
      </c>
      <c r="H6135" s="33">
        <f>SUM(G6135:G6135)</f>
        <v>46.844499999999996</v>
      </c>
      <c r="I6135" s="34"/>
      <c r="J6135" s="138">
        <v>0</v>
      </c>
    </row>
    <row r="6136" spans="1:10" ht="15.75" hidden="1" thickBot="1" x14ac:dyDescent="0.3">
      <c r="A6136" s="235"/>
      <c r="B6136" s="224"/>
      <c r="C6136" s="49"/>
      <c r="D6136" s="148"/>
      <c r="E6136" s="60"/>
      <c r="F6136" s="70" t="s">
        <v>521</v>
      </c>
      <c r="G6136" s="70" t="str">
        <f t="shared" si="118"/>
        <v/>
      </c>
      <c r="H6136" s="71"/>
      <c r="I6136" s="68"/>
      <c r="J6136" s="138">
        <v>0</v>
      </c>
    </row>
    <row r="6137" spans="1:10" ht="15.75" hidden="1" thickBot="1" x14ac:dyDescent="0.3">
      <c r="A6137" s="228" t="s">
        <v>2148</v>
      </c>
      <c r="B6137" s="222" t="e">
        <f>INDEX(Orçamentária!A:B,MATCH(Composições!A6137,Orçamentária!A:A,0),2)</f>
        <v>#N/A</v>
      </c>
      <c r="C6137" s="35"/>
      <c r="D6137" s="20" t="s">
        <v>20</v>
      </c>
      <c r="E6137" s="21"/>
      <c r="F6137" s="43" t="s">
        <v>521</v>
      </c>
      <c r="G6137" s="22" t="str">
        <f t="shared" si="118"/>
        <v/>
      </c>
      <c r="H6137" s="23"/>
      <c r="I6137" s="24"/>
      <c r="J6137" s="138">
        <v>0</v>
      </c>
    </row>
    <row r="6138" spans="1:10" ht="15.75" hidden="1" thickBot="1" x14ac:dyDescent="0.3">
      <c r="A6138" s="234"/>
      <c r="B6138" s="223"/>
      <c r="C6138" s="152"/>
      <c r="D6138" s="26"/>
      <c r="E6138" s="153"/>
      <c r="F6138" s="48" t="s">
        <v>521</v>
      </c>
      <c r="G6138" s="48" t="str">
        <f t="shared" si="118"/>
        <v/>
      </c>
      <c r="H6138" s="67"/>
      <c r="I6138" s="68"/>
      <c r="J6138" s="138">
        <v>0</v>
      </c>
    </row>
    <row r="6139" spans="1:10" ht="39" hidden="1" thickBot="1" x14ac:dyDescent="0.3">
      <c r="A6139" s="234"/>
      <c r="B6139" s="223"/>
      <c r="C6139" s="30" t="s">
        <v>2711</v>
      </c>
      <c r="D6139" s="30" t="s">
        <v>20</v>
      </c>
      <c r="E6139" s="146">
        <v>1</v>
      </c>
      <c r="F6139" s="25">
        <v>756.01949999999988</v>
      </c>
      <c r="G6139" s="48">
        <f t="shared" si="118"/>
        <v>756.01949999999988</v>
      </c>
      <c r="H6139" s="33">
        <f>SUM(G6139:G6139)</f>
        <v>756.01949999999988</v>
      </c>
      <c r="I6139" s="34"/>
      <c r="J6139" s="138">
        <v>0</v>
      </c>
    </row>
    <row r="6140" spans="1:10" ht="15.75" hidden="1" thickBot="1" x14ac:dyDescent="0.3">
      <c r="A6140" s="235"/>
      <c r="B6140" s="224"/>
      <c r="C6140" s="49"/>
      <c r="D6140" s="148"/>
      <c r="E6140" s="60"/>
      <c r="F6140" s="70" t="s">
        <v>521</v>
      </c>
      <c r="G6140" s="70" t="str">
        <f t="shared" si="118"/>
        <v/>
      </c>
      <c r="H6140" s="71"/>
      <c r="I6140" s="68"/>
      <c r="J6140" s="138">
        <v>0</v>
      </c>
    </row>
    <row r="6141" spans="1:10" ht="15.75" hidden="1" thickBot="1" x14ac:dyDescent="0.3">
      <c r="A6141" s="228" t="s">
        <v>2149</v>
      </c>
      <c r="B6141" s="222" t="e">
        <f>INDEX(Orçamentária!A:B,MATCH(Composições!A6141,Orçamentária!A:A,0),2)</f>
        <v>#N/A</v>
      </c>
      <c r="C6141" s="35"/>
      <c r="D6141" s="20" t="s">
        <v>20</v>
      </c>
      <c r="E6141" s="21"/>
      <c r="F6141" s="43" t="s">
        <v>521</v>
      </c>
      <c r="G6141" s="22" t="str">
        <f t="shared" ref="G6141:G6204" si="119">IF(ISNUMBER(F6141),E6141*F6141,"")</f>
        <v/>
      </c>
      <c r="H6141" s="23"/>
      <c r="I6141" s="24"/>
      <c r="J6141" s="138">
        <v>0</v>
      </c>
    </row>
    <row r="6142" spans="1:10" ht="15.75" hidden="1" thickBot="1" x14ac:dyDescent="0.3">
      <c r="A6142" s="234"/>
      <c r="B6142" s="223"/>
      <c r="C6142" s="152"/>
      <c r="D6142" s="26"/>
      <c r="E6142" s="153"/>
      <c r="F6142" s="48" t="s">
        <v>521</v>
      </c>
      <c r="G6142" s="48" t="str">
        <f t="shared" si="119"/>
        <v/>
      </c>
      <c r="H6142" s="67"/>
      <c r="I6142" s="68"/>
      <c r="J6142" s="138">
        <v>0</v>
      </c>
    </row>
    <row r="6143" spans="1:10" ht="39" hidden="1" thickBot="1" x14ac:dyDescent="0.3">
      <c r="A6143" s="234"/>
      <c r="B6143" s="223"/>
      <c r="C6143" s="30" t="s">
        <v>2710</v>
      </c>
      <c r="D6143" s="30" t="s">
        <v>20</v>
      </c>
      <c r="E6143" s="146">
        <v>1</v>
      </c>
      <c r="F6143" s="25">
        <v>616.97749999999996</v>
      </c>
      <c r="G6143" s="48">
        <f t="shared" si="119"/>
        <v>616.97749999999996</v>
      </c>
      <c r="H6143" s="33">
        <f>SUM(G6143:G6143)</f>
        <v>616.97749999999996</v>
      </c>
      <c r="I6143" s="34"/>
      <c r="J6143" s="138">
        <v>0</v>
      </c>
    </row>
    <row r="6144" spans="1:10" ht="15.75" hidden="1" thickBot="1" x14ac:dyDescent="0.3">
      <c r="A6144" s="235"/>
      <c r="B6144" s="224"/>
      <c r="C6144" s="49"/>
      <c r="D6144" s="148"/>
      <c r="E6144" s="60"/>
      <c r="F6144" s="70" t="s">
        <v>521</v>
      </c>
      <c r="G6144" s="70" t="str">
        <f t="shared" si="119"/>
        <v/>
      </c>
      <c r="H6144" s="71"/>
      <c r="I6144" s="68"/>
      <c r="J6144" s="138">
        <v>0</v>
      </c>
    </row>
    <row r="6145" spans="1:10" ht="15.75" hidden="1" thickBot="1" x14ac:dyDescent="0.3">
      <c r="A6145" s="228" t="s">
        <v>2150</v>
      </c>
      <c r="B6145" s="222" t="e">
        <f>INDEX(Orçamentária!A:B,MATCH(Composições!A6145,Orçamentária!A:A,0),2)</f>
        <v>#N/A</v>
      </c>
      <c r="C6145" s="35"/>
      <c r="D6145" s="20" t="s">
        <v>20</v>
      </c>
      <c r="E6145" s="21"/>
      <c r="F6145" s="43" t="s">
        <v>521</v>
      </c>
      <c r="G6145" s="22" t="str">
        <f t="shared" si="119"/>
        <v/>
      </c>
      <c r="H6145" s="23"/>
      <c r="I6145" s="24"/>
      <c r="J6145" s="138">
        <v>0</v>
      </c>
    </row>
    <row r="6146" spans="1:10" ht="15.75" hidden="1" thickBot="1" x14ac:dyDescent="0.3">
      <c r="A6146" s="234"/>
      <c r="B6146" s="223"/>
      <c r="C6146" s="152"/>
      <c r="D6146" s="26"/>
      <c r="E6146" s="153"/>
      <c r="F6146" s="48" t="s">
        <v>521</v>
      </c>
      <c r="G6146" s="48" t="str">
        <f t="shared" si="119"/>
        <v/>
      </c>
      <c r="H6146" s="67"/>
      <c r="I6146" s="68"/>
      <c r="J6146" s="138">
        <v>0</v>
      </c>
    </row>
    <row r="6147" spans="1:10" ht="26.25" hidden="1" thickBot="1" x14ac:dyDescent="0.3">
      <c r="A6147" s="234"/>
      <c r="B6147" s="223"/>
      <c r="C6147" s="30" t="s">
        <v>2712</v>
      </c>
      <c r="D6147" s="30" t="s">
        <v>20</v>
      </c>
      <c r="E6147" s="146">
        <v>1</v>
      </c>
      <c r="F6147" s="25">
        <v>315.43799999999999</v>
      </c>
      <c r="G6147" s="48">
        <f t="shared" si="119"/>
        <v>315.43799999999999</v>
      </c>
      <c r="H6147" s="33">
        <f>SUM(G6147:G6147)</f>
        <v>315.43799999999999</v>
      </c>
      <c r="I6147" s="34"/>
      <c r="J6147" s="138">
        <v>0</v>
      </c>
    </row>
    <row r="6148" spans="1:10" ht="15.75" hidden="1" thickBot="1" x14ac:dyDescent="0.3">
      <c r="A6148" s="235"/>
      <c r="B6148" s="224"/>
      <c r="C6148" s="49"/>
      <c r="D6148" s="148"/>
      <c r="E6148" s="60"/>
      <c r="F6148" s="70" t="s">
        <v>521</v>
      </c>
      <c r="G6148" s="70" t="str">
        <f t="shared" si="119"/>
        <v/>
      </c>
      <c r="H6148" s="71"/>
      <c r="I6148" s="68"/>
      <c r="J6148" s="138">
        <v>0</v>
      </c>
    </row>
    <row r="6149" spans="1:10" ht="15.75" hidden="1" thickBot="1" x14ac:dyDescent="0.3">
      <c r="A6149" s="228" t="s">
        <v>2151</v>
      </c>
      <c r="B6149" s="222" t="e">
        <f>INDEX(Orçamentária!A:B,MATCH(Composições!A6149,Orçamentária!A:A,0),2)</f>
        <v>#N/A</v>
      </c>
      <c r="C6149" s="35"/>
      <c r="D6149" s="20" t="s">
        <v>95</v>
      </c>
      <c r="E6149" s="21"/>
      <c r="F6149" s="43" t="s">
        <v>521</v>
      </c>
      <c r="G6149" s="22" t="str">
        <f t="shared" si="119"/>
        <v/>
      </c>
      <c r="H6149" s="23"/>
      <c r="I6149" s="24"/>
      <c r="J6149" s="138">
        <v>0</v>
      </c>
    </row>
    <row r="6150" spans="1:10" ht="15.75" hidden="1" thickBot="1" x14ac:dyDescent="0.3">
      <c r="A6150" s="234"/>
      <c r="B6150" s="223"/>
      <c r="C6150" s="152"/>
      <c r="D6150" s="26"/>
      <c r="E6150" s="153"/>
      <c r="F6150" s="48" t="s">
        <v>521</v>
      </c>
      <c r="G6150" s="48" t="str">
        <f t="shared" si="119"/>
        <v/>
      </c>
      <c r="H6150" s="67"/>
      <c r="I6150" s="68"/>
      <c r="J6150" s="138">
        <v>0</v>
      </c>
    </row>
    <row r="6151" spans="1:10" ht="51.75" hidden="1" thickBot="1" x14ac:dyDescent="0.3">
      <c r="A6151" s="234"/>
      <c r="B6151" s="223"/>
      <c r="C6151" s="30" t="s">
        <v>2618</v>
      </c>
      <c r="D6151" s="30" t="s">
        <v>20</v>
      </c>
      <c r="E6151" s="146">
        <f>1/0.13/0.26</f>
        <v>29.585798816568044</v>
      </c>
      <c r="F6151" s="25">
        <v>19</v>
      </c>
      <c r="G6151" s="48">
        <f t="shared" si="119"/>
        <v>562.13017751479288</v>
      </c>
      <c r="H6151" s="33">
        <f>SUM(G6151:G6151)</f>
        <v>562.13017751479288</v>
      </c>
      <c r="I6151" s="34"/>
      <c r="J6151" s="138">
        <v>0</v>
      </c>
    </row>
    <row r="6152" spans="1:10" ht="15.75" hidden="1" thickBot="1" x14ac:dyDescent="0.3">
      <c r="A6152" s="235"/>
      <c r="B6152" s="224"/>
      <c r="C6152" s="49"/>
      <c r="D6152" s="148"/>
      <c r="E6152" s="60"/>
      <c r="F6152" s="70" t="s">
        <v>521</v>
      </c>
      <c r="G6152" s="70" t="str">
        <f t="shared" si="119"/>
        <v/>
      </c>
      <c r="H6152" s="71"/>
      <c r="I6152" s="68"/>
      <c r="J6152" s="138">
        <v>0</v>
      </c>
    </row>
    <row r="6153" spans="1:10" ht="15.75" hidden="1" thickBot="1" x14ac:dyDescent="0.3">
      <c r="A6153" s="220" t="s">
        <v>2152</v>
      </c>
      <c r="B6153" s="222" t="e">
        <f>INDEX(Orçamentária!A:B,MATCH(Composições!A6153,Orçamentária!A:A,0),2)</f>
        <v>#N/A</v>
      </c>
      <c r="C6153" s="35"/>
      <c r="D6153" s="20" t="s">
        <v>20</v>
      </c>
      <c r="E6153" s="21"/>
      <c r="F6153" s="43" t="s">
        <v>521</v>
      </c>
      <c r="G6153" s="22" t="str">
        <f t="shared" si="119"/>
        <v/>
      </c>
      <c r="H6153" s="23"/>
      <c r="I6153" s="24"/>
      <c r="J6153" s="138">
        <v>0</v>
      </c>
    </row>
    <row r="6154" spans="1:10" ht="15.75" hidden="1" thickBot="1" x14ac:dyDescent="0.3">
      <c r="A6154" s="225"/>
      <c r="B6154" s="223"/>
      <c r="C6154" s="152"/>
      <c r="D6154" s="26"/>
      <c r="E6154" s="153"/>
      <c r="F6154" s="48" t="s">
        <v>521</v>
      </c>
      <c r="G6154" s="48" t="str">
        <f t="shared" si="119"/>
        <v/>
      </c>
      <c r="H6154" s="67"/>
      <c r="I6154" s="68"/>
      <c r="J6154" s="138">
        <v>0</v>
      </c>
    </row>
    <row r="6155" spans="1:10" ht="15.75" hidden="1" thickBot="1" x14ac:dyDescent="0.3">
      <c r="A6155" s="225"/>
      <c r="B6155" s="223"/>
      <c r="C6155" s="30" t="s">
        <v>1157</v>
      </c>
      <c r="D6155" s="30" t="s">
        <v>12</v>
      </c>
      <c r="E6155" s="146">
        <v>0.08</v>
      </c>
      <c r="F6155" s="25">
        <v>25.146499999999996</v>
      </c>
      <c r="G6155" s="48">
        <f t="shared" si="119"/>
        <v>2.0117199999999995</v>
      </c>
      <c r="H6155" s="33">
        <f>SUM(G6155:G6159)</f>
        <v>3.4853599999999996</v>
      </c>
      <c r="I6155" s="34"/>
      <c r="J6155" s="138">
        <v>0</v>
      </c>
    </row>
    <row r="6156" spans="1:10" ht="15.75" hidden="1" thickBot="1" x14ac:dyDescent="0.3">
      <c r="A6156" s="225"/>
      <c r="B6156" s="223"/>
      <c r="C6156" s="30" t="s">
        <v>703</v>
      </c>
      <c r="D6156" s="30" t="s">
        <v>12</v>
      </c>
      <c r="E6156" s="146">
        <v>0.08</v>
      </c>
      <c r="F6156" s="25">
        <v>18.420500000000001</v>
      </c>
      <c r="G6156" s="48">
        <f t="shared" si="119"/>
        <v>1.4736400000000001</v>
      </c>
      <c r="H6156" s="38"/>
      <c r="I6156" s="34"/>
      <c r="J6156" s="138">
        <v>0</v>
      </c>
    </row>
    <row r="6157" spans="1:10" ht="15.75" hidden="1" thickBot="1" x14ac:dyDescent="0.3">
      <c r="A6157" s="225"/>
      <c r="B6157" s="223"/>
      <c r="C6157" s="30" t="s">
        <v>2203</v>
      </c>
      <c r="D6157" s="30" t="s">
        <v>20</v>
      </c>
      <c r="E6157" s="146">
        <v>1</v>
      </c>
      <c r="F6157" s="25">
        <v>0</v>
      </c>
      <c r="G6157" s="48">
        <f t="shared" si="119"/>
        <v>0</v>
      </c>
      <c r="H6157" s="38"/>
      <c r="I6157" s="34"/>
      <c r="J6157" s="138">
        <v>0</v>
      </c>
    </row>
    <row r="6158" spans="1:10" ht="15.75" hidden="1" thickBot="1" x14ac:dyDescent="0.3">
      <c r="A6158" s="225"/>
      <c r="B6158" s="223"/>
      <c r="C6158" s="30" t="s">
        <v>2204</v>
      </c>
      <c r="D6158" s="30" t="s">
        <v>20</v>
      </c>
      <c r="E6158" s="146">
        <v>1</v>
      </c>
      <c r="F6158" s="25">
        <v>0</v>
      </c>
      <c r="G6158" s="48">
        <f t="shared" si="119"/>
        <v>0</v>
      </c>
      <c r="H6158" s="38"/>
      <c r="I6158" s="34"/>
      <c r="J6158" s="138">
        <v>0</v>
      </c>
    </row>
    <row r="6159" spans="1:10" ht="15.75" hidden="1" thickBot="1" x14ac:dyDescent="0.3">
      <c r="A6159" s="225"/>
      <c r="B6159" s="223"/>
      <c r="C6159" s="30" t="s">
        <v>2205</v>
      </c>
      <c r="D6159" s="30" t="s">
        <v>20</v>
      </c>
      <c r="E6159" s="146">
        <v>0.04</v>
      </c>
      <c r="F6159" s="25">
        <v>0</v>
      </c>
      <c r="G6159" s="48">
        <f t="shared" si="119"/>
        <v>0</v>
      </c>
      <c r="H6159" s="38"/>
      <c r="I6159" s="34"/>
      <c r="J6159" s="138">
        <v>0</v>
      </c>
    </row>
    <row r="6160" spans="1:10" ht="15.75" hidden="1" thickBot="1" x14ac:dyDescent="0.3">
      <c r="A6160" s="226"/>
      <c r="B6160" s="224"/>
      <c r="C6160" s="30"/>
      <c r="D6160" s="30"/>
      <c r="E6160" s="146"/>
      <c r="F6160" s="25" t="s">
        <v>521</v>
      </c>
      <c r="G6160" s="48"/>
      <c r="H6160" s="38"/>
      <c r="I6160" s="34"/>
      <c r="J6160" s="138">
        <v>0</v>
      </c>
    </row>
    <row r="6161" spans="1:10" ht="15.75" hidden="1" thickBot="1" x14ac:dyDescent="0.3">
      <c r="A6161" s="228" t="s">
        <v>2153</v>
      </c>
      <c r="B6161" s="222" t="e">
        <f>INDEX(Orçamentária!A:B,MATCH(Composições!A6161,Orçamentária!A:A,0),2)</f>
        <v>#N/A</v>
      </c>
      <c r="C6161" s="35"/>
      <c r="D6161" s="20" t="s">
        <v>20</v>
      </c>
      <c r="E6161" s="21"/>
      <c r="F6161" s="43" t="s">
        <v>521</v>
      </c>
      <c r="G6161" s="22" t="str">
        <f t="shared" ref="G6161:G6200" si="120">IF(ISNUMBER(F6161),E6161*F6161,"")</f>
        <v/>
      </c>
      <c r="H6161" s="23"/>
      <c r="I6161" s="24"/>
      <c r="J6161" s="138">
        <v>0</v>
      </c>
    </row>
    <row r="6162" spans="1:10" ht="15.75" hidden="1" thickBot="1" x14ac:dyDescent="0.3">
      <c r="A6162" s="234"/>
      <c r="B6162" s="223"/>
      <c r="C6162" s="152"/>
      <c r="D6162" s="26"/>
      <c r="E6162" s="153"/>
      <c r="F6162" s="48" t="s">
        <v>521</v>
      </c>
      <c r="G6162" s="48" t="str">
        <f t="shared" si="120"/>
        <v/>
      </c>
      <c r="H6162" s="67"/>
      <c r="I6162" s="68"/>
      <c r="J6162" s="138">
        <v>0</v>
      </c>
    </row>
    <row r="6163" spans="1:10" ht="26.25" hidden="1" thickBot="1" x14ac:dyDescent="0.3">
      <c r="A6163" s="234"/>
      <c r="B6163" s="223"/>
      <c r="C6163" s="30" t="s">
        <v>1647</v>
      </c>
      <c r="D6163" s="30" t="s">
        <v>20</v>
      </c>
      <c r="E6163" s="146">
        <v>1</v>
      </c>
      <c r="F6163" s="25">
        <v>39.273000000000003</v>
      </c>
      <c r="G6163" s="48">
        <f t="shared" si="120"/>
        <v>39.273000000000003</v>
      </c>
      <c r="H6163" s="33">
        <f>SUM(G6163:G6163)</f>
        <v>39.273000000000003</v>
      </c>
      <c r="I6163" s="34"/>
      <c r="J6163" s="138">
        <v>0</v>
      </c>
    </row>
    <row r="6164" spans="1:10" ht="15.75" hidden="1" thickBot="1" x14ac:dyDescent="0.3">
      <c r="A6164" s="235"/>
      <c r="B6164" s="224"/>
      <c r="C6164" s="49"/>
      <c r="D6164" s="148"/>
      <c r="E6164" s="60"/>
      <c r="F6164" s="70" t="s">
        <v>521</v>
      </c>
      <c r="G6164" s="70" t="str">
        <f t="shared" si="120"/>
        <v/>
      </c>
      <c r="H6164" s="71"/>
      <c r="I6164" s="68"/>
      <c r="J6164" s="138">
        <v>0</v>
      </c>
    </row>
    <row r="6165" spans="1:10" ht="15.75" hidden="1" thickBot="1" x14ac:dyDescent="0.3">
      <c r="A6165" s="228" t="s">
        <v>2154</v>
      </c>
      <c r="B6165" s="222" t="e">
        <f>INDEX(Orçamentária!A:B,MATCH(Composições!A6165,Orçamentária!A:A,0),2)</f>
        <v>#N/A</v>
      </c>
      <c r="C6165" s="35"/>
      <c r="D6165" s="20" t="s">
        <v>20</v>
      </c>
      <c r="E6165" s="21"/>
      <c r="F6165" s="43" t="s">
        <v>521</v>
      </c>
      <c r="G6165" s="22" t="str">
        <f t="shared" si="120"/>
        <v/>
      </c>
      <c r="H6165" s="23"/>
      <c r="I6165" s="24"/>
      <c r="J6165" s="138">
        <v>0</v>
      </c>
    </row>
    <row r="6166" spans="1:10" ht="15.75" hidden="1" thickBot="1" x14ac:dyDescent="0.3">
      <c r="A6166" s="234"/>
      <c r="B6166" s="223"/>
      <c r="C6166" s="152"/>
      <c r="D6166" s="26"/>
      <c r="E6166" s="153"/>
      <c r="F6166" s="48" t="s">
        <v>521</v>
      </c>
      <c r="G6166" s="48" t="str">
        <f t="shared" si="120"/>
        <v/>
      </c>
      <c r="H6166" s="67"/>
      <c r="I6166" s="68"/>
      <c r="J6166" s="138">
        <v>0</v>
      </c>
    </row>
    <row r="6167" spans="1:10" ht="15.75" hidden="1" thickBot="1" x14ac:dyDescent="0.3">
      <c r="A6167" s="234"/>
      <c r="B6167" s="223"/>
      <c r="C6167" s="30" t="s">
        <v>1619</v>
      </c>
      <c r="D6167" s="30" t="s">
        <v>20</v>
      </c>
      <c r="E6167" s="146">
        <v>1</v>
      </c>
      <c r="F6167" s="25">
        <v>130.50149999999999</v>
      </c>
      <c r="G6167" s="48">
        <f t="shared" si="120"/>
        <v>130.50149999999999</v>
      </c>
      <c r="H6167" s="33">
        <f>SUM(G6167:G6167)</f>
        <v>130.50149999999999</v>
      </c>
      <c r="I6167" s="34"/>
      <c r="J6167" s="138">
        <v>0</v>
      </c>
    </row>
    <row r="6168" spans="1:10" ht="15.75" hidden="1" thickBot="1" x14ac:dyDescent="0.3">
      <c r="A6168" s="235"/>
      <c r="B6168" s="224"/>
      <c r="C6168" s="49"/>
      <c r="D6168" s="148"/>
      <c r="E6168" s="60"/>
      <c r="F6168" s="70" t="s">
        <v>521</v>
      </c>
      <c r="G6168" s="70" t="str">
        <f t="shared" si="120"/>
        <v/>
      </c>
      <c r="H6168" s="71"/>
      <c r="I6168" s="68"/>
      <c r="J6168" s="138">
        <v>0</v>
      </c>
    </row>
    <row r="6169" spans="1:10" ht="15.75" hidden="1" thickBot="1" x14ac:dyDescent="0.3">
      <c r="A6169" s="228" t="s">
        <v>2155</v>
      </c>
      <c r="B6169" s="222" t="e">
        <f>INDEX(Orçamentária!A:B,MATCH(Composições!A6169,Orçamentária!A:A,0),2)</f>
        <v>#N/A</v>
      </c>
      <c r="C6169" s="35"/>
      <c r="D6169" s="20" t="s">
        <v>102</v>
      </c>
      <c r="E6169" s="21"/>
      <c r="F6169" s="43" t="s">
        <v>521</v>
      </c>
      <c r="G6169" s="22" t="str">
        <f t="shared" si="120"/>
        <v/>
      </c>
      <c r="H6169" s="23"/>
      <c r="I6169" s="24"/>
      <c r="J6169" s="138">
        <v>0</v>
      </c>
    </row>
    <row r="6170" spans="1:10" ht="15.75" hidden="1" thickBot="1" x14ac:dyDescent="0.3">
      <c r="A6170" s="234"/>
      <c r="B6170" s="223"/>
      <c r="C6170" s="152"/>
      <c r="D6170" s="26"/>
      <c r="E6170" s="153"/>
      <c r="F6170" s="48" t="s">
        <v>521</v>
      </c>
      <c r="G6170" s="48" t="str">
        <f t="shared" si="120"/>
        <v/>
      </c>
      <c r="H6170" s="67"/>
      <c r="I6170" s="68"/>
      <c r="J6170" s="138">
        <v>0</v>
      </c>
    </row>
    <row r="6171" spans="1:10" ht="15.75" hidden="1" thickBot="1" x14ac:dyDescent="0.3">
      <c r="A6171" s="234"/>
      <c r="B6171" s="223"/>
      <c r="C6171" s="30" t="s">
        <v>1722</v>
      </c>
      <c r="D6171" s="30" t="s">
        <v>20</v>
      </c>
      <c r="E6171" s="146">
        <v>0.5</v>
      </c>
      <c r="F6171" s="25">
        <v>241.60399999999998</v>
      </c>
      <c r="G6171" s="48">
        <f t="shared" si="120"/>
        <v>120.80199999999999</v>
      </c>
      <c r="H6171" s="33">
        <f>SUM(G6171:G6171)</f>
        <v>120.80199999999999</v>
      </c>
      <c r="I6171" s="34"/>
      <c r="J6171" s="138">
        <v>0</v>
      </c>
    </row>
    <row r="6172" spans="1:10" ht="15.75" hidden="1" thickBot="1" x14ac:dyDescent="0.3">
      <c r="A6172" s="235"/>
      <c r="B6172" s="224"/>
      <c r="C6172" s="49"/>
      <c r="D6172" s="148"/>
      <c r="E6172" s="60"/>
      <c r="F6172" s="70" t="s">
        <v>521</v>
      </c>
      <c r="G6172" s="70" t="str">
        <f t="shared" si="120"/>
        <v/>
      </c>
      <c r="H6172" s="71"/>
      <c r="I6172" s="68"/>
      <c r="J6172" s="138">
        <v>0</v>
      </c>
    </row>
    <row r="6173" spans="1:10" ht="15.75" hidden="1" thickBot="1" x14ac:dyDescent="0.3">
      <c r="A6173" s="228" t="s">
        <v>2156</v>
      </c>
      <c r="B6173" s="222" t="e">
        <f>INDEX(Orçamentária!A:B,MATCH(Composições!A6173,Orçamentária!A:A,0),2)</f>
        <v>#N/A</v>
      </c>
      <c r="C6173" s="35"/>
      <c r="D6173" s="20" t="s">
        <v>95</v>
      </c>
      <c r="E6173" s="21"/>
      <c r="F6173" s="36" t="s">
        <v>521</v>
      </c>
      <c r="G6173" s="22" t="str">
        <f t="shared" si="120"/>
        <v/>
      </c>
      <c r="H6173" s="23"/>
      <c r="I6173" s="24"/>
      <c r="J6173" s="138">
        <v>0</v>
      </c>
    </row>
    <row r="6174" spans="1:10" ht="15.75" hidden="1" thickBot="1" x14ac:dyDescent="0.3">
      <c r="A6174" s="229"/>
      <c r="B6174" s="223"/>
      <c r="C6174" s="26"/>
      <c r="D6174" s="26"/>
      <c r="E6174" s="27"/>
      <c r="F6174" s="37" t="s">
        <v>521</v>
      </c>
      <c r="G6174" s="25" t="str">
        <f t="shared" si="120"/>
        <v/>
      </c>
      <c r="H6174" s="29"/>
      <c r="I6174" s="25"/>
      <c r="J6174" s="138">
        <v>0</v>
      </c>
    </row>
    <row r="6175" spans="1:10" ht="15.75" hidden="1" thickBot="1" x14ac:dyDescent="0.3">
      <c r="A6175" s="229"/>
      <c r="B6175" s="223"/>
      <c r="C6175" s="30" t="s">
        <v>710</v>
      </c>
      <c r="D6175" s="30" t="s">
        <v>702</v>
      </c>
      <c r="E6175" s="31">
        <f>0.1*1.3</f>
        <v>0.13</v>
      </c>
      <c r="F6175" s="25">
        <v>24.889999999999997</v>
      </c>
      <c r="G6175" s="28">
        <f t="shared" si="120"/>
        <v>3.2356999999999996</v>
      </c>
      <c r="H6175" s="33">
        <f>SUM(G6175:G6182)</f>
        <v>15.261464999999999</v>
      </c>
      <c r="I6175" s="34"/>
      <c r="J6175" s="138">
        <v>0</v>
      </c>
    </row>
    <row r="6176" spans="1:10" ht="15.75" hidden="1" thickBot="1" x14ac:dyDescent="0.3">
      <c r="A6176" s="229"/>
      <c r="B6176" s="223"/>
      <c r="C6176" s="30" t="s">
        <v>703</v>
      </c>
      <c r="D6176" s="30" t="s">
        <v>702</v>
      </c>
      <c r="E6176" s="31">
        <f>0.1*1.3</f>
        <v>0.13</v>
      </c>
      <c r="F6176" s="25">
        <v>18.420500000000001</v>
      </c>
      <c r="G6176" s="28">
        <f t="shared" si="120"/>
        <v>2.3946650000000003</v>
      </c>
      <c r="H6176" s="29"/>
      <c r="I6176" s="25"/>
      <c r="J6176" s="138">
        <v>0</v>
      </c>
    </row>
    <row r="6177" spans="1:10" ht="15.75" hidden="1" thickBot="1" x14ac:dyDescent="0.3">
      <c r="A6177" s="229"/>
      <c r="B6177" s="223"/>
      <c r="C6177" s="30" t="s">
        <v>2243</v>
      </c>
      <c r="D6177" s="30" t="s">
        <v>897</v>
      </c>
      <c r="E6177" s="31">
        <v>0.1</v>
      </c>
      <c r="F6177" s="28" t="s">
        <v>521</v>
      </c>
      <c r="G6177" s="25" t="str">
        <f t="shared" si="120"/>
        <v/>
      </c>
      <c r="H6177" s="29"/>
      <c r="I6177" s="25"/>
      <c r="J6177" s="138">
        <v>0</v>
      </c>
    </row>
    <row r="6178" spans="1:10" ht="26.25" hidden="1" thickBot="1" x14ac:dyDescent="0.3">
      <c r="A6178" s="229"/>
      <c r="B6178" s="223"/>
      <c r="C6178" s="30" t="s">
        <v>2244</v>
      </c>
      <c r="D6178" s="30" t="s">
        <v>95</v>
      </c>
      <c r="E6178" s="31">
        <v>1.1000000000000001</v>
      </c>
      <c r="F6178" s="25" t="s">
        <v>521</v>
      </c>
      <c r="G6178" s="28" t="str">
        <f t="shared" si="120"/>
        <v/>
      </c>
      <c r="H6178" s="29"/>
      <c r="I6178" s="34"/>
      <c r="J6178" s="138">
        <v>0</v>
      </c>
    </row>
    <row r="6179" spans="1:10" ht="15.75" hidden="1" thickBot="1" x14ac:dyDescent="0.3">
      <c r="A6179" s="229"/>
      <c r="B6179" s="223"/>
      <c r="C6179" s="30" t="s">
        <v>710</v>
      </c>
      <c r="D6179" s="30" t="s">
        <v>702</v>
      </c>
      <c r="E6179" s="31">
        <v>0.2</v>
      </c>
      <c r="F6179" s="25">
        <v>24.889999999999997</v>
      </c>
      <c r="G6179" s="28">
        <f t="shared" si="120"/>
        <v>4.9779999999999998</v>
      </c>
      <c r="H6179" s="29"/>
      <c r="I6179" s="25"/>
      <c r="J6179" s="138">
        <v>0</v>
      </c>
    </row>
    <row r="6180" spans="1:10" ht="15.75" hidden="1" thickBot="1" x14ac:dyDescent="0.3">
      <c r="A6180" s="229"/>
      <c r="B6180" s="223"/>
      <c r="C6180" s="30" t="s">
        <v>703</v>
      </c>
      <c r="D6180" s="30" t="s">
        <v>702</v>
      </c>
      <c r="E6180" s="31">
        <v>0.2</v>
      </c>
      <c r="F6180" s="28">
        <v>18.420500000000001</v>
      </c>
      <c r="G6180" s="25">
        <f t="shared" si="120"/>
        <v>3.6841000000000004</v>
      </c>
      <c r="H6180" s="29"/>
      <c r="I6180" s="25"/>
      <c r="J6180" s="138">
        <v>0</v>
      </c>
    </row>
    <row r="6181" spans="1:10" ht="15.75" hidden="1" thickBot="1" x14ac:dyDescent="0.3">
      <c r="A6181" s="229"/>
      <c r="B6181" s="223"/>
      <c r="C6181" s="30" t="s">
        <v>747</v>
      </c>
      <c r="D6181" s="30" t="s">
        <v>897</v>
      </c>
      <c r="E6181" s="31">
        <v>1.5</v>
      </c>
      <c r="F6181" s="25">
        <v>0.64600000000000002</v>
      </c>
      <c r="G6181" s="28">
        <f t="shared" si="120"/>
        <v>0.96900000000000008</v>
      </c>
      <c r="H6181" s="29"/>
      <c r="I6181" s="34"/>
      <c r="J6181" s="138">
        <v>0</v>
      </c>
    </row>
    <row r="6182" spans="1:10" ht="15.75" hidden="1" thickBot="1" x14ac:dyDescent="0.3">
      <c r="A6182" s="229"/>
      <c r="B6182" s="223"/>
      <c r="C6182" s="30" t="s">
        <v>1407</v>
      </c>
      <c r="D6182" s="30" t="s">
        <v>897</v>
      </c>
      <c r="E6182" s="31">
        <f>ROUND(E6181*0.1,2)</f>
        <v>0.15</v>
      </c>
      <c r="F6182" s="25" t="s">
        <v>521</v>
      </c>
      <c r="G6182" s="28" t="str">
        <f t="shared" si="120"/>
        <v/>
      </c>
      <c r="H6182" s="29"/>
      <c r="I6182" s="25"/>
      <c r="J6182" s="138">
        <v>0</v>
      </c>
    </row>
    <row r="6183" spans="1:10" ht="15.75" hidden="1" thickBot="1" x14ac:dyDescent="0.3">
      <c r="A6183" s="230"/>
      <c r="B6183" s="224"/>
      <c r="C6183" s="30"/>
      <c r="D6183" s="30"/>
      <c r="E6183" s="31"/>
      <c r="F6183" s="25" t="s">
        <v>521</v>
      </c>
      <c r="G6183" s="25" t="str">
        <f t="shared" si="120"/>
        <v/>
      </c>
      <c r="H6183" s="29"/>
      <c r="I6183" s="25"/>
      <c r="J6183" s="138">
        <v>0</v>
      </c>
    </row>
    <row r="6184" spans="1:10" ht="15.75" hidden="1" thickBot="1" x14ac:dyDescent="0.3">
      <c r="A6184" s="228" t="s">
        <v>2157</v>
      </c>
      <c r="B6184" s="222" t="e">
        <f>INDEX(Orçamentária!A:B,MATCH(Composições!A6184,Orçamentária!A:A,0),2)</f>
        <v>#N/A</v>
      </c>
      <c r="C6184" s="35"/>
      <c r="D6184" s="20" t="s">
        <v>95</v>
      </c>
      <c r="E6184" s="21"/>
      <c r="F6184" s="36" t="s">
        <v>521</v>
      </c>
      <c r="G6184" s="22" t="str">
        <f t="shared" si="120"/>
        <v/>
      </c>
      <c r="H6184" s="23"/>
      <c r="I6184" s="24"/>
      <c r="J6184" s="138">
        <v>0</v>
      </c>
    </row>
    <row r="6185" spans="1:10" ht="15.75" hidden="1" thickBot="1" x14ac:dyDescent="0.3">
      <c r="A6185" s="229"/>
      <c r="B6185" s="223"/>
      <c r="C6185" s="26"/>
      <c r="D6185" s="26"/>
      <c r="E6185" s="27"/>
      <c r="F6185" s="37" t="s">
        <v>521</v>
      </c>
      <c r="G6185" s="25" t="str">
        <f t="shared" si="120"/>
        <v/>
      </c>
      <c r="H6185" s="29"/>
      <c r="I6185" s="25"/>
      <c r="J6185" s="138">
        <v>0</v>
      </c>
    </row>
    <row r="6186" spans="1:10" ht="15.75" hidden="1" thickBot="1" x14ac:dyDescent="0.3">
      <c r="A6186" s="229"/>
      <c r="B6186" s="223"/>
      <c r="C6186" s="30" t="s">
        <v>710</v>
      </c>
      <c r="D6186" s="30" t="s">
        <v>702</v>
      </c>
      <c r="E6186" s="31">
        <v>0.1</v>
      </c>
      <c r="F6186" s="25">
        <v>24.889999999999997</v>
      </c>
      <c r="G6186" s="28">
        <f t="shared" si="120"/>
        <v>2.4889999999999999</v>
      </c>
      <c r="H6186" s="33">
        <f>SUM(G6186:G6193)</f>
        <v>13.962149999999999</v>
      </c>
      <c r="I6186" s="34"/>
      <c r="J6186" s="138">
        <v>0</v>
      </c>
    </row>
    <row r="6187" spans="1:10" ht="15.75" hidden="1" thickBot="1" x14ac:dyDescent="0.3">
      <c r="A6187" s="229"/>
      <c r="B6187" s="223"/>
      <c r="C6187" s="30" t="s">
        <v>703</v>
      </c>
      <c r="D6187" s="30" t="s">
        <v>702</v>
      </c>
      <c r="E6187" s="31">
        <v>0.1</v>
      </c>
      <c r="F6187" s="25">
        <v>18.420500000000001</v>
      </c>
      <c r="G6187" s="28">
        <f t="shared" si="120"/>
        <v>1.8420500000000002</v>
      </c>
      <c r="H6187" s="29"/>
      <c r="I6187" s="25"/>
      <c r="J6187" s="138">
        <v>0</v>
      </c>
    </row>
    <row r="6188" spans="1:10" ht="15.75" hidden="1" thickBot="1" x14ac:dyDescent="0.3">
      <c r="A6188" s="229"/>
      <c r="B6188" s="223"/>
      <c r="C6188" s="30" t="s">
        <v>2243</v>
      </c>
      <c r="D6188" s="30" t="s">
        <v>897</v>
      </c>
      <c r="E6188" s="31">
        <v>0.1</v>
      </c>
      <c r="F6188" s="28" t="s">
        <v>521</v>
      </c>
      <c r="G6188" s="25" t="str">
        <f t="shared" si="120"/>
        <v/>
      </c>
      <c r="H6188" s="29"/>
      <c r="I6188" s="25"/>
      <c r="J6188" s="138">
        <v>0</v>
      </c>
    </row>
    <row r="6189" spans="1:10" ht="26.25" hidden="1" thickBot="1" x14ac:dyDescent="0.3">
      <c r="A6189" s="229"/>
      <c r="B6189" s="223"/>
      <c r="C6189" s="30" t="s">
        <v>2245</v>
      </c>
      <c r="D6189" s="30" t="s">
        <v>95</v>
      </c>
      <c r="E6189" s="31">
        <v>1.1000000000000001</v>
      </c>
      <c r="F6189" s="25" t="s">
        <v>521</v>
      </c>
      <c r="G6189" s="28" t="str">
        <f t="shared" si="120"/>
        <v/>
      </c>
      <c r="H6189" s="29"/>
      <c r="I6189" s="34"/>
      <c r="J6189" s="138">
        <v>0</v>
      </c>
    </row>
    <row r="6190" spans="1:10" ht="15.75" hidden="1" thickBot="1" x14ac:dyDescent="0.3">
      <c r="A6190" s="229"/>
      <c r="B6190" s="223"/>
      <c r="C6190" s="30" t="s">
        <v>710</v>
      </c>
      <c r="D6190" s="30" t="s">
        <v>702</v>
      </c>
      <c r="E6190" s="31">
        <v>0.2</v>
      </c>
      <c r="F6190" s="25">
        <v>24.889999999999997</v>
      </c>
      <c r="G6190" s="28">
        <f t="shared" si="120"/>
        <v>4.9779999999999998</v>
      </c>
      <c r="H6190" s="29"/>
      <c r="I6190" s="25"/>
      <c r="J6190" s="138">
        <v>0</v>
      </c>
    </row>
    <row r="6191" spans="1:10" ht="15.75" hidden="1" thickBot="1" x14ac:dyDescent="0.3">
      <c r="A6191" s="229"/>
      <c r="B6191" s="223"/>
      <c r="C6191" s="30" t="s">
        <v>703</v>
      </c>
      <c r="D6191" s="30" t="s">
        <v>702</v>
      </c>
      <c r="E6191" s="31">
        <v>0.2</v>
      </c>
      <c r="F6191" s="28">
        <v>18.420500000000001</v>
      </c>
      <c r="G6191" s="25">
        <f t="shared" si="120"/>
        <v>3.6841000000000004</v>
      </c>
      <c r="H6191" s="29"/>
      <c r="I6191" s="25"/>
      <c r="J6191" s="138">
        <v>0</v>
      </c>
    </row>
    <row r="6192" spans="1:10" ht="15.75" hidden="1" thickBot="1" x14ac:dyDescent="0.3">
      <c r="A6192" s="229"/>
      <c r="B6192" s="223"/>
      <c r="C6192" s="30" t="s">
        <v>747</v>
      </c>
      <c r="D6192" s="30" t="s">
        <v>897</v>
      </c>
      <c r="E6192" s="31">
        <v>1.5</v>
      </c>
      <c r="F6192" s="25">
        <v>0.64600000000000002</v>
      </c>
      <c r="G6192" s="28">
        <f t="shared" si="120"/>
        <v>0.96900000000000008</v>
      </c>
      <c r="H6192" s="29"/>
      <c r="I6192" s="34"/>
      <c r="J6192" s="138">
        <v>0</v>
      </c>
    </row>
    <row r="6193" spans="1:10" ht="15.75" hidden="1" thickBot="1" x14ac:dyDescent="0.3">
      <c r="A6193" s="229"/>
      <c r="B6193" s="223"/>
      <c r="C6193" s="30" t="s">
        <v>1407</v>
      </c>
      <c r="D6193" s="30" t="s">
        <v>897</v>
      </c>
      <c r="E6193" s="31">
        <f>ROUND(E6192*0.1,2)</f>
        <v>0.15</v>
      </c>
      <c r="F6193" s="25" t="s">
        <v>521</v>
      </c>
      <c r="G6193" s="28" t="str">
        <f t="shared" si="120"/>
        <v/>
      </c>
      <c r="H6193" s="29"/>
      <c r="I6193" s="25"/>
      <c r="J6193" s="138">
        <v>0</v>
      </c>
    </row>
    <row r="6194" spans="1:10" ht="15.75" hidden="1" thickBot="1" x14ac:dyDescent="0.3">
      <c r="A6194" s="230"/>
      <c r="B6194" s="224"/>
      <c r="C6194" s="30"/>
      <c r="D6194" s="30"/>
      <c r="E6194" s="31"/>
      <c r="F6194" s="25" t="s">
        <v>521</v>
      </c>
      <c r="G6194" s="25" t="str">
        <f t="shared" si="120"/>
        <v/>
      </c>
      <c r="H6194" s="29"/>
      <c r="I6194" s="25"/>
      <c r="J6194" s="138">
        <v>0</v>
      </c>
    </row>
    <row r="6195" spans="1:10" ht="15.75" hidden="1" thickBot="1" x14ac:dyDescent="0.3">
      <c r="A6195" s="220" t="s">
        <v>2158</v>
      </c>
      <c r="B6195" s="222" t="e">
        <f>INDEX(Orçamentária!A:B,MATCH(Composições!A6195,Orçamentária!A:A,0),2)</f>
        <v>#N/A</v>
      </c>
      <c r="C6195" s="35"/>
      <c r="D6195" s="20" t="s">
        <v>93</v>
      </c>
      <c r="E6195" s="21"/>
      <c r="F6195" s="43" t="s">
        <v>521</v>
      </c>
      <c r="G6195" s="22" t="str">
        <f t="shared" si="120"/>
        <v/>
      </c>
      <c r="H6195" s="23"/>
      <c r="I6195" s="24"/>
      <c r="J6195" s="138">
        <v>0</v>
      </c>
    </row>
    <row r="6196" spans="1:10" ht="15.75" hidden="1" thickBot="1" x14ac:dyDescent="0.3">
      <c r="A6196" s="225"/>
      <c r="B6196" s="223"/>
      <c r="C6196" s="152"/>
      <c r="D6196" s="26"/>
      <c r="E6196" s="153"/>
      <c r="F6196" s="48" t="s">
        <v>521</v>
      </c>
      <c r="G6196" s="48" t="str">
        <f t="shared" si="120"/>
        <v/>
      </c>
      <c r="H6196" s="67"/>
      <c r="I6196" s="68"/>
      <c r="J6196" s="138">
        <v>0</v>
      </c>
    </row>
    <row r="6197" spans="1:10" ht="26.25" hidden="1" thickBot="1" x14ac:dyDescent="0.3">
      <c r="A6197" s="225"/>
      <c r="B6197" s="223"/>
      <c r="C6197" s="30" t="s">
        <v>133</v>
      </c>
      <c r="D6197" s="30" t="s">
        <v>109</v>
      </c>
      <c r="E6197" s="146">
        <v>0.23</v>
      </c>
      <c r="F6197" s="25">
        <v>12.748999999999999</v>
      </c>
      <c r="G6197" s="48">
        <f t="shared" si="120"/>
        <v>2.9322699999999999</v>
      </c>
      <c r="H6197" s="33">
        <f>SUM(G6197:G6200)</f>
        <v>11.3427834</v>
      </c>
      <c r="I6197" s="34"/>
      <c r="J6197" s="138">
        <v>0</v>
      </c>
    </row>
    <row r="6198" spans="1:10" ht="39" hidden="1" thickBot="1" x14ac:dyDescent="0.3">
      <c r="A6198" s="225"/>
      <c r="B6198" s="223"/>
      <c r="C6198" s="30" t="s">
        <v>2706</v>
      </c>
      <c r="D6198" s="30" t="s">
        <v>42</v>
      </c>
      <c r="E6198" s="146">
        <v>3.2000000000000001E-2</v>
      </c>
      <c r="F6198" s="25">
        <v>58.1875</v>
      </c>
      <c r="G6198" s="48">
        <f t="shared" si="120"/>
        <v>1.8620000000000001</v>
      </c>
      <c r="H6198" s="38"/>
      <c r="I6198" s="34"/>
      <c r="J6198" s="138">
        <v>0</v>
      </c>
    </row>
    <row r="6199" spans="1:10" ht="15.75" hidden="1" thickBot="1" x14ac:dyDescent="0.3">
      <c r="A6199" s="225"/>
      <c r="B6199" s="223"/>
      <c r="C6199" s="30" t="s">
        <v>616</v>
      </c>
      <c r="D6199" s="30" t="s">
        <v>702</v>
      </c>
      <c r="E6199" s="146">
        <v>9.2700000000000005E-2</v>
      </c>
      <c r="F6199" s="25">
        <v>19.588999999999999</v>
      </c>
      <c r="G6199" s="48">
        <f t="shared" si="120"/>
        <v>1.8159003</v>
      </c>
      <c r="H6199" s="38"/>
      <c r="I6199" s="34"/>
      <c r="J6199" s="138">
        <v>0</v>
      </c>
    </row>
    <row r="6200" spans="1:10" ht="15.75" hidden="1" thickBot="1" x14ac:dyDescent="0.3">
      <c r="A6200" s="225"/>
      <c r="B6200" s="223"/>
      <c r="C6200" s="30" t="s">
        <v>1608</v>
      </c>
      <c r="D6200" s="30" t="s">
        <v>702</v>
      </c>
      <c r="E6200" s="146">
        <v>0.18540000000000001</v>
      </c>
      <c r="F6200" s="25">
        <v>25.526499999999999</v>
      </c>
      <c r="G6200" s="48">
        <f t="shared" si="120"/>
        <v>4.7326131</v>
      </c>
      <c r="H6200" s="38"/>
      <c r="I6200" s="34"/>
      <c r="J6200" s="138">
        <v>0</v>
      </c>
    </row>
    <row r="6201" spans="1:10" ht="15.75" hidden="1" thickBot="1" x14ac:dyDescent="0.3">
      <c r="A6201" s="226"/>
      <c r="B6201" s="224"/>
      <c r="C6201" s="30"/>
      <c r="D6201" s="30"/>
      <c r="E6201" s="146"/>
      <c r="F6201" s="25" t="s">
        <v>521</v>
      </c>
      <c r="G6201" s="48"/>
      <c r="H6201" s="38"/>
      <c r="I6201" s="34"/>
      <c r="J6201" s="138">
        <v>0</v>
      </c>
    </row>
    <row r="6202" spans="1:10" ht="15.75" hidden="1" thickBot="1" x14ac:dyDescent="0.3">
      <c r="A6202" s="220" t="s">
        <v>2159</v>
      </c>
      <c r="B6202" s="222" t="e">
        <f>INDEX(Orçamentária!A:B,MATCH(Composições!A6202,Orçamentária!A:A,0),2)</f>
        <v>#N/A</v>
      </c>
      <c r="C6202" s="35"/>
      <c r="D6202" s="20" t="s">
        <v>95</v>
      </c>
      <c r="E6202" s="21"/>
      <c r="F6202" s="43" t="s">
        <v>521</v>
      </c>
      <c r="G6202" s="22" t="str">
        <f>IF(ISNUMBER(F6202),E6202*F6202,"")</f>
        <v/>
      </c>
      <c r="H6202" s="23"/>
      <c r="I6202" s="24"/>
      <c r="J6202" s="138">
        <v>0</v>
      </c>
    </row>
    <row r="6203" spans="1:10" ht="15.75" hidden="1" thickBot="1" x14ac:dyDescent="0.3">
      <c r="A6203" s="225"/>
      <c r="B6203" s="223"/>
      <c r="C6203" s="152"/>
      <c r="D6203" s="26"/>
      <c r="E6203" s="153"/>
      <c r="F6203" s="48" t="s">
        <v>521</v>
      </c>
      <c r="G6203" s="48" t="str">
        <f>IF(ISNUMBER(F6203),E6203*F6203,"")</f>
        <v/>
      </c>
      <c r="H6203" s="67"/>
      <c r="I6203" s="68"/>
      <c r="J6203" s="138">
        <v>0</v>
      </c>
    </row>
    <row r="6204" spans="1:10" ht="15.75" hidden="1" thickBot="1" x14ac:dyDescent="0.3">
      <c r="A6204" s="225"/>
      <c r="B6204" s="223"/>
      <c r="C6204" s="30" t="s">
        <v>710</v>
      </c>
      <c r="D6204" s="30" t="s">
        <v>702</v>
      </c>
      <c r="E6204" s="31">
        <v>0.5</v>
      </c>
      <c r="F6204" s="25">
        <v>24.889999999999997</v>
      </c>
      <c r="G6204" s="28">
        <f>IF(ISNUMBER(F6204),E6204*F6204,"")</f>
        <v>12.444999999999999</v>
      </c>
      <c r="H6204" s="33">
        <f>SUM(G6204:G6205)</f>
        <v>30.865499999999997</v>
      </c>
      <c r="I6204" s="34"/>
      <c r="J6204" s="138">
        <v>0</v>
      </c>
    </row>
    <row r="6205" spans="1:10" ht="15.75" hidden="1" thickBot="1" x14ac:dyDescent="0.3">
      <c r="A6205" s="225"/>
      <c r="B6205" s="223"/>
      <c r="C6205" s="30" t="s">
        <v>703</v>
      </c>
      <c r="D6205" s="30" t="s">
        <v>702</v>
      </c>
      <c r="E6205" s="31">
        <v>1</v>
      </c>
      <c r="F6205" s="28">
        <v>18.420500000000001</v>
      </c>
      <c r="G6205" s="25">
        <f>IF(ISNUMBER(F6205),E6205*F6205,"")</f>
        <v>18.420500000000001</v>
      </c>
      <c r="H6205" s="38"/>
      <c r="I6205" s="34"/>
      <c r="J6205" s="138">
        <v>0</v>
      </c>
    </row>
    <row r="6206" spans="1:10" ht="15.75" hidden="1" thickBot="1" x14ac:dyDescent="0.3">
      <c r="A6206" s="226"/>
      <c r="B6206" s="224"/>
      <c r="C6206" s="30"/>
      <c r="D6206" s="30"/>
      <c r="E6206" s="146"/>
      <c r="F6206" s="25" t="s">
        <v>521</v>
      </c>
      <c r="G6206" s="48"/>
      <c r="H6206" s="38"/>
      <c r="I6206" s="34"/>
      <c r="J6206" s="138">
        <v>0</v>
      </c>
    </row>
    <row r="6207" spans="1:10" ht="15.75" hidden="1" thickBot="1" x14ac:dyDescent="0.3">
      <c r="A6207" s="220" t="s">
        <v>2160</v>
      </c>
      <c r="B6207" s="222" t="e">
        <f>INDEX(Orçamentária!A:B,MATCH(Composições!A6207,Orçamentária!A:A,0),2)</f>
        <v>#N/A</v>
      </c>
      <c r="C6207" s="35"/>
      <c r="D6207" s="20" t="s">
        <v>95</v>
      </c>
      <c r="E6207" s="21"/>
      <c r="F6207" s="43" t="s">
        <v>521</v>
      </c>
      <c r="G6207" s="22" t="str">
        <f>IF(ISNUMBER(F6207),E6207*F6207,"")</f>
        <v/>
      </c>
      <c r="H6207" s="23"/>
      <c r="I6207" s="24"/>
      <c r="J6207" s="138">
        <v>0</v>
      </c>
    </row>
    <row r="6208" spans="1:10" ht="15.75" hidden="1" thickBot="1" x14ac:dyDescent="0.3">
      <c r="A6208" s="225"/>
      <c r="B6208" s="223"/>
      <c r="C6208" s="152"/>
      <c r="D6208" s="26"/>
      <c r="E6208" s="153"/>
      <c r="F6208" s="48" t="s">
        <v>521</v>
      </c>
      <c r="G6208" s="48" t="str">
        <f>IF(ISNUMBER(F6208),E6208*F6208,"")</f>
        <v/>
      </c>
      <c r="H6208" s="67"/>
      <c r="I6208" s="68"/>
      <c r="J6208" s="138">
        <v>0</v>
      </c>
    </row>
    <row r="6209" spans="1:10" ht="15.75" hidden="1" thickBot="1" x14ac:dyDescent="0.3">
      <c r="A6209" s="225"/>
      <c r="B6209" s="223"/>
      <c r="C6209" s="30" t="s">
        <v>710</v>
      </c>
      <c r="D6209" s="30" t="s">
        <v>702</v>
      </c>
      <c r="E6209" s="31">
        <v>1.5</v>
      </c>
      <c r="F6209" s="25">
        <v>24.889999999999997</v>
      </c>
      <c r="G6209" s="28">
        <f>IF(ISNUMBER(F6209),E6209*F6209,"")</f>
        <v>37.334999999999994</v>
      </c>
      <c r="H6209" s="33">
        <f>SUM(G6209:G6210)</f>
        <v>55.755499999999998</v>
      </c>
      <c r="I6209" s="34"/>
      <c r="J6209" s="138">
        <v>0</v>
      </c>
    </row>
    <row r="6210" spans="1:10" ht="15.75" hidden="1" thickBot="1" x14ac:dyDescent="0.3">
      <c r="A6210" s="225"/>
      <c r="B6210" s="223"/>
      <c r="C6210" s="30" t="s">
        <v>703</v>
      </c>
      <c r="D6210" s="30" t="s">
        <v>702</v>
      </c>
      <c r="E6210" s="31">
        <v>1</v>
      </c>
      <c r="F6210" s="28">
        <v>18.420500000000001</v>
      </c>
      <c r="G6210" s="25">
        <f>IF(ISNUMBER(F6210),E6210*F6210,"")</f>
        <v>18.420500000000001</v>
      </c>
      <c r="H6210" s="38"/>
      <c r="I6210" s="34"/>
      <c r="J6210" s="138">
        <v>0</v>
      </c>
    </row>
    <row r="6211" spans="1:10" ht="15.75" hidden="1" thickBot="1" x14ac:dyDescent="0.3">
      <c r="A6211" s="226"/>
      <c r="B6211" s="224"/>
      <c r="C6211" s="30"/>
      <c r="D6211" s="30"/>
      <c r="E6211" s="146"/>
      <c r="F6211" s="25" t="s">
        <v>521</v>
      </c>
      <c r="G6211" s="48"/>
      <c r="H6211" s="38"/>
      <c r="I6211" s="34"/>
      <c r="J6211" s="138">
        <v>0</v>
      </c>
    </row>
    <row r="6212" spans="1:10" ht="15.75" hidden="1" thickBot="1" x14ac:dyDescent="0.3">
      <c r="A6212" s="220" t="s">
        <v>2161</v>
      </c>
      <c r="B6212" s="222" t="e">
        <f>INDEX(Orçamentária!A:B,MATCH(Composições!A6212,Orçamentária!A:A,0),2)</f>
        <v>#N/A</v>
      </c>
      <c r="C6212" s="35"/>
      <c r="D6212" s="20" t="s">
        <v>109</v>
      </c>
      <c r="E6212" s="21"/>
      <c r="F6212" s="43" t="s">
        <v>521</v>
      </c>
      <c r="G6212" s="22" t="str">
        <f>IF(ISNUMBER(F6212),E6212*F6212,"")</f>
        <v/>
      </c>
      <c r="H6212" s="23"/>
      <c r="I6212" s="24"/>
      <c r="J6212" s="138">
        <v>0</v>
      </c>
    </row>
    <row r="6213" spans="1:10" ht="15.75" hidden="1" thickBot="1" x14ac:dyDescent="0.3">
      <c r="A6213" s="225"/>
      <c r="B6213" s="223"/>
      <c r="C6213" s="152"/>
      <c r="D6213" s="26"/>
      <c r="E6213" s="153"/>
      <c r="F6213" s="48" t="s">
        <v>521</v>
      </c>
      <c r="G6213" s="48" t="str">
        <f>IF(ISNUMBER(F6213),E6213*F6213,"")</f>
        <v/>
      </c>
      <c r="H6213" s="67"/>
      <c r="I6213" s="68"/>
      <c r="J6213" s="138">
        <v>0</v>
      </c>
    </row>
    <row r="6214" spans="1:10" ht="15.75" hidden="1" thickBot="1" x14ac:dyDescent="0.3">
      <c r="A6214" s="225"/>
      <c r="B6214" s="223"/>
      <c r="C6214" s="30" t="s">
        <v>710</v>
      </c>
      <c r="D6214" s="30" t="s">
        <v>702</v>
      </c>
      <c r="E6214" s="146">
        <v>0.74148000000000003</v>
      </c>
      <c r="F6214" s="25">
        <v>24.889999999999997</v>
      </c>
      <c r="G6214" s="48">
        <f>IF(ISNUMBER(F6214),E6214*F6214,"")</f>
        <v>18.455437199999999</v>
      </c>
      <c r="H6214" s="33">
        <f>SUM(G6214:G6216)</f>
        <v>109.51165280000001</v>
      </c>
      <c r="I6214" s="34"/>
      <c r="J6214" s="138">
        <v>0</v>
      </c>
    </row>
    <row r="6215" spans="1:10" ht="15.75" hidden="1" thickBot="1" x14ac:dyDescent="0.3">
      <c r="A6215" s="225"/>
      <c r="B6215" s="223"/>
      <c r="C6215" s="30" t="s">
        <v>703</v>
      </c>
      <c r="D6215" s="30" t="s">
        <v>702</v>
      </c>
      <c r="E6215" s="146">
        <v>4.9432</v>
      </c>
      <c r="F6215" s="25">
        <v>18.420500000000001</v>
      </c>
      <c r="G6215" s="48">
        <f>IF(ISNUMBER(F6215),E6215*F6215,"")</f>
        <v>91.056215600000002</v>
      </c>
      <c r="H6215" s="38"/>
      <c r="I6215" s="34"/>
      <c r="J6215" s="138">
        <v>0</v>
      </c>
    </row>
    <row r="6216" spans="1:10" ht="15.75" hidden="1" thickBot="1" x14ac:dyDescent="0.3">
      <c r="A6216" s="225"/>
      <c r="B6216" s="223"/>
      <c r="C6216" s="30" t="s">
        <v>2246</v>
      </c>
      <c r="D6216" s="30" t="s">
        <v>42</v>
      </c>
      <c r="E6216" s="146">
        <f>1.203*2000</f>
        <v>2406</v>
      </c>
      <c r="F6216" s="25" t="s">
        <v>521</v>
      </c>
      <c r="G6216" s="48" t="str">
        <f>IF(ISNUMBER(F6216),E6216*F6216,"")</f>
        <v/>
      </c>
      <c r="H6216" s="38"/>
      <c r="I6216" s="34"/>
      <c r="J6216" s="138">
        <v>0</v>
      </c>
    </row>
    <row r="6217" spans="1:10" ht="15.75" hidden="1" thickBot="1" x14ac:dyDescent="0.3">
      <c r="A6217" s="225"/>
      <c r="B6217" s="223"/>
      <c r="C6217" s="30"/>
      <c r="D6217" s="30"/>
      <c r="E6217" s="146"/>
      <c r="F6217" s="25" t="s">
        <v>521</v>
      </c>
      <c r="G6217" s="48"/>
      <c r="H6217" s="38"/>
      <c r="I6217" s="34"/>
      <c r="J6217" s="138">
        <v>0</v>
      </c>
    </row>
    <row r="6218" spans="1:10" ht="15.75" hidden="1" thickBot="1" x14ac:dyDescent="0.3">
      <c r="A6218" s="225"/>
      <c r="B6218" s="223"/>
      <c r="C6218" s="2" t="s">
        <v>2247</v>
      </c>
      <c r="D6218" s="30"/>
      <c r="E6218" s="146"/>
      <c r="F6218" s="25" t="s">
        <v>521</v>
      </c>
      <c r="G6218" s="48"/>
      <c r="H6218" s="38"/>
      <c r="I6218" s="34"/>
      <c r="J6218" s="138">
        <v>0</v>
      </c>
    </row>
    <row r="6219" spans="1:10" ht="15.75" hidden="1" thickBot="1" x14ac:dyDescent="0.3">
      <c r="A6219" s="226"/>
      <c r="B6219" s="224"/>
      <c r="C6219" s="30"/>
      <c r="D6219" s="30"/>
      <c r="E6219" s="146"/>
      <c r="F6219" s="25" t="s">
        <v>521</v>
      </c>
      <c r="G6219" s="48"/>
      <c r="H6219" s="38"/>
      <c r="I6219" s="34"/>
      <c r="J6219" s="138">
        <v>0</v>
      </c>
    </row>
    <row r="6220" spans="1:10" ht="15.75" hidden="1" thickBot="1" x14ac:dyDescent="0.3">
      <c r="A6220" s="220" t="s">
        <v>2162</v>
      </c>
      <c r="B6220" s="222" t="e">
        <f>INDEX(Orçamentária!A:B,MATCH(Composições!A6220,Orçamentária!A:A,0),2)</f>
        <v>#N/A</v>
      </c>
      <c r="C6220" s="35"/>
      <c r="D6220" s="20" t="s">
        <v>42</v>
      </c>
      <c r="E6220" s="21"/>
      <c r="F6220" s="43" t="s">
        <v>521</v>
      </c>
      <c r="G6220" s="22" t="str">
        <f t="shared" ref="G6220:G6226" si="121">IF(ISNUMBER(F6220),E6220*F6220,"")</f>
        <v/>
      </c>
      <c r="H6220" s="23"/>
      <c r="I6220" s="24"/>
      <c r="J6220" s="138">
        <v>0</v>
      </c>
    </row>
    <row r="6221" spans="1:10" ht="15.75" hidden="1" thickBot="1" x14ac:dyDescent="0.3">
      <c r="A6221" s="225"/>
      <c r="B6221" s="223"/>
      <c r="C6221" s="152"/>
      <c r="D6221" s="26"/>
      <c r="E6221" s="153"/>
      <c r="F6221" s="48" t="s">
        <v>521</v>
      </c>
      <c r="G6221" s="48" t="str">
        <f t="shared" si="121"/>
        <v/>
      </c>
      <c r="H6221" s="67"/>
      <c r="I6221" s="68"/>
      <c r="J6221" s="138">
        <v>0</v>
      </c>
    </row>
    <row r="6222" spans="1:10" ht="39" hidden="1" thickBot="1" x14ac:dyDescent="0.3">
      <c r="A6222" s="225"/>
      <c r="B6222" s="223"/>
      <c r="C6222" s="30" t="s">
        <v>898</v>
      </c>
      <c r="D6222" s="30" t="s">
        <v>279</v>
      </c>
      <c r="E6222" s="146">
        <v>0.21199999999999999</v>
      </c>
      <c r="F6222" s="25">
        <v>0.20899999999999999</v>
      </c>
      <c r="G6222" s="48">
        <f t="shared" si="121"/>
        <v>4.4308E-2</v>
      </c>
      <c r="H6222" s="33">
        <f>SUM(G6222:G6226)</f>
        <v>13.394653250000001</v>
      </c>
      <c r="I6222" s="34"/>
      <c r="J6222" s="138">
        <v>0</v>
      </c>
    </row>
    <row r="6223" spans="1:10" ht="26.25" hidden="1" thickBot="1" x14ac:dyDescent="0.3">
      <c r="A6223" s="225"/>
      <c r="B6223" s="223"/>
      <c r="C6223" s="30" t="s">
        <v>1808</v>
      </c>
      <c r="D6223" s="30" t="s">
        <v>897</v>
      </c>
      <c r="E6223" s="146">
        <v>2.5000000000000001E-2</v>
      </c>
      <c r="F6223" s="25">
        <v>22.61</v>
      </c>
      <c r="G6223" s="48">
        <f t="shared" si="121"/>
        <v>0.56525000000000003</v>
      </c>
      <c r="H6223" s="38"/>
      <c r="I6223" s="34"/>
      <c r="J6223" s="138">
        <v>0</v>
      </c>
    </row>
    <row r="6224" spans="1:10" ht="15.75" hidden="1" thickBot="1" x14ac:dyDescent="0.3">
      <c r="A6224" s="225"/>
      <c r="B6224" s="223"/>
      <c r="C6224" s="30" t="s">
        <v>899</v>
      </c>
      <c r="D6224" s="30" t="s">
        <v>702</v>
      </c>
      <c r="E6224" s="146">
        <v>4.3E-3</v>
      </c>
      <c r="F6224" s="25">
        <v>18.3825</v>
      </c>
      <c r="G6224" s="48">
        <f t="shared" si="121"/>
        <v>7.9044749999999997E-2</v>
      </c>
      <c r="H6224" s="38"/>
      <c r="I6224" s="34"/>
      <c r="J6224" s="138">
        <v>0</v>
      </c>
    </row>
    <row r="6225" spans="1:10" ht="15.75" hidden="1" thickBot="1" x14ac:dyDescent="0.3">
      <c r="A6225" s="225"/>
      <c r="B6225" s="223"/>
      <c r="C6225" s="30" t="s">
        <v>900</v>
      </c>
      <c r="D6225" s="30" t="s">
        <v>702</v>
      </c>
      <c r="E6225" s="146">
        <v>2.6100000000000002E-2</v>
      </c>
      <c r="F6225" s="25">
        <v>24.747499999999999</v>
      </c>
      <c r="G6225" s="48">
        <f t="shared" si="121"/>
        <v>0.64590975000000006</v>
      </c>
      <c r="H6225" s="38"/>
      <c r="I6225" s="34"/>
      <c r="J6225" s="138">
        <v>0</v>
      </c>
    </row>
    <row r="6226" spans="1:10" ht="15.75" hidden="1" thickBot="1" x14ac:dyDescent="0.3">
      <c r="A6226" s="225"/>
      <c r="B6226" s="223"/>
      <c r="C6226" s="30" t="s">
        <v>1584</v>
      </c>
      <c r="D6226" s="30" t="s">
        <v>897</v>
      </c>
      <c r="E6226" s="146">
        <v>1</v>
      </c>
      <c r="F6226" s="25">
        <v>12.06014075</v>
      </c>
      <c r="G6226" s="48">
        <f t="shared" si="121"/>
        <v>12.06014075</v>
      </c>
      <c r="H6226" s="38"/>
      <c r="I6226" s="34"/>
      <c r="J6226" s="138">
        <v>0</v>
      </c>
    </row>
    <row r="6227" spans="1:10" ht="15.75" hidden="1" thickBot="1" x14ac:dyDescent="0.3">
      <c r="A6227" s="226"/>
      <c r="B6227" s="224"/>
      <c r="C6227" s="30"/>
      <c r="D6227" s="30"/>
      <c r="E6227" s="146"/>
      <c r="F6227" s="25" t="s">
        <v>521</v>
      </c>
      <c r="G6227" s="48"/>
      <c r="H6227" s="38"/>
      <c r="I6227" s="34"/>
      <c r="J6227" s="138">
        <v>0</v>
      </c>
    </row>
    <row r="6228" spans="1:10" ht="15.75" hidden="1" thickBot="1" x14ac:dyDescent="0.3">
      <c r="A6228" s="220" t="s">
        <v>2163</v>
      </c>
      <c r="B6228" s="222" t="e">
        <f>INDEX(Orçamentária!A:B,MATCH(Composições!A6228,Orçamentária!A:A,0),2)</f>
        <v>#N/A</v>
      </c>
      <c r="C6228" s="35"/>
      <c r="D6228" s="20" t="s">
        <v>109</v>
      </c>
      <c r="E6228" s="21"/>
      <c r="F6228" s="43" t="s">
        <v>521</v>
      </c>
      <c r="G6228" s="22" t="str">
        <f t="shared" ref="G6228:G6235" si="122">IF(ISNUMBER(F6228),E6228*F6228,"")</f>
        <v/>
      </c>
      <c r="H6228" s="23"/>
      <c r="I6228" s="24"/>
      <c r="J6228" s="138">
        <v>0</v>
      </c>
    </row>
    <row r="6229" spans="1:10" ht="15.75" hidden="1" thickBot="1" x14ac:dyDescent="0.3">
      <c r="A6229" s="225"/>
      <c r="B6229" s="223"/>
      <c r="C6229" s="152"/>
      <c r="D6229" s="26"/>
      <c r="E6229" s="153"/>
      <c r="F6229" s="48" t="s">
        <v>521</v>
      </c>
      <c r="G6229" s="48" t="str">
        <f t="shared" si="122"/>
        <v/>
      </c>
      <c r="H6229" s="67"/>
      <c r="I6229" s="68"/>
      <c r="J6229" s="138">
        <v>0</v>
      </c>
    </row>
    <row r="6230" spans="1:10" ht="26.25" hidden="1" thickBot="1" x14ac:dyDescent="0.3">
      <c r="A6230" s="225"/>
      <c r="B6230" s="223"/>
      <c r="C6230" s="30" t="s">
        <v>1585</v>
      </c>
      <c r="D6230" s="30" t="s">
        <v>120</v>
      </c>
      <c r="E6230" s="146">
        <v>1.103</v>
      </c>
      <c r="F6230" s="25">
        <v>589.46462208106004</v>
      </c>
      <c r="G6230" s="48">
        <f t="shared" si="122"/>
        <v>650.17947815540924</v>
      </c>
      <c r="H6230" s="33">
        <f>SUM(G6230:G6235)</f>
        <v>924.47882065540932</v>
      </c>
      <c r="I6230" s="34"/>
      <c r="J6230" s="138">
        <v>0</v>
      </c>
    </row>
    <row r="6231" spans="1:10" ht="15.75" hidden="1" thickBot="1" x14ac:dyDescent="0.3">
      <c r="A6231" s="225"/>
      <c r="B6231" s="223"/>
      <c r="C6231" s="30" t="s">
        <v>989</v>
      </c>
      <c r="D6231" s="30" t="s">
        <v>702</v>
      </c>
      <c r="E6231" s="146">
        <v>1.19</v>
      </c>
      <c r="F6231" s="25">
        <v>24.633499999999998</v>
      </c>
      <c r="G6231" s="48">
        <f t="shared" si="122"/>
        <v>29.313864999999996</v>
      </c>
      <c r="H6231" s="38"/>
      <c r="I6231" s="34"/>
      <c r="J6231" s="138">
        <v>0</v>
      </c>
    </row>
    <row r="6232" spans="1:10" ht="15.75" hidden="1" thickBot="1" x14ac:dyDescent="0.3">
      <c r="A6232" s="225"/>
      <c r="B6232" s="223"/>
      <c r="C6232" s="30" t="s">
        <v>710</v>
      </c>
      <c r="D6232" s="30" t="s">
        <v>702</v>
      </c>
      <c r="E6232" s="146">
        <v>3.5710000000000002</v>
      </c>
      <c r="F6232" s="25">
        <v>24.889999999999997</v>
      </c>
      <c r="G6232" s="48">
        <f t="shared" si="122"/>
        <v>88.882189999999994</v>
      </c>
      <c r="H6232" s="38"/>
      <c r="I6232" s="34"/>
      <c r="J6232" s="138">
        <v>0</v>
      </c>
    </row>
    <row r="6233" spans="1:10" ht="15.75" hidden="1" thickBot="1" x14ac:dyDescent="0.3">
      <c r="A6233" s="225"/>
      <c r="B6233" s="223"/>
      <c r="C6233" s="30" t="s">
        <v>703</v>
      </c>
      <c r="D6233" s="30" t="s">
        <v>702</v>
      </c>
      <c r="E6233" s="146">
        <v>8.407</v>
      </c>
      <c r="F6233" s="25">
        <v>18.420500000000001</v>
      </c>
      <c r="G6233" s="48">
        <f t="shared" si="122"/>
        <v>154.8611435</v>
      </c>
      <c r="H6233" s="38"/>
      <c r="I6233" s="34"/>
      <c r="J6233" s="138">
        <v>0</v>
      </c>
    </row>
    <row r="6234" spans="1:10" ht="26.25" hidden="1" thickBot="1" x14ac:dyDescent="0.3">
      <c r="A6234" s="225"/>
      <c r="B6234" s="223"/>
      <c r="C6234" s="30" t="s">
        <v>1150</v>
      </c>
      <c r="D6234" s="30" t="s">
        <v>938</v>
      </c>
      <c r="E6234" s="146">
        <v>0.94199999999999995</v>
      </c>
      <c r="F6234" s="25">
        <v>1.1779999999999999</v>
      </c>
      <c r="G6234" s="48">
        <f t="shared" si="122"/>
        <v>1.1096759999999999</v>
      </c>
      <c r="H6234" s="38"/>
      <c r="I6234" s="34"/>
      <c r="J6234" s="138">
        <v>0</v>
      </c>
    </row>
    <row r="6235" spans="1:10" ht="26.25" hidden="1" thickBot="1" x14ac:dyDescent="0.3">
      <c r="A6235" s="225"/>
      <c r="B6235" s="223"/>
      <c r="C6235" s="30" t="s">
        <v>1151</v>
      </c>
      <c r="D6235" s="30" t="s">
        <v>940</v>
      </c>
      <c r="E6235" s="146">
        <v>0.249</v>
      </c>
      <c r="F6235" s="25">
        <v>0.53200000000000003</v>
      </c>
      <c r="G6235" s="48">
        <f t="shared" si="122"/>
        <v>0.132468</v>
      </c>
      <c r="H6235" s="38"/>
      <c r="I6235" s="34"/>
      <c r="J6235" s="138">
        <v>0</v>
      </c>
    </row>
    <row r="6236" spans="1:10" ht="15.75" hidden="1" thickBot="1" x14ac:dyDescent="0.3">
      <c r="A6236" s="226"/>
      <c r="B6236" s="224"/>
      <c r="C6236" s="30"/>
      <c r="D6236" s="30"/>
      <c r="E6236" s="146"/>
      <c r="F6236" s="25" t="s">
        <v>521</v>
      </c>
      <c r="G6236" s="48"/>
      <c r="H6236" s="38"/>
      <c r="I6236" s="34"/>
      <c r="J6236" s="138">
        <v>0</v>
      </c>
    </row>
    <row r="6237" spans="1:10" ht="15.75" hidden="1" thickBot="1" x14ac:dyDescent="0.3">
      <c r="A6237" s="220" t="s">
        <v>2164</v>
      </c>
      <c r="B6237" s="222" t="e">
        <f>INDEX(Orçamentária!A:B,MATCH(Composições!A6237,Orçamentária!A:A,0),2)</f>
        <v>#N/A</v>
      </c>
      <c r="C6237" s="35"/>
      <c r="D6237" s="20" t="s">
        <v>20</v>
      </c>
      <c r="E6237" s="21"/>
      <c r="F6237" s="43" t="s">
        <v>521</v>
      </c>
      <c r="G6237" s="22" t="str">
        <f t="shared" ref="G6237:G6242" si="123">IF(ISNUMBER(F6237),E6237*F6237,"")</f>
        <v/>
      </c>
      <c r="H6237" s="23"/>
      <c r="I6237" s="24"/>
      <c r="J6237" s="138">
        <v>0</v>
      </c>
    </row>
    <row r="6238" spans="1:10" ht="15.75" hidden="1" thickBot="1" x14ac:dyDescent="0.3">
      <c r="A6238" s="225"/>
      <c r="B6238" s="223"/>
      <c r="C6238" s="152"/>
      <c r="D6238" s="26"/>
      <c r="E6238" s="153"/>
      <c r="F6238" s="48" t="s">
        <v>521</v>
      </c>
      <c r="G6238" s="48" t="str">
        <f t="shared" si="123"/>
        <v/>
      </c>
      <c r="H6238" s="67"/>
      <c r="I6238" s="68"/>
      <c r="J6238" s="138">
        <v>0</v>
      </c>
    </row>
    <row r="6239" spans="1:10" ht="26.25" hidden="1" thickBot="1" x14ac:dyDescent="0.3">
      <c r="A6239" s="225"/>
      <c r="B6239" s="223"/>
      <c r="C6239" s="30" t="s">
        <v>1105</v>
      </c>
      <c r="D6239" s="30" t="s">
        <v>938</v>
      </c>
      <c r="E6239" s="146">
        <v>0.36699999999999999</v>
      </c>
      <c r="F6239" s="25">
        <v>22.001999999999999</v>
      </c>
      <c r="G6239" s="48">
        <f t="shared" si="123"/>
        <v>8.0747339999999994</v>
      </c>
      <c r="H6239" s="33">
        <f>SUM(G6239:G6242)</f>
        <v>56.790268499999996</v>
      </c>
      <c r="I6239" s="34"/>
      <c r="J6239" s="138">
        <v>0</v>
      </c>
    </row>
    <row r="6240" spans="1:10" ht="26.25" hidden="1" thickBot="1" x14ac:dyDescent="0.3">
      <c r="A6240" s="225"/>
      <c r="B6240" s="223"/>
      <c r="C6240" s="30" t="s">
        <v>1106</v>
      </c>
      <c r="D6240" s="30" t="s">
        <v>940</v>
      </c>
      <c r="E6240" s="146">
        <v>0.80500000000000005</v>
      </c>
      <c r="F6240" s="25">
        <v>20.795500000000001</v>
      </c>
      <c r="G6240" s="48">
        <f t="shared" si="123"/>
        <v>16.740377500000001</v>
      </c>
      <c r="H6240" s="38"/>
      <c r="I6240" s="34"/>
      <c r="J6240" s="138">
        <v>0</v>
      </c>
    </row>
    <row r="6241" spans="1:10" ht="26.25" hidden="1" thickBot="1" x14ac:dyDescent="0.3">
      <c r="A6241" s="225"/>
      <c r="B6241" s="223"/>
      <c r="C6241" s="30" t="s">
        <v>949</v>
      </c>
      <c r="D6241" s="30" t="s">
        <v>702</v>
      </c>
      <c r="E6241" s="146">
        <v>0.183</v>
      </c>
      <c r="F6241" s="25">
        <v>19.094999999999999</v>
      </c>
      <c r="G6241" s="48">
        <f t="shared" si="123"/>
        <v>3.4943849999999999</v>
      </c>
      <c r="H6241" s="38"/>
      <c r="I6241" s="34"/>
      <c r="J6241" s="138">
        <v>0</v>
      </c>
    </row>
    <row r="6242" spans="1:10" ht="26.25" hidden="1" thickBot="1" x14ac:dyDescent="0.3">
      <c r="A6242" s="225"/>
      <c r="B6242" s="223"/>
      <c r="C6242" s="30" t="s">
        <v>950</v>
      </c>
      <c r="D6242" s="30" t="s">
        <v>702</v>
      </c>
      <c r="E6242" s="146">
        <v>1.1719999999999999</v>
      </c>
      <c r="F6242" s="25">
        <v>24.300999999999998</v>
      </c>
      <c r="G6242" s="48">
        <f t="shared" si="123"/>
        <v>28.480771999999995</v>
      </c>
      <c r="H6242" s="38"/>
      <c r="I6242" s="34"/>
      <c r="J6242" s="138">
        <v>0</v>
      </c>
    </row>
    <row r="6243" spans="1:10" ht="15.75" hidden="1" thickBot="1" x14ac:dyDescent="0.3">
      <c r="A6243" s="226"/>
      <c r="B6243" s="224"/>
      <c r="C6243" s="30"/>
      <c r="D6243" s="30"/>
      <c r="E6243" s="146"/>
      <c r="F6243" s="25" t="s">
        <v>521</v>
      </c>
      <c r="G6243" s="48"/>
      <c r="H6243" s="38"/>
      <c r="I6243" s="34"/>
      <c r="J6243" s="138">
        <v>0</v>
      </c>
    </row>
    <row r="6244" spans="1:10" ht="15.75" hidden="1" thickBot="1" x14ac:dyDescent="0.3">
      <c r="A6244" s="220" t="s">
        <v>2165</v>
      </c>
      <c r="B6244" s="231" t="e">
        <f>INDEX(Orçamentária!A:B,MATCH(Composições!A6244,Orçamentária!A:A,0),2)</f>
        <v>#N/A</v>
      </c>
      <c r="C6244" s="35"/>
      <c r="D6244" s="20" t="s">
        <v>95</v>
      </c>
      <c r="E6244" s="21"/>
      <c r="F6244" s="43" t="s">
        <v>521</v>
      </c>
      <c r="G6244" s="22" t="str">
        <f>IF(ISNUMBER(F6244),E6244*F6244,"")</f>
        <v/>
      </c>
      <c r="H6244" s="23"/>
      <c r="I6244" s="24"/>
      <c r="J6244" s="138">
        <v>0</v>
      </c>
    </row>
    <row r="6245" spans="1:10" ht="15.75" hidden="1" thickBot="1" x14ac:dyDescent="0.3">
      <c r="A6245" s="225"/>
      <c r="B6245" s="232"/>
      <c r="C6245" s="152"/>
      <c r="D6245" s="26"/>
      <c r="E6245" s="153"/>
      <c r="F6245" s="48" t="s">
        <v>521</v>
      </c>
      <c r="G6245" s="48" t="str">
        <f>IF(ISNUMBER(F6245),E6245*F6245,"")</f>
        <v/>
      </c>
      <c r="H6245" s="67"/>
      <c r="I6245" s="68"/>
      <c r="J6245" s="138">
        <v>0</v>
      </c>
    </row>
    <row r="6246" spans="1:10" ht="15.75" hidden="1" thickBot="1" x14ac:dyDescent="0.3">
      <c r="A6246" s="225"/>
      <c r="B6246" s="232"/>
      <c r="C6246" s="30" t="s">
        <v>710</v>
      </c>
      <c r="D6246" s="30" t="s">
        <v>702</v>
      </c>
      <c r="E6246" s="146">
        <v>0.2</v>
      </c>
      <c r="F6246" s="25">
        <v>24.889999999999997</v>
      </c>
      <c r="G6246" s="48">
        <f>IF(ISNUMBER(F6246),E6246*F6246,"")</f>
        <v>4.9779999999999998</v>
      </c>
      <c r="H6246" s="33">
        <f>SUM(G6246:G6248)</f>
        <v>63.439099999999996</v>
      </c>
      <c r="I6246" s="34"/>
      <c r="J6246" s="138">
        <v>0</v>
      </c>
    </row>
    <row r="6247" spans="1:10" ht="15.75" hidden="1" thickBot="1" x14ac:dyDescent="0.3">
      <c r="A6247" s="225"/>
      <c r="B6247" s="232"/>
      <c r="C6247" s="30" t="s">
        <v>703</v>
      </c>
      <c r="D6247" s="30" t="s">
        <v>702</v>
      </c>
      <c r="E6247" s="146">
        <v>0.2</v>
      </c>
      <c r="F6247" s="25">
        <v>18.420500000000001</v>
      </c>
      <c r="G6247" s="48">
        <f>IF(ISNUMBER(F6247),E6247*F6247,"")</f>
        <v>3.6841000000000004</v>
      </c>
      <c r="H6247" s="38"/>
      <c r="I6247" s="34"/>
      <c r="J6247" s="138">
        <v>0</v>
      </c>
    </row>
    <row r="6248" spans="1:10" ht="26.25" hidden="1" thickBot="1" x14ac:dyDescent="0.3">
      <c r="A6248" s="225"/>
      <c r="B6248" s="232"/>
      <c r="C6248" s="30" t="s">
        <v>1617</v>
      </c>
      <c r="D6248" s="30" t="s">
        <v>42</v>
      </c>
      <c r="E6248" s="146">
        <v>1</v>
      </c>
      <c r="F6248" s="25">
        <v>54.776999999999994</v>
      </c>
      <c r="G6248" s="48">
        <f>IF(ISNUMBER(F6248),E6248*F6248,"")</f>
        <v>54.776999999999994</v>
      </c>
      <c r="H6248" s="38"/>
      <c r="I6248" s="34"/>
      <c r="J6248" s="138">
        <v>0</v>
      </c>
    </row>
    <row r="6249" spans="1:10" ht="15.75" hidden="1" thickBot="1" x14ac:dyDescent="0.3">
      <c r="A6249" s="226"/>
      <c r="B6249" s="233"/>
      <c r="C6249" s="30"/>
      <c r="D6249" s="30"/>
      <c r="E6249" s="146"/>
      <c r="F6249" s="25" t="s">
        <v>521</v>
      </c>
      <c r="G6249" s="48"/>
      <c r="H6249" s="38"/>
      <c r="I6249" s="34"/>
      <c r="J6249" s="138">
        <v>0</v>
      </c>
    </row>
    <row r="6250" spans="1:10" ht="15.75" hidden="1" thickBot="1" x14ac:dyDescent="0.3">
      <c r="A6250" s="220" t="s">
        <v>2166</v>
      </c>
      <c r="B6250" s="222" t="e">
        <f>INDEX(Orçamentária!A:B,MATCH(Composições!A6250,Orçamentária!A:A,0),2)</f>
        <v>#N/A</v>
      </c>
      <c r="C6250" s="35"/>
      <c r="D6250" s="20" t="s">
        <v>93</v>
      </c>
      <c r="E6250" s="21"/>
      <c r="F6250" s="43" t="s">
        <v>521</v>
      </c>
      <c r="G6250" s="22" t="str">
        <f t="shared" ref="G6250:G6255" si="124">IF(ISNUMBER(F6250),E6250*F6250,"")</f>
        <v/>
      </c>
      <c r="H6250" s="23"/>
      <c r="I6250" s="24"/>
      <c r="J6250" s="138">
        <v>0</v>
      </c>
    </row>
    <row r="6251" spans="1:10" ht="15.75" hidden="1" thickBot="1" x14ac:dyDescent="0.3">
      <c r="A6251" s="225"/>
      <c r="B6251" s="223"/>
      <c r="C6251" s="152"/>
      <c r="D6251" s="26"/>
      <c r="E6251" s="153"/>
      <c r="F6251" s="48" t="s">
        <v>521</v>
      </c>
      <c r="G6251" s="48" t="str">
        <f t="shared" si="124"/>
        <v/>
      </c>
      <c r="H6251" s="67"/>
      <c r="I6251" s="68"/>
      <c r="J6251" s="138">
        <v>0</v>
      </c>
    </row>
    <row r="6252" spans="1:10" ht="15.75" hidden="1" thickBot="1" x14ac:dyDescent="0.3">
      <c r="A6252" s="225"/>
      <c r="B6252" s="223"/>
      <c r="C6252" s="30" t="s">
        <v>710</v>
      </c>
      <c r="D6252" s="30" t="s">
        <v>702</v>
      </c>
      <c r="E6252" s="146">
        <v>1.103</v>
      </c>
      <c r="F6252" s="25">
        <v>24.889999999999997</v>
      </c>
      <c r="G6252" s="48">
        <f t="shared" si="124"/>
        <v>27.453669999999995</v>
      </c>
      <c r="H6252" s="33">
        <f>SUM(G6252:G6255)</f>
        <v>123.41443728597116</v>
      </c>
      <c r="I6252" s="34"/>
      <c r="J6252" s="138">
        <v>0</v>
      </c>
    </row>
    <row r="6253" spans="1:10" ht="15.75" hidden="1" thickBot="1" x14ac:dyDescent="0.3">
      <c r="A6253" s="225"/>
      <c r="B6253" s="223"/>
      <c r="C6253" s="30" t="s">
        <v>703</v>
      </c>
      <c r="D6253" s="30" t="s">
        <v>702</v>
      </c>
      <c r="E6253" s="146">
        <v>1.33</v>
      </c>
      <c r="F6253" s="25">
        <v>18.420500000000001</v>
      </c>
      <c r="G6253" s="48">
        <f t="shared" si="124"/>
        <v>24.499265000000001</v>
      </c>
      <c r="H6253" s="38"/>
      <c r="I6253" s="34"/>
      <c r="J6253" s="138">
        <v>0</v>
      </c>
    </row>
    <row r="6254" spans="1:10" ht="15.75" hidden="1" thickBot="1" x14ac:dyDescent="0.3">
      <c r="A6254" s="225"/>
      <c r="B6254" s="223"/>
      <c r="C6254" s="30" t="s">
        <v>2799</v>
      </c>
      <c r="D6254" s="30" t="s">
        <v>897</v>
      </c>
      <c r="E6254" s="146">
        <v>2.1230000000000002</v>
      </c>
      <c r="F6254" s="25">
        <v>9.7821690000000014</v>
      </c>
      <c r="G6254" s="48">
        <f t="shared" si="124"/>
        <v>20.767544787000006</v>
      </c>
      <c r="H6254" s="38"/>
      <c r="I6254" s="34"/>
      <c r="J6254" s="138">
        <v>0</v>
      </c>
    </row>
    <row r="6255" spans="1:10" ht="39" hidden="1" thickBot="1" x14ac:dyDescent="0.3">
      <c r="A6255" s="225"/>
      <c r="B6255" s="223"/>
      <c r="C6255" s="30" t="s">
        <v>2251</v>
      </c>
      <c r="D6255" s="30" t="s">
        <v>120</v>
      </c>
      <c r="E6255" s="146">
        <v>8.5999999999999993E-2</v>
      </c>
      <c r="F6255" s="25">
        <v>589.46462208106004</v>
      </c>
      <c r="G6255" s="48">
        <f t="shared" si="124"/>
        <v>50.693957498971159</v>
      </c>
      <c r="H6255" s="38"/>
      <c r="I6255" s="34"/>
      <c r="J6255" s="138">
        <v>0</v>
      </c>
    </row>
    <row r="6256" spans="1:10" ht="15.75" hidden="1" thickBot="1" x14ac:dyDescent="0.3">
      <c r="A6256" s="226"/>
      <c r="B6256" s="224"/>
      <c r="C6256" s="30"/>
      <c r="D6256" s="30"/>
      <c r="E6256" s="146"/>
      <c r="F6256" s="25" t="s">
        <v>521</v>
      </c>
      <c r="G6256" s="48"/>
      <c r="H6256" s="38"/>
      <c r="I6256" s="34"/>
      <c r="J6256" s="138">
        <v>0</v>
      </c>
    </row>
    <row r="6257" spans="1:10" ht="15.75" hidden="1" thickBot="1" x14ac:dyDescent="0.3">
      <c r="A6257" s="220" t="s">
        <v>2167</v>
      </c>
      <c r="B6257" s="222" t="e">
        <f>INDEX(Orçamentária!A:B,MATCH(Composições!A6257,Orçamentária!A:A,0),2)</f>
        <v>#N/A</v>
      </c>
      <c r="C6257" s="35"/>
      <c r="D6257" s="20" t="s">
        <v>20</v>
      </c>
      <c r="E6257" s="21"/>
      <c r="F6257" s="43" t="s">
        <v>521</v>
      </c>
      <c r="G6257" s="22" t="str">
        <f>IF(ISNUMBER(F6257),E6257*F6257,"")</f>
        <v/>
      </c>
      <c r="H6257" s="23"/>
      <c r="I6257" s="24"/>
      <c r="J6257" s="138">
        <v>0</v>
      </c>
    </row>
    <row r="6258" spans="1:10" ht="15.75" hidden="1" thickBot="1" x14ac:dyDescent="0.3">
      <c r="A6258" s="225"/>
      <c r="B6258" s="223"/>
      <c r="C6258" s="152"/>
      <c r="D6258" s="26"/>
      <c r="E6258" s="153"/>
      <c r="F6258" s="48" t="s">
        <v>521</v>
      </c>
      <c r="G6258" s="48" t="str">
        <f>IF(ISNUMBER(F6258),E6258*F6258,"")</f>
        <v/>
      </c>
      <c r="H6258" s="67"/>
      <c r="I6258" s="68"/>
      <c r="J6258" s="138">
        <v>0</v>
      </c>
    </row>
    <row r="6259" spans="1:10" ht="15.75" hidden="1" thickBot="1" x14ac:dyDescent="0.3">
      <c r="A6259" s="225"/>
      <c r="B6259" s="223"/>
      <c r="C6259" s="30" t="s">
        <v>703</v>
      </c>
      <c r="D6259" s="30" t="s">
        <v>702</v>
      </c>
      <c r="E6259" s="146">
        <v>0.36299999999999999</v>
      </c>
      <c r="F6259" s="25">
        <v>18.420500000000001</v>
      </c>
      <c r="G6259" s="48">
        <f>IF(ISNUMBER(F6259),E6259*F6259,"")</f>
        <v>6.6866415000000003</v>
      </c>
      <c r="H6259" s="33">
        <f>SUM(G6259:G6261)</f>
        <v>14.24464865</v>
      </c>
      <c r="I6259" s="34"/>
      <c r="J6259" s="138">
        <v>0</v>
      </c>
    </row>
    <row r="6260" spans="1:10" ht="26.25" hidden="1" thickBot="1" x14ac:dyDescent="0.3">
      <c r="A6260" s="225"/>
      <c r="B6260" s="223"/>
      <c r="C6260" s="30" t="s">
        <v>1962</v>
      </c>
      <c r="D6260" s="30" t="s">
        <v>940</v>
      </c>
      <c r="E6260" s="146">
        <v>0.20030000000000001</v>
      </c>
      <c r="F6260" s="25">
        <v>20.177999999999997</v>
      </c>
      <c r="G6260" s="48">
        <f>IF(ISNUMBER(F6260),E6260*F6260,"")</f>
        <v>4.0416533999999995</v>
      </c>
      <c r="H6260" s="38"/>
      <c r="I6260" s="34"/>
      <c r="J6260" s="138">
        <v>0</v>
      </c>
    </row>
    <row r="6261" spans="1:10" ht="26.25" hidden="1" thickBot="1" x14ac:dyDescent="0.3">
      <c r="A6261" s="225"/>
      <c r="B6261" s="223"/>
      <c r="C6261" s="30" t="s">
        <v>1961</v>
      </c>
      <c r="D6261" s="30" t="s">
        <v>938</v>
      </c>
      <c r="E6261" s="146">
        <v>0.16270000000000001</v>
      </c>
      <c r="F6261" s="25">
        <v>21.612500000000001</v>
      </c>
      <c r="G6261" s="48">
        <f>IF(ISNUMBER(F6261),E6261*F6261,"")</f>
        <v>3.5163537500000004</v>
      </c>
      <c r="H6261" s="38"/>
      <c r="I6261" s="34"/>
      <c r="J6261" s="138">
        <v>0</v>
      </c>
    </row>
    <row r="6262" spans="1:10" ht="15.75" hidden="1" thickBot="1" x14ac:dyDescent="0.3">
      <c r="A6262" s="226"/>
      <c r="B6262" s="224"/>
      <c r="C6262" s="30"/>
      <c r="D6262" s="30"/>
      <c r="E6262" s="146"/>
      <c r="F6262" s="25" t="s">
        <v>521</v>
      </c>
      <c r="G6262" s="48"/>
      <c r="H6262" s="38"/>
      <c r="I6262" s="34"/>
      <c r="J6262" s="138">
        <v>0</v>
      </c>
    </row>
    <row r="6263" spans="1:10" ht="15.75" hidden="1" thickBot="1" x14ac:dyDescent="0.3">
      <c r="A6263" s="220" t="s">
        <v>2168</v>
      </c>
      <c r="B6263" s="222" t="e">
        <f>INDEX(Orçamentária!A:B,MATCH(Composições!A6263,Orçamentária!A:A,0),2)</f>
        <v>#N/A</v>
      </c>
      <c r="C6263" s="35"/>
      <c r="D6263" s="20" t="s">
        <v>20</v>
      </c>
      <c r="E6263" s="21"/>
      <c r="F6263" s="43" t="s">
        <v>521</v>
      </c>
      <c r="G6263" s="22" t="str">
        <f>IF(ISNUMBER(F6263),E6263*F6263,"")</f>
        <v/>
      </c>
      <c r="H6263" s="23"/>
      <c r="I6263" s="24"/>
      <c r="J6263" s="138">
        <v>0</v>
      </c>
    </row>
    <row r="6264" spans="1:10" ht="15.75" hidden="1" thickBot="1" x14ac:dyDescent="0.3">
      <c r="A6264" s="225"/>
      <c r="B6264" s="223"/>
      <c r="C6264" s="152"/>
      <c r="D6264" s="26"/>
      <c r="E6264" s="153"/>
      <c r="F6264" s="48" t="s">
        <v>521</v>
      </c>
      <c r="G6264" s="48" t="str">
        <f>IF(ISNUMBER(F6264),E6264*F6264,"")</f>
        <v/>
      </c>
      <c r="H6264" s="67"/>
      <c r="I6264" s="68"/>
      <c r="J6264" s="138">
        <v>0</v>
      </c>
    </row>
    <row r="6265" spans="1:10" ht="39" hidden="1" thickBot="1" x14ac:dyDescent="0.3">
      <c r="A6265" s="225"/>
      <c r="B6265" s="223"/>
      <c r="C6265" s="30" t="s">
        <v>1724</v>
      </c>
      <c r="D6265" s="30" t="s">
        <v>279</v>
      </c>
      <c r="E6265" s="146">
        <v>1</v>
      </c>
      <c r="F6265" s="25" t="s">
        <v>521</v>
      </c>
      <c r="G6265" s="48" t="str">
        <f>IF(ISNUMBER(F6265),E6265*F6265,"")</f>
        <v/>
      </c>
      <c r="H6265" s="33">
        <f>SUM(G6265:G6267)</f>
        <v>67.870631500000002</v>
      </c>
      <c r="I6265" s="34"/>
      <c r="J6265" s="138">
        <v>0</v>
      </c>
    </row>
    <row r="6266" spans="1:10" ht="15.75" hidden="1" thickBot="1" x14ac:dyDescent="0.3">
      <c r="A6266" s="225"/>
      <c r="B6266" s="223"/>
      <c r="C6266" s="30" t="s">
        <v>1156</v>
      </c>
      <c r="D6266" s="30" t="s">
        <v>702</v>
      </c>
      <c r="E6266" s="146">
        <v>1.5233000000000001</v>
      </c>
      <c r="F6266" s="25">
        <v>19.4085</v>
      </c>
      <c r="G6266" s="48">
        <f>IF(ISNUMBER(F6266),E6266*F6266,"")</f>
        <v>29.564968050000001</v>
      </c>
      <c r="H6266" s="38"/>
      <c r="I6266" s="34"/>
      <c r="J6266" s="138">
        <v>0</v>
      </c>
    </row>
    <row r="6267" spans="1:10" ht="15.75" hidden="1" thickBot="1" x14ac:dyDescent="0.3">
      <c r="A6267" s="225"/>
      <c r="B6267" s="223"/>
      <c r="C6267" s="30" t="s">
        <v>1157</v>
      </c>
      <c r="D6267" s="30" t="s">
        <v>702</v>
      </c>
      <c r="E6267" s="146">
        <v>1.5233000000000001</v>
      </c>
      <c r="F6267" s="25">
        <v>25.146499999999996</v>
      </c>
      <c r="G6267" s="48">
        <f>IF(ISNUMBER(F6267),E6267*F6267,"")</f>
        <v>38.305663449999997</v>
      </c>
      <c r="H6267" s="38"/>
      <c r="I6267" s="34"/>
      <c r="J6267" s="138">
        <v>0</v>
      </c>
    </row>
    <row r="6268" spans="1:10" ht="15.75" hidden="1" thickBot="1" x14ac:dyDescent="0.3">
      <c r="A6268" s="226"/>
      <c r="B6268" s="224"/>
      <c r="C6268" s="30"/>
      <c r="D6268" s="30"/>
      <c r="E6268" s="146"/>
      <c r="F6268" s="25" t="s">
        <v>521</v>
      </c>
      <c r="G6268" s="48"/>
      <c r="H6268" s="38"/>
      <c r="I6268" s="34"/>
      <c r="J6268" s="138">
        <v>0</v>
      </c>
    </row>
    <row r="6269" spans="1:10" ht="15.75" hidden="1" thickBot="1" x14ac:dyDescent="0.3">
      <c r="A6269" s="220" t="s">
        <v>2169</v>
      </c>
      <c r="B6269" s="222" t="e">
        <f>INDEX(Orçamentária!A:B,MATCH(Composições!A6269,Orçamentária!A:A,0),2)</f>
        <v>#N/A</v>
      </c>
      <c r="C6269" s="35"/>
      <c r="D6269" s="20" t="s">
        <v>109</v>
      </c>
      <c r="E6269" s="21"/>
      <c r="F6269" s="43" t="s">
        <v>521</v>
      </c>
      <c r="G6269" s="22" t="str">
        <f t="shared" ref="G6269:G6276" si="125">IF(ISNUMBER(F6269),E6269*F6269,"")</f>
        <v/>
      </c>
      <c r="H6269" s="23"/>
      <c r="I6269" s="24"/>
      <c r="J6269" s="138">
        <v>0</v>
      </c>
    </row>
    <row r="6270" spans="1:10" ht="15.75" hidden="1" thickBot="1" x14ac:dyDescent="0.3">
      <c r="A6270" s="225"/>
      <c r="B6270" s="223"/>
      <c r="C6270" s="152"/>
      <c r="D6270" s="26"/>
      <c r="E6270" s="153"/>
      <c r="F6270" s="48" t="s">
        <v>521</v>
      </c>
      <c r="G6270" s="48" t="str">
        <f t="shared" si="125"/>
        <v/>
      </c>
      <c r="H6270" s="67"/>
      <c r="I6270" s="68"/>
      <c r="J6270" s="138">
        <v>0</v>
      </c>
    </row>
    <row r="6271" spans="1:10" ht="39" hidden="1" thickBot="1" x14ac:dyDescent="0.3">
      <c r="A6271" s="225"/>
      <c r="B6271" s="223"/>
      <c r="C6271" s="30" t="s">
        <v>1638</v>
      </c>
      <c r="D6271" s="30" t="s">
        <v>120</v>
      </c>
      <c r="E6271" s="146">
        <v>1.103</v>
      </c>
      <c r="F6271" s="25">
        <v>473.52749999999997</v>
      </c>
      <c r="G6271" s="48">
        <f t="shared" si="125"/>
        <v>522.30083249999996</v>
      </c>
      <c r="H6271" s="33">
        <f>SUM(G6271:G6276)</f>
        <v>559.54857499999991</v>
      </c>
      <c r="I6271" s="34"/>
      <c r="J6271" s="138">
        <v>0</v>
      </c>
    </row>
    <row r="6272" spans="1:10" ht="15.75" hidden="1" thickBot="1" x14ac:dyDescent="0.3">
      <c r="A6272" s="225"/>
      <c r="B6272" s="223"/>
      <c r="C6272" s="30" t="s">
        <v>989</v>
      </c>
      <c r="D6272" s="30" t="s">
        <v>702</v>
      </c>
      <c r="E6272" s="146">
        <v>0.125</v>
      </c>
      <c r="F6272" s="25">
        <v>24.633499999999998</v>
      </c>
      <c r="G6272" s="48">
        <f t="shared" si="125"/>
        <v>3.0791874999999997</v>
      </c>
      <c r="H6272" s="38"/>
      <c r="I6272" s="34"/>
      <c r="J6272" s="138">
        <v>0</v>
      </c>
    </row>
    <row r="6273" spans="1:10" ht="15.75" hidden="1" thickBot="1" x14ac:dyDescent="0.3">
      <c r="A6273" s="225"/>
      <c r="B6273" s="223"/>
      <c r="C6273" s="30" t="s">
        <v>710</v>
      </c>
      <c r="D6273" s="30" t="s">
        <v>702</v>
      </c>
      <c r="E6273" s="146">
        <v>0.753</v>
      </c>
      <c r="F6273" s="25">
        <v>24.889999999999997</v>
      </c>
      <c r="G6273" s="48">
        <f t="shared" si="125"/>
        <v>18.742169999999998</v>
      </c>
      <c r="H6273" s="38"/>
      <c r="I6273" s="34"/>
      <c r="J6273" s="138">
        <v>0</v>
      </c>
    </row>
    <row r="6274" spans="1:10" ht="15.75" hidden="1" thickBot="1" x14ac:dyDescent="0.3">
      <c r="A6274" s="225"/>
      <c r="B6274" s="223"/>
      <c r="C6274" s="30" t="s">
        <v>703</v>
      </c>
      <c r="D6274" s="30" t="s">
        <v>702</v>
      </c>
      <c r="E6274" s="146">
        <v>0.82599999999999996</v>
      </c>
      <c r="F6274" s="25">
        <v>18.420500000000001</v>
      </c>
      <c r="G6274" s="48">
        <f t="shared" si="125"/>
        <v>15.215332999999999</v>
      </c>
      <c r="H6274" s="38"/>
      <c r="I6274" s="34"/>
      <c r="J6274" s="138">
        <v>0</v>
      </c>
    </row>
    <row r="6275" spans="1:10" ht="26.25" hidden="1" thickBot="1" x14ac:dyDescent="0.3">
      <c r="A6275" s="225"/>
      <c r="B6275" s="223"/>
      <c r="C6275" s="30" t="s">
        <v>1150</v>
      </c>
      <c r="D6275" s="30" t="s">
        <v>938</v>
      </c>
      <c r="E6275" s="146">
        <v>0.12</v>
      </c>
      <c r="F6275" s="25">
        <v>1.1779999999999999</v>
      </c>
      <c r="G6275" s="48">
        <f t="shared" si="125"/>
        <v>0.14135999999999999</v>
      </c>
      <c r="H6275" s="38"/>
      <c r="I6275" s="34"/>
      <c r="J6275" s="138">
        <v>0</v>
      </c>
    </row>
    <row r="6276" spans="1:10" ht="26.25" hidden="1" thickBot="1" x14ac:dyDescent="0.3">
      <c r="A6276" s="225"/>
      <c r="B6276" s="223"/>
      <c r="C6276" s="30" t="s">
        <v>1151</v>
      </c>
      <c r="D6276" s="30" t="s">
        <v>940</v>
      </c>
      <c r="E6276" s="146">
        <v>0.13100000000000001</v>
      </c>
      <c r="F6276" s="25">
        <v>0.53200000000000003</v>
      </c>
      <c r="G6276" s="48">
        <f t="shared" si="125"/>
        <v>6.9692000000000004E-2</v>
      </c>
      <c r="H6276" s="38"/>
      <c r="I6276" s="34"/>
      <c r="J6276" s="138">
        <v>0</v>
      </c>
    </row>
    <row r="6277" spans="1:10" ht="15.75" hidden="1" thickBot="1" x14ac:dyDescent="0.3">
      <c r="A6277" s="226"/>
      <c r="B6277" s="224"/>
      <c r="C6277" s="30"/>
      <c r="D6277" s="30"/>
      <c r="E6277" s="146"/>
      <c r="F6277" s="25" t="s">
        <v>521</v>
      </c>
      <c r="G6277" s="48"/>
      <c r="H6277" s="38"/>
      <c r="I6277" s="34"/>
      <c r="J6277" s="138">
        <v>0</v>
      </c>
    </row>
    <row r="6278" spans="1:10" ht="15.75" hidden="1" thickBot="1" x14ac:dyDescent="0.3">
      <c r="A6278" s="220" t="s">
        <v>2170</v>
      </c>
      <c r="B6278" s="222" t="e">
        <f>INDEX(Orçamentária!A:B,MATCH(Composições!A6278,Orçamentária!A:A,0),2)</f>
        <v>#N/A</v>
      </c>
      <c r="C6278" s="35"/>
      <c r="D6278" s="20" t="s">
        <v>93</v>
      </c>
      <c r="E6278" s="21"/>
      <c r="F6278" s="43" t="s">
        <v>521</v>
      </c>
      <c r="G6278" s="22" t="str">
        <f t="shared" ref="G6278:G6287" si="126">IF(ISNUMBER(F6278),E6278*F6278,"")</f>
        <v/>
      </c>
      <c r="H6278" s="23"/>
      <c r="I6278" s="24"/>
      <c r="J6278" s="138">
        <v>0</v>
      </c>
    </row>
    <row r="6279" spans="1:10" ht="15.75" hidden="1" thickBot="1" x14ac:dyDescent="0.3">
      <c r="A6279" s="225"/>
      <c r="B6279" s="223"/>
      <c r="C6279" s="152"/>
      <c r="D6279" s="26"/>
      <c r="E6279" s="153"/>
      <c r="F6279" s="48" t="s">
        <v>521</v>
      </c>
      <c r="G6279" s="48" t="str">
        <f t="shared" si="126"/>
        <v/>
      </c>
      <c r="H6279" s="67"/>
      <c r="I6279" s="68"/>
      <c r="J6279" s="138">
        <v>0</v>
      </c>
    </row>
    <row r="6280" spans="1:10" ht="39" hidden="1" thickBot="1" x14ac:dyDescent="0.3">
      <c r="A6280" s="225"/>
      <c r="B6280" s="223"/>
      <c r="C6280" s="30" t="s">
        <v>1639</v>
      </c>
      <c r="D6280" s="30" t="s">
        <v>120</v>
      </c>
      <c r="E6280" s="146">
        <v>0.1426</v>
      </c>
      <c r="F6280" s="25">
        <v>453.92899999999997</v>
      </c>
      <c r="G6280" s="48">
        <f t="shared" si="126"/>
        <v>64.730275399999996</v>
      </c>
      <c r="H6280" s="33">
        <f>SUM(G6280:G6287)</f>
        <v>108.62895357913</v>
      </c>
      <c r="I6280" s="34"/>
      <c r="J6280" s="138">
        <v>0</v>
      </c>
    </row>
    <row r="6281" spans="1:10" ht="15.75" hidden="1" thickBot="1" x14ac:dyDescent="0.3">
      <c r="A6281" s="225"/>
      <c r="B6281" s="223"/>
      <c r="C6281" s="30" t="s">
        <v>703</v>
      </c>
      <c r="D6281" s="30" t="s">
        <v>702</v>
      </c>
      <c r="E6281" s="146">
        <v>0.27950000000000003</v>
      </c>
      <c r="F6281" s="25">
        <v>18.420500000000001</v>
      </c>
      <c r="G6281" s="48">
        <f t="shared" si="126"/>
        <v>5.1485297500000007</v>
      </c>
      <c r="H6281" s="38"/>
      <c r="I6281" s="34"/>
      <c r="J6281" s="138">
        <v>0</v>
      </c>
    </row>
    <row r="6282" spans="1:10" ht="51.75" hidden="1" thickBot="1" x14ac:dyDescent="0.3">
      <c r="A6282" s="225"/>
      <c r="B6282" s="223"/>
      <c r="C6282" s="30" t="s">
        <v>1570</v>
      </c>
      <c r="D6282" s="30" t="s">
        <v>938</v>
      </c>
      <c r="E6282" s="146">
        <v>3.4200000000000001E-2</v>
      </c>
      <c r="F6282" s="25">
        <v>388.76850000000002</v>
      </c>
      <c r="G6282" s="48">
        <f t="shared" si="126"/>
        <v>13.295882700000002</v>
      </c>
      <c r="H6282" s="38"/>
      <c r="I6282" s="34"/>
      <c r="J6282" s="138">
        <v>0</v>
      </c>
    </row>
    <row r="6283" spans="1:10" ht="51.75" hidden="1" thickBot="1" x14ac:dyDescent="0.3">
      <c r="A6283" s="225"/>
      <c r="B6283" s="223"/>
      <c r="C6283" s="30" t="s">
        <v>1576</v>
      </c>
      <c r="D6283" s="30" t="s">
        <v>940</v>
      </c>
      <c r="E6283" s="146">
        <v>6.1199999999999997E-2</v>
      </c>
      <c r="F6283" s="25">
        <v>144.989</v>
      </c>
      <c r="G6283" s="48">
        <f t="shared" si="126"/>
        <v>8.8733267999999992</v>
      </c>
      <c r="H6283" s="38"/>
      <c r="I6283" s="34"/>
      <c r="J6283" s="138">
        <v>0</v>
      </c>
    </row>
    <row r="6284" spans="1:10" ht="26.25" hidden="1" thickBot="1" x14ac:dyDescent="0.3">
      <c r="A6284" s="225"/>
      <c r="B6284" s="223"/>
      <c r="C6284" s="30" t="s">
        <v>779</v>
      </c>
      <c r="D6284" s="30" t="s">
        <v>702</v>
      </c>
      <c r="E6284" s="146">
        <v>6.4000000000000003E-3</v>
      </c>
      <c r="F6284" s="25">
        <v>99.17049999999999</v>
      </c>
      <c r="G6284" s="48">
        <f t="shared" si="126"/>
        <v>0.63469120000000001</v>
      </c>
      <c r="H6284" s="38"/>
      <c r="I6284" s="34"/>
      <c r="J6284" s="138">
        <v>0</v>
      </c>
    </row>
    <row r="6285" spans="1:10" ht="26.25" hidden="1" thickBot="1" x14ac:dyDescent="0.3">
      <c r="A6285" s="225"/>
      <c r="B6285" s="223"/>
      <c r="C6285" s="30" t="s">
        <v>2320</v>
      </c>
      <c r="D6285" s="30" t="s">
        <v>897</v>
      </c>
      <c r="E6285" s="146">
        <v>1.3913</v>
      </c>
      <c r="F6285" s="25">
        <v>10.463670499999999</v>
      </c>
      <c r="G6285" s="48">
        <f t="shared" si="126"/>
        <v>14.558104766649999</v>
      </c>
      <c r="H6285" s="38"/>
      <c r="I6285" s="34"/>
      <c r="J6285" s="138">
        <v>0</v>
      </c>
    </row>
    <row r="6286" spans="1:10" ht="39" hidden="1" thickBot="1" x14ac:dyDescent="0.3">
      <c r="A6286" s="225"/>
      <c r="B6286" s="223"/>
      <c r="C6286" s="30" t="s">
        <v>1822</v>
      </c>
      <c r="D6286" s="30" t="s">
        <v>1432</v>
      </c>
      <c r="E6286" s="146">
        <v>5.2400000000000002E-2</v>
      </c>
      <c r="F6286" s="25">
        <v>2.9369763</v>
      </c>
      <c r="G6286" s="48">
        <f t="shared" si="126"/>
        <v>0.15389755812</v>
      </c>
      <c r="H6286" s="38"/>
      <c r="I6286" s="34"/>
      <c r="J6286" s="138">
        <v>0</v>
      </c>
    </row>
    <row r="6287" spans="1:10" ht="51.75" hidden="1" thickBot="1" x14ac:dyDescent="0.3">
      <c r="A6287" s="225"/>
      <c r="B6287" s="223"/>
      <c r="C6287" s="30" t="s">
        <v>1826</v>
      </c>
      <c r="D6287" s="30" t="s">
        <v>120</v>
      </c>
      <c r="E6287" s="146">
        <v>0.15709999999999999</v>
      </c>
      <c r="F6287" s="25">
        <v>7.8564315999999996</v>
      </c>
      <c r="G6287" s="48">
        <f t="shared" si="126"/>
        <v>1.23424540436</v>
      </c>
      <c r="H6287" s="38"/>
      <c r="I6287" s="34"/>
      <c r="J6287" s="138">
        <v>0</v>
      </c>
    </row>
    <row r="6288" spans="1:10" ht="15.75" hidden="1" thickBot="1" x14ac:dyDescent="0.3">
      <c r="A6288" s="226"/>
      <c r="B6288" s="224"/>
      <c r="C6288" s="30"/>
      <c r="D6288" s="30"/>
      <c r="E6288" s="146"/>
      <c r="F6288" s="25" t="s">
        <v>521</v>
      </c>
      <c r="G6288" s="48"/>
      <c r="H6288" s="38"/>
      <c r="I6288" s="34"/>
      <c r="J6288" s="138">
        <v>0</v>
      </c>
    </row>
    <row r="6289" spans="1:10" ht="15.75" hidden="1" thickBot="1" x14ac:dyDescent="0.3">
      <c r="A6289" s="220" t="s">
        <v>2171</v>
      </c>
      <c r="B6289" s="222" t="e">
        <f>INDEX(Orçamentária!A:B,MATCH(Composições!A6289,Orçamentária!A:A,0),2)</f>
        <v>#N/A</v>
      </c>
      <c r="C6289" s="35"/>
      <c r="D6289" s="20" t="s">
        <v>42</v>
      </c>
      <c r="E6289" s="21"/>
      <c r="F6289" s="43" t="s">
        <v>521</v>
      </c>
      <c r="G6289" s="22" t="str">
        <f t="shared" ref="G6289:G6295" si="127">IF(ISNUMBER(F6289),E6289*F6289,"")</f>
        <v/>
      </c>
      <c r="H6289" s="23"/>
      <c r="I6289" s="24"/>
      <c r="J6289" s="138">
        <v>0</v>
      </c>
    </row>
    <row r="6290" spans="1:10" ht="15.75" hidden="1" thickBot="1" x14ac:dyDescent="0.3">
      <c r="A6290" s="225"/>
      <c r="B6290" s="223"/>
      <c r="C6290" s="152"/>
      <c r="D6290" s="26"/>
      <c r="E6290" s="153"/>
      <c r="F6290" s="48" t="s">
        <v>521</v>
      </c>
      <c r="G6290" s="48" t="str">
        <f t="shared" si="127"/>
        <v/>
      </c>
      <c r="H6290" s="67"/>
      <c r="I6290" s="68"/>
      <c r="J6290" s="138">
        <v>0</v>
      </c>
    </row>
    <row r="6291" spans="1:10" ht="39" hidden="1" thickBot="1" x14ac:dyDescent="0.3">
      <c r="A6291" s="225"/>
      <c r="B6291" s="223"/>
      <c r="C6291" s="30" t="s">
        <v>898</v>
      </c>
      <c r="D6291" s="30" t="s">
        <v>279</v>
      </c>
      <c r="E6291" s="146">
        <v>1.19</v>
      </c>
      <c r="F6291" s="25">
        <v>0.20899999999999999</v>
      </c>
      <c r="G6291" s="48">
        <f t="shared" si="127"/>
        <v>0.24870999999999999</v>
      </c>
      <c r="H6291" s="33">
        <f>SUM(G6291:G6295)</f>
        <v>15.558625000000001</v>
      </c>
      <c r="I6291" s="34"/>
      <c r="J6291" s="138">
        <v>0</v>
      </c>
    </row>
    <row r="6292" spans="1:10" ht="26.25" hidden="1" thickBot="1" x14ac:dyDescent="0.3">
      <c r="A6292" s="225"/>
      <c r="B6292" s="223"/>
      <c r="C6292" s="30" t="s">
        <v>1808</v>
      </c>
      <c r="D6292" s="30" t="s">
        <v>897</v>
      </c>
      <c r="E6292" s="146">
        <v>2.5000000000000001E-2</v>
      </c>
      <c r="F6292" s="25">
        <v>22.61</v>
      </c>
      <c r="G6292" s="48">
        <f t="shared" si="127"/>
        <v>0.56525000000000003</v>
      </c>
      <c r="H6292" s="38"/>
      <c r="I6292" s="34"/>
      <c r="J6292" s="138">
        <v>0</v>
      </c>
    </row>
    <row r="6293" spans="1:10" ht="15.75" hidden="1" thickBot="1" x14ac:dyDescent="0.3">
      <c r="A6293" s="225"/>
      <c r="B6293" s="223"/>
      <c r="C6293" s="30" t="s">
        <v>899</v>
      </c>
      <c r="D6293" s="30" t="s">
        <v>702</v>
      </c>
      <c r="E6293" s="146">
        <v>1.7500000000000002E-2</v>
      </c>
      <c r="F6293" s="25">
        <v>18.3825</v>
      </c>
      <c r="G6293" s="48">
        <f t="shared" si="127"/>
        <v>0.32169375000000006</v>
      </c>
      <c r="H6293" s="38"/>
      <c r="I6293" s="34"/>
      <c r="J6293" s="138">
        <v>0</v>
      </c>
    </row>
    <row r="6294" spans="1:10" ht="15.75" hidden="1" thickBot="1" x14ac:dyDescent="0.3">
      <c r="A6294" s="225"/>
      <c r="B6294" s="223"/>
      <c r="C6294" s="30" t="s">
        <v>900</v>
      </c>
      <c r="D6294" s="30" t="s">
        <v>702</v>
      </c>
      <c r="E6294" s="146">
        <v>0.1069</v>
      </c>
      <c r="F6294" s="25">
        <v>24.747499999999999</v>
      </c>
      <c r="G6294" s="48">
        <f t="shared" si="127"/>
        <v>2.6455077499999997</v>
      </c>
      <c r="H6294" s="38"/>
      <c r="I6294" s="34"/>
      <c r="J6294" s="138">
        <v>0</v>
      </c>
    </row>
    <row r="6295" spans="1:10" ht="15.75" hidden="1" thickBot="1" x14ac:dyDescent="0.3">
      <c r="A6295" s="225"/>
      <c r="B6295" s="223"/>
      <c r="C6295" s="30" t="s">
        <v>2797</v>
      </c>
      <c r="D6295" s="30" t="s">
        <v>897</v>
      </c>
      <c r="E6295" s="146">
        <v>1</v>
      </c>
      <c r="F6295" s="25">
        <v>11.777463500000001</v>
      </c>
      <c r="G6295" s="48">
        <f t="shared" si="127"/>
        <v>11.777463500000001</v>
      </c>
      <c r="H6295" s="38"/>
      <c r="I6295" s="34"/>
      <c r="J6295" s="138">
        <v>0</v>
      </c>
    </row>
    <row r="6296" spans="1:10" ht="15.75" hidden="1" thickBot="1" x14ac:dyDescent="0.3">
      <c r="A6296" s="226"/>
      <c r="B6296" s="224"/>
      <c r="C6296" s="30"/>
      <c r="D6296" s="30"/>
      <c r="E6296" s="146"/>
      <c r="F6296" s="25" t="s">
        <v>521</v>
      </c>
      <c r="G6296" s="48"/>
      <c r="H6296" s="38"/>
      <c r="I6296" s="34"/>
      <c r="J6296" s="138">
        <v>0</v>
      </c>
    </row>
    <row r="6297" spans="1:10" ht="15.75" hidden="1" thickBot="1" x14ac:dyDescent="0.3">
      <c r="A6297" s="220" t="s">
        <v>2172</v>
      </c>
      <c r="B6297" s="222" t="e">
        <f>INDEX(Orçamentária!A:B,MATCH(Composições!A6297,Orçamentária!A:A,0),2)</f>
        <v>#N/A</v>
      </c>
      <c r="C6297" s="35"/>
      <c r="D6297" s="20" t="s">
        <v>95</v>
      </c>
      <c r="E6297" s="21"/>
      <c r="F6297" s="43" t="s">
        <v>521</v>
      </c>
      <c r="G6297" s="22" t="str">
        <f t="shared" ref="G6297:G6303" si="128">IF(ISNUMBER(F6297),E6297*F6297,"")</f>
        <v/>
      </c>
      <c r="H6297" s="23"/>
      <c r="I6297" s="24"/>
      <c r="J6297" s="138">
        <v>0</v>
      </c>
    </row>
    <row r="6298" spans="1:10" ht="15.75" hidden="1" thickBot="1" x14ac:dyDescent="0.3">
      <c r="A6298" s="225"/>
      <c r="B6298" s="223"/>
      <c r="C6298" s="152"/>
      <c r="D6298" s="26"/>
      <c r="E6298" s="153"/>
      <c r="F6298" s="48" t="s">
        <v>521</v>
      </c>
      <c r="G6298" s="48" t="str">
        <f t="shared" si="128"/>
        <v/>
      </c>
      <c r="H6298" s="67"/>
      <c r="I6298" s="68"/>
      <c r="J6298" s="138">
        <v>0</v>
      </c>
    </row>
    <row r="6299" spans="1:10" ht="39" hidden="1" thickBot="1" x14ac:dyDescent="0.3">
      <c r="A6299" s="225"/>
      <c r="B6299" s="223"/>
      <c r="C6299" s="30" t="s">
        <v>1637</v>
      </c>
      <c r="D6299" s="30" t="s">
        <v>120</v>
      </c>
      <c r="E6299" s="146">
        <v>8.14E-2</v>
      </c>
      <c r="F6299" s="25">
        <v>425.125</v>
      </c>
      <c r="G6299" s="48">
        <f t="shared" si="128"/>
        <v>34.605175000000003</v>
      </c>
      <c r="H6299" s="33">
        <f>SUM(G6299:G6303)</f>
        <v>74.679000299999998</v>
      </c>
      <c r="I6299" s="34"/>
      <c r="J6299" s="138">
        <v>0</v>
      </c>
    </row>
    <row r="6300" spans="1:10" ht="26.25" hidden="1" thickBot="1" x14ac:dyDescent="0.3">
      <c r="A6300" s="225"/>
      <c r="B6300" s="223"/>
      <c r="C6300" s="30" t="s">
        <v>1690</v>
      </c>
      <c r="D6300" s="30" t="s">
        <v>897</v>
      </c>
      <c r="E6300" s="146">
        <v>4</v>
      </c>
      <c r="F6300" s="25">
        <v>9.0914999999999999</v>
      </c>
      <c r="G6300" s="48">
        <f t="shared" si="128"/>
        <v>36.366</v>
      </c>
      <c r="H6300" s="38"/>
      <c r="I6300" s="34"/>
      <c r="J6300" s="138">
        <v>0</v>
      </c>
    </row>
    <row r="6301" spans="1:10" ht="15.75" hidden="1" thickBot="1" x14ac:dyDescent="0.3">
      <c r="A6301" s="225"/>
      <c r="B6301" s="223"/>
      <c r="C6301" s="30" t="s">
        <v>710</v>
      </c>
      <c r="D6301" s="30" t="s">
        <v>702</v>
      </c>
      <c r="E6301" s="146">
        <v>0.1119</v>
      </c>
      <c r="F6301" s="25">
        <v>24.889999999999997</v>
      </c>
      <c r="G6301" s="48">
        <f t="shared" si="128"/>
        <v>2.7851909999999998</v>
      </c>
      <c r="H6301" s="38"/>
      <c r="I6301" s="34"/>
      <c r="J6301" s="138">
        <v>0</v>
      </c>
    </row>
    <row r="6302" spans="1:10" ht="15.75" hidden="1" thickBot="1" x14ac:dyDescent="0.3">
      <c r="A6302" s="225"/>
      <c r="B6302" s="223"/>
      <c r="C6302" s="30" t="s">
        <v>703</v>
      </c>
      <c r="D6302" s="30" t="s">
        <v>702</v>
      </c>
      <c r="E6302" s="146">
        <v>4.6600000000000003E-2</v>
      </c>
      <c r="F6302" s="25">
        <v>18.420500000000001</v>
      </c>
      <c r="G6302" s="48">
        <f t="shared" si="128"/>
        <v>0.85839530000000008</v>
      </c>
      <c r="H6302" s="38"/>
      <c r="I6302" s="34"/>
      <c r="J6302" s="138">
        <v>0</v>
      </c>
    </row>
    <row r="6303" spans="1:10" ht="26.25" hidden="1" thickBot="1" x14ac:dyDescent="0.3">
      <c r="A6303" s="225"/>
      <c r="B6303" s="223"/>
      <c r="C6303" s="30" t="s">
        <v>1571</v>
      </c>
      <c r="D6303" s="30" t="s">
        <v>938</v>
      </c>
      <c r="E6303" s="146">
        <v>7.0000000000000001E-3</v>
      </c>
      <c r="F6303" s="25">
        <v>9.1769999999999996</v>
      </c>
      <c r="G6303" s="48">
        <f t="shared" si="128"/>
        <v>6.4239000000000004E-2</v>
      </c>
      <c r="H6303" s="38"/>
      <c r="I6303" s="34"/>
      <c r="J6303" s="138">
        <v>0</v>
      </c>
    </row>
    <row r="6304" spans="1:10" ht="15.75" hidden="1" thickBot="1" x14ac:dyDescent="0.3">
      <c r="A6304" s="226"/>
      <c r="B6304" s="224"/>
      <c r="C6304" s="30"/>
      <c r="D6304" s="30"/>
      <c r="E6304" s="146"/>
      <c r="F6304" s="25" t="s">
        <v>521</v>
      </c>
      <c r="G6304" s="48"/>
      <c r="H6304" s="38"/>
      <c r="I6304" s="34"/>
      <c r="J6304" s="138">
        <v>0</v>
      </c>
    </row>
    <row r="6305" spans="1:10" ht="15.75" hidden="1" thickBot="1" x14ac:dyDescent="0.3">
      <c r="A6305" s="220" t="s">
        <v>2173</v>
      </c>
      <c r="B6305" s="222" t="e">
        <f>INDEX(Orçamentária!A:B,MATCH(Composições!A6305,Orçamentária!A:A,0),2)</f>
        <v>#N/A</v>
      </c>
      <c r="C6305" s="35"/>
      <c r="D6305" s="20" t="s">
        <v>93</v>
      </c>
      <c r="E6305" s="21"/>
      <c r="F6305" s="43" t="s">
        <v>521</v>
      </c>
      <c r="G6305" s="22" t="str">
        <f t="shared" ref="G6305:G6312" si="129">IF(ISNUMBER(F6305),E6305*F6305,"")</f>
        <v/>
      </c>
      <c r="H6305" s="23"/>
      <c r="I6305" s="24"/>
      <c r="J6305" s="138">
        <v>0</v>
      </c>
    </row>
    <row r="6306" spans="1:10" ht="15.75" hidden="1" thickBot="1" x14ac:dyDescent="0.3">
      <c r="A6306" s="225"/>
      <c r="B6306" s="223"/>
      <c r="C6306" s="152"/>
      <c r="D6306" s="26"/>
      <c r="E6306" s="153"/>
      <c r="F6306" s="48" t="s">
        <v>521</v>
      </c>
      <c r="G6306" s="48" t="str">
        <f t="shared" si="129"/>
        <v/>
      </c>
      <c r="H6306" s="67"/>
      <c r="I6306" s="68"/>
      <c r="J6306" s="138">
        <v>0</v>
      </c>
    </row>
    <row r="6307" spans="1:10" ht="15.75" hidden="1" thickBot="1" x14ac:dyDescent="0.3">
      <c r="A6307" s="225"/>
      <c r="B6307" s="223"/>
      <c r="C6307" s="30" t="s">
        <v>2261</v>
      </c>
      <c r="D6307" s="30" t="s">
        <v>279</v>
      </c>
      <c r="E6307" s="146">
        <v>6.1999999999999998E-3</v>
      </c>
      <c r="F6307" s="25">
        <v>65.417000000000002</v>
      </c>
      <c r="G6307" s="48">
        <f t="shared" si="129"/>
        <v>0.40558539999999998</v>
      </c>
      <c r="H6307" s="33">
        <f>SUM(G6307:G6312)</f>
        <v>91.713357200000004</v>
      </c>
      <c r="I6307" s="34"/>
      <c r="J6307" s="138">
        <v>0</v>
      </c>
    </row>
    <row r="6308" spans="1:10" ht="26.25" hidden="1" thickBot="1" x14ac:dyDescent="0.3">
      <c r="A6308" s="225"/>
      <c r="B6308" s="223"/>
      <c r="C6308" s="30" t="s">
        <v>1957</v>
      </c>
      <c r="D6308" s="30" t="s">
        <v>479</v>
      </c>
      <c r="E6308" s="146">
        <v>1.04</v>
      </c>
      <c r="F6308" s="25">
        <v>79.486499999999992</v>
      </c>
      <c r="G6308" s="48">
        <f t="shared" si="129"/>
        <v>82.665959999999998</v>
      </c>
      <c r="H6308" s="38"/>
      <c r="I6308" s="34"/>
      <c r="J6308" s="138">
        <v>0</v>
      </c>
    </row>
    <row r="6309" spans="1:10" ht="26.25" hidden="1" thickBot="1" x14ac:dyDescent="0.3">
      <c r="A6309" s="225"/>
      <c r="B6309" s="223"/>
      <c r="C6309" s="30" t="s">
        <v>2262</v>
      </c>
      <c r="D6309" s="30" t="s">
        <v>279</v>
      </c>
      <c r="E6309" s="146">
        <v>1.0200000000000001E-2</v>
      </c>
      <c r="F6309" s="25">
        <v>74.119</v>
      </c>
      <c r="G6309" s="48">
        <f t="shared" si="129"/>
        <v>0.75601380000000007</v>
      </c>
      <c r="H6309" s="38"/>
      <c r="I6309" s="34"/>
      <c r="J6309" s="138">
        <v>0</v>
      </c>
    </row>
    <row r="6310" spans="1:10" ht="15.75" hidden="1" thickBot="1" x14ac:dyDescent="0.3">
      <c r="A6310" s="225"/>
      <c r="B6310" s="223"/>
      <c r="C6310" s="30" t="s">
        <v>1190</v>
      </c>
      <c r="D6310" s="30" t="s">
        <v>279</v>
      </c>
      <c r="E6310" s="146">
        <v>3.6999999999999998E-2</v>
      </c>
      <c r="F6310" s="25">
        <v>2.0139999999999998</v>
      </c>
      <c r="G6310" s="48">
        <f t="shared" si="129"/>
        <v>7.4517999999999987E-2</v>
      </c>
      <c r="H6310" s="38"/>
      <c r="I6310" s="34"/>
      <c r="J6310" s="138">
        <v>0</v>
      </c>
    </row>
    <row r="6311" spans="1:10" ht="26.25" hidden="1" thickBot="1" x14ac:dyDescent="0.3">
      <c r="A6311" s="225"/>
      <c r="B6311" s="223"/>
      <c r="C6311" s="30" t="s">
        <v>949</v>
      </c>
      <c r="D6311" s="30" t="s">
        <v>702</v>
      </c>
      <c r="E6311" s="146">
        <v>0.18</v>
      </c>
      <c r="F6311" s="25">
        <v>19.094999999999999</v>
      </c>
      <c r="G6311" s="48">
        <f t="shared" si="129"/>
        <v>3.4370999999999996</v>
      </c>
      <c r="H6311" s="38"/>
      <c r="I6311" s="34"/>
      <c r="J6311" s="138">
        <v>0</v>
      </c>
    </row>
    <row r="6312" spans="1:10" ht="26.25" hidden="1" thickBot="1" x14ac:dyDescent="0.3">
      <c r="A6312" s="225"/>
      <c r="B6312" s="223"/>
      <c r="C6312" s="30" t="s">
        <v>950</v>
      </c>
      <c r="D6312" s="30" t="s">
        <v>702</v>
      </c>
      <c r="E6312" s="146">
        <v>0.18</v>
      </c>
      <c r="F6312" s="25">
        <v>24.300999999999998</v>
      </c>
      <c r="G6312" s="48">
        <f t="shared" si="129"/>
        <v>4.37418</v>
      </c>
      <c r="H6312" s="38"/>
      <c r="I6312" s="34"/>
      <c r="J6312" s="138">
        <v>0</v>
      </c>
    </row>
    <row r="6313" spans="1:10" ht="15.75" hidden="1" thickBot="1" x14ac:dyDescent="0.3">
      <c r="A6313" s="226"/>
      <c r="B6313" s="224"/>
      <c r="C6313" s="30"/>
      <c r="D6313" s="30"/>
      <c r="E6313" s="146"/>
      <c r="F6313" s="25" t="s">
        <v>521</v>
      </c>
      <c r="G6313" s="48"/>
      <c r="H6313" s="38"/>
      <c r="I6313" s="34"/>
      <c r="J6313" s="138">
        <v>0</v>
      </c>
    </row>
    <row r="6314" spans="1:10" ht="15.75" hidden="1" thickBot="1" x14ac:dyDescent="0.3">
      <c r="A6314" s="220" t="s">
        <v>2174</v>
      </c>
      <c r="B6314" s="222" t="e">
        <f>INDEX(Orçamentária!A:B,MATCH(Composições!A6314,Orçamentária!A:A,0),2)</f>
        <v>#N/A</v>
      </c>
      <c r="C6314" s="35"/>
      <c r="D6314" s="20" t="s">
        <v>95</v>
      </c>
      <c r="E6314" s="21"/>
      <c r="F6314" s="43" t="s">
        <v>521</v>
      </c>
      <c r="G6314" s="22" t="str">
        <f t="shared" ref="G6314:G6323" si="130">IF(ISNUMBER(F6314),E6314*F6314,"")</f>
        <v/>
      </c>
      <c r="H6314" s="23"/>
      <c r="I6314" s="24"/>
      <c r="J6314" s="138">
        <v>0</v>
      </c>
    </row>
    <row r="6315" spans="1:10" ht="15.75" hidden="1" thickBot="1" x14ac:dyDescent="0.3">
      <c r="A6315" s="225"/>
      <c r="B6315" s="223"/>
      <c r="C6315" s="152"/>
      <c r="D6315" s="26"/>
      <c r="E6315" s="153"/>
      <c r="F6315" s="48" t="s">
        <v>521</v>
      </c>
      <c r="G6315" s="48" t="str">
        <f t="shared" si="130"/>
        <v/>
      </c>
      <c r="H6315" s="67"/>
      <c r="I6315" s="68"/>
      <c r="J6315" s="138">
        <v>0</v>
      </c>
    </row>
    <row r="6316" spans="1:10" ht="26.25" hidden="1" thickBot="1" x14ac:dyDescent="0.3">
      <c r="A6316" s="225"/>
      <c r="B6316" s="223"/>
      <c r="C6316" s="30" t="s">
        <v>1811</v>
      </c>
      <c r="D6316" s="30" t="s">
        <v>279</v>
      </c>
      <c r="E6316" s="146">
        <v>10.220000000000001</v>
      </c>
      <c r="F6316" s="25">
        <v>3.8189999999999995</v>
      </c>
      <c r="G6316" s="48">
        <f t="shared" si="130"/>
        <v>39.030179999999994</v>
      </c>
      <c r="H6316" s="33">
        <f>SUM(G6316:G6323)</f>
        <v>81.646149808113591</v>
      </c>
      <c r="I6316" s="34"/>
      <c r="J6316" s="138">
        <v>0</v>
      </c>
    </row>
    <row r="6317" spans="1:10" ht="26.25" hidden="1" thickBot="1" x14ac:dyDescent="0.3">
      <c r="A6317" s="225"/>
      <c r="B6317" s="223"/>
      <c r="C6317" s="30" t="s">
        <v>2285</v>
      </c>
      <c r="D6317" s="30" t="s">
        <v>479</v>
      </c>
      <c r="E6317" s="146">
        <v>0.87</v>
      </c>
      <c r="F6317" s="25">
        <v>4.9305000000000003</v>
      </c>
      <c r="G6317" s="48">
        <f t="shared" si="130"/>
        <v>4.2895349999999999</v>
      </c>
      <c r="H6317" s="38"/>
      <c r="I6317" s="34"/>
      <c r="J6317" s="138">
        <v>0</v>
      </c>
    </row>
    <row r="6318" spans="1:10" ht="26.25" hidden="1" thickBot="1" x14ac:dyDescent="0.3">
      <c r="A6318" s="225"/>
      <c r="B6318" s="223"/>
      <c r="C6318" s="30" t="s">
        <v>1815</v>
      </c>
      <c r="D6318" s="30" t="s">
        <v>279</v>
      </c>
      <c r="E6318" s="146">
        <v>1.46</v>
      </c>
      <c r="F6318" s="25">
        <v>2.1849999999999996</v>
      </c>
      <c r="G6318" s="48">
        <f t="shared" si="130"/>
        <v>3.1900999999999993</v>
      </c>
      <c r="H6318" s="38"/>
      <c r="I6318" s="34"/>
      <c r="J6318" s="138">
        <v>0</v>
      </c>
    </row>
    <row r="6319" spans="1:10" ht="26.25" hidden="1" thickBot="1" x14ac:dyDescent="0.3">
      <c r="A6319" s="225"/>
      <c r="B6319" s="223"/>
      <c r="C6319" s="30" t="s">
        <v>1810</v>
      </c>
      <c r="D6319" s="30" t="s">
        <v>279</v>
      </c>
      <c r="E6319" s="146">
        <v>1.46</v>
      </c>
      <c r="F6319" s="25">
        <v>3.496</v>
      </c>
      <c r="G6319" s="48">
        <f t="shared" si="130"/>
        <v>5.1041600000000003</v>
      </c>
      <c r="H6319" s="38"/>
      <c r="I6319" s="34"/>
      <c r="J6319" s="138">
        <v>0</v>
      </c>
    </row>
    <row r="6320" spans="1:10" ht="26.25" hidden="1" thickBot="1" x14ac:dyDescent="0.3">
      <c r="A6320" s="225"/>
      <c r="B6320" s="223"/>
      <c r="C6320" s="30" t="s">
        <v>1813</v>
      </c>
      <c r="D6320" s="30" t="s">
        <v>279</v>
      </c>
      <c r="E6320" s="146">
        <v>0.97</v>
      </c>
      <c r="F6320" s="25">
        <v>4.3034999999999997</v>
      </c>
      <c r="G6320" s="48">
        <f t="shared" si="130"/>
        <v>4.1743949999999996</v>
      </c>
      <c r="H6320" s="38"/>
      <c r="I6320" s="34"/>
      <c r="J6320" s="138">
        <v>0</v>
      </c>
    </row>
    <row r="6321" spans="1:10" ht="15.75" hidden="1" thickBot="1" x14ac:dyDescent="0.3">
      <c r="A6321" s="225"/>
      <c r="B6321" s="223"/>
      <c r="C6321" s="30" t="s">
        <v>710</v>
      </c>
      <c r="D6321" s="30" t="s">
        <v>702</v>
      </c>
      <c r="E6321" s="146">
        <v>0.49</v>
      </c>
      <c r="F6321" s="25">
        <v>24.889999999999997</v>
      </c>
      <c r="G6321" s="48">
        <f t="shared" si="130"/>
        <v>12.196099999999998</v>
      </c>
      <c r="H6321" s="38"/>
      <c r="I6321" s="34"/>
      <c r="J6321" s="138">
        <v>0</v>
      </c>
    </row>
    <row r="6322" spans="1:10" ht="15.75" hidden="1" thickBot="1" x14ac:dyDescent="0.3">
      <c r="A6322" s="225"/>
      <c r="B6322" s="223"/>
      <c r="C6322" s="30" t="s">
        <v>703</v>
      </c>
      <c r="D6322" s="30" t="s">
        <v>702</v>
      </c>
      <c r="E6322" s="146">
        <v>0.37</v>
      </c>
      <c r="F6322" s="25">
        <v>18.420500000000001</v>
      </c>
      <c r="G6322" s="48">
        <f t="shared" si="130"/>
        <v>6.8155850000000004</v>
      </c>
      <c r="H6322" s="38"/>
      <c r="I6322" s="34"/>
      <c r="J6322" s="138">
        <v>0</v>
      </c>
    </row>
    <row r="6323" spans="1:10" ht="51.75" hidden="1" thickBot="1" x14ac:dyDescent="0.3">
      <c r="A6323" s="225"/>
      <c r="B6323" s="223"/>
      <c r="C6323" s="30" t="s">
        <v>1602</v>
      </c>
      <c r="D6323" s="30" t="s">
        <v>120</v>
      </c>
      <c r="E6323" s="146">
        <v>1.04E-2</v>
      </c>
      <c r="F6323" s="25">
        <v>658.27834693399984</v>
      </c>
      <c r="G6323" s="48">
        <f t="shared" si="130"/>
        <v>6.8460948081135982</v>
      </c>
      <c r="H6323" s="38"/>
      <c r="I6323" s="34"/>
      <c r="J6323" s="138">
        <v>0</v>
      </c>
    </row>
    <row r="6324" spans="1:10" ht="15.75" hidden="1" thickBot="1" x14ac:dyDescent="0.3">
      <c r="A6324" s="226"/>
      <c r="B6324" s="224"/>
      <c r="C6324" s="30"/>
      <c r="D6324" s="30"/>
      <c r="E6324" s="146"/>
      <c r="F6324" s="25" t="s">
        <v>521</v>
      </c>
      <c r="G6324" s="48"/>
      <c r="H6324" s="38"/>
      <c r="I6324" s="34"/>
      <c r="J6324" s="138">
        <v>0</v>
      </c>
    </row>
    <row r="6325" spans="1:10" ht="15.75" hidden="1" thickBot="1" x14ac:dyDescent="0.3">
      <c r="A6325" s="220" t="s">
        <v>2175</v>
      </c>
      <c r="B6325" s="222" t="e">
        <f>INDEX(Orçamentária!A:B,MATCH(Composições!A6325,Orçamentária!A:A,0),2)</f>
        <v>#N/A</v>
      </c>
      <c r="C6325" s="35"/>
      <c r="D6325" s="20" t="s">
        <v>20</v>
      </c>
      <c r="E6325" s="21"/>
      <c r="F6325" s="43" t="s">
        <v>521</v>
      </c>
      <c r="G6325" s="22" t="str">
        <f t="shared" ref="G6325:G6347" si="131">IF(ISNUMBER(F6325),E6325*F6325,"")</f>
        <v/>
      </c>
      <c r="H6325" s="23"/>
      <c r="I6325" s="24"/>
      <c r="J6325" s="138">
        <v>0</v>
      </c>
    </row>
    <row r="6326" spans="1:10" ht="15.75" hidden="1" thickBot="1" x14ac:dyDescent="0.3">
      <c r="A6326" s="225"/>
      <c r="B6326" s="223"/>
      <c r="C6326" s="152"/>
      <c r="D6326" s="26"/>
      <c r="E6326" s="153"/>
      <c r="F6326" s="48" t="s">
        <v>521</v>
      </c>
      <c r="G6326" s="48" t="str">
        <f t="shared" si="131"/>
        <v/>
      </c>
      <c r="H6326" s="67"/>
      <c r="I6326" s="68"/>
      <c r="J6326" s="138">
        <v>0</v>
      </c>
    </row>
    <row r="6327" spans="1:10" ht="15.75" hidden="1" thickBot="1" x14ac:dyDescent="0.3">
      <c r="A6327" s="225"/>
      <c r="B6327" s="223"/>
      <c r="C6327" s="30" t="s">
        <v>1814</v>
      </c>
      <c r="D6327" s="30" t="s">
        <v>279</v>
      </c>
      <c r="E6327" s="146">
        <v>21</v>
      </c>
      <c r="F6327" s="25">
        <v>2.964</v>
      </c>
      <c r="G6327" s="48">
        <f t="shared" si="131"/>
        <v>62.244</v>
      </c>
      <c r="H6327" s="33">
        <f>SUM(G6327:G6347)</f>
        <v>1434.3185748933688</v>
      </c>
      <c r="I6327" s="34"/>
      <c r="J6327" s="138">
        <v>0</v>
      </c>
    </row>
    <row r="6328" spans="1:10" ht="26.25" hidden="1" thickBot="1" x14ac:dyDescent="0.3">
      <c r="A6328" s="225"/>
      <c r="B6328" s="223"/>
      <c r="C6328" s="30" t="s">
        <v>1148</v>
      </c>
      <c r="D6328" s="30" t="s">
        <v>102</v>
      </c>
      <c r="E6328" s="146">
        <v>8.2000000000000007E-3</v>
      </c>
      <c r="F6328" s="25">
        <v>7.0964999999999998</v>
      </c>
      <c r="G6328" s="48">
        <f t="shared" si="131"/>
        <v>5.8191300000000001E-2</v>
      </c>
      <c r="H6328" s="38"/>
      <c r="I6328" s="34"/>
      <c r="J6328" s="138">
        <v>0</v>
      </c>
    </row>
    <row r="6329" spans="1:10" ht="26.25" hidden="1" thickBot="1" x14ac:dyDescent="0.3">
      <c r="A6329" s="225"/>
      <c r="B6329" s="223"/>
      <c r="C6329" s="30" t="s">
        <v>1928</v>
      </c>
      <c r="D6329" s="30" t="s">
        <v>479</v>
      </c>
      <c r="E6329" s="146">
        <v>0.17760000000000001</v>
      </c>
      <c r="F6329" s="25">
        <v>8.0179999999999989</v>
      </c>
      <c r="G6329" s="48">
        <f t="shared" si="131"/>
        <v>1.4239967999999998</v>
      </c>
      <c r="H6329" s="38"/>
      <c r="I6329" s="34"/>
      <c r="J6329" s="138">
        <v>0</v>
      </c>
    </row>
    <row r="6330" spans="1:10" ht="26.25" hidden="1" thickBot="1" x14ac:dyDescent="0.3">
      <c r="A6330" s="225"/>
      <c r="B6330" s="223"/>
      <c r="C6330" s="30" t="s">
        <v>1930</v>
      </c>
      <c r="D6330" s="30" t="s">
        <v>479</v>
      </c>
      <c r="E6330" s="146">
        <v>0.2112</v>
      </c>
      <c r="F6330" s="25">
        <v>2.8025000000000002</v>
      </c>
      <c r="G6330" s="48">
        <f t="shared" si="131"/>
        <v>0.59188800000000008</v>
      </c>
      <c r="H6330" s="38"/>
      <c r="I6330" s="34"/>
      <c r="J6330" s="138">
        <v>0</v>
      </c>
    </row>
    <row r="6331" spans="1:10" ht="15.75" hidden="1" thickBot="1" x14ac:dyDescent="0.3">
      <c r="A6331" s="225"/>
      <c r="B6331" s="223"/>
      <c r="C6331" s="30" t="s">
        <v>1720</v>
      </c>
      <c r="D6331" s="30" t="s">
        <v>897</v>
      </c>
      <c r="E6331" s="146">
        <v>0.187</v>
      </c>
      <c r="F6331" s="25">
        <v>22.363</v>
      </c>
      <c r="G6331" s="48">
        <f t="shared" si="131"/>
        <v>4.1818809999999997</v>
      </c>
      <c r="H6331" s="38"/>
      <c r="I6331" s="34"/>
      <c r="J6331" s="138">
        <v>0</v>
      </c>
    </row>
    <row r="6332" spans="1:10" ht="51.75" hidden="1" thickBot="1" x14ac:dyDescent="0.3">
      <c r="A6332" s="225"/>
      <c r="B6332" s="223"/>
      <c r="C6332" s="30" t="s">
        <v>1567</v>
      </c>
      <c r="D6332" s="30" t="s">
        <v>938</v>
      </c>
      <c r="E6332" s="146">
        <v>3.1300000000000001E-2</v>
      </c>
      <c r="F6332" s="25">
        <v>139.09899999999999</v>
      </c>
      <c r="G6332" s="48">
        <f t="shared" si="131"/>
        <v>4.3537986999999996</v>
      </c>
      <c r="H6332" s="38"/>
      <c r="I6332" s="34"/>
      <c r="J6332" s="138">
        <v>0</v>
      </c>
    </row>
    <row r="6333" spans="1:10" ht="51.75" hidden="1" thickBot="1" x14ac:dyDescent="0.3">
      <c r="A6333" s="225"/>
      <c r="B6333" s="223"/>
      <c r="C6333" s="30" t="s">
        <v>1573</v>
      </c>
      <c r="D6333" s="30" t="s">
        <v>940</v>
      </c>
      <c r="E6333" s="146">
        <v>6.3700000000000007E-2</v>
      </c>
      <c r="F6333" s="25">
        <v>49.875</v>
      </c>
      <c r="G6333" s="48">
        <f t="shared" si="131"/>
        <v>3.1770375000000004</v>
      </c>
      <c r="H6333" s="38"/>
      <c r="I6333" s="34"/>
      <c r="J6333" s="138">
        <v>0</v>
      </c>
    </row>
    <row r="6334" spans="1:10" ht="26.25" hidden="1" thickBot="1" x14ac:dyDescent="0.3">
      <c r="A6334" s="225"/>
      <c r="B6334" s="223"/>
      <c r="C6334" s="30" t="s">
        <v>2257</v>
      </c>
      <c r="D6334" s="30" t="s">
        <v>479</v>
      </c>
      <c r="E6334" s="146">
        <v>0.66239999999999999</v>
      </c>
      <c r="F6334" s="25">
        <v>21.213499999999996</v>
      </c>
      <c r="G6334" s="48">
        <f t="shared" si="131"/>
        <v>14.051822399999997</v>
      </c>
      <c r="H6334" s="38"/>
      <c r="I6334" s="34"/>
      <c r="J6334" s="138">
        <v>0</v>
      </c>
    </row>
    <row r="6335" spans="1:10" ht="26.25" hidden="1" thickBot="1" x14ac:dyDescent="0.3">
      <c r="A6335" s="225"/>
      <c r="B6335" s="223"/>
      <c r="C6335" s="30" t="s">
        <v>1812</v>
      </c>
      <c r="D6335" s="30" t="s">
        <v>279</v>
      </c>
      <c r="E6335" s="146">
        <v>47.175699999999999</v>
      </c>
      <c r="F6335" s="25">
        <v>4.7785000000000002</v>
      </c>
      <c r="G6335" s="48">
        <f t="shared" si="131"/>
        <v>225.42908245000001</v>
      </c>
      <c r="H6335" s="38"/>
      <c r="I6335" s="34"/>
      <c r="J6335" s="138">
        <v>0</v>
      </c>
    </row>
    <row r="6336" spans="1:10" ht="26.25" hidden="1" thickBot="1" x14ac:dyDescent="0.3">
      <c r="A6336" s="225"/>
      <c r="B6336" s="223"/>
      <c r="C6336" s="30" t="s">
        <v>2286</v>
      </c>
      <c r="D6336" s="30" t="s">
        <v>279</v>
      </c>
      <c r="E6336" s="146">
        <v>1</v>
      </c>
      <c r="F6336" s="25">
        <v>44.345999999999997</v>
      </c>
      <c r="G6336" s="48">
        <f t="shared" si="131"/>
        <v>44.345999999999997</v>
      </c>
      <c r="H6336" s="38"/>
      <c r="I6336" s="34"/>
      <c r="J6336" s="138">
        <v>0</v>
      </c>
    </row>
    <row r="6337" spans="1:10" ht="39" hidden="1" thickBot="1" x14ac:dyDescent="0.3">
      <c r="A6337" s="225"/>
      <c r="B6337" s="223"/>
      <c r="C6337" s="30" t="s">
        <v>998</v>
      </c>
      <c r="D6337" s="30" t="s">
        <v>120</v>
      </c>
      <c r="E6337" s="146">
        <v>4.3E-3</v>
      </c>
      <c r="F6337" s="25">
        <v>566.17055737199996</v>
      </c>
      <c r="G6337" s="48">
        <f t="shared" si="131"/>
        <v>2.4345333966995999</v>
      </c>
      <c r="H6337" s="38"/>
      <c r="I6337" s="34"/>
      <c r="J6337" s="138">
        <v>0</v>
      </c>
    </row>
    <row r="6338" spans="1:10" ht="15.75" hidden="1" thickBot="1" x14ac:dyDescent="0.3">
      <c r="A6338" s="225"/>
      <c r="B6338" s="223"/>
      <c r="C6338" s="30" t="s">
        <v>710</v>
      </c>
      <c r="D6338" s="30" t="s">
        <v>702</v>
      </c>
      <c r="E6338" s="146">
        <v>9.5631000000000004</v>
      </c>
      <c r="F6338" s="25">
        <v>24.889999999999997</v>
      </c>
      <c r="G6338" s="48">
        <f t="shared" si="131"/>
        <v>238.02555899999999</v>
      </c>
      <c r="H6338" s="38"/>
      <c r="I6338" s="34"/>
      <c r="J6338" s="138">
        <v>0</v>
      </c>
    </row>
    <row r="6339" spans="1:10" ht="15.75" hidden="1" thickBot="1" x14ac:dyDescent="0.3">
      <c r="A6339" s="225"/>
      <c r="B6339" s="223"/>
      <c r="C6339" s="30" t="s">
        <v>703</v>
      </c>
      <c r="D6339" s="30" t="s">
        <v>702</v>
      </c>
      <c r="E6339" s="146">
        <v>7.5138999999999996</v>
      </c>
      <c r="F6339" s="25">
        <v>18.420500000000001</v>
      </c>
      <c r="G6339" s="48">
        <f t="shared" si="131"/>
        <v>138.40979494999999</v>
      </c>
      <c r="H6339" s="38"/>
      <c r="I6339" s="34"/>
      <c r="J6339" s="138">
        <v>0</v>
      </c>
    </row>
    <row r="6340" spans="1:10" ht="26.25" hidden="1" thickBot="1" x14ac:dyDescent="0.3">
      <c r="A6340" s="225"/>
      <c r="B6340" s="223"/>
      <c r="C6340" s="30" t="s">
        <v>1601</v>
      </c>
      <c r="D6340" s="30" t="s">
        <v>120</v>
      </c>
      <c r="E6340" s="146">
        <v>0.47460000000000002</v>
      </c>
      <c r="F6340" s="25">
        <v>643.29426430199999</v>
      </c>
      <c r="G6340" s="48">
        <f t="shared" si="131"/>
        <v>305.3074578377292</v>
      </c>
      <c r="H6340" s="38"/>
      <c r="I6340" s="34"/>
      <c r="J6340" s="138">
        <v>0</v>
      </c>
    </row>
    <row r="6341" spans="1:10" ht="26.25" hidden="1" thickBot="1" x14ac:dyDescent="0.3">
      <c r="A6341" s="225"/>
      <c r="B6341" s="223"/>
      <c r="C6341" s="30" t="s">
        <v>2321</v>
      </c>
      <c r="D6341" s="30" t="s">
        <v>120</v>
      </c>
      <c r="E6341" s="146">
        <v>2.9899999999999999E-2</v>
      </c>
      <c r="F6341" s="25">
        <v>1105.4761742489588</v>
      </c>
      <c r="G6341" s="48">
        <f t="shared" si="131"/>
        <v>33.053737610043868</v>
      </c>
      <c r="H6341" s="38"/>
      <c r="I6341" s="34"/>
      <c r="J6341" s="138">
        <v>0</v>
      </c>
    </row>
    <row r="6342" spans="1:10" ht="26.25" hidden="1" thickBot="1" x14ac:dyDescent="0.3">
      <c r="A6342" s="225"/>
      <c r="B6342" s="223"/>
      <c r="C6342" s="30" t="s">
        <v>2322</v>
      </c>
      <c r="D6342" s="30" t="s">
        <v>120</v>
      </c>
      <c r="E6342" s="146">
        <v>6.1499999999999999E-2</v>
      </c>
      <c r="F6342" s="25">
        <v>1072.6739690989589</v>
      </c>
      <c r="G6342" s="48">
        <f t="shared" si="131"/>
        <v>65.969449099585972</v>
      </c>
      <c r="H6342" s="38"/>
      <c r="I6342" s="34"/>
      <c r="J6342" s="138">
        <v>0</v>
      </c>
    </row>
    <row r="6343" spans="1:10" ht="26.25" hidden="1" thickBot="1" x14ac:dyDescent="0.3">
      <c r="A6343" s="225"/>
      <c r="B6343" s="223"/>
      <c r="C6343" s="30" t="s">
        <v>1579</v>
      </c>
      <c r="D6343" s="30" t="s">
        <v>897</v>
      </c>
      <c r="E6343" s="146">
        <v>0.98719999999999997</v>
      </c>
      <c r="F6343" s="25">
        <v>12.40863115</v>
      </c>
      <c r="G6343" s="48">
        <f t="shared" si="131"/>
        <v>12.249800671279999</v>
      </c>
      <c r="H6343" s="38"/>
      <c r="I6343" s="34"/>
      <c r="J6343" s="138">
        <v>0</v>
      </c>
    </row>
    <row r="6344" spans="1:10" ht="26.25" hidden="1" thickBot="1" x14ac:dyDescent="0.3">
      <c r="A6344" s="225"/>
      <c r="B6344" s="223"/>
      <c r="C6344" s="30" t="s">
        <v>1580</v>
      </c>
      <c r="D6344" s="30" t="s">
        <v>897</v>
      </c>
      <c r="E6344" s="146">
        <v>2.468</v>
      </c>
      <c r="F6344" s="25">
        <v>11.897621399999998</v>
      </c>
      <c r="G6344" s="48">
        <f t="shared" si="131"/>
        <v>29.363329615199994</v>
      </c>
      <c r="H6344" s="38"/>
      <c r="I6344" s="34"/>
      <c r="J6344" s="138">
        <v>0</v>
      </c>
    </row>
    <row r="6345" spans="1:10" ht="26.25" hidden="1" thickBot="1" x14ac:dyDescent="0.3">
      <c r="A6345" s="225"/>
      <c r="B6345" s="223"/>
      <c r="C6345" s="30" t="s">
        <v>1069</v>
      </c>
      <c r="D6345" s="30" t="s">
        <v>120</v>
      </c>
      <c r="E6345" s="146">
        <v>0.1628</v>
      </c>
      <c r="F6345" s="25">
        <v>589.46462208106004</v>
      </c>
      <c r="G6345" s="48">
        <f t="shared" si="131"/>
        <v>95.964840474796574</v>
      </c>
      <c r="H6345" s="38"/>
      <c r="I6345" s="34"/>
      <c r="J6345" s="138">
        <v>0</v>
      </c>
    </row>
    <row r="6346" spans="1:10" ht="26.25" hidden="1" thickBot="1" x14ac:dyDescent="0.3">
      <c r="A6346" s="225"/>
      <c r="B6346" s="223"/>
      <c r="C6346" s="30" t="s">
        <v>1589</v>
      </c>
      <c r="D6346" s="30" t="s">
        <v>120</v>
      </c>
      <c r="E6346" s="146">
        <v>6.1600000000000002E-2</v>
      </c>
      <c r="F6346" s="25">
        <v>2442.8550549031465</v>
      </c>
      <c r="G6346" s="48">
        <f t="shared" si="131"/>
        <v>150.47987138203382</v>
      </c>
      <c r="H6346" s="38"/>
      <c r="I6346" s="34"/>
      <c r="J6346" s="138">
        <v>0</v>
      </c>
    </row>
    <row r="6347" spans="1:10" ht="26.25" hidden="1" thickBot="1" x14ac:dyDescent="0.3">
      <c r="A6347" s="225"/>
      <c r="B6347" s="223"/>
      <c r="C6347" s="30" t="s">
        <v>1916</v>
      </c>
      <c r="D6347" s="30" t="s">
        <v>988</v>
      </c>
      <c r="E6347" s="146">
        <v>1.17</v>
      </c>
      <c r="F6347" s="25">
        <v>2.7371818000000001</v>
      </c>
      <c r="G6347" s="48">
        <f t="shared" si="131"/>
        <v>3.2025027059999998</v>
      </c>
      <c r="H6347" s="38"/>
      <c r="I6347" s="34"/>
      <c r="J6347" s="138">
        <v>0</v>
      </c>
    </row>
    <row r="6348" spans="1:10" ht="15.75" hidden="1" thickBot="1" x14ac:dyDescent="0.3">
      <c r="A6348" s="226"/>
      <c r="B6348" s="224"/>
      <c r="C6348" s="30"/>
      <c r="D6348" s="30"/>
      <c r="E6348" s="146"/>
      <c r="F6348" s="25" t="s">
        <v>521</v>
      </c>
      <c r="G6348" s="48"/>
      <c r="H6348" s="38"/>
      <c r="I6348" s="34"/>
      <c r="J6348" s="138">
        <v>0</v>
      </c>
    </row>
    <row r="6349" spans="1:10" ht="15.75" hidden="1" thickBot="1" x14ac:dyDescent="0.3">
      <c r="A6349" s="220" t="s">
        <v>2176</v>
      </c>
      <c r="B6349" s="222" t="e">
        <f>INDEX(Orçamentária!A:B,MATCH(Composições!A6349,Orçamentária!A:A,0),2)</f>
        <v>#N/A</v>
      </c>
      <c r="C6349" s="35"/>
      <c r="D6349" s="20" t="s">
        <v>93</v>
      </c>
      <c r="E6349" s="21"/>
      <c r="F6349" s="43" t="s">
        <v>521</v>
      </c>
      <c r="G6349" s="22" t="str">
        <f t="shared" ref="G6349:G6357" si="132">IF(ISNUMBER(F6349),E6349*F6349,"")</f>
        <v/>
      </c>
      <c r="H6349" s="23"/>
      <c r="I6349" s="24"/>
      <c r="J6349" s="138">
        <v>0</v>
      </c>
    </row>
    <row r="6350" spans="1:10" ht="15.75" hidden="1" thickBot="1" x14ac:dyDescent="0.3">
      <c r="A6350" s="225"/>
      <c r="B6350" s="223"/>
      <c r="C6350" s="152"/>
      <c r="D6350" s="26"/>
      <c r="E6350" s="153"/>
      <c r="F6350" s="48" t="s">
        <v>521</v>
      </c>
      <c r="G6350" s="48" t="str">
        <f t="shared" si="132"/>
        <v/>
      </c>
      <c r="H6350" s="67"/>
      <c r="I6350" s="68"/>
      <c r="J6350" s="138">
        <v>0</v>
      </c>
    </row>
    <row r="6351" spans="1:10" ht="15.75" hidden="1" thickBot="1" x14ac:dyDescent="0.3">
      <c r="A6351" s="225"/>
      <c r="B6351" s="223"/>
      <c r="C6351" s="30" t="s">
        <v>2236</v>
      </c>
      <c r="D6351" s="30" t="s">
        <v>95</v>
      </c>
      <c r="E6351" s="146">
        <v>3.12</v>
      </c>
      <c r="F6351" s="25">
        <v>0</v>
      </c>
      <c r="G6351" s="48">
        <f t="shared" si="132"/>
        <v>0</v>
      </c>
      <c r="H6351" s="33">
        <f>SUM(G6351:G6357)</f>
        <v>15.432749999999999</v>
      </c>
      <c r="I6351" s="34"/>
      <c r="J6351" s="138">
        <v>0</v>
      </c>
    </row>
    <row r="6352" spans="1:10" ht="15.75" hidden="1" thickBot="1" x14ac:dyDescent="0.3">
      <c r="A6352" s="225"/>
      <c r="B6352" s="223"/>
      <c r="C6352" s="30" t="s">
        <v>2237</v>
      </c>
      <c r="D6352" s="30" t="s">
        <v>120</v>
      </c>
      <c r="E6352" s="146">
        <v>0.17299999999999999</v>
      </c>
      <c r="F6352" s="25">
        <v>0</v>
      </c>
      <c r="G6352" s="48">
        <f t="shared" si="132"/>
        <v>0</v>
      </c>
      <c r="H6352" s="38"/>
      <c r="I6352" s="34"/>
      <c r="J6352" s="138">
        <v>0</v>
      </c>
    </row>
    <row r="6353" spans="1:10" ht="15.75" hidden="1" thickBot="1" x14ac:dyDescent="0.3">
      <c r="A6353" s="225"/>
      <c r="B6353" s="223"/>
      <c r="C6353" s="30" t="s">
        <v>2238</v>
      </c>
      <c r="D6353" s="30" t="s">
        <v>95</v>
      </c>
      <c r="E6353" s="146">
        <v>2.56</v>
      </c>
      <c r="F6353" s="25">
        <v>0</v>
      </c>
      <c r="G6353" s="48">
        <f t="shared" si="132"/>
        <v>0</v>
      </c>
      <c r="H6353" s="38"/>
      <c r="I6353" s="34"/>
      <c r="J6353" s="138">
        <v>0</v>
      </c>
    </row>
    <row r="6354" spans="1:10" ht="15.75" hidden="1" thickBot="1" x14ac:dyDescent="0.3">
      <c r="A6354" s="225"/>
      <c r="B6354" s="223"/>
      <c r="C6354" s="30" t="s">
        <v>2239</v>
      </c>
      <c r="D6354" s="30" t="s">
        <v>120</v>
      </c>
      <c r="E6354" s="146">
        <v>3.3000000000000002E-2</v>
      </c>
      <c r="F6354" s="25">
        <v>0</v>
      </c>
      <c r="G6354" s="48">
        <f t="shared" si="132"/>
        <v>0</v>
      </c>
      <c r="H6354" s="38"/>
      <c r="I6354" s="34"/>
      <c r="J6354" s="138">
        <v>0</v>
      </c>
    </row>
    <row r="6355" spans="1:10" ht="15.75" hidden="1" thickBot="1" x14ac:dyDescent="0.3">
      <c r="A6355" s="225"/>
      <c r="B6355" s="223"/>
      <c r="C6355" s="30" t="s">
        <v>710</v>
      </c>
      <c r="D6355" s="30" t="s">
        <v>702</v>
      </c>
      <c r="E6355" s="146">
        <v>0.25</v>
      </c>
      <c r="F6355" s="25">
        <v>24.889999999999997</v>
      </c>
      <c r="G6355" s="48">
        <f t="shared" si="132"/>
        <v>6.2224999999999993</v>
      </c>
      <c r="H6355" s="38"/>
      <c r="I6355" s="34"/>
      <c r="J6355" s="138">
        <v>0</v>
      </c>
    </row>
    <row r="6356" spans="1:10" ht="15.75" hidden="1" thickBot="1" x14ac:dyDescent="0.3">
      <c r="A6356" s="225"/>
      <c r="B6356" s="223"/>
      <c r="C6356" s="30" t="s">
        <v>703</v>
      </c>
      <c r="D6356" s="30" t="s">
        <v>702</v>
      </c>
      <c r="E6356" s="146">
        <v>0.5</v>
      </c>
      <c r="F6356" s="25">
        <v>18.420500000000001</v>
      </c>
      <c r="G6356" s="48">
        <f t="shared" si="132"/>
        <v>9.2102500000000003</v>
      </c>
      <c r="H6356" s="38"/>
      <c r="I6356" s="34"/>
      <c r="J6356" s="138">
        <v>0</v>
      </c>
    </row>
    <row r="6357" spans="1:10" ht="15.75" hidden="1" thickBot="1" x14ac:dyDescent="0.3">
      <c r="A6357" s="225"/>
      <c r="B6357" s="223"/>
      <c r="C6357" s="30" t="s">
        <v>2240</v>
      </c>
      <c r="D6357" s="30" t="s">
        <v>20</v>
      </c>
      <c r="E6357" s="146">
        <v>1.7</v>
      </c>
      <c r="F6357" s="25">
        <v>0</v>
      </c>
      <c r="G6357" s="48">
        <f t="shared" si="132"/>
        <v>0</v>
      </c>
      <c r="H6357" s="38"/>
      <c r="I6357" s="34"/>
      <c r="J6357" s="138">
        <v>0</v>
      </c>
    </row>
    <row r="6358" spans="1:10" ht="15.75" hidden="1" thickBot="1" x14ac:dyDescent="0.3">
      <c r="A6358" s="226"/>
      <c r="B6358" s="224"/>
      <c r="C6358" s="30"/>
      <c r="D6358" s="30"/>
      <c r="E6358" s="146"/>
      <c r="F6358" s="25" t="s">
        <v>521</v>
      </c>
      <c r="G6358" s="48"/>
      <c r="H6358" s="38"/>
      <c r="I6358" s="34"/>
      <c r="J6358" s="138">
        <v>0</v>
      </c>
    </row>
    <row r="6359" spans="1:10" ht="15.75" hidden="1" thickBot="1" x14ac:dyDescent="0.3">
      <c r="A6359" s="220" t="s">
        <v>2177</v>
      </c>
      <c r="B6359" s="222" t="e">
        <f>INDEX(Orçamentária!A:B,MATCH(Composições!A6359,Orçamentária!A:A,0),2)</f>
        <v>#N/A</v>
      </c>
      <c r="C6359" s="35"/>
      <c r="D6359" s="20" t="s">
        <v>20</v>
      </c>
      <c r="E6359" s="21"/>
      <c r="F6359" s="43" t="s">
        <v>521</v>
      </c>
      <c r="G6359" s="22" t="str">
        <f t="shared" ref="G6359:G6366" si="133">IF(ISNUMBER(F6359),E6359*F6359,"")</f>
        <v/>
      </c>
      <c r="H6359" s="23"/>
      <c r="I6359" s="24"/>
      <c r="J6359" s="138">
        <v>0</v>
      </c>
    </row>
    <row r="6360" spans="1:10" ht="15.75" hidden="1" thickBot="1" x14ac:dyDescent="0.3">
      <c r="A6360" s="225"/>
      <c r="B6360" s="223"/>
      <c r="C6360" s="152"/>
      <c r="D6360" s="26"/>
      <c r="E6360" s="153"/>
      <c r="F6360" s="48" t="s">
        <v>521</v>
      </c>
      <c r="G6360" s="48" t="str">
        <f t="shared" si="133"/>
        <v/>
      </c>
      <c r="H6360" s="67"/>
      <c r="I6360" s="68"/>
      <c r="J6360" s="138">
        <v>0</v>
      </c>
    </row>
    <row r="6361" spans="1:10" ht="15.75" hidden="1" thickBot="1" x14ac:dyDescent="0.3">
      <c r="A6361" s="225"/>
      <c r="B6361" s="223"/>
      <c r="C6361" s="30" t="s">
        <v>703</v>
      </c>
      <c r="D6361" s="30" t="s">
        <v>702</v>
      </c>
      <c r="E6361" s="146">
        <v>1.5444</v>
      </c>
      <c r="F6361" s="25">
        <v>18.420500000000001</v>
      </c>
      <c r="G6361" s="48">
        <f t="shared" si="133"/>
        <v>28.448620200000001</v>
      </c>
      <c r="H6361" s="33">
        <f>SUM(G6361:G6366)</f>
        <v>130.02834490000001</v>
      </c>
      <c r="I6361" s="34"/>
      <c r="J6361" s="138">
        <v>0</v>
      </c>
    </row>
    <row r="6362" spans="1:10" ht="15.75" hidden="1" thickBot="1" x14ac:dyDescent="0.3">
      <c r="A6362" s="225"/>
      <c r="B6362" s="223"/>
      <c r="C6362" s="30" t="s">
        <v>1082</v>
      </c>
      <c r="D6362" s="30" t="s">
        <v>702</v>
      </c>
      <c r="E6362" s="146">
        <v>1.5444</v>
      </c>
      <c r="F6362" s="25">
        <v>19.522500000000001</v>
      </c>
      <c r="G6362" s="48">
        <f t="shared" si="133"/>
        <v>30.150549000000002</v>
      </c>
      <c r="H6362" s="38"/>
      <c r="I6362" s="34"/>
      <c r="J6362" s="138">
        <v>0</v>
      </c>
    </row>
    <row r="6363" spans="1:10" ht="51.75" hidden="1" thickBot="1" x14ac:dyDescent="0.3">
      <c r="A6363" s="225"/>
      <c r="B6363" s="223"/>
      <c r="C6363" s="30" t="s">
        <v>1567</v>
      </c>
      <c r="D6363" s="30" t="s">
        <v>938</v>
      </c>
      <c r="E6363" s="146">
        <v>0.1333</v>
      </c>
      <c r="F6363" s="25">
        <v>139.09899999999999</v>
      </c>
      <c r="G6363" s="48">
        <f t="shared" si="133"/>
        <v>18.541896699999999</v>
      </c>
      <c r="H6363" s="38"/>
      <c r="I6363" s="34"/>
      <c r="J6363" s="138">
        <v>0</v>
      </c>
    </row>
    <row r="6364" spans="1:10" ht="51.75" hidden="1" thickBot="1" x14ac:dyDescent="0.3">
      <c r="A6364" s="225"/>
      <c r="B6364" s="223"/>
      <c r="C6364" s="30" t="s">
        <v>1573</v>
      </c>
      <c r="D6364" s="30" t="s">
        <v>940</v>
      </c>
      <c r="E6364" s="146">
        <v>0.54459999999999997</v>
      </c>
      <c r="F6364" s="25">
        <v>49.875</v>
      </c>
      <c r="G6364" s="48">
        <f t="shared" si="133"/>
        <v>27.161925</v>
      </c>
      <c r="H6364" s="38"/>
      <c r="I6364" s="34"/>
      <c r="J6364" s="138">
        <v>0</v>
      </c>
    </row>
    <row r="6365" spans="1:10" ht="15.75" hidden="1" thickBot="1" x14ac:dyDescent="0.3">
      <c r="A6365" s="225"/>
      <c r="B6365" s="223"/>
      <c r="C6365" s="30" t="s">
        <v>703</v>
      </c>
      <c r="D6365" s="30" t="s">
        <v>702</v>
      </c>
      <c r="E6365" s="146">
        <v>0.67800000000000005</v>
      </c>
      <c r="F6365" s="25">
        <v>18.420500000000001</v>
      </c>
      <c r="G6365" s="48">
        <f t="shared" si="133"/>
        <v>12.489099000000001</v>
      </c>
      <c r="H6365" s="38"/>
      <c r="I6365" s="34"/>
      <c r="J6365" s="138">
        <v>0</v>
      </c>
    </row>
    <row r="6366" spans="1:10" ht="15.75" hidden="1" thickBot="1" x14ac:dyDescent="0.3">
      <c r="A6366" s="225"/>
      <c r="B6366" s="223"/>
      <c r="C6366" s="30" t="s">
        <v>1082</v>
      </c>
      <c r="D6366" s="30" t="s">
        <v>702</v>
      </c>
      <c r="E6366" s="146">
        <v>0.67800000000000005</v>
      </c>
      <c r="F6366" s="25">
        <v>19.522500000000001</v>
      </c>
      <c r="G6366" s="48">
        <f t="shared" si="133"/>
        <v>13.236255000000002</v>
      </c>
      <c r="H6366" s="38"/>
      <c r="I6366" s="34"/>
      <c r="J6366" s="138">
        <v>0</v>
      </c>
    </row>
    <row r="6367" spans="1:10" ht="15.75" hidden="1" thickBot="1" x14ac:dyDescent="0.3">
      <c r="A6367" s="226"/>
      <c r="B6367" s="224"/>
      <c r="C6367" s="30"/>
      <c r="D6367" s="30"/>
      <c r="E6367" s="146"/>
      <c r="F6367" s="25" t="s">
        <v>521</v>
      </c>
      <c r="G6367" s="48"/>
      <c r="H6367" s="38"/>
      <c r="I6367" s="34"/>
      <c r="J6367" s="138">
        <v>0</v>
      </c>
    </row>
    <row r="6368" spans="1:10" ht="15.75" hidden="1" thickBot="1" x14ac:dyDescent="0.3">
      <c r="A6368" s="220" t="s">
        <v>2178</v>
      </c>
      <c r="B6368" s="222" t="e">
        <f>INDEX(Orçamentária!A:B,MATCH(Composições!A6368,Orçamentária!A:A,0),2)</f>
        <v>#N/A</v>
      </c>
      <c r="C6368" s="35"/>
      <c r="D6368" s="20" t="s">
        <v>95</v>
      </c>
      <c r="E6368" s="21"/>
      <c r="F6368" s="43" t="s">
        <v>521</v>
      </c>
      <c r="G6368" s="22" t="str">
        <f>IF(ISNUMBER(F6368),E6368*F6368,"")</f>
        <v/>
      </c>
      <c r="H6368" s="23"/>
      <c r="I6368" s="24"/>
      <c r="J6368" s="138">
        <v>0</v>
      </c>
    </row>
    <row r="6369" spans="1:10" ht="15.75" hidden="1" thickBot="1" x14ac:dyDescent="0.3">
      <c r="A6369" s="225"/>
      <c r="B6369" s="223"/>
      <c r="C6369" s="152"/>
      <c r="D6369" s="26"/>
      <c r="E6369" s="153"/>
      <c r="F6369" s="48" t="s">
        <v>521</v>
      </c>
      <c r="G6369" s="48" t="str">
        <f>IF(ISNUMBER(F6369),E6369*F6369,"")</f>
        <v/>
      </c>
      <c r="H6369" s="67"/>
      <c r="I6369" s="68"/>
      <c r="J6369" s="138">
        <v>0</v>
      </c>
    </row>
    <row r="6370" spans="1:10" ht="15.75" hidden="1" thickBot="1" x14ac:dyDescent="0.3">
      <c r="A6370" s="225"/>
      <c r="B6370" s="223"/>
      <c r="C6370" s="30" t="s">
        <v>703</v>
      </c>
      <c r="D6370" s="30" t="s">
        <v>702</v>
      </c>
      <c r="E6370" s="146">
        <v>9.7100000000000006E-2</v>
      </c>
      <c r="F6370" s="25">
        <v>18.420500000000001</v>
      </c>
      <c r="G6370" s="48">
        <f>IF(ISNUMBER(F6370),E6370*F6370,"")</f>
        <v>1.7886305500000002</v>
      </c>
      <c r="H6370" s="33">
        <f>SUM(G6370:G6371)</f>
        <v>2.99473155</v>
      </c>
      <c r="I6370" s="34"/>
      <c r="J6370" s="138">
        <v>0</v>
      </c>
    </row>
    <row r="6371" spans="1:10" ht="15.75" hidden="1" thickBot="1" x14ac:dyDescent="0.3">
      <c r="A6371" s="225"/>
      <c r="B6371" s="223"/>
      <c r="C6371" s="30" t="s">
        <v>1299</v>
      </c>
      <c r="D6371" s="30" t="s">
        <v>702</v>
      </c>
      <c r="E6371" s="146">
        <v>4.9399999999999999E-2</v>
      </c>
      <c r="F6371" s="25">
        <v>24.414999999999999</v>
      </c>
      <c r="G6371" s="48">
        <f>IF(ISNUMBER(F6371),E6371*F6371,"")</f>
        <v>1.2061009999999999</v>
      </c>
      <c r="H6371" s="38"/>
      <c r="I6371" s="34"/>
      <c r="J6371" s="138">
        <v>0</v>
      </c>
    </row>
    <row r="6372" spans="1:10" ht="15.75" hidden="1" thickBot="1" x14ac:dyDescent="0.3">
      <c r="A6372" s="226"/>
      <c r="B6372" s="224"/>
      <c r="C6372" s="30"/>
      <c r="D6372" s="30"/>
      <c r="E6372" s="146"/>
      <c r="F6372" s="25" t="s">
        <v>521</v>
      </c>
      <c r="G6372" s="48"/>
      <c r="H6372" s="38"/>
      <c r="I6372" s="34"/>
      <c r="J6372" s="138">
        <v>0</v>
      </c>
    </row>
    <row r="6373" spans="1:10" ht="15.75" hidden="1" thickBot="1" x14ac:dyDescent="0.3">
      <c r="A6373" s="220" t="s">
        <v>2179</v>
      </c>
      <c r="B6373" s="222" t="e">
        <f>INDEX(Orçamentária!A:B,MATCH(Composições!A6373,Orçamentária!A:A,0),2)</f>
        <v>#N/A</v>
      </c>
      <c r="C6373" s="35"/>
      <c r="D6373" s="20" t="s">
        <v>93</v>
      </c>
      <c r="E6373" s="21"/>
      <c r="F6373" s="43" t="s">
        <v>521</v>
      </c>
      <c r="G6373" s="22" t="str">
        <f t="shared" ref="G6373:G6385" si="134">IF(ISNUMBER(F6373),E6373*F6373,"")</f>
        <v/>
      </c>
      <c r="H6373" s="23"/>
      <c r="I6373" s="24"/>
      <c r="J6373" s="138">
        <v>0</v>
      </c>
    </row>
    <row r="6374" spans="1:10" ht="15.75" hidden="1" thickBot="1" x14ac:dyDescent="0.3">
      <c r="A6374" s="225"/>
      <c r="B6374" s="223"/>
      <c r="C6374" s="152"/>
      <c r="D6374" s="26"/>
      <c r="E6374" s="153"/>
      <c r="F6374" s="48" t="s">
        <v>521</v>
      </c>
      <c r="G6374" s="48" t="str">
        <f t="shared" si="134"/>
        <v/>
      </c>
      <c r="H6374" s="67"/>
      <c r="I6374" s="68"/>
      <c r="J6374" s="138">
        <v>0</v>
      </c>
    </row>
    <row r="6375" spans="1:10" ht="26.25" hidden="1" thickBot="1" x14ac:dyDescent="0.3">
      <c r="A6375" s="225"/>
      <c r="B6375" s="223"/>
      <c r="C6375" s="30" t="s">
        <v>2287</v>
      </c>
      <c r="D6375" s="30" t="s">
        <v>479</v>
      </c>
      <c r="E6375" s="146">
        <v>0.74450000000000005</v>
      </c>
      <c r="F6375" s="25">
        <v>8.17</v>
      </c>
      <c r="G6375" s="48">
        <f t="shared" si="134"/>
        <v>6.0825650000000007</v>
      </c>
      <c r="H6375" s="33">
        <f>SUM(G6375:G6385)</f>
        <v>57.272442487713747</v>
      </c>
      <c r="I6375" s="34"/>
      <c r="J6375" s="138">
        <v>0</v>
      </c>
    </row>
    <row r="6376" spans="1:10" ht="26.25" hidden="1" thickBot="1" x14ac:dyDescent="0.3">
      <c r="A6376" s="225"/>
      <c r="B6376" s="223"/>
      <c r="C6376" s="30" t="s">
        <v>2288</v>
      </c>
      <c r="D6376" s="30" t="s">
        <v>479</v>
      </c>
      <c r="E6376" s="146">
        <v>0.41249999999999998</v>
      </c>
      <c r="F6376" s="25">
        <v>29.345499999999998</v>
      </c>
      <c r="G6376" s="48">
        <f t="shared" si="134"/>
        <v>12.105018749999999</v>
      </c>
      <c r="H6376" s="38"/>
      <c r="I6376" s="34"/>
      <c r="J6376" s="138">
        <v>0</v>
      </c>
    </row>
    <row r="6377" spans="1:10" ht="15.75" hidden="1" thickBot="1" x14ac:dyDescent="0.3">
      <c r="A6377" s="225"/>
      <c r="B6377" s="223"/>
      <c r="C6377" s="30" t="s">
        <v>1362</v>
      </c>
      <c r="D6377" s="30" t="s">
        <v>897</v>
      </c>
      <c r="E6377" s="146">
        <v>0.111</v>
      </c>
      <c r="F6377" s="25">
        <v>21.935499999999998</v>
      </c>
      <c r="G6377" s="48">
        <f t="shared" si="134"/>
        <v>2.4348405</v>
      </c>
      <c r="H6377" s="38"/>
      <c r="I6377" s="34"/>
      <c r="J6377" s="138">
        <v>0</v>
      </c>
    </row>
    <row r="6378" spans="1:10" ht="15.75" hidden="1" thickBot="1" x14ac:dyDescent="0.3">
      <c r="A6378" s="225"/>
      <c r="B6378" s="223"/>
      <c r="C6378" s="30" t="s">
        <v>2365</v>
      </c>
      <c r="D6378" s="30" t="s">
        <v>102</v>
      </c>
      <c r="E6378" s="146">
        <v>2.5600000000000001E-2</v>
      </c>
      <c r="F6378" s="25">
        <v>22.714499999999997</v>
      </c>
      <c r="G6378" s="48">
        <f t="shared" si="134"/>
        <v>0.58149119999999999</v>
      </c>
      <c r="H6378" s="38"/>
      <c r="I6378" s="34"/>
      <c r="J6378" s="138">
        <v>0</v>
      </c>
    </row>
    <row r="6379" spans="1:10" ht="26.25" hidden="1" thickBot="1" x14ac:dyDescent="0.3">
      <c r="A6379" s="225"/>
      <c r="B6379" s="223"/>
      <c r="C6379" s="30" t="s">
        <v>1931</v>
      </c>
      <c r="D6379" s="30" t="s">
        <v>479</v>
      </c>
      <c r="E6379" s="146">
        <v>0.55000000000000004</v>
      </c>
      <c r="F6379" s="25">
        <v>9.0629999999999988</v>
      </c>
      <c r="G6379" s="48">
        <f t="shared" si="134"/>
        <v>4.9846499999999994</v>
      </c>
      <c r="H6379" s="38"/>
      <c r="I6379" s="34"/>
      <c r="J6379" s="138">
        <v>0</v>
      </c>
    </row>
    <row r="6380" spans="1:10" ht="15.75" hidden="1" thickBot="1" x14ac:dyDescent="0.3">
      <c r="A6380" s="225"/>
      <c r="B6380" s="223"/>
      <c r="C6380" s="30" t="s">
        <v>785</v>
      </c>
      <c r="D6380" s="30" t="s">
        <v>702</v>
      </c>
      <c r="E6380" s="146">
        <v>0.35630000000000001</v>
      </c>
      <c r="F6380" s="25">
        <v>19.494</v>
      </c>
      <c r="G6380" s="48">
        <f t="shared" si="134"/>
        <v>6.9457122</v>
      </c>
      <c r="H6380" s="38"/>
      <c r="I6380" s="34"/>
      <c r="J6380" s="138">
        <v>0</v>
      </c>
    </row>
    <row r="6381" spans="1:10" ht="15.75" hidden="1" thickBot="1" x14ac:dyDescent="0.3">
      <c r="A6381" s="225"/>
      <c r="B6381" s="223"/>
      <c r="C6381" s="30" t="s">
        <v>989</v>
      </c>
      <c r="D6381" s="30" t="s">
        <v>702</v>
      </c>
      <c r="E6381" s="146">
        <v>0.71250000000000002</v>
      </c>
      <c r="F6381" s="25">
        <v>24.633499999999998</v>
      </c>
      <c r="G6381" s="48">
        <f t="shared" si="134"/>
        <v>17.551368749999998</v>
      </c>
      <c r="H6381" s="38"/>
      <c r="I6381" s="34"/>
      <c r="J6381" s="138">
        <v>0</v>
      </c>
    </row>
    <row r="6382" spans="1:10" ht="26.25" hidden="1" thickBot="1" x14ac:dyDescent="0.3">
      <c r="A6382" s="225"/>
      <c r="B6382" s="223"/>
      <c r="C6382" s="30" t="s">
        <v>1152</v>
      </c>
      <c r="D6382" s="30" t="s">
        <v>938</v>
      </c>
      <c r="E6382" s="146">
        <v>3.8999999999999998E-3</v>
      </c>
      <c r="F6382" s="25">
        <v>20.234999999999999</v>
      </c>
      <c r="G6382" s="48">
        <f t="shared" si="134"/>
        <v>7.8916500000000001E-2</v>
      </c>
      <c r="H6382" s="38"/>
      <c r="I6382" s="34"/>
      <c r="J6382" s="138">
        <v>0</v>
      </c>
    </row>
    <row r="6383" spans="1:10" ht="26.25" hidden="1" thickBot="1" x14ac:dyDescent="0.3">
      <c r="A6383" s="225"/>
      <c r="B6383" s="223"/>
      <c r="C6383" s="30" t="s">
        <v>1153</v>
      </c>
      <c r="D6383" s="30" t="s">
        <v>940</v>
      </c>
      <c r="E6383" s="146">
        <v>1.6799999999999999E-2</v>
      </c>
      <c r="F6383" s="25">
        <v>19.456</v>
      </c>
      <c r="G6383" s="48">
        <f t="shared" si="134"/>
        <v>0.32686079999999995</v>
      </c>
      <c r="H6383" s="38"/>
      <c r="I6383" s="34"/>
      <c r="J6383" s="138">
        <v>0</v>
      </c>
    </row>
    <row r="6384" spans="1:10" ht="39" hidden="1" thickBot="1" x14ac:dyDescent="0.3">
      <c r="A6384" s="225"/>
      <c r="B6384" s="223"/>
      <c r="C6384" s="30" t="s">
        <v>2254</v>
      </c>
      <c r="D6384" s="30" t="s">
        <v>120</v>
      </c>
      <c r="E6384" s="146">
        <v>4.5999999999999999E-3</v>
      </c>
      <c r="F6384" s="25">
        <v>595.95050276385996</v>
      </c>
      <c r="G6384" s="48">
        <f t="shared" si="134"/>
        <v>2.7413723127137559</v>
      </c>
      <c r="H6384" s="38"/>
      <c r="I6384" s="34"/>
      <c r="J6384" s="138">
        <v>0</v>
      </c>
    </row>
    <row r="6385" spans="1:10" ht="15.75" hidden="1" thickBot="1" x14ac:dyDescent="0.3">
      <c r="A6385" s="225"/>
      <c r="B6385" s="223"/>
      <c r="C6385" s="30" t="s">
        <v>1603</v>
      </c>
      <c r="D6385" s="30" t="s">
        <v>279</v>
      </c>
      <c r="E6385" s="146">
        <v>1.5</v>
      </c>
      <c r="F6385" s="25">
        <v>2.29309765</v>
      </c>
      <c r="G6385" s="48">
        <f t="shared" si="134"/>
        <v>3.439646475</v>
      </c>
      <c r="H6385" s="38"/>
      <c r="I6385" s="34"/>
      <c r="J6385" s="138">
        <v>0</v>
      </c>
    </row>
    <row r="6386" spans="1:10" ht="15.75" hidden="1" thickBot="1" x14ac:dyDescent="0.3">
      <c r="A6386" s="226"/>
      <c r="B6386" s="224"/>
      <c r="C6386" s="30"/>
      <c r="D6386" s="30"/>
      <c r="E6386" s="146"/>
      <c r="F6386" s="25" t="s">
        <v>521</v>
      </c>
      <c r="G6386" s="48"/>
      <c r="H6386" s="38"/>
      <c r="I6386" s="34"/>
      <c r="J6386" s="138">
        <v>0</v>
      </c>
    </row>
    <row r="6387" spans="1:10" ht="15.75" hidden="1" thickBot="1" x14ac:dyDescent="0.3">
      <c r="A6387" s="220" t="s">
        <v>2180</v>
      </c>
      <c r="B6387" s="222" t="e">
        <f>INDEX(Orçamentária!A:B,MATCH(Composições!A6387,Orçamentária!A:A,0),2)</f>
        <v>#N/A</v>
      </c>
      <c r="C6387" s="35"/>
      <c r="D6387" s="20" t="s">
        <v>20</v>
      </c>
      <c r="E6387" s="21"/>
      <c r="F6387" s="43" t="s">
        <v>521</v>
      </c>
      <c r="G6387" s="22" t="str">
        <f t="shared" ref="G6387:G6398" si="135">IF(ISNUMBER(F6387),E6387*F6387,"")</f>
        <v/>
      </c>
      <c r="H6387" s="23"/>
      <c r="I6387" s="24"/>
      <c r="J6387" s="138">
        <v>0</v>
      </c>
    </row>
    <row r="6388" spans="1:10" ht="15.75" hidden="1" thickBot="1" x14ac:dyDescent="0.3">
      <c r="A6388" s="225"/>
      <c r="B6388" s="223"/>
      <c r="C6388" s="152"/>
      <c r="D6388" s="26"/>
      <c r="E6388" s="153"/>
      <c r="F6388" s="48" t="s">
        <v>521</v>
      </c>
      <c r="G6388" s="48" t="str">
        <f t="shared" si="135"/>
        <v/>
      </c>
      <c r="H6388" s="67"/>
      <c r="I6388" s="68"/>
      <c r="J6388" s="138">
        <v>0</v>
      </c>
    </row>
    <row r="6389" spans="1:10" ht="26.25" hidden="1" thickBot="1" x14ac:dyDescent="0.3">
      <c r="A6389" s="225"/>
      <c r="B6389" s="223"/>
      <c r="C6389" s="30" t="s">
        <v>2241</v>
      </c>
      <c r="D6389" s="30" t="s">
        <v>279</v>
      </c>
      <c r="E6389" s="146">
        <v>4</v>
      </c>
      <c r="F6389" s="25">
        <v>0</v>
      </c>
      <c r="G6389" s="48">
        <f t="shared" si="135"/>
        <v>0</v>
      </c>
      <c r="H6389" s="33">
        <f>SUM(G6389:G6398)</f>
        <v>402.35281961000004</v>
      </c>
      <c r="I6389" s="34"/>
      <c r="J6389" s="138">
        <v>0</v>
      </c>
    </row>
    <row r="6390" spans="1:10" ht="15.75" hidden="1" thickBot="1" x14ac:dyDescent="0.3">
      <c r="A6390" s="225"/>
      <c r="B6390" s="223"/>
      <c r="C6390" s="30" t="s">
        <v>710</v>
      </c>
      <c r="D6390" s="30" t="s">
        <v>702</v>
      </c>
      <c r="E6390" s="146">
        <v>0.4</v>
      </c>
      <c r="F6390" s="25">
        <v>24.889999999999997</v>
      </c>
      <c r="G6390" s="48">
        <f t="shared" si="135"/>
        <v>9.9559999999999995</v>
      </c>
      <c r="H6390" s="38"/>
      <c r="I6390" s="34"/>
      <c r="J6390" s="138">
        <v>0</v>
      </c>
    </row>
    <row r="6391" spans="1:10" ht="15.75" hidden="1" thickBot="1" x14ac:dyDescent="0.3">
      <c r="A6391" s="225"/>
      <c r="B6391" s="223"/>
      <c r="C6391" s="30" t="s">
        <v>615</v>
      </c>
      <c r="D6391" s="30" t="s">
        <v>702</v>
      </c>
      <c r="E6391" s="146">
        <v>1.5</v>
      </c>
      <c r="F6391" s="25">
        <v>24.747499999999999</v>
      </c>
      <c r="G6391" s="48">
        <f t="shared" si="135"/>
        <v>37.121249999999996</v>
      </c>
      <c r="H6391" s="38"/>
      <c r="I6391" s="34"/>
      <c r="J6391" s="138">
        <v>0</v>
      </c>
    </row>
    <row r="6392" spans="1:10" ht="15.75" hidden="1" thickBot="1" x14ac:dyDescent="0.3">
      <c r="A6392" s="225"/>
      <c r="B6392" s="223"/>
      <c r="C6392" s="30" t="s">
        <v>703</v>
      </c>
      <c r="D6392" s="30" t="s">
        <v>702</v>
      </c>
      <c r="E6392" s="146">
        <v>0.4</v>
      </c>
      <c r="F6392" s="25">
        <v>18.420500000000001</v>
      </c>
      <c r="G6392" s="48">
        <f t="shared" si="135"/>
        <v>7.3682000000000007</v>
      </c>
      <c r="H6392" s="38"/>
      <c r="I6392" s="34"/>
      <c r="J6392" s="138">
        <v>0</v>
      </c>
    </row>
    <row r="6393" spans="1:10" ht="15.75" hidden="1" thickBot="1" x14ac:dyDescent="0.3">
      <c r="A6393" s="225"/>
      <c r="B6393" s="223"/>
      <c r="C6393" s="30" t="s">
        <v>1175</v>
      </c>
      <c r="D6393" s="30" t="s">
        <v>42</v>
      </c>
      <c r="E6393" s="146">
        <f>0.023*74.69</f>
        <v>1.71787</v>
      </c>
      <c r="F6393" s="25">
        <v>10.962999999999999</v>
      </c>
      <c r="G6393" s="48">
        <f t="shared" si="135"/>
        <v>18.833008809999999</v>
      </c>
      <c r="H6393" s="38"/>
      <c r="I6393" s="34"/>
      <c r="J6393" s="138">
        <v>0</v>
      </c>
    </row>
    <row r="6394" spans="1:10" ht="26.25" hidden="1" thickBot="1" x14ac:dyDescent="0.3">
      <c r="A6394" s="225"/>
      <c r="B6394" s="223"/>
      <c r="C6394" s="30" t="s">
        <v>1753</v>
      </c>
      <c r="D6394" s="30" t="s">
        <v>93</v>
      </c>
      <c r="E6394" s="146">
        <v>3.05</v>
      </c>
      <c r="F6394" s="25">
        <v>101.726</v>
      </c>
      <c r="G6394" s="48">
        <f t="shared" si="135"/>
        <v>310.26429999999999</v>
      </c>
      <c r="H6394" s="38"/>
      <c r="I6394" s="34"/>
      <c r="J6394" s="138">
        <v>0</v>
      </c>
    </row>
    <row r="6395" spans="1:10" ht="26.25" hidden="1" thickBot="1" x14ac:dyDescent="0.3">
      <c r="A6395" s="225"/>
      <c r="B6395" s="223"/>
      <c r="C6395" s="30" t="s">
        <v>1033</v>
      </c>
      <c r="D6395" s="30" t="s">
        <v>279</v>
      </c>
      <c r="E6395" s="146">
        <v>4</v>
      </c>
      <c r="F6395" s="25">
        <v>2.0994999999999999</v>
      </c>
      <c r="G6395" s="48">
        <f t="shared" si="135"/>
        <v>8.3979999999999997</v>
      </c>
      <c r="H6395" s="38"/>
      <c r="I6395" s="34"/>
      <c r="J6395" s="138">
        <v>0</v>
      </c>
    </row>
    <row r="6396" spans="1:10" ht="15.75" hidden="1" thickBot="1" x14ac:dyDescent="0.3">
      <c r="A6396" s="225"/>
      <c r="B6396" s="223"/>
      <c r="C6396" s="30" t="s">
        <v>1354</v>
      </c>
      <c r="D6396" s="30" t="s">
        <v>42</v>
      </c>
      <c r="E6396" s="146">
        <v>0.02</v>
      </c>
      <c r="F6396" s="25">
        <v>165.96499999999997</v>
      </c>
      <c r="G6396" s="48">
        <f t="shared" si="135"/>
        <v>3.3192999999999997</v>
      </c>
      <c r="H6396" s="38"/>
      <c r="I6396" s="34"/>
      <c r="J6396" s="138">
        <v>0</v>
      </c>
    </row>
    <row r="6397" spans="1:10" ht="15.75" hidden="1" thickBot="1" x14ac:dyDescent="0.3">
      <c r="A6397" s="225"/>
      <c r="B6397" s="223"/>
      <c r="C6397" s="30" t="s">
        <v>100</v>
      </c>
      <c r="D6397" s="41" t="s">
        <v>12</v>
      </c>
      <c r="E6397" s="31">
        <f>0.5708*0.48</f>
        <v>0.27398399999999995</v>
      </c>
      <c r="F6397" s="25">
        <v>25.887499999999999</v>
      </c>
      <c r="G6397" s="48">
        <f t="shared" si="135"/>
        <v>7.0927607999999989</v>
      </c>
      <c r="H6397" s="38"/>
      <c r="I6397" s="34"/>
      <c r="J6397" s="138">
        <v>0</v>
      </c>
    </row>
    <row r="6398" spans="1:10" ht="15.75" hidden="1" thickBot="1" x14ac:dyDescent="0.3">
      <c r="A6398" s="225"/>
      <c r="B6398" s="223"/>
      <c r="C6398" s="30" t="s">
        <v>204</v>
      </c>
      <c r="D6398" s="44" t="s">
        <v>102</v>
      </c>
      <c r="E6398" s="31">
        <f>ROUND(0.48*3*3.6/75,4)</f>
        <v>6.9099999999999995E-2</v>
      </c>
      <c r="F6398" s="25" t="s">
        <v>521</v>
      </c>
      <c r="G6398" s="48" t="str">
        <f t="shared" si="135"/>
        <v/>
      </c>
      <c r="H6398" s="38"/>
      <c r="I6398" s="34"/>
      <c r="J6398" s="138">
        <v>0</v>
      </c>
    </row>
    <row r="6399" spans="1:10" ht="15.75" hidden="1" thickBot="1" x14ac:dyDescent="0.3">
      <c r="A6399" s="225"/>
      <c r="B6399" s="223"/>
      <c r="C6399" s="30"/>
      <c r="D6399" s="30"/>
      <c r="E6399" s="146"/>
      <c r="F6399" s="25" t="s">
        <v>521</v>
      </c>
      <c r="G6399" s="48"/>
      <c r="H6399" s="38"/>
      <c r="I6399" s="34"/>
      <c r="J6399" s="138">
        <v>0</v>
      </c>
    </row>
    <row r="6400" spans="1:10" ht="39" hidden="1" thickBot="1" x14ac:dyDescent="0.3">
      <c r="A6400" s="225"/>
      <c r="B6400" s="223"/>
      <c r="C6400" s="46" t="s">
        <v>1760</v>
      </c>
      <c r="D6400" s="30"/>
      <c r="E6400" s="146"/>
      <c r="F6400" s="25" t="s">
        <v>521</v>
      </c>
      <c r="G6400" s="48"/>
      <c r="H6400" s="38"/>
      <c r="I6400" s="34"/>
      <c r="J6400" s="138">
        <v>0</v>
      </c>
    </row>
    <row r="6401" spans="1:10" ht="15.75" hidden="1" thickBot="1" x14ac:dyDescent="0.3">
      <c r="A6401" s="226"/>
      <c r="B6401" s="224"/>
      <c r="C6401" s="30"/>
      <c r="D6401" s="30"/>
      <c r="E6401" s="146"/>
      <c r="F6401" s="25" t="s">
        <v>521</v>
      </c>
      <c r="G6401" s="48"/>
      <c r="H6401" s="38"/>
      <c r="I6401" s="34"/>
      <c r="J6401" s="138">
        <v>0</v>
      </c>
    </row>
    <row r="6402" spans="1:10" ht="15.75" hidden="1" thickBot="1" x14ac:dyDescent="0.3">
      <c r="A6402" s="220" t="s">
        <v>2181</v>
      </c>
      <c r="B6402" s="222" t="e">
        <f>INDEX(Orçamentária!A:B,MATCH(Composições!A6402,Orçamentária!A:A,0),2)</f>
        <v>#N/A</v>
      </c>
      <c r="C6402" s="35"/>
      <c r="D6402" s="20" t="s">
        <v>20</v>
      </c>
      <c r="E6402" s="21"/>
      <c r="F6402" s="36" t="s">
        <v>521</v>
      </c>
      <c r="G6402" s="22" t="str">
        <f t="shared" ref="G6402:G6465" si="136">IF(ISNUMBER(F6402),E6402*F6402,"")</f>
        <v/>
      </c>
      <c r="H6402" s="23"/>
      <c r="I6402" s="24"/>
      <c r="J6402" s="138">
        <v>0</v>
      </c>
    </row>
    <row r="6403" spans="1:10" ht="15.75" hidden="1" thickBot="1" x14ac:dyDescent="0.3">
      <c r="A6403" s="221"/>
      <c r="B6403" s="223"/>
      <c r="C6403" s="26"/>
      <c r="D6403" s="26"/>
      <c r="E6403" s="27"/>
      <c r="F6403" s="37" t="s">
        <v>521</v>
      </c>
      <c r="G6403" s="25" t="str">
        <f t="shared" si="136"/>
        <v/>
      </c>
      <c r="H6403" s="29"/>
      <c r="I6403" s="25"/>
      <c r="J6403" s="138">
        <v>0</v>
      </c>
    </row>
    <row r="6404" spans="1:10" ht="26.25" hidden="1" thickBot="1" x14ac:dyDescent="0.3">
      <c r="A6404" s="221"/>
      <c r="B6404" s="223"/>
      <c r="C6404" s="30" t="s">
        <v>2242</v>
      </c>
      <c r="D6404" s="30" t="s">
        <v>279</v>
      </c>
      <c r="E6404" s="31">
        <v>1</v>
      </c>
      <c r="F6404" s="28" t="s">
        <v>521</v>
      </c>
      <c r="G6404" s="25" t="str">
        <f t="shared" si="136"/>
        <v/>
      </c>
      <c r="H6404" s="33">
        <f>SUM(G6404:G6407)</f>
        <v>87.319036249999982</v>
      </c>
      <c r="I6404" s="34"/>
      <c r="J6404" s="138">
        <v>0</v>
      </c>
    </row>
    <row r="6405" spans="1:10" ht="51.75" hidden="1" thickBot="1" x14ac:dyDescent="0.3">
      <c r="A6405" s="221"/>
      <c r="B6405" s="223"/>
      <c r="C6405" s="30" t="s">
        <v>1568</v>
      </c>
      <c r="D6405" s="30" t="s">
        <v>938</v>
      </c>
      <c r="E6405" s="31">
        <v>0.111</v>
      </c>
      <c r="F6405" s="28">
        <v>274.60699999999997</v>
      </c>
      <c r="G6405" s="25">
        <f t="shared" si="136"/>
        <v>30.481376999999998</v>
      </c>
      <c r="H6405" s="39"/>
      <c r="I6405" s="40"/>
      <c r="J6405" s="138">
        <v>0</v>
      </c>
    </row>
    <row r="6406" spans="1:10" ht="15.75" hidden="1" thickBot="1" x14ac:dyDescent="0.3">
      <c r="A6406" s="221"/>
      <c r="B6406" s="223"/>
      <c r="C6406" s="30" t="s">
        <v>1156</v>
      </c>
      <c r="D6406" s="30" t="s">
        <v>702</v>
      </c>
      <c r="E6406" s="31">
        <f>1.124/2</f>
        <v>0.56200000000000006</v>
      </c>
      <c r="F6406" s="28">
        <v>19.4085</v>
      </c>
      <c r="G6406" s="25">
        <f t="shared" si="136"/>
        <v>10.907577000000002</v>
      </c>
      <c r="H6406" s="39"/>
      <c r="I6406" s="40"/>
      <c r="J6406" s="138">
        <v>0</v>
      </c>
    </row>
    <row r="6407" spans="1:10" ht="15.75" hidden="1" thickBot="1" x14ac:dyDescent="0.3">
      <c r="A6407" s="221"/>
      <c r="B6407" s="223"/>
      <c r="C6407" s="30" t="s">
        <v>1157</v>
      </c>
      <c r="D6407" s="30" t="s">
        <v>702</v>
      </c>
      <c r="E6407" s="31">
        <f>3.653/2</f>
        <v>1.8265</v>
      </c>
      <c r="F6407" s="25">
        <v>25.146499999999996</v>
      </c>
      <c r="G6407" s="25">
        <f t="shared" si="136"/>
        <v>45.930082249999991</v>
      </c>
      <c r="H6407" s="29"/>
      <c r="I6407" s="25"/>
      <c r="J6407" s="138">
        <v>0</v>
      </c>
    </row>
    <row r="6408" spans="1:10" ht="15.75" hidden="1" thickBot="1" x14ac:dyDescent="0.3">
      <c r="A6408" s="227"/>
      <c r="B6408" s="224"/>
      <c r="C6408" s="30"/>
      <c r="D6408" s="30"/>
      <c r="E6408" s="31"/>
      <c r="F6408" s="25" t="s">
        <v>521</v>
      </c>
      <c r="G6408" s="25" t="str">
        <f t="shared" si="136"/>
        <v/>
      </c>
      <c r="H6408" s="29"/>
      <c r="I6408" s="25"/>
      <c r="J6408" s="138">
        <v>0</v>
      </c>
    </row>
    <row r="6409" spans="1:10" ht="15.75" hidden="1" thickBot="1" x14ac:dyDescent="0.3">
      <c r="A6409" s="220" t="s">
        <v>2182</v>
      </c>
      <c r="B6409" s="222" t="e">
        <f>INDEX(Orçamentária!A:B,MATCH(Composições!A6409,Orçamentária!A:A,0),2)</f>
        <v>#N/A</v>
      </c>
      <c r="C6409" s="35"/>
      <c r="D6409" s="20" t="s">
        <v>20</v>
      </c>
      <c r="E6409" s="21"/>
      <c r="F6409" s="36" t="s">
        <v>521</v>
      </c>
      <c r="G6409" s="22" t="str">
        <f t="shared" si="136"/>
        <v/>
      </c>
      <c r="H6409" s="23"/>
      <c r="I6409" s="24"/>
      <c r="J6409" s="138">
        <v>0</v>
      </c>
    </row>
    <row r="6410" spans="1:10" ht="15.75" hidden="1" thickBot="1" x14ac:dyDescent="0.3">
      <c r="A6410" s="221"/>
      <c r="B6410" s="223"/>
      <c r="C6410" s="26"/>
      <c r="D6410" s="26"/>
      <c r="E6410" s="27"/>
      <c r="F6410" s="37" t="s">
        <v>521</v>
      </c>
      <c r="G6410" s="25" t="str">
        <f t="shared" si="136"/>
        <v/>
      </c>
      <c r="H6410" s="29"/>
      <c r="I6410" s="25"/>
      <c r="J6410" s="138">
        <v>0</v>
      </c>
    </row>
    <row r="6411" spans="1:10" ht="26.25" hidden="1" thickBot="1" x14ac:dyDescent="0.3">
      <c r="A6411" s="221"/>
      <c r="B6411" s="223"/>
      <c r="C6411" s="30" t="s">
        <v>2820</v>
      </c>
      <c r="D6411" s="30" t="s">
        <v>279</v>
      </c>
      <c r="E6411" s="31">
        <v>1</v>
      </c>
      <c r="F6411" s="28">
        <v>0</v>
      </c>
      <c r="G6411" s="25">
        <f t="shared" si="136"/>
        <v>0</v>
      </c>
      <c r="H6411" s="33">
        <f>SUM(G6411:G6413)</f>
        <v>11.138749999999998</v>
      </c>
      <c r="I6411" s="34"/>
      <c r="J6411" s="138">
        <v>0</v>
      </c>
    </row>
    <row r="6412" spans="1:10" ht="15.75" hidden="1" thickBot="1" x14ac:dyDescent="0.3">
      <c r="A6412" s="221"/>
      <c r="B6412" s="223"/>
      <c r="C6412" s="30" t="s">
        <v>1156</v>
      </c>
      <c r="D6412" s="30" t="s">
        <v>702</v>
      </c>
      <c r="E6412" s="31">
        <v>0.25</v>
      </c>
      <c r="F6412" s="28">
        <v>19.4085</v>
      </c>
      <c r="G6412" s="25">
        <f t="shared" si="136"/>
        <v>4.852125</v>
      </c>
      <c r="H6412" s="39"/>
      <c r="I6412" s="40"/>
      <c r="J6412" s="138">
        <v>0</v>
      </c>
    </row>
    <row r="6413" spans="1:10" ht="15.75" hidden="1" thickBot="1" x14ac:dyDescent="0.3">
      <c r="A6413" s="221"/>
      <c r="B6413" s="223"/>
      <c r="C6413" s="30" t="s">
        <v>1157</v>
      </c>
      <c r="D6413" s="30" t="s">
        <v>702</v>
      </c>
      <c r="E6413" s="31">
        <v>0.25</v>
      </c>
      <c r="F6413" s="25">
        <v>25.146499999999996</v>
      </c>
      <c r="G6413" s="25">
        <f t="shared" si="136"/>
        <v>6.286624999999999</v>
      </c>
      <c r="H6413" s="29"/>
      <c r="I6413" s="25"/>
      <c r="J6413" s="138">
        <v>0</v>
      </c>
    </row>
    <row r="6414" spans="1:10" ht="15.75" hidden="1" thickBot="1" x14ac:dyDescent="0.3">
      <c r="A6414" s="227"/>
      <c r="B6414" s="224"/>
      <c r="C6414" s="49"/>
      <c r="D6414" s="49"/>
      <c r="E6414" s="60"/>
      <c r="F6414" s="61" t="s">
        <v>521</v>
      </c>
      <c r="G6414" s="61" t="str">
        <f t="shared" si="136"/>
        <v/>
      </c>
      <c r="H6414" s="63"/>
      <c r="I6414" s="25"/>
      <c r="J6414" s="138">
        <v>0</v>
      </c>
    </row>
    <row r="6415" spans="1:10" ht="15.75" hidden="1" thickBot="1" x14ac:dyDescent="0.3">
      <c r="A6415" s="220" t="s">
        <v>2301</v>
      </c>
      <c r="B6415" s="222" t="e">
        <f>INDEX(Orçamentária!A:B,MATCH(Composições!A6415,Orçamentária!A:A,0),2)</f>
        <v>#N/A</v>
      </c>
      <c r="C6415" s="35"/>
      <c r="D6415" s="20" t="s">
        <v>93</v>
      </c>
      <c r="E6415" s="21"/>
      <c r="F6415" s="36" t="s">
        <v>521</v>
      </c>
      <c r="G6415" s="22" t="str">
        <f t="shared" si="136"/>
        <v/>
      </c>
      <c r="H6415" s="23"/>
      <c r="I6415" s="24"/>
      <c r="J6415" s="138">
        <v>0</v>
      </c>
    </row>
    <row r="6416" spans="1:10" ht="15.75" hidden="1" thickBot="1" x14ac:dyDescent="0.3">
      <c r="A6416" s="221"/>
      <c r="B6416" s="223"/>
      <c r="C6416" s="26"/>
      <c r="D6416" s="26"/>
      <c r="E6416" s="27"/>
      <c r="F6416" s="37" t="s">
        <v>521</v>
      </c>
      <c r="G6416" s="25" t="str">
        <f t="shared" si="136"/>
        <v/>
      </c>
      <c r="H6416" s="29"/>
      <c r="I6416" s="25"/>
      <c r="J6416" s="138">
        <v>0</v>
      </c>
    </row>
    <row r="6417" spans="1:10" ht="15.75" hidden="1" thickBot="1" x14ac:dyDescent="0.3">
      <c r="A6417" s="221"/>
      <c r="B6417" s="223"/>
      <c r="C6417" s="30" t="s">
        <v>39</v>
      </c>
      <c r="D6417" s="30" t="s">
        <v>12</v>
      </c>
      <c r="E6417" s="31">
        <v>0.13</v>
      </c>
      <c r="F6417" s="28">
        <v>24.300999999999998</v>
      </c>
      <c r="G6417" s="25">
        <f t="shared" si="136"/>
        <v>3.1591299999999998</v>
      </c>
      <c r="H6417" s="33">
        <f>SUM(G6417:G6420)</f>
        <v>180.20322949999999</v>
      </c>
      <c r="I6417" s="34"/>
      <c r="J6417" s="138">
        <v>0</v>
      </c>
    </row>
    <row r="6418" spans="1:10" ht="26.25" hidden="1" thickBot="1" x14ac:dyDescent="0.3">
      <c r="A6418" s="221"/>
      <c r="B6418" s="223"/>
      <c r="C6418" s="30" t="s">
        <v>107</v>
      </c>
      <c r="D6418" s="30" t="s">
        <v>12</v>
      </c>
      <c r="E6418" s="31">
        <v>0.13</v>
      </c>
      <c r="F6418" s="28">
        <v>19.094999999999999</v>
      </c>
      <c r="G6418" s="25">
        <f t="shared" si="136"/>
        <v>2.4823499999999998</v>
      </c>
      <c r="H6418" s="39"/>
      <c r="I6418" s="40"/>
      <c r="J6418" s="138">
        <v>0</v>
      </c>
    </row>
    <row r="6419" spans="1:10" ht="15.75" hidden="1" thickBot="1" x14ac:dyDescent="0.3">
      <c r="A6419" s="221"/>
      <c r="B6419" s="223"/>
      <c r="C6419" s="30" t="s">
        <v>1077</v>
      </c>
      <c r="D6419" s="30" t="s">
        <v>12</v>
      </c>
      <c r="E6419" s="31">
        <v>0.13</v>
      </c>
      <c r="F6419" s="28">
        <v>25.526499999999999</v>
      </c>
      <c r="G6419" s="25">
        <f t="shared" si="136"/>
        <v>3.3184450000000001</v>
      </c>
      <c r="H6419" s="39"/>
      <c r="I6419" s="40"/>
      <c r="J6419" s="138">
        <v>0</v>
      </c>
    </row>
    <row r="6420" spans="1:10" ht="26.25" hidden="1" thickBot="1" x14ac:dyDescent="0.3">
      <c r="A6420" s="221"/>
      <c r="B6420" s="223"/>
      <c r="C6420" s="30" t="s">
        <v>2315</v>
      </c>
      <c r="D6420" s="30" t="s">
        <v>93</v>
      </c>
      <c r="E6420" s="31">
        <v>1.0389999999999999</v>
      </c>
      <c r="F6420" s="25">
        <v>164.81550000000001</v>
      </c>
      <c r="G6420" s="25">
        <f t="shared" si="136"/>
        <v>171.24330449999999</v>
      </c>
      <c r="H6420" s="29"/>
      <c r="I6420" s="25"/>
      <c r="J6420" s="138">
        <v>0</v>
      </c>
    </row>
    <row r="6421" spans="1:10" ht="15.75" hidden="1" thickBot="1" x14ac:dyDescent="0.3">
      <c r="A6421" s="227"/>
      <c r="B6421" s="224"/>
      <c r="C6421" s="30"/>
      <c r="D6421" s="30"/>
      <c r="E6421" s="31"/>
      <c r="F6421" s="25" t="s">
        <v>521</v>
      </c>
      <c r="G6421" s="25" t="str">
        <f t="shared" si="136"/>
        <v/>
      </c>
      <c r="H6421" s="29"/>
      <c r="I6421" s="25"/>
      <c r="J6421" s="138">
        <v>0</v>
      </c>
    </row>
    <row r="6422" spans="1:10" ht="15.75" hidden="1" thickBot="1" x14ac:dyDescent="0.3">
      <c r="A6422" s="220" t="s">
        <v>2302</v>
      </c>
      <c r="B6422" s="222" t="e">
        <f>INDEX(Orçamentária!A:B,MATCH(Composições!A6422,Orçamentária!A:A,0),2)</f>
        <v>#N/A</v>
      </c>
      <c r="C6422" s="35"/>
      <c r="D6422" s="20" t="s">
        <v>20</v>
      </c>
      <c r="E6422" s="21"/>
      <c r="F6422" s="36" t="s">
        <v>521</v>
      </c>
      <c r="G6422" s="22" t="str">
        <f t="shared" si="136"/>
        <v/>
      </c>
      <c r="H6422" s="23"/>
      <c r="I6422" s="24"/>
      <c r="J6422" s="138">
        <v>0</v>
      </c>
    </row>
    <row r="6423" spans="1:10" ht="15.75" hidden="1" thickBot="1" x14ac:dyDescent="0.3">
      <c r="A6423" s="221"/>
      <c r="B6423" s="223"/>
      <c r="C6423" s="26"/>
      <c r="D6423" s="26"/>
      <c r="E6423" s="27"/>
      <c r="F6423" s="37" t="s">
        <v>521</v>
      </c>
      <c r="G6423" s="25" t="str">
        <f t="shared" si="136"/>
        <v/>
      </c>
      <c r="H6423" s="29"/>
      <c r="I6423" s="25"/>
      <c r="J6423" s="138">
        <v>0</v>
      </c>
    </row>
    <row r="6424" spans="1:10" ht="15.75" hidden="1" thickBot="1" x14ac:dyDescent="0.3">
      <c r="A6424" s="221"/>
      <c r="B6424" s="223"/>
      <c r="C6424" s="145" t="s">
        <v>39</v>
      </c>
      <c r="D6424" s="41" t="s">
        <v>12</v>
      </c>
      <c r="E6424" s="146">
        <v>3</v>
      </c>
      <c r="F6424" s="25">
        <v>24.300999999999998</v>
      </c>
      <c r="G6424" s="25">
        <f t="shared" si="136"/>
        <v>72.902999999999992</v>
      </c>
      <c r="H6424" s="33">
        <f>SUM(G6424:G6424)</f>
        <v>72.902999999999992</v>
      </c>
      <c r="I6424" s="34"/>
      <c r="J6424" s="138">
        <v>0</v>
      </c>
    </row>
    <row r="6425" spans="1:10" ht="15.75" hidden="1" thickBot="1" x14ac:dyDescent="0.3">
      <c r="A6425" s="227"/>
      <c r="B6425" s="224"/>
      <c r="C6425" s="49"/>
      <c r="D6425" s="49"/>
      <c r="E6425" s="60"/>
      <c r="F6425" s="61" t="s">
        <v>521</v>
      </c>
      <c r="G6425" s="61" t="str">
        <f t="shared" si="136"/>
        <v/>
      </c>
      <c r="H6425" s="63"/>
      <c r="I6425" s="25"/>
      <c r="J6425" s="138">
        <v>0</v>
      </c>
    </row>
    <row r="6426" spans="1:10" ht="15.75" hidden="1" thickBot="1" x14ac:dyDescent="0.3">
      <c r="A6426" s="220" t="s">
        <v>2303</v>
      </c>
      <c r="B6426" s="222" t="e">
        <f>INDEX(Orçamentária!A:B,MATCH(Composições!A6426,Orçamentária!A:A,0),2)</f>
        <v>#N/A</v>
      </c>
      <c r="C6426" s="35"/>
      <c r="D6426" s="20" t="s">
        <v>20</v>
      </c>
      <c r="E6426" s="21"/>
      <c r="F6426" s="36" t="s">
        <v>521</v>
      </c>
      <c r="G6426" s="22" t="str">
        <f t="shared" si="136"/>
        <v/>
      </c>
      <c r="H6426" s="23"/>
      <c r="I6426" s="24"/>
      <c r="J6426" s="138">
        <v>0</v>
      </c>
    </row>
    <row r="6427" spans="1:10" ht="15.75" hidden="1" thickBot="1" x14ac:dyDescent="0.3">
      <c r="A6427" s="221"/>
      <c r="B6427" s="223"/>
      <c r="C6427" s="26"/>
      <c r="D6427" s="26"/>
      <c r="E6427" s="27"/>
      <c r="F6427" s="37" t="s">
        <v>521</v>
      </c>
      <c r="G6427" s="25" t="str">
        <f t="shared" si="136"/>
        <v/>
      </c>
      <c r="H6427" s="29"/>
      <c r="I6427" s="25"/>
      <c r="J6427" s="138">
        <v>0</v>
      </c>
    </row>
    <row r="6428" spans="1:10" ht="15.75" hidden="1" thickBot="1" x14ac:dyDescent="0.3">
      <c r="A6428" s="221"/>
      <c r="B6428" s="223"/>
      <c r="C6428" s="145" t="s">
        <v>39</v>
      </c>
      <c r="D6428" s="41" t="s">
        <v>12</v>
      </c>
      <c r="E6428" s="146">
        <v>5.2</v>
      </c>
      <c r="F6428" s="28">
        <v>24.300999999999998</v>
      </c>
      <c r="G6428" s="25">
        <f t="shared" si="136"/>
        <v>126.3652</v>
      </c>
      <c r="H6428" s="33">
        <f>SUM(G6428:G6429)</f>
        <v>225.6592</v>
      </c>
      <c r="I6428" s="34"/>
      <c r="J6428" s="138">
        <v>0</v>
      </c>
    </row>
    <row r="6429" spans="1:10" ht="26.25" hidden="1" thickBot="1" x14ac:dyDescent="0.3">
      <c r="A6429" s="221"/>
      <c r="B6429" s="223"/>
      <c r="C6429" s="145" t="s">
        <v>107</v>
      </c>
      <c r="D6429" s="41" t="s">
        <v>12</v>
      </c>
      <c r="E6429" s="146">
        <v>5.2</v>
      </c>
      <c r="F6429" s="25">
        <v>19.094999999999999</v>
      </c>
      <c r="G6429" s="25">
        <f t="shared" si="136"/>
        <v>99.293999999999997</v>
      </c>
      <c r="H6429" s="29"/>
      <c r="I6429" s="25"/>
      <c r="J6429" s="138">
        <v>0</v>
      </c>
    </row>
    <row r="6430" spans="1:10" ht="15.75" hidden="1" thickBot="1" x14ac:dyDescent="0.3">
      <c r="A6430" s="227"/>
      <c r="B6430" s="224"/>
      <c r="C6430" s="49"/>
      <c r="D6430" s="49"/>
      <c r="E6430" s="60"/>
      <c r="F6430" s="61" t="s">
        <v>521</v>
      </c>
      <c r="G6430" s="61" t="str">
        <f t="shared" si="136"/>
        <v/>
      </c>
      <c r="H6430" s="63"/>
      <c r="I6430" s="25"/>
      <c r="J6430" s="138">
        <v>0</v>
      </c>
    </row>
    <row r="6431" spans="1:10" ht="15.75" hidden="1" thickBot="1" x14ac:dyDescent="0.3">
      <c r="A6431" s="220" t="s">
        <v>2304</v>
      </c>
      <c r="B6431" s="222" t="e">
        <f>INDEX(Orçamentária!A:B,MATCH(Composições!A6431,Orçamentária!A:A,0),2)</f>
        <v>#N/A</v>
      </c>
      <c r="C6431" s="35"/>
      <c r="D6431" s="20" t="s">
        <v>20</v>
      </c>
      <c r="E6431" s="21"/>
      <c r="F6431" s="36" t="s">
        <v>521</v>
      </c>
      <c r="G6431" s="22" t="str">
        <f t="shared" si="136"/>
        <v/>
      </c>
      <c r="H6431" s="23"/>
      <c r="I6431" s="24"/>
      <c r="J6431" s="138">
        <v>0</v>
      </c>
    </row>
    <row r="6432" spans="1:10" ht="15.75" hidden="1" thickBot="1" x14ac:dyDescent="0.3">
      <c r="A6432" s="221"/>
      <c r="B6432" s="223"/>
      <c r="C6432" s="26"/>
      <c r="D6432" s="26"/>
      <c r="E6432" s="27"/>
      <c r="F6432" s="37" t="s">
        <v>521</v>
      </c>
      <c r="G6432" s="25" t="str">
        <f t="shared" si="136"/>
        <v/>
      </c>
      <c r="H6432" s="29"/>
      <c r="I6432" s="25"/>
      <c r="J6432" s="138">
        <v>0</v>
      </c>
    </row>
    <row r="6433" spans="1:10" ht="15.75" hidden="1" thickBot="1" x14ac:dyDescent="0.3">
      <c r="A6433" s="221"/>
      <c r="B6433" s="223"/>
      <c r="C6433" s="159" t="s">
        <v>703</v>
      </c>
      <c r="D6433" s="41" t="s">
        <v>702</v>
      </c>
      <c r="E6433" s="146">
        <v>0.9</v>
      </c>
      <c r="F6433" s="25">
        <v>18.420500000000001</v>
      </c>
      <c r="G6433" s="25">
        <f t="shared" si="136"/>
        <v>16.57845</v>
      </c>
      <c r="H6433" s="33">
        <f>SUM(G6433:G6433)</f>
        <v>16.57845</v>
      </c>
      <c r="I6433" s="34"/>
      <c r="J6433" s="138">
        <v>0</v>
      </c>
    </row>
    <row r="6434" spans="1:10" ht="15.75" hidden="1" thickBot="1" x14ac:dyDescent="0.3">
      <c r="A6434" s="227"/>
      <c r="B6434" s="224"/>
      <c r="C6434" s="49"/>
      <c r="D6434" s="49"/>
      <c r="E6434" s="60"/>
      <c r="F6434" s="61" t="s">
        <v>521</v>
      </c>
      <c r="G6434" s="61" t="str">
        <f t="shared" si="136"/>
        <v/>
      </c>
      <c r="H6434" s="63"/>
      <c r="I6434" s="25"/>
      <c r="J6434" s="138">
        <v>0</v>
      </c>
    </row>
    <row r="6435" spans="1:10" ht="15.75" hidden="1" thickBot="1" x14ac:dyDescent="0.3">
      <c r="A6435" s="220" t="s">
        <v>2305</v>
      </c>
      <c r="B6435" s="222" t="e">
        <f>INDEX(Orçamentária!A:B,MATCH(Composições!A6435,Orçamentária!A:A,0),2)</f>
        <v>#N/A</v>
      </c>
      <c r="C6435" s="35"/>
      <c r="D6435" s="20" t="s">
        <v>20</v>
      </c>
      <c r="E6435" s="21"/>
      <c r="F6435" s="36" t="s">
        <v>521</v>
      </c>
      <c r="G6435" s="22" t="str">
        <f t="shared" si="136"/>
        <v/>
      </c>
      <c r="H6435" s="23"/>
      <c r="I6435" s="24"/>
      <c r="J6435" s="138">
        <v>0</v>
      </c>
    </row>
    <row r="6436" spans="1:10" ht="15.75" hidden="1" thickBot="1" x14ac:dyDescent="0.3">
      <c r="A6436" s="221"/>
      <c r="B6436" s="223"/>
      <c r="C6436" s="26"/>
      <c r="D6436" s="26"/>
      <c r="E6436" s="27"/>
      <c r="F6436" s="37" t="s">
        <v>521</v>
      </c>
      <c r="G6436" s="25" t="str">
        <f t="shared" si="136"/>
        <v/>
      </c>
      <c r="H6436" s="29"/>
      <c r="I6436" s="25"/>
      <c r="J6436" s="138">
        <v>0</v>
      </c>
    </row>
    <row r="6437" spans="1:10" ht="15.75" hidden="1" thickBot="1" x14ac:dyDescent="0.3">
      <c r="A6437" s="221"/>
      <c r="B6437" s="223"/>
      <c r="C6437" s="159" t="s">
        <v>703</v>
      </c>
      <c r="D6437" s="41" t="s">
        <v>702</v>
      </c>
      <c r="E6437" s="146">
        <f>0.9*1.5</f>
        <v>1.35</v>
      </c>
      <c r="F6437" s="25">
        <v>18.420500000000001</v>
      </c>
      <c r="G6437" s="25">
        <f t="shared" si="136"/>
        <v>24.867675000000002</v>
      </c>
      <c r="H6437" s="33">
        <f>SUM(G6437:G6437)</f>
        <v>24.867675000000002</v>
      </c>
      <c r="I6437" s="34"/>
      <c r="J6437" s="138">
        <v>0</v>
      </c>
    </row>
    <row r="6438" spans="1:10" ht="15.75" hidden="1" thickBot="1" x14ac:dyDescent="0.3">
      <c r="A6438" s="227"/>
      <c r="B6438" s="224"/>
      <c r="C6438" s="49"/>
      <c r="D6438" s="49"/>
      <c r="E6438" s="60"/>
      <c r="F6438" s="61" t="s">
        <v>521</v>
      </c>
      <c r="G6438" s="61" t="str">
        <f t="shared" si="136"/>
        <v/>
      </c>
      <c r="H6438" s="63"/>
      <c r="I6438" s="25"/>
      <c r="J6438" s="138">
        <v>0</v>
      </c>
    </row>
    <row r="6439" spans="1:10" ht="15.75" hidden="1" thickBot="1" x14ac:dyDescent="0.3">
      <c r="A6439" s="220" t="s">
        <v>2306</v>
      </c>
      <c r="B6439" s="222" t="e">
        <f>INDEX(Orçamentária!A:B,MATCH(Composições!A6439,Orçamentária!A:A,0),2)</f>
        <v>#N/A</v>
      </c>
      <c r="C6439" s="35"/>
      <c r="D6439" s="20" t="s">
        <v>95</v>
      </c>
      <c r="E6439" s="21"/>
      <c r="F6439" s="36" t="s">
        <v>521</v>
      </c>
      <c r="G6439" s="22" t="str">
        <f t="shared" si="136"/>
        <v/>
      </c>
      <c r="H6439" s="23"/>
      <c r="I6439" s="24"/>
      <c r="J6439" s="138">
        <v>0</v>
      </c>
    </row>
    <row r="6440" spans="1:10" ht="15.75" hidden="1" thickBot="1" x14ac:dyDescent="0.3">
      <c r="A6440" s="221"/>
      <c r="B6440" s="223"/>
      <c r="C6440" s="26"/>
      <c r="D6440" s="26"/>
      <c r="E6440" s="27"/>
      <c r="F6440" s="37" t="s">
        <v>521</v>
      </c>
      <c r="G6440" s="25" t="str">
        <f t="shared" si="136"/>
        <v/>
      </c>
      <c r="H6440" s="29"/>
      <c r="I6440" s="25"/>
      <c r="J6440" s="138">
        <v>0</v>
      </c>
    </row>
    <row r="6441" spans="1:10" ht="15.75" hidden="1" thickBot="1" x14ac:dyDescent="0.3">
      <c r="A6441" s="221"/>
      <c r="B6441" s="223"/>
      <c r="C6441" s="30" t="s">
        <v>710</v>
      </c>
      <c r="D6441" s="30" t="s">
        <v>702</v>
      </c>
      <c r="E6441" s="146">
        <v>0.09</v>
      </c>
      <c r="F6441" s="28">
        <v>24.889999999999997</v>
      </c>
      <c r="G6441" s="25">
        <f t="shared" si="136"/>
        <v>2.2400999999999995</v>
      </c>
      <c r="H6441" s="33">
        <f>SUM(G6441:G6442)</f>
        <v>18.818549999999998</v>
      </c>
      <c r="I6441" s="34"/>
      <c r="J6441" s="138">
        <v>0</v>
      </c>
    </row>
    <row r="6442" spans="1:10" ht="15.75" hidden="1" thickBot="1" x14ac:dyDescent="0.3">
      <c r="A6442" s="221"/>
      <c r="B6442" s="223"/>
      <c r="C6442" s="30" t="s">
        <v>703</v>
      </c>
      <c r="D6442" s="30" t="s">
        <v>702</v>
      </c>
      <c r="E6442" s="146">
        <v>0.9</v>
      </c>
      <c r="F6442" s="25">
        <v>18.420500000000001</v>
      </c>
      <c r="G6442" s="25">
        <f t="shared" si="136"/>
        <v>16.57845</v>
      </c>
      <c r="H6442" s="29"/>
      <c r="I6442" s="25"/>
      <c r="J6442" s="138">
        <v>0</v>
      </c>
    </row>
    <row r="6443" spans="1:10" ht="15.75" hidden="1" thickBot="1" x14ac:dyDescent="0.3">
      <c r="A6443" s="227"/>
      <c r="B6443" s="224"/>
      <c r="C6443" s="49"/>
      <c r="D6443" s="49"/>
      <c r="E6443" s="60"/>
      <c r="F6443" s="61" t="s">
        <v>521</v>
      </c>
      <c r="G6443" s="61" t="str">
        <f t="shared" si="136"/>
        <v/>
      </c>
      <c r="H6443" s="63"/>
      <c r="I6443" s="25"/>
      <c r="J6443" s="138">
        <v>0</v>
      </c>
    </row>
    <row r="6444" spans="1:10" ht="15.75" hidden="1" thickBot="1" x14ac:dyDescent="0.3">
      <c r="A6444" s="220" t="s">
        <v>2307</v>
      </c>
      <c r="B6444" s="222" t="e">
        <f>INDEX(Orçamentária!A:B,MATCH(Composições!A6444,Orçamentária!A:A,0),2)</f>
        <v>#N/A</v>
      </c>
      <c r="C6444" s="35"/>
      <c r="D6444" s="20" t="s">
        <v>95</v>
      </c>
      <c r="E6444" s="21"/>
      <c r="F6444" s="36" t="s">
        <v>521</v>
      </c>
      <c r="G6444" s="22" t="str">
        <f t="shared" si="136"/>
        <v/>
      </c>
      <c r="H6444" s="23"/>
      <c r="I6444" s="24"/>
      <c r="J6444" s="138">
        <v>0</v>
      </c>
    </row>
    <row r="6445" spans="1:10" ht="15.75" hidden="1" thickBot="1" x14ac:dyDescent="0.3">
      <c r="A6445" s="221"/>
      <c r="B6445" s="223"/>
      <c r="C6445" s="26"/>
      <c r="D6445" s="26"/>
      <c r="E6445" s="27"/>
      <c r="F6445" s="37" t="s">
        <v>521</v>
      </c>
      <c r="G6445" s="25" t="str">
        <f t="shared" si="136"/>
        <v/>
      </c>
      <c r="H6445" s="29"/>
      <c r="I6445" s="25"/>
      <c r="J6445" s="138">
        <v>0</v>
      </c>
    </row>
    <row r="6446" spans="1:10" ht="15.75" hidden="1" thickBot="1" x14ac:dyDescent="0.3">
      <c r="A6446" s="221"/>
      <c r="B6446" s="223"/>
      <c r="C6446" s="30" t="s">
        <v>703</v>
      </c>
      <c r="D6446" s="30" t="s">
        <v>702</v>
      </c>
      <c r="E6446" s="31">
        <v>9.7100000000000006E-2</v>
      </c>
      <c r="F6446" s="28">
        <v>18.420500000000001</v>
      </c>
      <c r="G6446" s="25">
        <f t="shared" si="136"/>
        <v>1.7886305500000002</v>
      </c>
      <c r="H6446" s="33">
        <f>SUM(G6446:G6447)</f>
        <v>2.99473155</v>
      </c>
      <c r="I6446" s="34"/>
      <c r="J6446" s="138">
        <v>0</v>
      </c>
    </row>
    <row r="6447" spans="1:10" ht="15.75" hidden="1" thickBot="1" x14ac:dyDescent="0.3">
      <c r="A6447" s="221"/>
      <c r="B6447" s="223"/>
      <c r="C6447" s="30" t="s">
        <v>1299</v>
      </c>
      <c r="D6447" s="30" t="s">
        <v>702</v>
      </c>
      <c r="E6447" s="31">
        <v>4.9399999999999999E-2</v>
      </c>
      <c r="F6447" s="25">
        <v>24.414999999999999</v>
      </c>
      <c r="G6447" s="25">
        <f t="shared" si="136"/>
        <v>1.2061009999999999</v>
      </c>
      <c r="H6447" s="29"/>
      <c r="I6447" s="25"/>
      <c r="J6447" s="138">
        <v>0</v>
      </c>
    </row>
    <row r="6448" spans="1:10" ht="15.75" hidden="1" thickBot="1" x14ac:dyDescent="0.3">
      <c r="A6448" s="227"/>
      <c r="B6448" s="224"/>
      <c r="C6448" s="49"/>
      <c r="D6448" s="49"/>
      <c r="E6448" s="60"/>
      <c r="F6448" s="61" t="s">
        <v>521</v>
      </c>
      <c r="G6448" s="61" t="str">
        <f t="shared" si="136"/>
        <v/>
      </c>
      <c r="H6448" s="63"/>
      <c r="I6448" s="25"/>
      <c r="J6448" s="138">
        <v>0</v>
      </c>
    </row>
    <row r="6449" spans="1:10" ht="15.75" hidden="1" thickBot="1" x14ac:dyDescent="0.3">
      <c r="A6449" s="220" t="s">
        <v>2334</v>
      </c>
      <c r="B6449" s="222" t="e">
        <f>INDEX(Orçamentária!A:B,MATCH(Composições!A6449,Orçamentária!A:A,0),2)</f>
        <v>#N/A</v>
      </c>
      <c r="C6449" s="35"/>
      <c r="D6449" s="20" t="s">
        <v>95</v>
      </c>
      <c r="E6449" s="21"/>
      <c r="F6449" s="36" t="s">
        <v>521</v>
      </c>
      <c r="G6449" s="22" t="str">
        <f t="shared" si="136"/>
        <v/>
      </c>
      <c r="H6449" s="23"/>
      <c r="I6449" s="24"/>
      <c r="J6449" s="138">
        <v>0</v>
      </c>
    </row>
    <row r="6450" spans="1:10" ht="15.75" hidden="1" thickBot="1" x14ac:dyDescent="0.3">
      <c r="A6450" s="225"/>
      <c r="B6450" s="223"/>
      <c r="C6450" s="26"/>
      <c r="D6450" s="26"/>
      <c r="E6450" s="27"/>
      <c r="F6450" s="37" t="s">
        <v>521</v>
      </c>
      <c r="G6450" s="25" t="str">
        <f t="shared" si="136"/>
        <v/>
      </c>
      <c r="H6450" s="29"/>
      <c r="I6450" s="25"/>
      <c r="J6450" s="138">
        <v>0</v>
      </c>
    </row>
    <row r="6451" spans="1:10" ht="15.75" hidden="1" thickBot="1" x14ac:dyDescent="0.3">
      <c r="A6451" s="225"/>
      <c r="B6451" s="223"/>
      <c r="C6451" s="30" t="s">
        <v>52</v>
      </c>
      <c r="D6451" s="41" t="s">
        <v>12</v>
      </c>
      <c r="E6451" s="31">
        <v>0.5</v>
      </c>
      <c r="F6451" s="28">
        <v>21.184999999999999</v>
      </c>
      <c r="G6451" s="25">
        <f t="shared" si="136"/>
        <v>10.592499999999999</v>
      </c>
      <c r="H6451" s="33">
        <f>SUM(G6451:G6452)</f>
        <v>20.059249999999999</v>
      </c>
      <c r="I6451" s="34"/>
      <c r="J6451" s="138">
        <v>0</v>
      </c>
    </row>
    <row r="6452" spans="1:10" ht="15.75" hidden="1" thickBot="1" x14ac:dyDescent="0.3">
      <c r="A6452" s="225"/>
      <c r="B6452" s="223"/>
      <c r="C6452" s="30" t="s">
        <v>27</v>
      </c>
      <c r="D6452" s="41" t="s">
        <v>12</v>
      </c>
      <c r="E6452" s="31">
        <v>0.5</v>
      </c>
      <c r="F6452" s="28">
        <v>18.933499999999999</v>
      </c>
      <c r="G6452" s="25">
        <f t="shared" si="136"/>
        <v>9.4667499999999993</v>
      </c>
      <c r="H6452" s="29"/>
      <c r="I6452" s="25"/>
      <c r="J6452" s="138">
        <v>0</v>
      </c>
    </row>
    <row r="6453" spans="1:10" ht="15.75" hidden="1" thickBot="1" x14ac:dyDescent="0.3">
      <c r="A6453" s="226"/>
      <c r="B6453" s="224"/>
      <c r="C6453" s="30"/>
      <c r="D6453" s="30"/>
      <c r="E6453" s="31"/>
      <c r="F6453" s="25" t="s">
        <v>521</v>
      </c>
      <c r="G6453" s="25" t="str">
        <f t="shared" si="136"/>
        <v/>
      </c>
      <c r="H6453" s="29"/>
      <c r="I6453" s="25"/>
      <c r="J6453" s="138">
        <v>0</v>
      </c>
    </row>
    <row r="6454" spans="1:10" ht="15.75" hidden="1" thickBot="1" x14ac:dyDescent="0.3">
      <c r="A6454" s="220" t="s">
        <v>2335</v>
      </c>
      <c r="B6454" s="222" t="e">
        <f>INDEX(Orçamentária!A:B,MATCH(Composições!A6454,Orçamentária!A:A,0),2)</f>
        <v>#N/A</v>
      </c>
      <c r="C6454" s="35"/>
      <c r="D6454" s="20" t="s">
        <v>20</v>
      </c>
      <c r="E6454" s="21"/>
      <c r="F6454" s="36" t="s">
        <v>521</v>
      </c>
      <c r="G6454" s="22" t="str">
        <f t="shared" si="136"/>
        <v/>
      </c>
      <c r="H6454" s="23"/>
      <c r="I6454" s="24"/>
      <c r="J6454" s="138">
        <v>0</v>
      </c>
    </row>
    <row r="6455" spans="1:10" ht="15.75" hidden="1" thickBot="1" x14ac:dyDescent="0.3">
      <c r="A6455" s="225"/>
      <c r="B6455" s="223"/>
      <c r="C6455" s="26"/>
      <c r="D6455" s="26"/>
      <c r="E6455" s="27"/>
      <c r="F6455" s="37" t="s">
        <v>521</v>
      </c>
      <c r="G6455" s="25" t="str">
        <f t="shared" si="136"/>
        <v/>
      </c>
      <c r="H6455" s="29"/>
      <c r="I6455" s="25"/>
      <c r="J6455" s="138">
        <v>0</v>
      </c>
    </row>
    <row r="6456" spans="1:10" ht="26.25" hidden="1" thickBot="1" x14ac:dyDescent="0.3">
      <c r="A6456" s="225"/>
      <c r="B6456" s="223"/>
      <c r="C6456" s="30" t="s">
        <v>2577</v>
      </c>
      <c r="D6456" s="41" t="s">
        <v>279</v>
      </c>
      <c r="E6456" s="31">
        <v>1</v>
      </c>
      <c r="F6456" s="28">
        <v>33.857999999999997</v>
      </c>
      <c r="G6456" s="25">
        <f t="shared" si="136"/>
        <v>33.857999999999997</v>
      </c>
      <c r="H6456" s="33">
        <f>SUM(G6456:G6459)</f>
        <v>53.70444049999999</v>
      </c>
      <c r="I6456" s="34"/>
      <c r="J6456" s="138">
        <v>0</v>
      </c>
    </row>
    <row r="6457" spans="1:10" ht="39" hidden="1" thickBot="1" x14ac:dyDescent="0.3">
      <c r="A6457" s="225"/>
      <c r="B6457" s="223"/>
      <c r="C6457" s="30" t="s">
        <v>1622</v>
      </c>
      <c r="D6457" s="41" t="s">
        <v>279</v>
      </c>
      <c r="E6457" s="31">
        <v>2</v>
      </c>
      <c r="F6457" s="28">
        <v>0.40849999999999997</v>
      </c>
      <c r="G6457" s="25">
        <f t="shared" si="136"/>
        <v>0.81699999999999995</v>
      </c>
      <c r="H6457" s="29"/>
      <c r="I6457" s="25"/>
      <c r="J6457" s="138">
        <v>0</v>
      </c>
    </row>
    <row r="6458" spans="1:10" ht="15.75" hidden="1" thickBot="1" x14ac:dyDescent="0.3">
      <c r="A6458" s="225"/>
      <c r="B6458" s="223"/>
      <c r="C6458" s="30" t="s">
        <v>1156</v>
      </c>
      <c r="D6458" s="41" t="s">
        <v>702</v>
      </c>
      <c r="E6458" s="31">
        <v>0.42709999999999998</v>
      </c>
      <c r="F6458" s="28">
        <v>19.4085</v>
      </c>
      <c r="G6458" s="25">
        <f t="shared" si="136"/>
        <v>8.2893703500000004</v>
      </c>
      <c r="H6458" s="29"/>
      <c r="I6458" s="25"/>
      <c r="J6458" s="138">
        <v>0</v>
      </c>
    </row>
    <row r="6459" spans="1:10" ht="15.75" hidden="1" thickBot="1" x14ac:dyDescent="0.3">
      <c r="A6459" s="225"/>
      <c r="B6459" s="223"/>
      <c r="C6459" s="30" t="s">
        <v>1157</v>
      </c>
      <c r="D6459" s="41" t="s">
        <v>702</v>
      </c>
      <c r="E6459" s="31">
        <v>0.42709999999999998</v>
      </c>
      <c r="F6459" s="28">
        <v>25.146499999999996</v>
      </c>
      <c r="G6459" s="25">
        <f t="shared" si="136"/>
        <v>10.740070149999998</v>
      </c>
      <c r="H6459" s="29"/>
      <c r="I6459" s="25"/>
      <c r="J6459" s="138">
        <v>0</v>
      </c>
    </row>
    <row r="6460" spans="1:10" ht="15.75" hidden="1" thickBot="1" x14ac:dyDescent="0.3">
      <c r="A6460" s="226"/>
      <c r="B6460" s="224"/>
      <c r="C6460" s="30"/>
      <c r="D6460" s="30"/>
      <c r="E6460" s="31"/>
      <c r="F6460" s="25" t="s">
        <v>521</v>
      </c>
      <c r="G6460" s="25" t="str">
        <f t="shared" si="136"/>
        <v/>
      </c>
      <c r="H6460" s="29"/>
      <c r="I6460" s="25"/>
      <c r="J6460" s="138">
        <v>0</v>
      </c>
    </row>
    <row r="6461" spans="1:10" ht="15.75" hidden="1" thickBot="1" x14ac:dyDescent="0.3">
      <c r="A6461" s="220" t="s">
        <v>2336</v>
      </c>
      <c r="B6461" s="222" t="e">
        <f>INDEX(Orçamentária!A:B,MATCH(Composições!A6461,Orçamentária!A:A,0),2)</f>
        <v>#N/A</v>
      </c>
      <c r="C6461" s="35"/>
      <c r="D6461" s="20" t="s">
        <v>95</v>
      </c>
      <c r="E6461" s="21"/>
      <c r="F6461" s="36" t="s">
        <v>521</v>
      </c>
      <c r="G6461" s="22" t="str">
        <f t="shared" si="136"/>
        <v/>
      </c>
      <c r="H6461" s="23"/>
      <c r="I6461" s="24"/>
      <c r="J6461" s="138">
        <v>0</v>
      </c>
    </row>
    <row r="6462" spans="1:10" ht="15.75" hidden="1" thickBot="1" x14ac:dyDescent="0.3">
      <c r="A6462" s="221"/>
      <c r="B6462" s="223"/>
      <c r="C6462" s="26"/>
      <c r="D6462" s="26"/>
      <c r="E6462" s="27"/>
      <c r="F6462" s="37" t="s">
        <v>521</v>
      </c>
      <c r="G6462" s="25" t="str">
        <f t="shared" si="136"/>
        <v/>
      </c>
      <c r="H6462" s="29"/>
      <c r="I6462" s="25"/>
      <c r="J6462" s="138">
        <v>0</v>
      </c>
    </row>
    <row r="6463" spans="1:10" ht="15.75" hidden="1" thickBot="1" x14ac:dyDescent="0.3">
      <c r="A6463" s="221"/>
      <c r="B6463" s="223"/>
      <c r="C6463" s="30" t="s">
        <v>1266</v>
      </c>
      <c r="D6463" s="41" t="s">
        <v>702</v>
      </c>
      <c r="E6463" s="31">
        <v>0.45910000000000001</v>
      </c>
      <c r="F6463" s="28">
        <v>23.0185</v>
      </c>
      <c r="G6463" s="25">
        <f t="shared" si="136"/>
        <v>10.567793350000001</v>
      </c>
      <c r="H6463" s="33">
        <f>SUM(G6463:G6464)</f>
        <v>13.48191645</v>
      </c>
      <c r="I6463" s="34"/>
      <c r="J6463" s="138">
        <v>0</v>
      </c>
    </row>
    <row r="6464" spans="1:10" ht="15.75" hidden="1" thickBot="1" x14ac:dyDescent="0.3">
      <c r="A6464" s="221"/>
      <c r="B6464" s="223"/>
      <c r="C6464" s="30" t="s">
        <v>703</v>
      </c>
      <c r="D6464" s="30" t="s">
        <v>702</v>
      </c>
      <c r="E6464" s="31">
        <v>0.15820000000000001</v>
      </c>
      <c r="F6464" s="25">
        <v>18.420500000000001</v>
      </c>
      <c r="G6464" s="25">
        <f t="shared" si="136"/>
        <v>2.9141231000000003</v>
      </c>
      <c r="H6464" s="29"/>
      <c r="I6464" s="25"/>
      <c r="J6464" s="138">
        <v>0</v>
      </c>
    </row>
    <row r="6465" spans="1:10" ht="15.75" hidden="1" thickBot="1" x14ac:dyDescent="0.3">
      <c r="A6465" s="227"/>
      <c r="B6465" s="224"/>
      <c r="C6465" s="49"/>
      <c r="D6465" s="49"/>
      <c r="E6465" s="60"/>
      <c r="F6465" s="61" t="s">
        <v>521</v>
      </c>
      <c r="G6465" s="61" t="str">
        <f t="shared" si="136"/>
        <v/>
      </c>
      <c r="H6465" s="63"/>
      <c r="I6465" s="25"/>
      <c r="J6465" s="138">
        <v>0</v>
      </c>
    </row>
    <row r="6466" spans="1:10" ht="15.75" hidden="1" thickBot="1" x14ac:dyDescent="0.3">
      <c r="A6466" s="220" t="s">
        <v>2337</v>
      </c>
      <c r="B6466" s="222" t="e">
        <f>INDEX(Orçamentária!A:B,MATCH(Composições!A6466,Orçamentária!A:A,0),2)</f>
        <v>#N/A</v>
      </c>
      <c r="C6466" s="35"/>
      <c r="D6466" s="20" t="s">
        <v>95</v>
      </c>
      <c r="E6466" s="21"/>
      <c r="F6466" s="36" t="s">
        <v>521</v>
      </c>
      <c r="G6466" s="22" t="str">
        <f t="shared" ref="G6466:G6529" si="137">IF(ISNUMBER(F6466),E6466*F6466,"")</f>
        <v/>
      </c>
      <c r="H6466" s="23"/>
      <c r="I6466" s="24"/>
      <c r="J6466" s="138">
        <v>0</v>
      </c>
    </row>
    <row r="6467" spans="1:10" ht="15.75" hidden="1" thickBot="1" x14ac:dyDescent="0.3">
      <c r="A6467" s="221"/>
      <c r="B6467" s="223"/>
      <c r="C6467" s="26"/>
      <c r="D6467" s="26"/>
      <c r="E6467" s="27"/>
      <c r="F6467" s="37" t="s">
        <v>521</v>
      </c>
      <c r="G6467" s="25" t="str">
        <f t="shared" si="137"/>
        <v/>
      </c>
      <c r="H6467" s="29"/>
      <c r="I6467" s="25"/>
      <c r="J6467" s="138">
        <v>0</v>
      </c>
    </row>
    <row r="6468" spans="1:10" ht="26.25" hidden="1" thickBot="1" x14ac:dyDescent="0.3">
      <c r="A6468" s="221"/>
      <c r="B6468" s="223"/>
      <c r="C6468" s="30" t="s">
        <v>751</v>
      </c>
      <c r="D6468" s="30" t="s">
        <v>120</v>
      </c>
      <c r="E6468" s="31">
        <v>5.6800000000000003E-2</v>
      </c>
      <c r="F6468" s="28">
        <v>186.16200000000001</v>
      </c>
      <c r="G6468" s="25">
        <f t="shared" si="137"/>
        <v>10.574001600000001</v>
      </c>
      <c r="H6468" s="33">
        <f>SUM(G6468:G6473)</f>
        <v>20.049886799999999</v>
      </c>
      <c r="I6468" s="34"/>
      <c r="J6468" s="138">
        <v>0</v>
      </c>
    </row>
    <row r="6469" spans="1:10" ht="15.75" hidden="1" thickBot="1" x14ac:dyDescent="0.3">
      <c r="A6469" s="221"/>
      <c r="B6469" s="223"/>
      <c r="C6469" s="30" t="s">
        <v>1264</v>
      </c>
      <c r="D6469" s="30" t="s">
        <v>120</v>
      </c>
      <c r="E6469" s="31">
        <v>6.4000000000000003E-3</v>
      </c>
      <c r="F6469" s="25">
        <v>142.82300000000001</v>
      </c>
      <c r="G6469" s="25">
        <f t="shared" si="137"/>
        <v>0.91406720000000008</v>
      </c>
      <c r="H6469" s="29"/>
      <c r="I6469" s="25"/>
      <c r="J6469" s="138">
        <v>0</v>
      </c>
    </row>
    <row r="6470" spans="1:10" ht="15.75" hidden="1" thickBot="1" x14ac:dyDescent="0.3">
      <c r="A6470" s="221"/>
      <c r="B6470" s="223"/>
      <c r="C6470" s="30" t="s">
        <v>1266</v>
      </c>
      <c r="D6470" s="30" t="s">
        <v>702</v>
      </c>
      <c r="E6470" s="31">
        <v>0.2041</v>
      </c>
      <c r="F6470" s="25">
        <v>23.0185</v>
      </c>
      <c r="G6470" s="25">
        <f t="shared" si="137"/>
        <v>4.6980758500000004</v>
      </c>
      <c r="H6470" s="29"/>
      <c r="I6470" s="25"/>
      <c r="J6470" s="138">
        <v>0</v>
      </c>
    </row>
    <row r="6471" spans="1:10" ht="15.75" hidden="1" thickBot="1" x14ac:dyDescent="0.3">
      <c r="A6471" s="221"/>
      <c r="B6471" s="223"/>
      <c r="C6471" s="30" t="s">
        <v>703</v>
      </c>
      <c r="D6471" s="30" t="s">
        <v>702</v>
      </c>
      <c r="E6471" s="31">
        <v>0.2041</v>
      </c>
      <c r="F6471" s="25">
        <v>18.420500000000001</v>
      </c>
      <c r="G6471" s="25">
        <f t="shared" si="137"/>
        <v>3.7596240500000002</v>
      </c>
      <c r="H6471" s="29"/>
      <c r="I6471" s="25"/>
      <c r="J6471" s="138">
        <v>0</v>
      </c>
    </row>
    <row r="6472" spans="1:10" ht="39" hidden="1" thickBot="1" x14ac:dyDescent="0.3">
      <c r="A6472" s="221"/>
      <c r="B6472" s="223"/>
      <c r="C6472" s="30" t="s">
        <v>1099</v>
      </c>
      <c r="D6472" s="30" t="s">
        <v>938</v>
      </c>
      <c r="E6472" s="31">
        <v>5.4999999999999997E-3</v>
      </c>
      <c r="F6472" s="25">
        <v>9.2530000000000001</v>
      </c>
      <c r="G6472" s="25">
        <f t="shared" si="137"/>
        <v>5.0891499999999999E-2</v>
      </c>
      <c r="H6472" s="29"/>
      <c r="I6472" s="25"/>
      <c r="J6472" s="138">
        <v>0</v>
      </c>
    </row>
    <row r="6473" spans="1:10" ht="39" hidden="1" thickBot="1" x14ac:dyDescent="0.3">
      <c r="A6473" s="221"/>
      <c r="B6473" s="223"/>
      <c r="C6473" s="30" t="s">
        <v>1267</v>
      </c>
      <c r="D6473" s="30" t="s">
        <v>940</v>
      </c>
      <c r="E6473" s="31">
        <v>9.6600000000000005E-2</v>
      </c>
      <c r="F6473" s="25">
        <v>0.55099999999999993</v>
      </c>
      <c r="G6473" s="25">
        <f t="shared" si="137"/>
        <v>5.3226599999999999E-2</v>
      </c>
      <c r="H6473" s="29"/>
      <c r="I6473" s="25"/>
      <c r="J6473" s="138">
        <v>0</v>
      </c>
    </row>
    <row r="6474" spans="1:10" ht="15.75" hidden="1" thickBot="1" x14ac:dyDescent="0.3">
      <c r="A6474" s="227"/>
      <c r="B6474" s="224"/>
      <c r="C6474" s="49"/>
      <c r="D6474" s="49"/>
      <c r="E6474" s="60"/>
      <c r="F6474" s="61" t="s">
        <v>521</v>
      </c>
      <c r="G6474" s="61" t="str">
        <f t="shared" si="137"/>
        <v/>
      </c>
      <c r="H6474" s="63"/>
      <c r="I6474" s="25"/>
      <c r="J6474" s="138">
        <v>0</v>
      </c>
    </row>
    <row r="6475" spans="1:10" ht="15.75" hidden="1" thickBot="1" x14ac:dyDescent="0.3">
      <c r="A6475" s="220" t="s">
        <v>2338</v>
      </c>
      <c r="B6475" s="222" t="e">
        <f>INDEX(Orçamentária!A:B,MATCH(Composições!A6475,Orçamentária!A:A,0),2)</f>
        <v>#N/A</v>
      </c>
      <c r="C6475" s="35"/>
      <c r="D6475" s="20" t="s">
        <v>20</v>
      </c>
      <c r="E6475" s="21"/>
      <c r="F6475" s="36" t="s">
        <v>521</v>
      </c>
      <c r="G6475" s="22" t="str">
        <f t="shared" si="137"/>
        <v/>
      </c>
      <c r="H6475" s="23"/>
      <c r="I6475" s="24"/>
      <c r="J6475" s="138">
        <v>0</v>
      </c>
    </row>
    <row r="6476" spans="1:10" ht="15.75" hidden="1" thickBot="1" x14ac:dyDescent="0.3">
      <c r="A6476" s="221"/>
      <c r="B6476" s="223"/>
      <c r="C6476" s="26"/>
      <c r="D6476" s="26"/>
      <c r="E6476" s="27"/>
      <c r="F6476" s="37" t="s">
        <v>521</v>
      </c>
      <c r="G6476" s="25" t="str">
        <f t="shared" si="137"/>
        <v/>
      </c>
      <c r="H6476" s="29"/>
      <c r="I6476" s="25"/>
      <c r="J6476" s="138">
        <v>0</v>
      </c>
    </row>
    <row r="6477" spans="1:10" ht="26.25" hidden="1" thickBot="1" x14ac:dyDescent="0.3">
      <c r="A6477" s="221"/>
      <c r="B6477" s="223"/>
      <c r="C6477" s="30" t="s">
        <v>2314</v>
      </c>
      <c r="D6477" s="30" t="s">
        <v>279</v>
      </c>
      <c r="E6477" s="31">
        <v>3</v>
      </c>
      <c r="F6477" s="28">
        <v>1.3204999999999998</v>
      </c>
      <c r="G6477" s="25">
        <f t="shared" si="137"/>
        <v>3.9614999999999991</v>
      </c>
      <c r="H6477" s="33">
        <f>SUM(G6477:G6480)</f>
        <v>90.038463499999992</v>
      </c>
      <c r="I6477" s="34"/>
      <c r="J6477" s="138">
        <v>0</v>
      </c>
    </row>
    <row r="6478" spans="1:10" ht="15.75" hidden="1" thickBot="1" x14ac:dyDescent="0.3">
      <c r="A6478" s="221"/>
      <c r="B6478" s="223"/>
      <c r="C6478" s="30" t="s">
        <v>2311</v>
      </c>
      <c r="D6478" s="30" t="s">
        <v>279</v>
      </c>
      <c r="E6478" s="31">
        <v>1</v>
      </c>
      <c r="F6478" s="28">
        <v>68.000999999999991</v>
      </c>
      <c r="G6478" s="25">
        <f t="shared" si="137"/>
        <v>68.000999999999991</v>
      </c>
      <c r="H6478" s="39"/>
      <c r="I6478" s="40"/>
      <c r="J6478" s="138">
        <v>0</v>
      </c>
    </row>
    <row r="6479" spans="1:10" ht="15.75" hidden="1" thickBot="1" x14ac:dyDescent="0.3">
      <c r="A6479" s="221"/>
      <c r="B6479" s="223"/>
      <c r="C6479" s="30" t="s">
        <v>1156</v>
      </c>
      <c r="D6479" s="30" t="s">
        <v>702</v>
      </c>
      <c r="E6479" s="31">
        <v>0.40570000000000001</v>
      </c>
      <c r="F6479" s="28">
        <v>19.4085</v>
      </c>
      <c r="G6479" s="25">
        <f t="shared" si="137"/>
        <v>7.87402845</v>
      </c>
      <c r="H6479" s="39"/>
      <c r="I6479" s="40"/>
      <c r="J6479" s="138">
        <v>0</v>
      </c>
    </row>
    <row r="6480" spans="1:10" ht="15.75" hidden="1" thickBot="1" x14ac:dyDescent="0.3">
      <c r="A6480" s="221"/>
      <c r="B6480" s="223"/>
      <c r="C6480" s="30" t="s">
        <v>1157</v>
      </c>
      <c r="D6480" s="30" t="s">
        <v>702</v>
      </c>
      <c r="E6480" s="31">
        <v>0.40570000000000001</v>
      </c>
      <c r="F6480" s="25">
        <v>25.146499999999996</v>
      </c>
      <c r="G6480" s="25">
        <f t="shared" si="137"/>
        <v>10.201935049999998</v>
      </c>
      <c r="H6480" s="29"/>
      <c r="I6480" s="25"/>
      <c r="J6480" s="138">
        <v>0</v>
      </c>
    </row>
    <row r="6481" spans="1:10" ht="15.75" hidden="1" thickBot="1" x14ac:dyDescent="0.3">
      <c r="A6481" s="227"/>
      <c r="B6481" s="224"/>
      <c r="C6481" s="30"/>
      <c r="D6481" s="30"/>
      <c r="E6481" s="31"/>
      <c r="F6481" s="25" t="s">
        <v>521</v>
      </c>
      <c r="G6481" s="25" t="str">
        <f t="shared" si="137"/>
        <v/>
      </c>
      <c r="H6481" s="29"/>
      <c r="I6481" s="25"/>
      <c r="J6481" s="138">
        <v>0</v>
      </c>
    </row>
    <row r="6482" spans="1:10" ht="15.75" hidden="1" thickBot="1" x14ac:dyDescent="0.3">
      <c r="A6482" s="220" t="s">
        <v>2339</v>
      </c>
      <c r="B6482" s="222" t="e">
        <f>INDEX(Orçamentária!A:B,MATCH(Composições!A6482,Orçamentária!A:A,0),2)</f>
        <v>#N/A</v>
      </c>
      <c r="C6482" s="35"/>
      <c r="D6482" s="20" t="s">
        <v>20</v>
      </c>
      <c r="E6482" s="21"/>
      <c r="F6482" s="36" t="s">
        <v>521</v>
      </c>
      <c r="G6482" s="22" t="str">
        <f t="shared" si="137"/>
        <v/>
      </c>
      <c r="H6482" s="23"/>
      <c r="I6482" s="24"/>
      <c r="J6482" s="138">
        <v>0</v>
      </c>
    </row>
    <row r="6483" spans="1:10" ht="15.75" hidden="1" thickBot="1" x14ac:dyDescent="0.3">
      <c r="A6483" s="221"/>
      <c r="B6483" s="223"/>
      <c r="C6483" s="26"/>
      <c r="D6483" s="26"/>
      <c r="E6483" s="27"/>
      <c r="F6483" s="37" t="s">
        <v>521</v>
      </c>
      <c r="G6483" s="25" t="str">
        <f t="shared" si="137"/>
        <v/>
      </c>
      <c r="H6483" s="29"/>
      <c r="I6483" s="25"/>
      <c r="J6483" s="138">
        <v>0</v>
      </c>
    </row>
    <row r="6484" spans="1:10" ht="26.25" hidden="1" thickBot="1" x14ac:dyDescent="0.3">
      <c r="A6484" s="221"/>
      <c r="B6484" s="223"/>
      <c r="C6484" s="30" t="s">
        <v>2309</v>
      </c>
      <c r="D6484" s="30" t="s">
        <v>279</v>
      </c>
      <c r="E6484" s="31">
        <v>4</v>
      </c>
      <c r="F6484" s="28">
        <v>20.738499999999998</v>
      </c>
      <c r="G6484" s="25">
        <f t="shared" si="137"/>
        <v>82.953999999999994</v>
      </c>
      <c r="H6484" s="33">
        <f>SUM(G6484:G6487)</f>
        <v>189.91671349999996</v>
      </c>
      <c r="I6484" s="34"/>
      <c r="J6484" s="138">
        <v>0</v>
      </c>
    </row>
    <row r="6485" spans="1:10" ht="15.75" hidden="1" thickBot="1" x14ac:dyDescent="0.3">
      <c r="A6485" s="221"/>
      <c r="B6485" s="223"/>
      <c r="C6485" s="30" t="s">
        <v>2373</v>
      </c>
      <c r="D6485" s="30" t="s">
        <v>279</v>
      </c>
      <c r="E6485" s="31">
        <v>1</v>
      </c>
      <c r="F6485" s="28" t="s">
        <v>521</v>
      </c>
      <c r="G6485" s="25" t="str">
        <f t="shared" si="137"/>
        <v/>
      </c>
      <c r="H6485" s="39"/>
      <c r="I6485" s="40"/>
      <c r="J6485" s="138">
        <v>0</v>
      </c>
    </row>
    <row r="6486" spans="1:10" ht="15.75" hidden="1" thickBot="1" x14ac:dyDescent="0.3">
      <c r="A6486" s="221"/>
      <c r="B6486" s="223"/>
      <c r="C6486" s="30" t="s">
        <v>1156</v>
      </c>
      <c r="D6486" s="30" t="s">
        <v>702</v>
      </c>
      <c r="E6486" s="31">
        <v>1.0580000000000001</v>
      </c>
      <c r="F6486" s="28">
        <v>19.4085</v>
      </c>
      <c r="G6486" s="25">
        <f t="shared" si="137"/>
        <v>20.534193000000002</v>
      </c>
      <c r="H6486" s="39"/>
      <c r="I6486" s="40"/>
      <c r="J6486" s="138">
        <v>0</v>
      </c>
    </row>
    <row r="6487" spans="1:10" ht="15.75" hidden="1" thickBot="1" x14ac:dyDescent="0.3">
      <c r="A6487" s="221"/>
      <c r="B6487" s="223"/>
      <c r="C6487" s="30" t="s">
        <v>1157</v>
      </c>
      <c r="D6487" s="30" t="s">
        <v>702</v>
      </c>
      <c r="E6487" s="31">
        <v>3.4369999999999998</v>
      </c>
      <c r="F6487" s="25">
        <v>25.146499999999996</v>
      </c>
      <c r="G6487" s="25">
        <f t="shared" si="137"/>
        <v>86.428520499999976</v>
      </c>
      <c r="H6487" s="29"/>
      <c r="I6487" s="25"/>
      <c r="J6487" s="138">
        <v>0</v>
      </c>
    </row>
    <row r="6488" spans="1:10" ht="15.75" hidden="1" thickBot="1" x14ac:dyDescent="0.3">
      <c r="A6488" s="227"/>
      <c r="B6488" s="224"/>
      <c r="C6488" s="30"/>
      <c r="D6488" s="30"/>
      <c r="E6488" s="31"/>
      <c r="F6488" s="25" t="s">
        <v>521</v>
      </c>
      <c r="G6488" s="25" t="str">
        <f t="shared" si="137"/>
        <v/>
      </c>
      <c r="H6488" s="29"/>
      <c r="I6488" s="25"/>
      <c r="J6488" s="138">
        <v>0</v>
      </c>
    </row>
    <row r="6489" spans="1:10" ht="15.75" hidden="1" thickBot="1" x14ac:dyDescent="0.3">
      <c r="A6489" s="220" t="s">
        <v>2340</v>
      </c>
      <c r="B6489" s="222" t="e">
        <f>INDEX(Orçamentária!A:B,MATCH(Composições!A6489,Orçamentária!A:A,0),2)</f>
        <v>#N/A</v>
      </c>
      <c r="C6489" s="35"/>
      <c r="D6489" s="20" t="s">
        <v>20</v>
      </c>
      <c r="E6489" s="21"/>
      <c r="F6489" s="36" t="s">
        <v>521</v>
      </c>
      <c r="G6489" s="22" t="str">
        <f t="shared" si="137"/>
        <v/>
      </c>
      <c r="H6489" s="23"/>
      <c r="I6489" s="24"/>
      <c r="J6489" s="138">
        <v>0</v>
      </c>
    </row>
    <row r="6490" spans="1:10" ht="15.75" hidden="1" thickBot="1" x14ac:dyDescent="0.3">
      <c r="A6490" s="221"/>
      <c r="B6490" s="223"/>
      <c r="C6490" s="26"/>
      <c r="D6490" s="26"/>
      <c r="E6490" s="27"/>
      <c r="F6490" s="37" t="s">
        <v>521</v>
      </c>
      <c r="G6490" s="25" t="str">
        <f t="shared" si="137"/>
        <v/>
      </c>
      <c r="H6490" s="29"/>
      <c r="I6490" s="25"/>
      <c r="J6490" s="138">
        <v>0</v>
      </c>
    </row>
    <row r="6491" spans="1:10" ht="15.75" hidden="1" thickBot="1" x14ac:dyDescent="0.3">
      <c r="A6491" s="221"/>
      <c r="B6491" s="223"/>
      <c r="C6491" s="30" t="s">
        <v>2372</v>
      </c>
      <c r="D6491" s="41" t="s">
        <v>20</v>
      </c>
      <c r="E6491" s="31">
        <v>1</v>
      </c>
      <c r="F6491" s="28" t="s">
        <v>521</v>
      </c>
      <c r="G6491" s="25" t="str">
        <f t="shared" si="137"/>
        <v/>
      </c>
      <c r="H6491" s="33">
        <f>SUM(G6491:G6494)</f>
        <v>43.3131913164992</v>
      </c>
      <c r="I6491" s="34"/>
      <c r="J6491" s="138">
        <v>0</v>
      </c>
    </row>
    <row r="6492" spans="1:10" ht="39" hidden="1" thickBot="1" x14ac:dyDescent="0.3">
      <c r="A6492" s="221"/>
      <c r="B6492" s="223"/>
      <c r="C6492" s="30" t="s">
        <v>1600</v>
      </c>
      <c r="D6492" s="41" t="s">
        <v>120</v>
      </c>
      <c r="E6492" s="31">
        <v>1.9199999999999998E-2</v>
      </c>
      <c r="F6492" s="28">
        <v>785.34832377599992</v>
      </c>
      <c r="G6492" s="25">
        <f t="shared" si="137"/>
        <v>15.078687816499198</v>
      </c>
      <c r="H6492" s="39"/>
      <c r="I6492" s="40"/>
      <c r="J6492" s="138">
        <v>0</v>
      </c>
    </row>
    <row r="6493" spans="1:10" ht="15.75" hidden="1" thickBot="1" x14ac:dyDescent="0.3">
      <c r="A6493" s="221"/>
      <c r="B6493" s="223"/>
      <c r="C6493" s="30" t="s">
        <v>74</v>
      </c>
      <c r="D6493" s="41" t="s">
        <v>12</v>
      </c>
      <c r="E6493" s="31">
        <v>0.63370000000000004</v>
      </c>
      <c r="F6493" s="28">
        <v>19.4085</v>
      </c>
      <c r="G6493" s="25">
        <f t="shared" si="137"/>
        <v>12.299166450000001</v>
      </c>
      <c r="H6493" s="39"/>
      <c r="I6493" s="40"/>
      <c r="J6493" s="138">
        <v>0</v>
      </c>
    </row>
    <row r="6494" spans="1:10" ht="15.75" hidden="1" thickBot="1" x14ac:dyDescent="0.3">
      <c r="A6494" s="221"/>
      <c r="B6494" s="223"/>
      <c r="C6494" s="30" t="s">
        <v>30</v>
      </c>
      <c r="D6494" s="41" t="s">
        <v>12</v>
      </c>
      <c r="E6494" s="31">
        <v>0.63370000000000004</v>
      </c>
      <c r="F6494" s="25">
        <v>25.146499999999996</v>
      </c>
      <c r="G6494" s="25">
        <f t="shared" si="137"/>
        <v>15.935337049999999</v>
      </c>
      <c r="H6494" s="29"/>
      <c r="I6494" s="25"/>
      <c r="J6494" s="138">
        <v>0</v>
      </c>
    </row>
    <row r="6495" spans="1:10" ht="15.75" hidden="1" thickBot="1" x14ac:dyDescent="0.3">
      <c r="A6495" s="227"/>
      <c r="B6495" s="224"/>
      <c r="C6495" s="49"/>
      <c r="D6495" s="49"/>
      <c r="E6495" s="60"/>
      <c r="F6495" s="61" t="s">
        <v>521</v>
      </c>
      <c r="G6495" s="61" t="str">
        <f t="shared" si="137"/>
        <v/>
      </c>
      <c r="H6495" s="63"/>
      <c r="I6495" s="25"/>
      <c r="J6495" s="138">
        <v>0</v>
      </c>
    </row>
    <row r="6496" spans="1:10" ht="15.75" hidden="1" thickBot="1" x14ac:dyDescent="0.3">
      <c r="A6496" s="220" t="s">
        <v>2341</v>
      </c>
      <c r="B6496" s="222" t="e">
        <f>INDEX(Orçamentária!A:B,MATCH(Composições!A6496,Orçamentária!A:A,0),2)</f>
        <v>#N/A</v>
      </c>
      <c r="C6496" s="35"/>
      <c r="D6496" s="20" t="s">
        <v>20</v>
      </c>
      <c r="E6496" s="21"/>
      <c r="F6496" s="36" t="s">
        <v>521</v>
      </c>
      <c r="G6496" s="22" t="str">
        <f t="shared" si="137"/>
        <v/>
      </c>
      <c r="H6496" s="23"/>
      <c r="I6496" s="24"/>
      <c r="J6496" s="138">
        <v>0</v>
      </c>
    </row>
    <row r="6497" spans="1:10" ht="15.75" hidden="1" thickBot="1" x14ac:dyDescent="0.3">
      <c r="A6497" s="221"/>
      <c r="B6497" s="223"/>
      <c r="C6497" s="26"/>
      <c r="D6497" s="26"/>
      <c r="E6497" s="27"/>
      <c r="F6497" s="37" t="s">
        <v>521</v>
      </c>
      <c r="G6497" s="25" t="str">
        <f t="shared" si="137"/>
        <v/>
      </c>
      <c r="H6497" s="29"/>
      <c r="I6497" s="25"/>
      <c r="J6497" s="138">
        <v>0</v>
      </c>
    </row>
    <row r="6498" spans="1:10" ht="26.25" hidden="1" thickBot="1" x14ac:dyDescent="0.3">
      <c r="A6498" s="221"/>
      <c r="B6498" s="223"/>
      <c r="C6498" s="30" t="s">
        <v>2815</v>
      </c>
      <c r="D6498" s="41" t="s">
        <v>20</v>
      </c>
      <c r="E6498" s="31">
        <v>1</v>
      </c>
      <c r="F6498" s="28" t="s">
        <v>521</v>
      </c>
      <c r="G6498" s="25" t="str">
        <f t="shared" si="137"/>
        <v/>
      </c>
      <c r="H6498" s="33">
        <f>SUM(G6498:G6501)</f>
        <v>43.3131913164992</v>
      </c>
      <c r="I6498" s="34"/>
      <c r="J6498" s="138">
        <v>0</v>
      </c>
    </row>
    <row r="6499" spans="1:10" ht="39" hidden="1" thickBot="1" x14ac:dyDescent="0.3">
      <c r="A6499" s="221"/>
      <c r="B6499" s="223"/>
      <c r="C6499" s="30" t="s">
        <v>1600</v>
      </c>
      <c r="D6499" s="41" t="s">
        <v>120</v>
      </c>
      <c r="E6499" s="31">
        <v>1.9199999999999998E-2</v>
      </c>
      <c r="F6499" s="25">
        <v>785.34832377599992</v>
      </c>
      <c r="G6499" s="25">
        <f t="shared" si="137"/>
        <v>15.078687816499198</v>
      </c>
      <c r="H6499" s="29"/>
      <c r="I6499" s="25"/>
      <c r="J6499" s="138">
        <v>0</v>
      </c>
    </row>
    <row r="6500" spans="1:10" ht="15.75" hidden="1" thickBot="1" x14ac:dyDescent="0.3">
      <c r="A6500" s="221"/>
      <c r="B6500" s="223"/>
      <c r="C6500" s="30" t="s">
        <v>74</v>
      </c>
      <c r="D6500" s="41" t="s">
        <v>12</v>
      </c>
      <c r="E6500" s="31">
        <v>0.63370000000000004</v>
      </c>
      <c r="F6500" s="25">
        <v>19.4085</v>
      </c>
      <c r="G6500" s="25">
        <f t="shared" si="137"/>
        <v>12.299166450000001</v>
      </c>
      <c r="H6500" s="29"/>
      <c r="I6500" s="25"/>
      <c r="J6500" s="138">
        <v>0</v>
      </c>
    </row>
    <row r="6501" spans="1:10" ht="15.75" hidden="1" thickBot="1" x14ac:dyDescent="0.3">
      <c r="A6501" s="221"/>
      <c r="B6501" s="223"/>
      <c r="C6501" s="30" t="s">
        <v>30</v>
      </c>
      <c r="D6501" s="41" t="s">
        <v>12</v>
      </c>
      <c r="E6501" s="31">
        <v>0.63370000000000004</v>
      </c>
      <c r="F6501" s="25">
        <v>25.146499999999996</v>
      </c>
      <c r="G6501" s="28">
        <f t="shared" si="137"/>
        <v>15.935337049999999</v>
      </c>
      <c r="H6501" s="29"/>
      <c r="I6501" s="25"/>
      <c r="J6501" s="138">
        <v>0</v>
      </c>
    </row>
    <row r="6502" spans="1:10" ht="15.75" hidden="1" thickBot="1" x14ac:dyDescent="0.3">
      <c r="A6502" s="221"/>
      <c r="B6502" s="224"/>
      <c r="C6502" s="30"/>
      <c r="D6502" s="30"/>
      <c r="E6502" s="31"/>
      <c r="F6502" s="25" t="s">
        <v>521</v>
      </c>
      <c r="G6502" s="25" t="str">
        <f t="shared" si="137"/>
        <v/>
      </c>
      <c r="H6502" s="29"/>
      <c r="I6502" s="25"/>
      <c r="J6502" s="138">
        <v>0</v>
      </c>
    </row>
    <row r="6503" spans="1:10" ht="15.75" hidden="1" thickBot="1" x14ac:dyDescent="0.3">
      <c r="A6503" s="220" t="s">
        <v>2342</v>
      </c>
      <c r="B6503" s="222" t="e">
        <f>INDEX(Orçamentária!A:B,MATCH(Composições!A6503,Orçamentária!A:A,0),2)</f>
        <v>#N/A</v>
      </c>
      <c r="C6503" s="35"/>
      <c r="D6503" s="20" t="s">
        <v>20</v>
      </c>
      <c r="E6503" s="21"/>
      <c r="F6503" s="36" t="s">
        <v>521</v>
      </c>
      <c r="G6503" s="22" t="str">
        <f t="shared" si="137"/>
        <v/>
      </c>
      <c r="H6503" s="23"/>
      <c r="I6503" s="24"/>
      <c r="J6503" s="138">
        <v>0</v>
      </c>
    </row>
    <row r="6504" spans="1:10" ht="15.75" hidden="1" thickBot="1" x14ac:dyDescent="0.3">
      <c r="A6504" s="221"/>
      <c r="B6504" s="223"/>
      <c r="C6504" s="26"/>
      <c r="D6504" s="26"/>
      <c r="E6504" s="27"/>
      <c r="F6504" s="37" t="s">
        <v>521</v>
      </c>
      <c r="G6504" s="25" t="str">
        <f t="shared" si="137"/>
        <v/>
      </c>
      <c r="H6504" s="29"/>
      <c r="I6504" s="25"/>
      <c r="J6504" s="138">
        <v>0</v>
      </c>
    </row>
    <row r="6505" spans="1:10" ht="26.25" hidden="1" thickBot="1" x14ac:dyDescent="0.3">
      <c r="A6505" s="221"/>
      <c r="B6505" s="223"/>
      <c r="C6505" s="30" t="s">
        <v>2814</v>
      </c>
      <c r="D6505" s="41" t="s">
        <v>20</v>
      </c>
      <c r="E6505" s="31">
        <v>1</v>
      </c>
      <c r="F6505" s="28" t="s">
        <v>521</v>
      </c>
      <c r="G6505" s="25" t="str">
        <f t="shared" si="137"/>
        <v/>
      </c>
      <c r="H6505" s="33">
        <f>SUM(G6505:G6508)</f>
        <v>43.3131913164992</v>
      </c>
      <c r="I6505" s="34"/>
      <c r="J6505" s="138">
        <v>0</v>
      </c>
    </row>
    <row r="6506" spans="1:10" ht="39" hidden="1" thickBot="1" x14ac:dyDescent="0.3">
      <c r="A6506" s="221"/>
      <c r="B6506" s="223"/>
      <c r="C6506" s="30" t="s">
        <v>1600</v>
      </c>
      <c r="D6506" s="41" t="s">
        <v>120</v>
      </c>
      <c r="E6506" s="31">
        <v>1.9199999999999998E-2</v>
      </c>
      <c r="F6506" s="25">
        <v>785.34832377599992</v>
      </c>
      <c r="G6506" s="25">
        <f t="shared" si="137"/>
        <v>15.078687816499198</v>
      </c>
      <c r="H6506" s="29"/>
      <c r="I6506" s="25"/>
      <c r="J6506" s="138">
        <v>0</v>
      </c>
    </row>
    <row r="6507" spans="1:10" ht="15.75" hidden="1" thickBot="1" x14ac:dyDescent="0.3">
      <c r="A6507" s="221"/>
      <c r="B6507" s="223"/>
      <c r="C6507" s="30" t="s">
        <v>74</v>
      </c>
      <c r="D6507" s="41" t="s">
        <v>12</v>
      </c>
      <c r="E6507" s="31">
        <v>0.63370000000000004</v>
      </c>
      <c r="F6507" s="25">
        <v>19.4085</v>
      </c>
      <c r="G6507" s="25">
        <f t="shared" si="137"/>
        <v>12.299166450000001</v>
      </c>
      <c r="H6507" s="29"/>
      <c r="I6507" s="25"/>
      <c r="J6507" s="138">
        <v>0</v>
      </c>
    </row>
    <row r="6508" spans="1:10" ht="15.75" hidden="1" thickBot="1" x14ac:dyDescent="0.3">
      <c r="A6508" s="221"/>
      <c r="B6508" s="223"/>
      <c r="C6508" s="30" t="s">
        <v>30</v>
      </c>
      <c r="D6508" s="41" t="s">
        <v>12</v>
      </c>
      <c r="E6508" s="31">
        <v>0.63370000000000004</v>
      </c>
      <c r="F6508" s="25">
        <v>25.146499999999996</v>
      </c>
      <c r="G6508" s="28">
        <f t="shared" si="137"/>
        <v>15.935337049999999</v>
      </c>
      <c r="H6508" s="29"/>
      <c r="I6508" s="25"/>
      <c r="J6508" s="138">
        <v>0</v>
      </c>
    </row>
    <row r="6509" spans="1:10" ht="15.75" hidden="1" thickBot="1" x14ac:dyDescent="0.3">
      <c r="A6509" s="221"/>
      <c r="B6509" s="224"/>
      <c r="C6509" s="30"/>
      <c r="D6509" s="30"/>
      <c r="E6509" s="31"/>
      <c r="F6509" s="25" t="s">
        <v>521</v>
      </c>
      <c r="G6509" s="25" t="str">
        <f t="shared" si="137"/>
        <v/>
      </c>
      <c r="H6509" s="29"/>
      <c r="I6509" s="25"/>
      <c r="J6509" s="138">
        <v>0</v>
      </c>
    </row>
    <row r="6510" spans="1:10" ht="15.75" hidden="1" thickBot="1" x14ac:dyDescent="0.3">
      <c r="A6510" s="220" t="s">
        <v>2343</v>
      </c>
      <c r="B6510" s="222" t="e">
        <f>INDEX(Orçamentária!A:B,MATCH(Composições!A6510,Orçamentária!A:A,0),2)</f>
        <v>#N/A</v>
      </c>
      <c r="C6510" s="35"/>
      <c r="D6510" s="20" t="s">
        <v>20</v>
      </c>
      <c r="E6510" s="21"/>
      <c r="F6510" s="36" t="s">
        <v>521</v>
      </c>
      <c r="G6510" s="22" t="str">
        <f t="shared" si="137"/>
        <v/>
      </c>
      <c r="H6510" s="23"/>
      <c r="I6510" s="24"/>
      <c r="J6510" s="138">
        <v>0</v>
      </c>
    </row>
    <row r="6511" spans="1:10" ht="15.75" hidden="1" thickBot="1" x14ac:dyDescent="0.3">
      <c r="A6511" s="221"/>
      <c r="B6511" s="223"/>
      <c r="C6511" s="26"/>
      <c r="D6511" s="26"/>
      <c r="E6511" s="27"/>
      <c r="F6511" s="37" t="s">
        <v>521</v>
      </c>
      <c r="G6511" s="25" t="str">
        <f t="shared" si="137"/>
        <v/>
      </c>
      <c r="H6511" s="29"/>
      <c r="I6511" s="25"/>
      <c r="J6511" s="138">
        <v>0</v>
      </c>
    </row>
    <row r="6512" spans="1:10" ht="26.25" hidden="1" thickBot="1" x14ac:dyDescent="0.3">
      <c r="A6512" s="221"/>
      <c r="B6512" s="223"/>
      <c r="C6512" s="159" t="s">
        <v>2260</v>
      </c>
      <c r="D6512" s="41" t="s">
        <v>20</v>
      </c>
      <c r="E6512" s="146">
        <v>1</v>
      </c>
      <c r="F6512" s="25">
        <v>14.3925</v>
      </c>
      <c r="G6512" s="25">
        <f t="shared" si="137"/>
        <v>14.3925</v>
      </c>
      <c r="H6512" s="33">
        <f>SUM(G6512:G6512)</f>
        <v>14.3925</v>
      </c>
      <c r="I6512" s="34"/>
      <c r="J6512" s="138">
        <v>0</v>
      </c>
    </row>
    <row r="6513" spans="1:10" ht="15.75" hidden="1" thickBot="1" x14ac:dyDescent="0.3">
      <c r="A6513" s="227"/>
      <c r="B6513" s="224"/>
      <c r="C6513" s="49"/>
      <c r="D6513" s="49"/>
      <c r="E6513" s="60"/>
      <c r="F6513" s="61" t="s">
        <v>521</v>
      </c>
      <c r="G6513" s="61" t="str">
        <f t="shared" si="137"/>
        <v/>
      </c>
      <c r="H6513" s="63"/>
      <c r="I6513" s="25"/>
      <c r="J6513" s="138">
        <v>0</v>
      </c>
    </row>
    <row r="6514" spans="1:10" ht="15.75" hidden="1" thickBot="1" x14ac:dyDescent="0.3">
      <c r="A6514" s="220" t="s">
        <v>2344</v>
      </c>
      <c r="B6514" s="222" t="e">
        <f>INDEX(Orçamentária!A:B,MATCH(Composições!A6514,Orçamentária!A:A,0),2)</f>
        <v>#N/A</v>
      </c>
      <c r="C6514" s="35"/>
      <c r="D6514" s="20" t="s">
        <v>20</v>
      </c>
      <c r="E6514" s="21"/>
      <c r="F6514" s="36" t="s">
        <v>521</v>
      </c>
      <c r="G6514" s="22" t="str">
        <f t="shared" si="137"/>
        <v/>
      </c>
      <c r="H6514" s="23"/>
      <c r="I6514" s="24"/>
      <c r="J6514" s="138">
        <v>0</v>
      </c>
    </row>
    <row r="6515" spans="1:10" ht="15.75" hidden="1" thickBot="1" x14ac:dyDescent="0.3">
      <c r="A6515" s="221"/>
      <c r="B6515" s="223"/>
      <c r="C6515" s="26"/>
      <c r="D6515" s="26"/>
      <c r="E6515" s="27"/>
      <c r="F6515" s="37" t="s">
        <v>521</v>
      </c>
      <c r="G6515" s="25" t="str">
        <f t="shared" si="137"/>
        <v/>
      </c>
      <c r="H6515" s="29"/>
      <c r="I6515" s="25"/>
      <c r="J6515" s="138">
        <v>0</v>
      </c>
    </row>
    <row r="6516" spans="1:10" ht="26.25" hidden="1" thickBot="1" x14ac:dyDescent="0.3">
      <c r="A6516" s="221"/>
      <c r="B6516" s="223"/>
      <c r="C6516" s="159" t="s">
        <v>2555</v>
      </c>
      <c r="D6516" s="41" t="s">
        <v>20</v>
      </c>
      <c r="E6516" s="146">
        <v>1</v>
      </c>
      <c r="F6516" s="25">
        <v>2.9544999999999999</v>
      </c>
      <c r="G6516" s="25">
        <f t="shared" si="137"/>
        <v>2.9544999999999999</v>
      </c>
      <c r="H6516" s="33">
        <f>SUM(G6516:G6516)</f>
        <v>2.9544999999999999</v>
      </c>
      <c r="I6516" s="34"/>
      <c r="J6516" s="138">
        <v>0</v>
      </c>
    </row>
    <row r="6517" spans="1:10" ht="15.75" hidden="1" thickBot="1" x14ac:dyDescent="0.3">
      <c r="A6517" s="227"/>
      <c r="B6517" s="224"/>
      <c r="C6517" s="49"/>
      <c r="D6517" s="49"/>
      <c r="E6517" s="60"/>
      <c r="F6517" s="61" t="s">
        <v>521</v>
      </c>
      <c r="G6517" s="61" t="str">
        <f t="shared" si="137"/>
        <v/>
      </c>
      <c r="H6517" s="63"/>
      <c r="I6517" s="25"/>
      <c r="J6517" s="138">
        <v>0</v>
      </c>
    </row>
    <row r="6518" spans="1:10" ht="15.75" hidden="1" thickBot="1" x14ac:dyDescent="0.3">
      <c r="A6518" s="220" t="s">
        <v>2345</v>
      </c>
      <c r="B6518" s="222" t="e">
        <f>INDEX(Orçamentária!A:B,MATCH(Composições!A6518,Orçamentária!A:A,0),2)</f>
        <v>#N/A</v>
      </c>
      <c r="C6518" s="35"/>
      <c r="D6518" s="20" t="s">
        <v>42</v>
      </c>
      <c r="E6518" s="21"/>
      <c r="F6518" s="36" t="s">
        <v>521</v>
      </c>
      <c r="G6518" s="22" t="str">
        <f t="shared" si="137"/>
        <v/>
      </c>
      <c r="H6518" s="23"/>
      <c r="I6518" s="24"/>
      <c r="J6518" s="138">
        <v>0</v>
      </c>
    </row>
    <row r="6519" spans="1:10" ht="15.75" hidden="1" thickBot="1" x14ac:dyDescent="0.3">
      <c r="A6519" s="221"/>
      <c r="B6519" s="223"/>
      <c r="C6519" s="26"/>
      <c r="D6519" s="26"/>
      <c r="E6519" s="27"/>
      <c r="F6519" s="37" t="s">
        <v>521</v>
      </c>
      <c r="G6519" s="25" t="str">
        <f t="shared" si="137"/>
        <v/>
      </c>
      <c r="H6519" s="29"/>
      <c r="I6519" s="25"/>
      <c r="J6519" s="138">
        <v>0</v>
      </c>
    </row>
    <row r="6520" spans="1:10" ht="15.75" hidden="1" thickBot="1" x14ac:dyDescent="0.3">
      <c r="A6520" s="221"/>
      <c r="B6520" s="223"/>
      <c r="C6520" s="159" t="s">
        <v>2639</v>
      </c>
      <c r="D6520" s="41" t="s">
        <v>42</v>
      </c>
      <c r="E6520" s="146">
        <v>1</v>
      </c>
      <c r="F6520" s="25">
        <v>3.0590000000000002</v>
      </c>
      <c r="G6520" s="25">
        <f t="shared" si="137"/>
        <v>3.0590000000000002</v>
      </c>
      <c r="H6520" s="33">
        <f>SUM(G6520:G6520)</f>
        <v>3.0590000000000002</v>
      </c>
      <c r="I6520" s="34"/>
      <c r="J6520" s="138">
        <v>0</v>
      </c>
    </row>
    <row r="6521" spans="1:10" ht="15.75" hidden="1" thickBot="1" x14ac:dyDescent="0.3">
      <c r="A6521" s="227"/>
      <c r="B6521" s="224"/>
      <c r="C6521" s="49"/>
      <c r="D6521" s="49"/>
      <c r="E6521" s="60"/>
      <c r="F6521" s="61" t="s">
        <v>521</v>
      </c>
      <c r="G6521" s="61" t="str">
        <f t="shared" si="137"/>
        <v/>
      </c>
      <c r="H6521" s="63"/>
      <c r="I6521" s="25"/>
      <c r="J6521" s="138">
        <v>0</v>
      </c>
    </row>
    <row r="6522" spans="1:10" ht="15.75" hidden="1" thickBot="1" x14ac:dyDescent="0.3">
      <c r="A6522" s="220" t="s">
        <v>2346</v>
      </c>
      <c r="B6522" s="222" t="e">
        <f>INDEX(Orçamentária!A:B,MATCH(Composições!A6522,Orçamentária!A:A,0),2)</f>
        <v>#N/A</v>
      </c>
      <c r="C6522" s="35"/>
      <c r="D6522" s="20" t="s">
        <v>20</v>
      </c>
      <c r="E6522" s="21"/>
      <c r="F6522" s="36" t="s">
        <v>521</v>
      </c>
      <c r="G6522" s="22" t="str">
        <f t="shared" si="137"/>
        <v/>
      </c>
      <c r="H6522" s="23"/>
      <c r="I6522" s="24"/>
      <c r="J6522" s="138">
        <v>0</v>
      </c>
    </row>
    <row r="6523" spans="1:10" ht="15.75" hidden="1" thickBot="1" x14ac:dyDescent="0.3">
      <c r="A6523" s="221"/>
      <c r="B6523" s="223"/>
      <c r="C6523" s="26"/>
      <c r="D6523" s="26"/>
      <c r="E6523" s="27"/>
      <c r="F6523" s="37" t="s">
        <v>521</v>
      </c>
      <c r="G6523" s="25" t="str">
        <f t="shared" si="137"/>
        <v/>
      </c>
      <c r="H6523" s="29"/>
      <c r="I6523" s="25"/>
      <c r="J6523" s="138">
        <v>0</v>
      </c>
    </row>
    <row r="6524" spans="1:10" ht="15.75" hidden="1" thickBot="1" x14ac:dyDescent="0.3">
      <c r="A6524" s="221"/>
      <c r="B6524" s="223"/>
      <c r="C6524" s="159" t="s">
        <v>2558</v>
      </c>
      <c r="D6524" s="41" t="s">
        <v>20</v>
      </c>
      <c r="E6524" s="146">
        <v>1</v>
      </c>
      <c r="F6524" s="25">
        <v>41.182499999999997</v>
      </c>
      <c r="G6524" s="25">
        <f t="shared" si="137"/>
        <v>41.182499999999997</v>
      </c>
      <c r="H6524" s="33">
        <f>SUM(G6524:G6524)</f>
        <v>41.182499999999997</v>
      </c>
      <c r="I6524" s="34"/>
      <c r="J6524" s="138">
        <v>0</v>
      </c>
    </row>
    <row r="6525" spans="1:10" ht="15.75" hidden="1" thickBot="1" x14ac:dyDescent="0.3">
      <c r="A6525" s="227"/>
      <c r="B6525" s="224"/>
      <c r="C6525" s="49"/>
      <c r="D6525" s="49"/>
      <c r="E6525" s="60"/>
      <c r="F6525" s="61" t="s">
        <v>521</v>
      </c>
      <c r="G6525" s="61" t="str">
        <f t="shared" si="137"/>
        <v/>
      </c>
      <c r="H6525" s="63"/>
      <c r="I6525" s="25"/>
      <c r="J6525" s="138">
        <v>0</v>
      </c>
    </row>
    <row r="6526" spans="1:10" ht="15.75" hidden="1" thickBot="1" x14ac:dyDescent="0.3">
      <c r="A6526" s="220" t="s">
        <v>2347</v>
      </c>
      <c r="B6526" s="222" t="e">
        <f>INDEX(Orçamentária!A:B,MATCH(Composições!A6526,Orçamentária!A:A,0),2)</f>
        <v>#N/A</v>
      </c>
      <c r="C6526" s="35"/>
      <c r="D6526" s="20" t="s">
        <v>20</v>
      </c>
      <c r="E6526" s="21"/>
      <c r="F6526" s="36" t="s">
        <v>521</v>
      </c>
      <c r="G6526" s="22" t="str">
        <f t="shared" si="137"/>
        <v/>
      </c>
      <c r="H6526" s="23"/>
      <c r="I6526" s="24"/>
      <c r="J6526" s="138">
        <v>0</v>
      </c>
    </row>
    <row r="6527" spans="1:10" ht="15.75" hidden="1" thickBot="1" x14ac:dyDescent="0.3">
      <c r="A6527" s="221"/>
      <c r="B6527" s="223"/>
      <c r="C6527" s="26"/>
      <c r="D6527" s="26"/>
      <c r="E6527" s="27"/>
      <c r="F6527" s="37" t="s">
        <v>521</v>
      </c>
      <c r="G6527" s="25" t="str">
        <f t="shared" si="137"/>
        <v/>
      </c>
      <c r="H6527" s="29"/>
      <c r="I6527" s="25"/>
      <c r="J6527" s="138">
        <v>0</v>
      </c>
    </row>
    <row r="6528" spans="1:10" ht="26.25" hidden="1" thickBot="1" x14ac:dyDescent="0.3">
      <c r="A6528" s="221"/>
      <c r="B6528" s="223"/>
      <c r="C6528" s="159" t="s">
        <v>2559</v>
      </c>
      <c r="D6528" s="41" t="s">
        <v>20</v>
      </c>
      <c r="E6528" s="146">
        <v>1</v>
      </c>
      <c r="F6528" s="25">
        <v>158.327</v>
      </c>
      <c r="G6528" s="25">
        <f t="shared" si="137"/>
        <v>158.327</v>
      </c>
      <c r="H6528" s="33">
        <f>SUM(G6528:G6528)</f>
        <v>158.327</v>
      </c>
      <c r="I6528" s="34"/>
      <c r="J6528" s="138">
        <v>0</v>
      </c>
    </row>
    <row r="6529" spans="1:10" ht="15.75" hidden="1" thickBot="1" x14ac:dyDescent="0.3">
      <c r="A6529" s="227"/>
      <c r="B6529" s="224"/>
      <c r="C6529" s="49"/>
      <c r="D6529" s="49"/>
      <c r="E6529" s="60"/>
      <c r="F6529" s="61" t="s">
        <v>521</v>
      </c>
      <c r="G6529" s="61" t="str">
        <f t="shared" si="137"/>
        <v/>
      </c>
      <c r="H6529" s="63"/>
      <c r="I6529" s="25"/>
      <c r="J6529" s="138">
        <v>0</v>
      </c>
    </row>
    <row r="6530" spans="1:10" ht="15.75" hidden="1" thickBot="1" x14ac:dyDescent="0.3">
      <c r="A6530" s="220" t="s">
        <v>2348</v>
      </c>
      <c r="B6530" s="222" t="e">
        <f>INDEX(Orçamentária!A:B,MATCH(Composições!A6530,Orçamentária!A:A,0),2)</f>
        <v>#N/A</v>
      </c>
      <c r="C6530" s="35"/>
      <c r="D6530" s="20" t="s">
        <v>20</v>
      </c>
      <c r="E6530" s="21"/>
      <c r="F6530" s="36" t="s">
        <v>521</v>
      </c>
      <c r="G6530" s="22" t="str">
        <f t="shared" ref="G6530:G6593" si="138">IF(ISNUMBER(F6530),E6530*F6530,"")</f>
        <v/>
      </c>
      <c r="H6530" s="23"/>
      <c r="I6530" s="24"/>
      <c r="J6530" s="138">
        <v>0</v>
      </c>
    </row>
    <row r="6531" spans="1:10" ht="15.75" hidden="1" thickBot="1" x14ac:dyDescent="0.3">
      <c r="A6531" s="221"/>
      <c r="B6531" s="223"/>
      <c r="C6531" s="26"/>
      <c r="D6531" s="26"/>
      <c r="E6531" s="27"/>
      <c r="F6531" s="37" t="s">
        <v>521</v>
      </c>
      <c r="G6531" s="25" t="str">
        <f t="shared" si="138"/>
        <v/>
      </c>
      <c r="H6531" s="29"/>
      <c r="I6531" s="25"/>
      <c r="J6531" s="138">
        <v>0</v>
      </c>
    </row>
    <row r="6532" spans="1:10" ht="26.25" hidden="1" thickBot="1" x14ac:dyDescent="0.3">
      <c r="A6532" s="221"/>
      <c r="B6532" s="223"/>
      <c r="C6532" s="159" t="s">
        <v>2560</v>
      </c>
      <c r="D6532" s="41" t="s">
        <v>20</v>
      </c>
      <c r="E6532" s="146">
        <v>1</v>
      </c>
      <c r="F6532" s="25">
        <v>168.81499999999997</v>
      </c>
      <c r="G6532" s="25">
        <f t="shared" si="138"/>
        <v>168.81499999999997</v>
      </c>
      <c r="H6532" s="33">
        <f>SUM(G6532:G6532)</f>
        <v>168.81499999999997</v>
      </c>
      <c r="I6532" s="34"/>
      <c r="J6532" s="138">
        <v>0</v>
      </c>
    </row>
    <row r="6533" spans="1:10" ht="15.75" hidden="1" thickBot="1" x14ac:dyDescent="0.3">
      <c r="A6533" s="227"/>
      <c r="B6533" s="224"/>
      <c r="C6533" s="49"/>
      <c r="D6533" s="49"/>
      <c r="E6533" s="60"/>
      <c r="F6533" s="61" t="s">
        <v>521</v>
      </c>
      <c r="G6533" s="61" t="str">
        <f t="shared" si="138"/>
        <v/>
      </c>
      <c r="H6533" s="63"/>
      <c r="I6533" s="25"/>
      <c r="J6533" s="138">
        <v>0</v>
      </c>
    </row>
    <row r="6534" spans="1:10" ht="15.75" hidden="1" thickBot="1" x14ac:dyDescent="0.3">
      <c r="A6534" s="220" t="s">
        <v>2349</v>
      </c>
      <c r="B6534" s="222" t="e">
        <f>INDEX(Orçamentária!A:B,MATCH(Composições!A6534,Orçamentária!A:A,0),2)</f>
        <v>#N/A</v>
      </c>
      <c r="C6534" s="35"/>
      <c r="D6534" s="20" t="s">
        <v>20</v>
      </c>
      <c r="E6534" s="21"/>
      <c r="F6534" s="36" t="s">
        <v>521</v>
      </c>
      <c r="G6534" s="22" t="str">
        <f t="shared" si="138"/>
        <v/>
      </c>
      <c r="H6534" s="23"/>
      <c r="I6534" s="24"/>
      <c r="J6534" s="138">
        <v>0</v>
      </c>
    </row>
    <row r="6535" spans="1:10" ht="15.75" hidden="1" thickBot="1" x14ac:dyDescent="0.3">
      <c r="A6535" s="221"/>
      <c r="B6535" s="223"/>
      <c r="C6535" s="26"/>
      <c r="D6535" s="26"/>
      <c r="E6535" s="27"/>
      <c r="F6535" s="37" t="s">
        <v>521</v>
      </c>
      <c r="G6535" s="25" t="str">
        <f t="shared" si="138"/>
        <v/>
      </c>
      <c r="H6535" s="29"/>
      <c r="I6535" s="25"/>
      <c r="J6535" s="138">
        <v>0</v>
      </c>
    </row>
    <row r="6536" spans="1:10" ht="26.25" hidden="1" thickBot="1" x14ac:dyDescent="0.3">
      <c r="A6536" s="221"/>
      <c r="B6536" s="223"/>
      <c r="C6536" s="159" t="s">
        <v>2563</v>
      </c>
      <c r="D6536" s="41" t="s">
        <v>20</v>
      </c>
      <c r="E6536" s="146">
        <v>1</v>
      </c>
      <c r="F6536" s="25">
        <v>4.0469999999999997</v>
      </c>
      <c r="G6536" s="25">
        <f t="shared" si="138"/>
        <v>4.0469999999999997</v>
      </c>
      <c r="H6536" s="33">
        <f>SUM(G6536:G6536)</f>
        <v>4.0469999999999997</v>
      </c>
      <c r="I6536" s="34"/>
      <c r="J6536" s="138">
        <v>0</v>
      </c>
    </row>
    <row r="6537" spans="1:10" ht="15.75" hidden="1" thickBot="1" x14ac:dyDescent="0.3">
      <c r="A6537" s="227"/>
      <c r="B6537" s="224"/>
      <c r="C6537" s="49"/>
      <c r="D6537" s="49"/>
      <c r="E6537" s="60"/>
      <c r="F6537" s="61" t="s">
        <v>521</v>
      </c>
      <c r="G6537" s="61" t="str">
        <f t="shared" si="138"/>
        <v/>
      </c>
      <c r="H6537" s="63"/>
      <c r="I6537" s="25"/>
      <c r="J6537" s="138">
        <v>0</v>
      </c>
    </row>
    <row r="6538" spans="1:10" ht="15.75" hidden="1" thickBot="1" x14ac:dyDescent="0.3">
      <c r="A6538" s="220" t="s">
        <v>2350</v>
      </c>
      <c r="B6538" s="222" t="e">
        <f>INDEX(Orçamentária!A:B,MATCH(Composições!A6538,Orçamentária!A:A,0),2)</f>
        <v>#N/A</v>
      </c>
      <c r="C6538" s="35"/>
      <c r="D6538" s="20" t="s">
        <v>20</v>
      </c>
      <c r="E6538" s="21"/>
      <c r="F6538" s="36" t="s">
        <v>521</v>
      </c>
      <c r="G6538" s="22" t="str">
        <f t="shared" si="138"/>
        <v/>
      </c>
      <c r="H6538" s="23"/>
      <c r="I6538" s="24"/>
      <c r="J6538" s="138">
        <v>0</v>
      </c>
    </row>
    <row r="6539" spans="1:10" ht="15.75" hidden="1" thickBot="1" x14ac:dyDescent="0.3">
      <c r="A6539" s="221"/>
      <c r="B6539" s="223"/>
      <c r="C6539" s="26"/>
      <c r="D6539" s="26"/>
      <c r="E6539" s="27"/>
      <c r="F6539" s="37" t="s">
        <v>521</v>
      </c>
      <c r="G6539" s="25" t="str">
        <f t="shared" si="138"/>
        <v/>
      </c>
      <c r="H6539" s="29"/>
      <c r="I6539" s="25"/>
      <c r="J6539" s="138">
        <v>0</v>
      </c>
    </row>
    <row r="6540" spans="1:10" ht="26.25" hidden="1" thickBot="1" x14ac:dyDescent="0.3">
      <c r="A6540" s="221"/>
      <c r="B6540" s="223"/>
      <c r="C6540" s="159" t="s">
        <v>2693</v>
      </c>
      <c r="D6540" s="41" t="s">
        <v>20</v>
      </c>
      <c r="E6540" s="146">
        <v>1</v>
      </c>
      <c r="F6540" s="25">
        <v>224.62749999999997</v>
      </c>
      <c r="G6540" s="25">
        <f t="shared" si="138"/>
        <v>224.62749999999997</v>
      </c>
      <c r="H6540" s="33">
        <f>SUM(G6540:G6540)</f>
        <v>224.62749999999997</v>
      </c>
      <c r="I6540" s="34"/>
      <c r="J6540" s="138">
        <v>0</v>
      </c>
    </row>
    <row r="6541" spans="1:10" ht="15.75" hidden="1" thickBot="1" x14ac:dyDescent="0.3">
      <c r="A6541" s="227"/>
      <c r="B6541" s="224"/>
      <c r="C6541" s="49"/>
      <c r="D6541" s="49"/>
      <c r="E6541" s="60"/>
      <c r="F6541" s="61" t="s">
        <v>521</v>
      </c>
      <c r="G6541" s="61" t="str">
        <f t="shared" si="138"/>
        <v/>
      </c>
      <c r="H6541" s="63"/>
      <c r="I6541" s="25"/>
      <c r="J6541" s="138">
        <v>0</v>
      </c>
    </row>
    <row r="6542" spans="1:10" ht="15.75" hidden="1" thickBot="1" x14ac:dyDescent="0.3">
      <c r="A6542" s="220" t="s">
        <v>2351</v>
      </c>
      <c r="B6542" s="222" t="e">
        <f>INDEX(Orçamentária!A:B,MATCH(Composições!A6542,Orçamentária!A:A,0),2)</f>
        <v>#N/A</v>
      </c>
      <c r="C6542" s="35"/>
      <c r="D6542" s="20" t="s">
        <v>20</v>
      </c>
      <c r="E6542" s="21"/>
      <c r="F6542" s="36" t="s">
        <v>521</v>
      </c>
      <c r="G6542" s="22" t="str">
        <f t="shared" si="138"/>
        <v/>
      </c>
      <c r="H6542" s="23"/>
      <c r="I6542" s="24"/>
      <c r="J6542" s="138">
        <v>0</v>
      </c>
    </row>
    <row r="6543" spans="1:10" ht="15.75" hidden="1" thickBot="1" x14ac:dyDescent="0.3">
      <c r="A6543" s="221"/>
      <c r="B6543" s="223"/>
      <c r="C6543" s="26"/>
      <c r="D6543" s="26"/>
      <c r="E6543" s="27"/>
      <c r="F6543" s="37" t="s">
        <v>521</v>
      </c>
      <c r="G6543" s="25" t="str">
        <f t="shared" si="138"/>
        <v/>
      </c>
      <c r="H6543" s="29"/>
      <c r="I6543" s="25"/>
      <c r="J6543" s="138">
        <v>0</v>
      </c>
    </row>
    <row r="6544" spans="1:10" ht="26.25" hidden="1" thickBot="1" x14ac:dyDescent="0.3">
      <c r="A6544" s="221"/>
      <c r="B6544" s="223"/>
      <c r="C6544" s="159" t="s">
        <v>2565</v>
      </c>
      <c r="D6544" s="41" t="s">
        <v>20</v>
      </c>
      <c r="E6544" s="146">
        <v>1</v>
      </c>
      <c r="F6544" s="25">
        <v>25.84</v>
      </c>
      <c r="G6544" s="25">
        <f t="shared" si="138"/>
        <v>25.84</v>
      </c>
      <c r="H6544" s="33">
        <f>SUM(G6544:G6544)</f>
        <v>25.84</v>
      </c>
      <c r="I6544" s="34"/>
      <c r="J6544" s="138">
        <v>0</v>
      </c>
    </row>
    <row r="6545" spans="1:10" ht="15.75" hidden="1" thickBot="1" x14ac:dyDescent="0.3">
      <c r="A6545" s="227"/>
      <c r="B6545" s="224"/>
      <c r="C6545" s="49"/>
      <c r="D6545" s="49"/>
      <c r="E6545" s="60"/>
      <c r="F6545" s="61" t="s">
        <v>521</v>
      </c>
      <c r="G6545" s="61" t="str">
        <f t="shared" si="138"/>
        <v/>
      </c>
      <c r="H6545" s="63"/>
      <c r="I6545" s="25"/>
      <c r="J6545" s="138">
        <v>0</v>
      </c>
    </row>
    <row r="6546" spans="1:10" ht="15.75" hidden="1" thickBot="1" x14ac:dyDescent="0.3">
      <c r="A6546" s="220" t="s">
        <v>2352</v>
      </c>
      <c r="B6546" s="222" t="e">
        <f>INDEX(Orçamentária!A:B,MATCH(Composições!A6546,Orçamentária!A:A,0),2)</f>
        <v>#N/A</v>
      </c>
      <c r="C6546" s="35"/>
      <c r="D6546" s="20" t="s">
        <v>20</v>
      </c>
      <c r="E6546" s="21"/>
      <c r="F6546" s="36" t="s">
        <v>521</v>
      </c>
      <c r="G6546" s="22" t="str">
        <f t="shared" si="138"/>
        <v/>
      </c>
      <c r="H6546" s="23"/>
      <c r="I6546" s="24"/>
      <c r="J6546" s="138">
        <v>0</v>
      </c>
    </row>
    <row r="6547" spans="1:10" ht="15.75" hidden="1" thickBot="1" x14ac:dyDescent="0.3">
      <c r="A6547" s="221"/>
      <c r="B6547" s="223"/>
      <c r="C6547" s="26"/>
      <c r="D6547" s="26"/>
      <c r="E6547" s="27"/>
      <c r="F6547" s="37" t="s">
        <v>521</v>
      </c>
      <c r="G6547" s="25" t="str">
        <f t="shared" si="138"/>
        <v/>
      </c>
      <c r="H6547" s="29"/>
      <c r="I6547" s="25"/>
      <c r="J6547" s="138">
        <v>0</v>
      </c>
    </row>
    <row r="6548" spans="1:10" ht="26.25" hidden="1" thickBot="1" x14ac:dyDescent="0.3">
      <c r="A6548" s="221"/>
      <c r="B6548" s="223"/>
      <c r="C6548" s="159" t="s">
        <v>2569</v>
      </c>
      <c r="D6548" s="41" t="s">
        <v>20</v>
      </c>
      <c r="E6548" s="146">
        <v>1</v>
      </c>
      <c r="F6548" s="25">
        <v>46.530999999999992</v>
      </c>
      <c r="G6548" s="25">
        <f t="shared" si="138"/>
        <v>46.530999999999992</v>
      </c>
      <c r="H6548" s="33">
        <f>SUM(G6548:G6548)</f>
        <v>46.530999999999992</v>
      </c>
      <c r="I6548" s="34"/>
      <c r="J6548" s="138">
        <v>0</v>
      </c>
    </row>
    <row r="6549" spans="1:10" ht="15.75" hidden="1" thickBot="1" x14ac:dyDescent="0.3">
      <c r="A6549" s="227"/>
      <c r="B6549" s="224"/>
      <c r="C6549" s="49"/>
      <c r="D6549" s="49"/>
      <c r="E6549" s="60"/>
      <c r="F6549" s="61" t="s">
        <v>521</v>
      </c>
      <c r="G6549" s="61" t="str">
        <f t="shared" si="138"/>
        <v/>
      </c>
      <c r="H6549" s="63"/>
      <c r="I6549" s="25"/>
      <c r="J6549" s="138">
        <v>0</v>
      </c>
    </row>
    <row r="6550" spans="1:10" ht="15.75" hidden="1" thickBot="1" x14ac:dyDescent="0.3">
      <c r="A6550" s="220" t="s">
        <v>2353</v>
      </c>
      <c r="B6550" s="222" t="e">
        <f>INDEX(Orçamentária!A:B,MATCH(Composições!A6550,Orçamentária!A:A,0),2)</f>
        <v>#N/A</v>
      </c>
      <c r="C6550" s="35"/>
      <c r="D6550" s="20" t="s">
        <v>20</v>
      </c>
      <c r="E6550" s="21"/>
      <c r="F6550" s="36" t="s">
        <v>521</v>
      </c>
      <c r="G6550" s="22" t="str">
        <f t="shared" si="138"/>
        <v/>
      </c>
      <c r="H6550" s="23"/>
      <c r="I6550" s="24"/>
      <c r="J6550" s="138">
        <v>0</v>
      </c>
    </row>
    <row r="6551" spans="1:10" ht="15.75" hidden="1" thickBot="1" x14ac:dyDescent="0.3">
      <c r="A6551" s="221"/>
      <c r="B6551" s="223"/>
      <c r="C6551" s="26"/>
      <c r="D6551" s="26"/>
      <c r="E6551" s="27"/>
      <c r="F6551" s="37" t="s">
        <v>521</v>
      </c>
      <c r="G6551" s="25" t="str">
        <f t="shared" si="138"/>
        <v/>
      </c>
      <c r="H6551" s="29"/>
      <c r="I6551" s="25"/>
      <c r="J6551" s="138">
        <v>0</v>
      </c>
    </row>
    <row r="6552" spans="1:10" ht="39" hidden="1" thickBot="1" x14ac:dyDescent="0.3">
      <c r="A6552" s="221"/>
      <c r="B6552" s="223"/>
      <c r="C6552" s="159" t="s">
        <v>2714</v>
      </c>
      <c r="D6552" s="41" t="s">
        <v>20</v>
      </c>
      <c r="E6552" s="146">
        <v>1</v>
      </c>
      <c r="F6552" s="25">
        <v>472.38749999999999</v>
      </c>
      <c r="G6552" s="25">
        <f t="shared" si="138"/>
        <v>472.38749999999999</v>
      </c>
      <c r="H6552" s="33">
        <f>SUM(G6552:G6552)</f>
        <v>472.38749999999999</v>
      </c>
      <c r="I6552" s="34"/>
      <c r="J6552" s="138">
        <v>0</v>
      </c>
    </row>
    <row r="6553" spans="1:10" ht="15.75" hidden="1" thickBot="1" x14ac:dyDescent="0.3">
      <c r="A6553" s="227"/>
      <c r="B6553" s="224"/>
      <c r="C6553" s="49"/>
      <c r="D6553" s="49"/>
      <c r="E6553" s="60"/>
      <c r="F6553" s="61" t="s">
        <v>521</v>
      </c>
      <c r="G6553" s="61" t="str">
        <f t="shared" si="138"/>
        <v/>
      </c>
      <c r="H6553" s="63"/>
      <c r="I6553" s="25"/>
      <c r="J6553" s="138">
        <v>0</v>
      </c>
    </row>
    <row r="6554" spans="1:10" ht="15.75" hidden="1" thickBot="1" x14ac:dyDescent="0.3">
      <c r="A6554" s="220" t="s">
        <v>2354</v>
      </c>
      <c r="B6554" s="222" t="e">
        <f>INDEX(Orçamentária!A:B,MATCH(Composições!A6554,Orçamentária!A:A,0),2)</f>
        <v>#N/A</v>
      </c>
      <c r="C6554" s="35"/>
      <c r="D6554" s="20" t="s">
        <v>20</v>
      </c>
      <c r="E6554" s="21"/>
      <c r="F6554" s="36" t="s">
        <v>521</v>
      </c>
      <c r="G6554" s="22" t="str">
        <f t="shared" si="138"/>
        <v/>
      </c>
      <c r="H6554" s="23"/>
      <c r="I6554" s="24"/>
      <c r="J6554" s="138">
        <v>0</v>
      </c>
    </row>
    <row r="6555" spans="1:10" ht="15.75" hidden="1" thickBot="1" x14ac:dyDescent="0.3">
      <c r="A6555" s="221"/>
      <c r="B6555" s="223"/>
      <c r="C6555" s="26"/>
      <c r="D6555" s="26"/>
      <c r="E6555" s="27"/>
      <c r="F6555" s="37" t="s">
        <v>521</v>
      </c>
      <c r="G6555" s="25" t="str">
        <f t="shared" si="138"/>
        <v/>
      </c>
      <c r="H6555" s="29"/>
      <c r="I6555" s="25"/>
      <c r="J6555" s="138">
        <v>0</v>
      </c>
    </row>
    <row r="6556" spans="1:10" ht="64.5" hidden="1" thickBot="1" x14ac:dyDescent="0.3">
      <c r="A6556" s="221"/>
      <c r="B6556" s="223"/>
      <c r="C6556" s="159" t="s">
        <v>2570</v>
      </c>
      <c r="D6556" s="41" t="s">
        <v>20</v>
      </c>
      <c r="E6556" s="146">
        <v>1</v>
      </c>
      <c r="F6556" s="25">
        <v>332.63299999999998</v>
      </c>
      <c r="G6556" s="25">
        <f t="shared" si="138"/>
        <v>332.63299999999998</v>
      </c>
      <c r="H6556" s="33">
        <f>SUM(G6556:G6556)</f>
        <v>332.63299999999998</v>
      </c>
      <c r="I6556" s="34"/>
      <c r="J6556" s="138">
        <v>0</v>
      </c>
    </row>
    <row r="6557" spans="1:10" ht="15.75" hidden="1" thickBot="1" x14ac:dyDescent="0.3">
      <c r="A6557" s="227"/>
      <c r="B6557" s="224"/>
      <c r="C6557" s="49"/>
      <c r="D6557" s="49"/>
      <c r="E6557" s="60"/>
      <c r="F6557" s="61" t="s">
        <v>521</v>
      </c>
      <c r="G6557" s="61" t="str">
        <f t="shared" si="138"/>
        <v/>
      </c>
      <c r="H6557" s="63"/>
      <c r="I6557" s="25"/>
      <c r="J6557" s="138">
        <v>0</v>
      </c>
    </row>
    <row r="6558" spans="1:10" ht="15.75" hidden="1" thickBot="1" x14ac:dyDescent="0.3">
      <c r="A6558" s="220" t="s">
        <v>2355</v>
      </c>
      <c r="B6558" s="222" t="e">
        <f>INDEX(Orçamentária!A:B,MATCH(Composições!A6558,Orçamentária!A:A,0),2)</f>
        <v>#N/A</v>
      </c>
      <c r="C6558" s="35"/>
      <c r="D6558" s="20" t="s">
        <v>20</v>
      </c>
      <c r="E6558" s="21"/>
      <c r="F6558" s="36" t="s">
        <v>521</v>
      </c>
      <c r="G6558" s="22" t="str">
        <f t="shared" si="138"/>
        <v/>
      </c>
      <c r="H6558" s="23"/>
      <c r="I6558" s="24"/>
      <c r="J6558" s="138">
        <v>0</v>
      </c>
    </row>
    <row r="6559" spans="1:10" ht="15.75" hidden="1" thickBot="1" x14ac:dyDescent="0.3">
      <c r="A6559" s="221"/>
      <c r="B6559" s="223"/>
      <c r="C6559" s="26"/>
      <c r="D6559" s="26"/>
      <c r="E6559" s="27"/>
      <c r="F6559" s="37" t="s">
        <v>521</v>
      </c>
      <c r="G6559" s="25" t="str">
        <f t="shared" si="138"/>
        <v/>
      </c>
      <c r="H6559" s="29"/>
      <c r="I6559" s="25"/>
      <c r="J6559" s="138">
        <v>0</v>
      </c>
    </row>
    <row r="6560" spans="1:10" ht="26.25" hidden="1" thickBot="1" x14ac:dyDescent="0.3">
      <c r="A6560" s="221"/>
      <c r="B6560" s="223"/>
      <c r="C6560" s="159" t="s">
        <v>2571</v>
      </c>
      <c r="D6560" s="41" t="s">
        <v>20</v>
      </c>
      <c r="E6560" s="146">
        <v>1</v>
      </c>
      <c r="F6560" s="25">
        <v>67.45</v>
      </c>
      <c r="G6560" s="25">
        <f t="shared" si="138"/>
        <v>67.45</v>
      </c>
      <c r="H6560" s="33">
        <f>SUM(G6560:G6560)</f>
        <v>67.45</v>
      </c>
      <c r="I6560" s="34"/>
      <c r="J6560" s="138">
        <v>0</v>
      </c>
    </row>
    <row r="6561" spans="1:10" ht="15.75" hidden="1" thickBot="1" x14ac:dyDescent="0.3">
      <c r="A6561" s="227"/>
      <c r="B6561" s="224"/>
      <c r="C6561" s="49"/>
      <c r="D6561" s="49"/>
      <c r="E6561" s="60"/>
      <c r="F6561" s="61" t="s">
        <v>521</v>
      </c>
      <c r="G6561" s="61" t="str">
        <f t="shared" si="138"/>
        <v/>
      </c>
      <c r="H6561" s="63"/>
      <c r="I6561" s="25"/>
      <c r="J6561" s="138">
        <v>0</v>
      </c>
    </row>
    <row r="6562" spans="1:10" ht="15.75" hidden="1" thickBot="1" x14ac:dyDescent="0.3">
      <c r="A6562" s="220" t="s">
        <v>2356</v>
      </c>
      <c r="B6562" s="222" t="e">
        <f>INDEX(Orçamentária!A:B,MATCH(Composições!A6562,Orçamentária!A:A,0),2)</f>
        <v>#N/A</v>
      </c>
      <c r="C6562" s="35"/>
      <c r="D6562" s="20" t="s">
        <v>20</v>
      </c>
      <c r="E6562" s="21"/>
      <c r="F6562" s="36" t="s">
        <v>521</v>
      </c>
      <c r="G6562" s="22" t="str">
        <f t="shared" si="138"/>
        <v/>
      </c>
      <c r="H6562" s="23"/>
      <c r="I6562" s="24"/>
      <c r="J6562" s="138">
        <v>0</v>
      </c>
    </row>
    <row r="6563" spans="1:10" ht="15.75" hidden="1" thickBot="1" x14ac:dyDescent="0.3">
      <c r="A6563" s="221"/>
      <c r="B6563" s="223"/>
      <c r="C6563" s="26"/>
      <c r="D6563" s="26"/>
      <c r="E6563" s="27"/>
      <c r="F6563" s="37" t="s">
        <v>521</v>
      </c>
      <c r="G6563" s="25" t="str">
        <f t="shared" si="138"/>
        <v/>
      </c>
      <c r="H6563" s="29"/>
      <c r="I6563" s="25"/>
      <c r="J6563" s="138">
        <v>0</v>
      </c>
    </row>
    <row r="6564" spans="1:10" ht="26.25" hidden="1" thickBot="1" x14ac:dyDescent="0.3">
      <c r="A6564" s="221"/>
      <c r="B6564" s="223"/>
      <c r="C6564" s="159" t="s">
        <v>2265</v>
      </c>
      <c r="D6564" s="41" t="s">
        <v>20</v>
      </c>
      <c r="E6564" s="146">
        <v>1</v>
      </c>
      <c r="F6564" s="25">
        <v>125.78</v>
      </c>
      <c r="G6564" s="25">
        <f t="shared" si="138"/>
        <v>125.78</v>
      </c>
      <c r="H6564" s="33">
        <f>SUM(G6564:G6564)</f>
        <v>125.78</v>
      </c>
      <c r="I6564" s="34"/>
      <c r="J6564" s="138">
        <v>0</v>
      </c>
    </row>
    <row r="6565" spans="1:10" ht="15.75" hidden="1" thickBot="1" x14ac:dyDescent="0.3">
      <c r="A6565" s="227"/>
      <c r="B6565" s="224"/>
      <c r="C6565" s="49"/>
      <c r="D6565" s="49"/>
      <c r="E6565" s="60"/>
      <c r="F6565" s="61" t="s">
        <v>521</v>
      </c>
      <c r="G6565" s="61" t="str">
        <f t="shared" si="138"/>
        <v/>
      </c>
      <c r="H6565" s="63"/>
      <c r="I6565" s="25"/>
      <c r="J6565" s="138">
        <v>0</v>
      </c>
    </row>
    <row r="6566" spans="1:10" ht="15.75" hidden="1" thickBot="1" x14ac:dyDescent="0.3">
      <c r="A6566" s="220" t="s">
        <v>2377</v>
      </c>
      <c r="B6566" s="222" t="e">
        <f>INDEX(Orçamentária!A:B,MATCH(Composições!A6566,Orçamentária!A:A,0),2)</f>
        <v>#N/A</v>
      </c>
      <c r="C6566" s="35"/>
      <c r="D6566" s="20" t="s">
        <v>20</v>
      </c>
      <c r="E6566" s="21"/>
      <c r="F6566" s="36" t="s">
        <v>521</v>
      </c>
      <c r="G6566" s="22" t="str">
        <f t="shared" si="138"/>
        <v/>
      </c>
      <c r="H6566" s="23"/>
      <c r="I6566" s="24"/>
      <c r="J6566" s="138">
        <v>0</v>
      </c>
    </row>
    <row r="6567" spans="1:10" ht="15.75" hidden="1" thickBot="1" x14ac:dyDescent="0.3">
      <c r="A6567" s="221"/>
      <c r="B6567" s="223"/>
      <c r="C6567" s="26"/>
      <c r="D6567" s="26"/>
      <c r="E6567" s="27"/>
      <c r="F6567" s="37" t="s">
        <v>521</v>
      </c>
      <c r="G6567" s="25" t="str">
        <f t="shared" si="138"/>
        <v/>
      </c>
      <c r="H6567" s="29"/>
      <c r="I6567" s="25"/>
      <c r="J6567" s="138">
        <v>0</v>
      </c>
    </row>
    <row r="6568" spans="1:10" ht="26.25" hidden="1" thickBot="1" x14ac:dyDescent="0.3">
      <c r="A6568" s="221"/>
      <c r="B6568" s="223"/>
      <c r="C6568" s="159" t="s">
        <v>1063</v>
      </c>
      <c r="D6568" s="41" t="s">
        <v>20</v>
      </c>
      <c r="E6568" s="146">
        <v>1</v>
      </c>
      <c r="F6568" s="25">
        <v>67.069999999999993</v>
      </c>
      <c r="G6568" s="25">
        <f t="shared" si="138"/>
        <v>67.069999999999993</v>
      </c>
      <c r="H6568" s="33">
        <f>SUM(G6568:G6568)</f>
        <v>67.069999999999993</v>
      </c>
      <c r="I6568" s="34"/>
      <c r="J6568" s="138">
        <v>0</v>
      </c>
    </row>
    <row r="6569" spans="1:10" ht="15.75" hidden="1" thickBot="1" x14ac:dyDescent="0.3">
      <c r="A6569" s="227"/>
      <c r="B6569" s="224"/>
      <c r="C6569" s="49"/>
      <c r="D6569" s="49"/>
      <c r="E6569" s="60"/>
      <c r="F6569" s="61" t="s">
        <v>521</v>
      </c>
      <c r="G6569" s="61" t="str">
        <f t="shared" si="138"/>
        <v/>
      </c>
      <c r="H6569" s="63"/>
      <c r="I6569" s="25"/>
      <c r="J6569" s="138">
        <v>0</v>
      </c>
    </row>
    <row r="6570" spans="1:10" ht="15.75" hidden="1" thickBot="1" x14ac:dyDescent="0.3">
      <c r="A6570" s="220" t="s">
        <v>2378</v>
      </c>
      <c r="B6570" s="222" t="e">
        <f>INDEX(Orçamentária!A:B,MATCH(Composições!A6570,Orçamentária!A:A,0),2)</f>
        <v>#N/A</v>
      </c>
      <c r="C6570" s="35"/>
      <c r="D6570" s="20" t="s">
        <v>20</v>
      </c>
      <c r="E6570" s="21"/>
      <c r="F6570" s="36" t="s">
        <v>521</v>
      </c>
      <c r="G6570" s="22" t="str">
        <f t="shared" si="138"/>
        <v/>
      </c>
      <c r="H6570" s="23"/>
      <c r="I6570" s="24"/>
      <c r="J6570" s="138">
        <v>0</v>
      </c>
    </row>
    <row r="6571" spans="1:10" ht="15.75" hidden="1" thickBot="1" x14ac:dyDescent="0.3">
      <c r="A6571" s="221"/>
      <c r="B6571" s="223"/>
      <c r="C6571" s="26"/>
      <c r="D6571" s="26"/>
      <c r="E6571" s="27"/>
      <c r="F6571" s="37" t="s">
        <v>521</v>
      </c>
      <c r="G6571" s="25" t="str">
        <f t="shared" si="138"/>
        <v/>
      </c>
      <c r="H6571" s="29"/>
      <c r="I6571" s="25"/>
      <c r="J6571" s="138">
        <v>0</v>
      </c>
    </row>
    <row r="6572" spans="1:10" ht="26.25" hidden="1" thickBot="1" x14ac:dyDescent="0.3">
      <c r="A6572" s="221"/>
      <c r="B6572" s="223"/>
      <c r="C6572" s="159" t="s">
        <v>2581</v>
      </c>
      <c r="D6572" s="41" t="s">
        <v>20</v>
      </c>
      <c r="E6572" s="146">
        <v>1</v>
      </c>
      <c r="F6572" s="25">
        <v>97.906999999999996</v>
      </c>
      <c r="G6572" s="25">
        <f t="shared" si="138"/>
        <v>97.906999999999996</v>
      </c>
      <c r="H6572" s="33">
        <f>SUM(G6572:G6572)</f>
        <v>97.906999999999996</v>
      </c>
      <c r="I6572" s="34"/>
      <c r="J6572" s="138">
        <v>0</v>
      </c>
    </row>
    <row r="6573" spans="1:10" ht="15.75" hidden="1" thickBot="1" x14ac:dyDescent="0.3">
      <c r="A6573" s="227"/>
      <c r="B6573" s="224"/>
      <c r="C6573" s="49"/>
      <c r="D6573" s="49"/>
      <c r="E6573" s="60"/>
      <c r="F6573" s="61" t="s">
        <v>521</v>
      </c>
      <c r="G6573" s="61" t="str">
        <f t="shared" si="138"/>
        <v/>
      </c>
      <c r="H6573" s="63"/>
      <c r="I6573" s="25"/>
      <c r="J6573" s="138">
        <v>0</v>
      </c>
    </row>
    <row r="6574" spans="1:10" ht="15.75" hidden="1" thickBot="1" x14ac:dyDescent="0.3">
      <c r="A6574" s="220" t="s">
        <v>2379</v>
      </c>
      <c r="B6574" s="222" t="e">
        <f>INDEX(Orçamentária!A:B,MATCH(Composições!A6574,Orçamentária!A:A,0),2)</f>
        <v>#N/A</v>
      </c>
      <c r="C6574" s="35"/>
      <c r="D6574" s="20" t="s">
        <v>20</v>
      </c>
      <c r="E6574" s="21"/>
      <c r="F6574" s="36" t="s">
        <v>521</v>
      </c>
      <c r="G6574" s="22" t="str">
        <f t="shared" si="138"/>
        <v/>
      </c>
      <c r="H6574" s="23"/>
      <c r="I6574" s="24"/>
      <c r="J6574" s="138">
        <v>0</v>
      </c>
    </row>
    <row r="6575" spans="1:10" ht="15.75" hidden="1" thickBot="1" x14ac:dyDescent="0.3">
      <c r="A6575" s="221"/>
      <c r="B6575" s="223"/>
      <c r="C6575" s="26"/>
      <c r="D6575" s="26"/>
      <c r="E6575" s="27"/>
      <c r="F6575" s="37" t="s">
        <v>521</v>
      </c>
      <c r="G6575" s="25" t="str">
        <f t="shared" si="138"/>
        <v/>
      </c>
      <c r="H6575" s="29"/>
      <c r="I6575" s="25"/>
      <c r="J6575" s="138">
        <v>0</v>
      </c>
    </row>
    <row r="6576" spans="1:10" ht="26.25" hidden="1" thickBot="1" x14ac:dyDescent="0.3">
      <c r="A6576" s="221"/>
      <c r="B6576" s="223"/>
      <c r="C6576" s="159" t="s">
        <v>2609</v>
      </c>
      <c r="D6576" s="41" t="s">
        <v>20</v>
      </c>
      <c r="E6576" s="146">
        <v>1</v>
      </c>
      <c r="F6576" s="25">
        <v>101.77349999999998</v>
      </c>
      <c r="G6576" s="25">
        <f t="shared" si="138"/>
        <v>101.77349999999998</v>
      </c>
      <c r="H6576" s="33">
        <f>SUM(G6576:G6576)</f>
        <v>101.77349999999998</v>
      </c>
      <c r="I6576" s="34"/>
      <c r="J6576" s="138">
        <v>0</v>
      </c>
    </row>
    <row r="6577" spans="1:10" ht="15.75" hidden="1" thickBot="1" x14ac:dyDescent="0.3">
      <c r="A6577" s="227"/>
      <c r="B6577" s="224"/>
      <c r="C6577" s="49"/>
      <c r="D6577" s="49"/>
      <c r="E6577" s="60"/>
      <c r="F6577" s="61" t="s">
        <v>521</v>
      </c>
      <c r="G6577" s="61" t="str">
        <f t="shared" si="138"/>
        <v/>
      </c>
      <c r="H6577" s="63"/>
      <c r="I6577" s="25"/>
      <c r="J6577" s="138">
        <v>0</v>
      </c>
    </row>
    <row r="6578" spans="1:10" ht="15.75" hidden="1" thickBot="1" x14ac:dyDescent="0.3">
      <c r="A6578" s="220" t="s">
        <v>2380</v>
      </c>
      <c r="B6578" s="222" t="e">
        <f>INDEX(Orçamentária!A:B,MATCH(Composições!A6578,Orçamentária!A:A,0),2)</f>
        <v>#N/A</v>
      </c>
      <c r="C6578" s="35"/>
      <c r="D6578" s="20" t="s">
        <v>20</v>
      </c>
      <c r="E6578" s="21"/>
      <c r="F6578" s="36" t="s">
        <v>521</v>
      </c>
      <c r="G6578" s="22" t="str">
        <f t="shared" si="138"/>
        <v/>
      </c>
      <c r="H6578" s="23"/>
      <c r="I6578" s="24"/>
      <c r="J6578" s="138">
        <v>0</v>
      </c>
    </row>
    <row r="6579" spans="1:10" ht="15.75" hidden="1" thickBot="1" x14ac:dyDescent="0.3">
      <c r="A6579" s="221"/>
      <c r="B6579" s="223"/>
      <c r="C6579" s="26"/>
      <c r="D6579" s="26"/>
      <c r="E6579" s="27"/>
      <c r="F6579" s="37" t="s">
        <v>521</v>
      </c>
      <c r="G6579" s="25" t="str">
        <f t="shared" si="138"/>
        <v/>
      </c>
      <c r="H6579" s="29"/>
      <c r="I6579" s="25"/>
      <c r="J6579" s="138">
        <v>0</v>
      </c>
    </row>
    <row r="6580" spans="1:10" ht="26.25" hidden="1" thickBot="1" x14ac:dyDescent="0.3">
      <c r="A6580" s="221"/>
      <c r="B6580" s="223"/>
      <c r="C6580" s="159" t="s">
        <v>2613</v>
      </c>
      <c r="D6580" s="41" t="s">
        <v>20</v>
      </c>
      <c r="E6580" s="146">
        <v>1</v>
      </c>
      <c r="F6580" s="25">
        <v>183.68249999999998</v>
      </c>
      <c r="G6580" s="25">
        <f t="shared" si="138"/>
        <v>183.68249999999998</v>
      </c>
      <c r="H6580" s="33">
        <f>SUM(G6580:G6580)</f>
        <v>183.68249999999998</v>
      </c>
      <c r="I6580" s="34"/>
      <c r="J6580" s="138">
        <v>0</v>
      </c>
    </row>
    <row r="6581" spans="1:10" ht="15.75" hidden="1" thickBot="1" x14ac:dyDescent="0.3">
      <c r="A6581" s="227"/>
      <c r="B6581" s="224"/>
      <c r="C6581" s="49"/>
      <c r="D6581" s="49"/>
      <c r="E6581" s="60"/>
      <c r="F6581" s="61" t="s">
        <v>521</v>
      </c>
      <c r="G6581" s="61" t="str">
        <f t="shared" si="138"/>
        <v/>
      </c>
      <c r="H6581" s="63"/>
      <c r="I6581" s="25"/>
      <c r="J6581" s="138">
        <v>0</v>
      </c>
    </row>
    <row r="6582" spans="1:10" ht="15.75" hidden="1" thickBot="1" x14ac:dyDescent="0.3">
      <c r="A6582" s="220" t="s">
        <v>2381</v>
      </c>
      <c r="B6582" s="222" t="e">
        <f>INDEX(Orçamentária!A:B,MATCH(Composições!A6582,Orçamentária!A:A,0),2)</f>
        <v>#N/A</v>
      </c>
      <c r="C6582" s="35"/>
      <c r="D6582" s="20" t="s">
        <v>20</v>
      </c>
      <c r="E6582" s="21"/>
      <c r="F6582" s="36" t="s">
        <v>521</v>
      </c>
      <c r="G6582" s="22" t="str">
        <f t="shared" si="138"/>
        <v/>
      </c>
      <c r="H6582" s="23"/>
      <c r="I6582" s="24"/>
      <c r="J6582" s="138">
        <v>0</v>
      </c>
    </row>
    <row r="6583" spans="1:10" ht="15.75" hidden="1" thickBot="1" x14ac:dyDescent="0.3">
      <c r="A6583" s="221"/>
      <c r="B6583" s="223"/>
      <c r="C6583" s="26"/>
      <c r="D6583" s="26"/>
      <c r="E6583" s="27"/>
      <c r="F6583" s="37" t="s">
        <v>521</v>
      </c>
      <c r="G6583" s="25" t="str">
        <f t="shared" si="138"/>
        <v/>
      </c>
      <c r="H6583" s="29"/>
      <c r="I6583" s="25"/>
      <c r="J6583" s="138">
        <v>0</v>
      </c>
    </row>
    <row r="6584" spans="1:10" ht="15.75" hidden="1" thickBot="1" x14ac:dyDescent="0.3">
      <c r="A6584" s="221"/>
      <c r="B6584" s="223"/>
      <c r="C6584" s="159" t="s">
        <v>2622</v>
      </c>
      <c r="D6584" s="41" t="s">
        <v>20</v>
      </c>
      <c r="E6584" s="146">
        <v>1</v>
      </c>
      <c r="F6584" s="25">
        <v>23.892499999999998</v>
      </c>
      <c r="G6584" s="25">
        <f t="shared" si="138"/>
        <v>23.892499999999998</v>
      </c>
      <c r="H6584" s="33">
        <f>SUM(G6584:G6584)</f>
        <v>23.892499999999998</v>
      </c>
      <c r="I6584" s="34"/>
      <c r="J6584" s="138">
        <v>0</v>
      </c>
    </row>
    <row r="6585" spans="1:10" ht="15.75" hidden="1" thickBot="1" x14ac:dyDescent="0.3">
      <c r="A6585" s="227"/>
      <c r="B6585" s="224"/>
      <c r="C6585" s="49"/>
      <c r="D6585" s="49"/>
      <c r="E6585" s="60"/>
      <c r="F6585" s="61" t="s">
        <v>521</v>
      </c>
      <c r="G6585" s="61" t="str">
        <f t="shared" si="138"/>
        <v/>
      </c>
      <c r="H6585" s="63"/>
      <c r="I6585" s="25"/>
      <c r="J6585" s="138">
        <v>0</v>
      </c>
    </row>
    <row r="6586" spans="1:10" ht="15.75" hidden="1" thickBot="1" x14ac:dyDescent="0.3">
      <c r="A6586" s="220" t="s">
        <v>2382</v>
      </c>
      <c r="B6586" s="222" t="e">
        <f>INDEX(Orçamentária!A:B,MATCH(Composições!A6586,Orçamentária!A:A,0),2)</f>
        <v>#N/A</v>
      </c>
      <c r="C6586" s="35"/>
      <c r="D6586" s="20" t="s">
        <v>20</v>
      </c>
      <c r="E6586" s="21"/>
      <c r="F6586" s="36" t="s">
        <v>521</v>
      </c>
      <c r="G6586" s="22" t="str">
        <f t="shared" si="138"/>
        <v/>
      </c>
      <c r="H6586" s="23"/>
      <c r="I6586" s="24"/>
      <c r="J6586" s="138">
        <v>0</v>
      </c>
    </row>
    <row r="6587" spans="1:10" ht="15.75" hidden="1" thickBot="1" x14ac:dyDescent="0.3">
      <c r="A6587" s="221"/>
      <c r="B6587" s="223"/>
      <c r="C6587" s="26"/>
      <c r="D6587" s="26"/>
      <c r="E6587" s="27"/>
      <c r="F6587" s="37" t="s">
        <v>521</v>
      </c>
      <c r="G6587" s="25" t="str">
        <f t="shared" si="138"/>
        <v/>
      </c>
      <c r="H6587" s="29"/>
      <c r="I6587" s="25"/>
      <c r="J6587" s="138">
        <v>0</v>
      </c>
    </row>
    <row r="6588" spans="1:10" ht="15.75" hidden="1" thickBot="1" x14ac:dyDescent="0.3">
      <c r="A6588" s="221"/>
      <c r="B6588" s="223"/>
      <c r="C6588" s="159" t="s">
        <v>1142</v>
      </c>
      <c r="D6588" s="41" t="s">
        <v>20</v>
      </c>
      <c r="E6588" s="146">
        <v>1</v>
      </c>
      <c r="F6588" s="25">
        <v>48.212499999999999</v>
      </c>
      <c r="G6588" s="25">
        <f t="shared" si="138"/>
        <v>48.212499999999999</v>
      </c>
      <c r="H6588" s="33">
        <f>SUM(G6588:G6588)</f>
        <v>48.212499999999999</v>
      </c>
      <c r="I6588" s="34"/>
      <c r="J6588" s="138">
        <v>0</v>
      </c>
    </row>
    <row r="6589" spans="1:10" ht="15.75" hidden="1" thickBot="1" x14ac:dyDescent="0.3">
      <c r="A6589" s="227"/>
      <c r="B6589" s="224"/>
      <c r="C6589" s="49"/>
      <c r="D6589" s="49"/>
      <c r="E6589" s="60"/>
      <c r="F6589" s="61" t="s">
        <v>521</v>
      </c>
      <c r="G6589" s="61" t="str">
        <f t="shared" si="138"/>
        <v/>
      </c>
      <c r="H6589" s="63"/>
      <c r="I6589" s="25"/>
      <c r="J6589" s="138">
        <v>0</v>
      </c>
    </row>
    <row r="6590" spans="1:10" ht="15.75" hidden="1" thickBot="1" x14ac:dyDescent="0.3">
      <c r="A6590" s="220" t="s">
        <v>2383</v>
      </c>
      <c r="B6590" s="222" t="e">
        <f>INDEX(Orçamentária!A:B,MATCH(Composições!A6590,Orçamentária!A:A,0),2)</f>
        <v>#N/A</v>
      </c>
      <c r="C6590" s="35"/>
      <c r="D6590" s="20" t="s">
        <v>20</v>
      </c>
      <c r="E6590" s="21"/>
      <c r="F6590" s="36" t="s">
        <v>521</v>
      </c>
      <c r="G6590" s="22" t="str">
        <f t="shared" si="138"/>
        <v/>
      </c>
      <c r="H6590" s="23"/>
      <c r="I6590" s="24"/>
      <c r="J6590" s="138">
        <v>0</v>
      </c>
    </row>
    <row r="6591" spans="1:10" ht="15.75" hidden="1" thickBot="1" x14ac:dyDescent="0.3">
      <c r="A6591" s="221"/>
      <c r="B6591" s="223"/>
      <c r="C6591" s="26"/>
      <c r="D6591" s="26"/>
      <c r="E6591" s="27"/>
      <c r="F6591" s="37" t="s">
        <v>521</v>
      </c>
      <c r="G6591" s="25" t="str">
        <f t="shared" si="138"/>
        <v/>
      </c>
      <c r="H6591" s="29"/>
      <c r="I6591" s="25"/>
      <c r="J6591" s="138">
        <v>0</v>
      </c>
    </row>
    <row r="6592" spans="1:10" ht="15.75" hidden="1" thickBot="1" x14ac:dyDescent="0.3">
      <c r="A6592" s="221"/>
      <c r="B6592" s="223"/>
      <c r="C6592" s="159" t="s">
        <v>2695</v>
      </c>
      <c r="D6592" s="41" t="s">
        <v>20</v>
      </c>
      <c r="E6592" s="146">
        <v>1</v>
      </c>
      <c r="F6592" s="25">
        <v>55.650999999999996</v>
      </c>
      <c r="G6592" s="25">
        <f t="shared" si="138"/>
        <v>55.650999999999996</v>
      </c>
      <c r="H6592" s="33">
        <f>SUM(G6592:G6592)</f>
        <v>55.650999999999996</v>
      </c>
      <c r="I6592" s="34"/>
      <c r="J6592" s="138">
        <v>0</v>
      </c>
    </row>
    <row r="6593" spans="1:10" ht="15.75" hidden="1" thickBot="1" x14ac:dyDescent="0.3">
      <c r="A6593" s="227"/>
      <c r="B6593" s="224"/>
      <c r="C6593" s="49"/>
      <c r="D6593" s="49"/>
      <c r="E6593" s="60"/>
      <c r="F6593" s="61" t="s">
        <v>521</v>
      </c>
      <c r="G6593" s="61" t="str">
        <f t="shared" si="138"/>
        <v/>
      </c>
      <c r="H6593" s="63"/>
      <c r="I6593" s="25"/>
      <c r="J6593" s="138">
        <v>0</v>
      </c>
    </row>
    <row r="6594" spans="1:10" ht="15.75" hidden="1" thickBot="1" x14ac:dyDescent="0.3">
      <c r="A6594" s="220" t="s">
        <v>2384</v>
      </c>
      <c r="B6594" s="222" t="e">
        <f>INDEX(Orçamentária!A:B,MATCH(Composições!A6594,Orçamentária!A:A,0),2)</f>
        <v>#N/A</v>
      </c>
      <c r="C6594" s="35"/>
      <c r="D6594" s="20" t="s">
        <v>20</v>
      </c>
      <c r="E6594" s="21"/>
      <c r="F6594" s="36" t="s">
        <v>521</v>
      </c>
      <c r="G6594" s="22" t="str">
        <f t="shared" ref="G6594:G6657" si="139">IF(ISNUMBER(F6594),E6594*F6594,"")</f>
        <v/>
      </c>
      <c r="H6594" s="23"/>
      <c r="I6594" s="24"/>
      <c r="J6594" s="138">
        <v>0</v>
      </c>
    </row>
    <row r="6595" spans="1:10" ht="15.75" hidden="1" thickBot="1" x14ac:dyDescent="0.3">
      <c r="A6595" s="221"/>
      <c r="B6595" s="223"/>
      <c r="C6595" s="26"/>
      <c r="D6595" s="26"/>
      <c r="E6595" s="27"/>
      <c r="F6595" s="37" t="s">
        <v>521</v>
      </c>
      <c r="G6595" s="25" t="str">
        <f t="shared" si="139"/>
        <v/>
      </c>
      <c r="H6595" s="29"/>
      <c r="I6595" s="25"/>
      <c r="J6595" s="138">
        <v>0</v>
      </c>
    </row>
    <row r="6596" spans="1:10" ht="26.25" hidden="1" thickBot="1" x14ac:dyDescent="0.3">
      <c r="A6596" s="221"/>
      <c r="B6596" s="223"/>
      <c r="C6596" s="159" t="s">
        <v>630</v>
      </c>
      <c r="D6596" s="41" t="s">
        <v>20</v>
      </c>
      <c r="E6596" s="146">
        <v>1</v>
      </c>
      <c r="F6596" s="25">
        <v>134.93799999999999</v>
      </c>
      <c r="G6596" s="25">
        <f t="shared" si="139"/>
        <v>134.93799999999999</v>
      </c>
      <c r="H6596" s="33">
        <f>SUM(G6596:G6596)</f>
        <v>134.93799999999999</v>
      </c>
      <c r="I6596" s="34"/>
      <c r="J6596" s="138">
        <v>0</v>
      </c>
    </row>
    <row r="6597" spans="1:10" ht="15.75" hidden="1" thickBot="1" x14ac:dyDescent="0.3">
      <c r="A6597" s="227"/>
      <c r="B6597" s="224"/>
      <c r="C6597" s="49"/>
      <c r="D6597" s="49"/>
      <c r="E6597" s="60"/>
      <c r="F6597" s="61" t="s">
        <v>521</v>
      </c>
      <c r="G6597" s="61" t="str">
        <f t="shared" si="139"/>
        <v/>
      </c>
      <c r="H6597" s="63"/>
      <c r="I6597" s="25"/>
      <c r="J6597" s="138">
        <v>0</v>
      </c>
    </row>
    <row r="6598" spans="1:10" ht="15.75" hidden="1" thickBot="1" x14ac:dyDescent="0.3">
      <c r="A6598" s="220" t="s">
        <v>2385</v>
      </c>
      <c r="B6598" s="222" t="e">
        <f>INDEX(Orçamentária!A:B,MATCH(Composições!A6598,Orçamentária!A:A,0),2)</f>
        <v>#N/A</v>
      </c>
      <c r="C6598" s="35"/>
      <c r="D6598" s="20" t="s">
        <v>20</v>
      </c>
      <c r="E6598" s="21"/>
      <c r="F6598" s="36" t="s">
        <v>521</v>
      </c>
      <c r="G6598" s="22" t="str">
        <f t="shared" si="139"/>
        <v/>
      </c>
      <c r="H6598" s="23"/>
      <c r="I6598" s="24"/>
      <c r="J6598" s="138">
        <v>0</v>
      </c>
    </row>
    <row r="6599" spans="1:10" ht="15.75" hidden="1" thickBot="1" x14ac:dyDescent="0.3">
      <c r="A6599" s="221"/>
      <c r="B6599" s="223"/>
      <c r="C6599" s="26"/>
      <c r="D6599" s="26"/>
      <c r="E6599" s="27"/>
      <c r="F6599" s="37" t="s">
        <v>521</v>
      </c>
      <c r="G6599" s="25" t="str">
        <f t="shared" si="139"/>
        <v/>
      </c>
      <c r="H6599" s="29"/>
      <c r="I6599" s="25"/>
      <c r="J6599" s="138">
        <v>0</v>
      </c>
    </row>
    <row r="6600" spans="1:10" ht="15.75" hidden="1" thickBot="1" x14ac:dyDescent="0.3">
      <c r="A6600" s="221"/>
      <c r="B6600" s="223"/>
      <c r="C6600" s="159" t="s">
        <v>2694</v>
      </c>
      <c r="D6600" s="41" t="s">
        <v>20</v>
      </c>
      <c r="E6600" s="146">
        <v>1</v>
      </c>
      <c r="F6600" s="25">
        <v>208.06899999999999</v>
      </c>
      <c r="G6600" s="25">
        <f t="shared" si="139"/>
        <v>208.06899999999999</v>
      </c>
      <c r="H6600" s="33">
        <f>SUM(G6600:G6600)</f>
        <v>208.06899999999999</v>
      </c>
      <c r="I6600" s="34"/>
      <c r="J6600" s="138">
        <v>0</v>
      </c>
    </row>
    <row r="6601" spans="1:10" ht="15.75" hidden="1" thickBot="1" x14ac:dyDescent="0.3">
      <c r="A6601" s="227"/>
      <c r="B6601" s="224"/>
      <c r="C6601" s="49"/>
      <c r="D6601" s="49"/>
      <c r="E6601" s="60"/>
      <c r="F6601" s="61" t="s">
        <v>521</v>
      </c>
      <c r="G6601" s="61" t="str">
        <f t="shared" si="139"/>
        <v/>
      </c>
      <c r="H6601" s="63"/>
      <c r="I6601" s="25"/>
      <c r="J6601" s="138">
        <v>0</v>
      </c>
    </row>
    <row r="6602" spans="1:10" ht="15.75" hidden="1" thickBot="1" x14ac:dyDescent="0.3">
      <c r="A6602" s="220" t="s">
        <v>2386</v>
      </c>
      <c r="B6602" s="222" t="e">
        <f>INDEX(Orçamentária!A:B,MATCH(Composições!A6602,Orçamentária!A:A,0),2)</f>
        <v>#N/A</v>
      </c>
      <c r="C6602" s="35"/>
      <c r="D6602" s="20" t="s">
        <v>20</v>
      </c>
      <c r="E6602" s="21"/>
      <c r="F6602" s="36" t="s">
        <v>521</v>
      </c>
      <c r="G6602" s="22" t="str">
        <f t="shared" si="139"/>
        <v/>
      </c>
      <c r="H6602" s="23"/>
      <c r="I6602" s="24"/>
      <c r="J6602" s="138">
        <v>0</v>
      </c>
    </row>
    <row r="6603" spans="1:10" ht="15.75" hidden="1" thickBot="1" x14ac:dyDescent="0.3">
      <c r="A6603" s="221"/>
      <c r="B6603" s="223"/>
      <c r="C6603" s="26"/>
      <c r="D6603" s="26"/>
      <c r="E6603" s="27"/>
      <c r="F6603" s="37" t="s">
        <v>521</v>
      </c>
      <c r="G6603" s="25" t="str">
        <f t="shared" si="139"/>
        <v/>
      </c>
      <c r="H6603" s="29"/>
      <c r="I6603" s="25"/>
      <c r="J6603" s="138">
        <v>0</v>
      </c>
    </row>
    <row r="6604" spans="1:10" ht="15.75" hidden="1" thickBot="1" x14ac:dyDescent="0.3">
      <c r="A6604" s="221"/>
      <c r="B6604" s="223"/>
      <c r="C6604" s="159" t="s">
        <v>1142</v>
      </c>
      <c r="D6604" s="41" t="s">
        <v>20</v>
      </c>
      <c r="E6604" s="146">
        <v>1</v>
      </c>
      <c r="F6604" s="25">
        <v>48.212499999999999</v>
      </c>
      <c r="G6604" s="25">
        <f t="shared" si="139"/>
        <v>48.212499999999999</v>
      </c>
      <c r="H6604" s="33">
        <f>SUM(G6604:G6604)</f>
        <v>48.212499999999999</v>
      </c>
      <c r="I6604" s="34"/>
      <c r="J6604" s="138">
        <v>0</v>
      </c>
    </row>
    <row r="6605" spans="1:10" ht="15.75" hidden="1" thickBot="1" x14ac:dyDescent="0.3">
      <c r="A6605" s="227"/>
      <c r="B6605" s="224"/>
      <c r="C6605" s="49"/>
      <c r="D6605" s="49"/>
      <c r="E6605" s="60"/>
      <c r="F6605" s="61" t="s">
        <v>521</v>
      </c>
      <c r="G6605" s="61" t="str">
        <f t="shared" si="139"/>
        <v/>
      </c>
      <c r="H6605" s="63"/>
      <c r="I6605" s="25"/>
      <c r="J6605" s="138">
        <v>0</v>
      </c>
    </row>
    <row r="6606" spans="1:10" ht="15.75" hidden="1" thickBot="1" x14ac:dyDescent="0.3">
      <c r="A6606" s="220" t="s">
        <v>2387</v>
      </c>
      <c r="B6606" s="222" t="e">
        <f>INDEX(Orçamentária!A:B,MATCH(Composições!A6606,Orçamentária!A:A,0),2)</f>
        <v>#N/A</v>
      </c>
      <c r="C6606" s="35"/>
      <c r="D6606" s="20" t="s">
        <v>20</v>
      </c>
      <c r="E6606" s="21"/>
      <c r="F6606" s="36" t="s">
        <v>521</v>
      </c>
      <c r="G6606" s="22" t="str">
        <f t="shared" si="139"/>
        <v/>
      </c>
      <c r="H6606" s="23"/>
      <c r="I6606" s="24"/>
      <c r="J6606" s="138">
        <v>0</v>
      </c>
    </row>
    <row r="6607" spans="1:10" ht="15.75" hidden="1" thickBot="1" x14ac:dyDescent="0.3">
      <c r="A6607" s="221"/>
      <c r="B6607" s="223"/>
      <c r="C6607" s="26"/>
      <c r="D6607" s="26"/>
      <c r="E6607" s="27"/>
      <c r="F6607" s="37" t="s">
        <v>521</v>
      </c>
      <c r="G6607" s="25" t="str">
        <f t="shared" si="139"/>
        <v/>
      </c>
      <c r="H6607" s="29"/>
      <c r="I6607" s="25"/>
      <c r="J6607" s="138">
        <v>0</v>
      </c>
    </row>
    <row r="6608" spans="1:10" ht="26.25" hidden="1" thickBot="1" x14ac:dyDescent="0.3">
      <c r="A6608" s="221"/>
      <c r="B6608" s="223"/>
      <c r="C6608" s="159" t="s">
        <v>2627</v>
      </c>
      <c r="D6608" s="41" t="s">
        <v>20</v>
      </c>
      <c r="E6608" s="146">
        <v>1</v>
      </c>
      <c r="F6608" s="25">
        <v>92.140499999999989</v>
      </c>
      <c r="G6608" s="25">
        <f t="shared" si="139"/>
        <v>92.140499999999989</v>
      </c>
      <c r="H6608" s="33">
        <f>SUM(G6608:G6608)</f>
        <v>92.140499999999989</v>
      </c>
      <c r="I6608" s="34"/>
      <c r="J6608" s="138">
        <v>0</v>
      </c>
    </row>
    <row r="6609" spans="1:10" ht="15.75" hidden="1" thickBot="1" x14ac:dyDescent="0.3">
      <c r="A6609" s="227"/>
      <c r="B6609" s="224"/>
      <c r="C6609" s="49"/>
      <c r="D6609" s="49"/>
      <c r="E6609" s="60"/>
      <c r="F6609" s="61" t="s">
        <v>521</v>
      </c>
      <c r="G6609" s="61" t="str">
        <f t="shared" si="139"/>
        <v/>
      </c>
      <c r="H6609" s="63"/>
      <c r="I6609" s="25"/>
      <c r="J6609" s="138">
        <v>0</v>
      </c>
    </row>
    <row r="6610" spans="1:10" ht="15.75" hidden="1" thickBot="1" x14ac:dyDescent="0.3">
      <c r="A6610" s="220" t="s">
        <v>2388</v>
      </c>
      <c r="B6610" s="222" t="e">
        <f>INDEX(Orçamentária!A:B,MATCH(Composições!A6610,Orçamentária!A:A,0),2)</f>
        <v>#N/A</v>
      </c>
      <c r="C6610" s="35"/>
      <c r="D6610" s="20" t="s">
        <v>20</v>
      </c>
      <c r="E6610" s="21"/>
      <c r="F6610" s="36" t="s">
        <v>521</v>
      </c>
      <c r="G6610" s="22" t="str">
        <f t="shared" si="139"/>
        <v/>
      </c>
      <c r="H6610" s="23"/>
      <c r="I6610" s="24"/>
      <c r="J6610" s="138">
        <v>0</v>
      </c>
    </row>
    <row r="6611" spans="1:10" ht="15.75" hidden="1" thickBot="1" x14ac:dyDescent="0.3">
      <c r="A6611" s="221"/>
      <c r="B6611" s="223"/>
      <c r="C6611" s="26"/>
      <c r="D6611" s="26"/>
      <c r="E6611" s="27"/>
      <c r="F6611" s="37" t="s">
        <v>521</v>
      </c>
      <c r="G6611" s="25" t="str">
        <f t="shared" si="139"/>
        <v/>
      </c>
      <c r="H6611" s="29"/>
      <c r="I6611" s="25"/>
      <c r="J6611" s="138">
        <v>0</v>
      </c>
    </row>
    <row r="6612" spans="1:10" ht="26.25" hidden="1" thickBot="1" x14ac:dyDescent="0.3">
      <c r="A6612" s="221"/>
      <c r="B6612" s="223"/>
      <c r="C6612" s="159" t="s">
        <v>2628</v>
      </c>
      <c r="D6612" s="41" t="s">
        <v>20</v>
      </c>
      <c r="E6612" s="146">
        <v>1</v>
      </c>
      <c r="F6612" s="25">
        <v>72.978999999999985</v>
      </c>
      <c r="G6612" s="25">
        <f t="shared" si="139"/>
        <v>72.978999999999985</v>
      </c>
      <c r="H6612" s="33">
        <f>SUM(G6612:G6612)</f>
        <v>72.978999999999985</v>
      </c>
      <c r="I6612" s="34"/>
      <c r="J6612" s="138">
        <v>0</v>
      </c>
    </row>
    <row r="6613" spans="1:10" ht="15.75" hidden="1" thickBot="1" x14ac:dyDescent="0.3">
      <c r="A6613" s="227"/>
      <c r="B6613" s="224"/>
      <c r="C6613" s="49"/>
      <c r="D6613" s="49"/>
      <c r="E6613" s="60"/>
      <c r="F6613" s="61" t="s">
        <v>521</v>
      </c>
      <c r="G6613" s="61" t="str">
        <f t="shared" si="139"/>
        <v/>
      </c>
      <c r="H6613" s="63"/>
      <c r="I6613" s="25"/>
      <c r="J6613" s="138">
        <v>0</v>
      </c>
    </row>
    <row r="6614" spans="1:10" ht="15.75" hidden="1" thickBot="1" x14ac:dyDescent="0.3">
      <c r="A6614" s="220" t="s">
        <v>2389</v>
      </c>
      <c r="B6614" s="222" t="e">
        <f>INDEX(Orçamentária!A:B,MATCH(Composições!A6614,Orçamentária!A:A,0),2)</f>
        <v>#N/A</v>
      </c>
      <c r="C6614" s="35"/>
      <c r="D6614" s="20" t="s">
        <v>20</v>
      </c>
      <c r="E6614" s="21"/>
      <c r="F6614" s="36" t="s">
        <v>521</v>
      </c>
      <c r="G6614" s="22" t="str">
        <f t="shared" si="139"/>
        <v/>
      </c>
      <c r="H6614" s="23"/>
      <c r="I6614" s="24"/>
      <c r="J6614" s="138">
        <v>0</v>
      </c>
    </row>
    <row r="6615" spans="1:10" ht="15.75" hidden="1" thickBot="1" x14ac:dyDescent="0.3">
      <c r="A6615" s="221"/>
      <c r="B6615" s="223"/>
      <c r="C6615" s="26"/>
      <c r="D6615" s="26"/>
      <c r="E6615" s="27"/>
      <c r="F6615" s="37" t="s">
        <v>521</v>
      </c>
      <c r="G6615" s="25" t="str">
        <f t="shared" si="139"/>
        <v/>
      </c>
      <c r="H6615" s="29"/>
      <c r="I6615" s="25"/>
      <c r="J6615" s="138">
        <v>0</v>
      </c>
    </row>
    <row r="6616" spans="1:10" ht="26.25" hidden="1" thickBot="1" x14ac:dyDescent="0.3">
      <c r="A6616" s="221"/>
      <c r="B6616" s="223"/>
      <c r="C6616" s="159" t="s">
        <v>2626</v>
      </c>
      <c r="D6616" s="41" t="s">
        <v>20</v>
      </c>
      <c r="E6616" s="146">
        <v>1</v>
      </c>
      <c r="F6616" s="25">
        <v>53.551499999999997</v>
      </c>
      <c r="G6616" s="25">
        <f t="shared" si="139"/>
        <v>53.551499999999997</v>
      </c>
      <c r="H6616" s="33">
        <f>SUM(G6616:G6616)</f>
        <v>53.551499999999997</v>
      </c>
      <c r="I6616" s="34"/>
      <c r="J6616" s="138">
        <v>0</v>
      </c>
    </row>
    <row r="6617" spans="1:10" ht="15.75" hidden="1" thickBot="1" x14ac:dyDescent="0.3">
      <c r="A6617" s="227"/>
      <c r="B6617" s="224"/>
      <c r="C6617" s="49"/>
      <c r="D6617" s="49"/>
      <c r="E6617" s="60"/>
      <c r="F6617" s="61" t="s">
        <v>521</v>
      </c>
      <c r="G6617" s="61" t="str">
        <f t="shared" si="139"/>
        <v/>
      </c>
      <c r="H6617" s="63"/>
      <c r="I6617" s="25"/>
      <c r="J6617" s="138">
        <v>0</v>
      </c>
    </row>
    <row r="6618" spans="1:10" ht="15.75" hidden="1" thickBot="1" x14ac:dyDescent="0.3">
      <c r="A6618" s="220" t="s">
        <v>2390</v>
      </c>
      <c r="B6618" s="222" t="e">
        <f>INDEX(Orçamentária!A:B,MATCH(Composições!A6618,Orçamentária!A:A,0),2)</f>
        <v>#N/A</v>
      </c>
      <c r="C6618" s="35"/>
      <c r="D6618" s="20" t="s">
        <v>20</v>
      </c>
      <c r="E6618" s="21"/>
      <c r="F6618" s="36" t="s">
        <v>521</v>
      </c>
      <c r="G6618" s="22" t="str">
        <f t="shared" si="139"/>
        <v/>
      </c>
      <c r="H6618" s="23"/>
      <c r="I6618" s="24"/>
      <c r="J6618" s="138">
        <v>0</v>
      </c>
    </row>
    <row r="6619" spans="1:10" ht="15.75" hidden="1" thickBot="1" x14ac:dyDescent="0.3">
      <c r="A6619" s="221"/>
      <c r="B6619" s="223"/>
      <c r="C6619" s="26"/>
      <c r="D6619" s="26"/>
      <c r="E6619" s="27"/>
      <c r="F6619" s="37" t="s">
        <v>521</v>
      </c>
      <c r="G6619" s="25" t="str">
        <f t="shared" si="139"/>
        <v/>
      </c>
      <c r="H6619" s="29"/>
      <c r="I6619" s="25"/>
      <c r="J6619" s="138">
        <v>0</v>
      </c>
    </row>
    <row r="6620" spans="1:10" ht="26.25" hidden="1" thickBot="1" x14ac:dyDescent="0.3">
      <c r="A6620" s="221"/>
      <c r="B6620" s="223"/>
      <c r="C6620" s="159" t="s">
        <v>2629</v>
      </c>
      <c r="D6620" s="41" t="s">
        <v>20</v>
      </c>
      <c r="E6620" s="146">
        <v>1</v>
      </c>
      <c r="F6620" s="25">
        <v>32.157499999999999</v>
      </c>
      <c r="G6620" s="25">
        <f t="shared" si="139"/>
        <v>32.157499999999999</v>
      </c>
      <c r="H6620" s="33">
        <f>SUM(G6620:G6620)</f>
        <v>32.157499999999999</v>
      </c>
      <c r="I6620" s="34"/>
      <c r="J6620" s="138">
        <v>0</v>
      </c>
    </row>
    <row r="6621" spans="1:10" ht="15.75" hidden="1" thickBot="1" x14ac:dyDescent="0.3">
      <c r="A6621" s="227"/>
      <c r="B6621" s="224"/>
      <c r="C6621" s="49"/>
      <c r="D6621" s="49"/>
      <c r="E6621" s="60"/>
      <c r="F6621" s="61" t="s">
        <v>521</v>
      </c>
      <c r="G6621" s="61" t="str">
        <f t="shared" si="139"/>
        <v/>
      </c>
      <c r="H6621" s="63"/>
      <c r="I6621" s="25"/>
      <c r="J6621" s="138">
        <v>0</v>
      </c>
    </row>
    <row r="6622" spans="1:10" ht="15.75" hidden="1" thickBot="1" x14ac:dyDescent="0.3">
      <c r="A6622" s="220" t="s">
        <v>2391</v>
      </c>
      <c r="B6622" s="222" t="e">
        <f>INDEX(Orçamentária!A:B,MATCH(Composições!A6622,Orçamentária!A:A,0),2)</f>
        <v>#N/A</v>
      </c>
      <c r="C6622" s="35"/>
      <c r="D6622" s="20" t="s">
        <v>20</v>
      </c>
      <c r="E6622" s="21"/>
      <c r="F6622" s="36" t="s">
        <v>521</v>
      </c>
      <c r="G6622" s="22" t="str">
        <f t="shared" si="139"/>
        <v/>
      </c>
      <c r="H6622" s="23"/>
      <c r="I6622" s="24"/>
      <c r="J6622" s="138">
        <v>0</v>
      </c>
    </row>
    <row r="6623" spans="1:10" ht="15.75" hidden="1" thickBot="1" x14ac:dyDescent="0.3">
      <c r="A6623" s="221"/>
      <c r="B6623" s="223"/>
      <c r="C6623" s="26"/>
      <c r="D6623" s="26"/>
      <c r="E6623" s="27"/>
      <c r="F6623" s="37" t="s">
        <v>521</v>
      </c>
      <c r="G6623" s="25" t="str">
        <f t="shared" si="139"/>
        <v/>
      </c>
      <c r="H6623" s="29"/>
      <c r="I6623" s="25"/>
      <c r="J6623" s="138">
        <v>0</v>
      </c>
    </row>
    <row r="6624" spans="1:10" ht="26.25" hidden="1" thickBot="1" x14ac:dyDescent="0.3">
      <c r="A6624" s="221"/>
      <c r="B6624" s="223"/>
      <c r="C6624" s="159" t="s">
        <v>2631</v>
      </c>
      <c r="D6624" s="41" t="s">
        <v>20</v>
      </c>
      <c r="E6624" s="146">
        <v>1</v>
      </c>
      <c r="F6624" s="25">
        <v>266.16149999999999</v>
      </c>
      <c r="G6624" s="25">
        <f t="shared" si="139"/>
        <v>266.16149999999999</v>
      </c>
      <c r="H6624" s="33">
        <f>SUM(G6624:G6624)</f>
        <v>266.16149999999999</v>
      </c>
      <c r="I6624" s="34"/>
      <c r="J6624" s="138">
        <v>0</v>
      </c>
    </row>
    <row r="6625" spans="1:10" ht="15.75" hidden="1" thickBot="1" x14ac:dyDescent="0.3">
      <c r="A6625" s="227"/>
      <c r="B6625" s="224"/>
      <c r="C6625" s="49"/>
      <c r="D6625" s="49"/>
      <c r="E6625" s="60"/>
      <c r="F6625" s="61" t="s">
        <v>521</v>
      </c>
      <c r="G6625" s="61" t="str">
        <f t="shared" si="139"/>
        <v/>
      </c>
      <c r="H6625" s="63"/>
      <c r="I6625" s="25"/>
      <c r="J6625" s="138">
        <v>0</v>
      </c>
    </row>
    <row r="6626" spans="1:10" ht="15.75" hidden="1" thickBot="1" x14ac:dyDescent="0.3">
      <c r="A6626" s="220" t="s">
        <v>2392</v>
      </c>
      <c r="B6626" s="222" t="e">
        <f>INDEX(Orçamentária!A:B,MATCH(Composições!A6626,Orçamentária!A:A,0),2)</f>
        <v>#N/A</v>
      </c>
      <c r="C6626" s="35"/>
      <c r="D6626" s="20" t="s">
        <v>20</v>
      </c>
      <c r="E6626" s="21"/>
      <c r="F6626" s="36" t="s">
        <v>521</v>
      </c>
      <c r="G6626" s="22" t="str">
        <f t="shared" si="139"/>
        <v/>
      </c>
      <c r="H6626" s="23"/>
      <c r="I6626" s="24"/>
      <c r="J6626" s="138">
        <v>0</v>
      </c>
    </row>
    <row r="6627" spans="1:10" ht="15.75" hidden="1" thickBot="1" x14ac:dyDescent="0.3">
      <c r="A6627" s="221"/>
      <c r="B6627" s="223"/>
      <c r="C6627" s="26"/>
      <c r="D6627" s="26"/>
      <c r="E6627" s="27"/>
      <c r="F6627" s="37" t="s">
        <v>521</v>
      </c>
      <c r="G6627" s="25" t="str">
        <f t="shared" si="139"/>
        <v/>
      </c>
      <c r="H6627" s="29"/>
      <c r="I6627" s="25"/>
      <c r="J6627" s="138">
        <v>0</v>
      </c>
    </row>
    <row r="6628" spans="1:10" ht="26.25" hidden="1" thickBot="1" x14ac:dyDescent="0.3">
      <c r="A6628" s="221"/>
      <c r="B6628" s="223"/>
      <c r="C6628" s="159" t="s">
        <v>2630</v>
      </c>
      <c r="D6628" s="41" t="s">
        <v>20</v>
      </c>
      <c r="E6628" s="146">
        <v>1</v>
      </c>
      <c r="F6628" s="25">
        <v>128.3355</v>
      </c>
      <c r="G6628" s="25">
        <f t="shared" si="139"/>
        <v>128.3355</v>
      </c>
      <c r="H6628" s="33">
        <f>SUM(G6628:G6628)</f>
        <v>128.3355</v>
      </c>
      <c r="I6628" s="34"/>
      <c r="J6628" s="138">
        <v>0</v>
      </c>
    </row>
    <row r="6629" spans="1:10" ht="15.75" hidden="1" thickBot="1" x14ac:dyDescent="0.3">
      <c r="A6629" s="227"/>
      <c r="B6629" s="224"/>
      <c r="C6629" s="49"/>
      <c r="D6629" s="49"/>
      <c r="E6629" s="60"/>
      <c r="F6629" s="61" t="s">
        <v>521</v>
      </c>
      <c r="G6629" s="61" t="str">
        <f t="shared" si="139"/>
        <v/>
      </c>
      <c r="H6629" s="63"/>
      <c r="I6629" s="25"/>
      <c r="J6629" s="138">
        <v>0</v>
      </c>
    </row>
    <row r="6630" spans="1:10" ht="15.75" hidden="1" thickBot="1" x14ac:dyDescent="0.3">
      <c r="A6630" s="220" t="s">
        <v>2393</v>
      </c>
      <c r="B6630" s="222" t="e">
        <f>INDEX(Orçamentária!A:B,MATCH(Composições!A6630,Orçamentária!A:A,0),2)</f>
        <v>#N/A</v>
      </c>
      <c r="C6630" s="35"/>
      <c r="D6630" s="20" t="s">
        <v>20</v>
      </c>
      <c r="E6630" s="21"/>
      <c r="F6630" s="36" t="s">
        <v>521</v>
      </c>
      <c r="G6630" s="22" t="str">
        <f t="shared" si="139"/>
        <v/>
      </c>
      <c r="H6630" s="23"/>
      <c r="I6630" s="24"/>
      <c r="J6630" s="138">
        <v>0</v>
      </c>
    </row>
    <row r="6631" spans="1:10" ht="15.75" hidden="1" thickBot="1" x14ac:dyDescent="0.3">
      <c r="A6631" s="221"/>
      <c r="B6631" s="223"/>
      <c r="C6631" s="26"/>
      <c r="D6631" s="26"/>
      <c r="E6631" s="27"/>
      <c r="F6631" s="37" t="s">
        <v>521</v>
      </c>
      <c r="G6631" s="25" t="str">
        <f t="shared" si="139"/>
        <v/>
      </c>
      <c r="H6631" s="29"/>
      <c r="I6631" s="25"/>
      <c r="J6631" s="138">
        <v>0</v>
      </c>
    </row>
    <row r="6632" spans="1:10" ht="26.25" hidden="1" thickBot="1" x14ac:dyDescent="0.3">
      <c r="A6632" s="221"/>
      <c r="B6632" s="223"/>
      <c r="C6632" s="159" t="s">
        <v>2632</v>
      </c>
      <c r="D6632" s="41" t="s">
        <v>20</v>
      </c>
      <c r="E6632" s="146">
        <v>1</v>
      </c>
      <c r="F6632" s="25">
        <v>322.23050000000001</v>
      </c>
      <c r="G6632" s="25">
        <f t="shared" si="139"/>
        <v>322.23050000000001</v>
      </c>
      <c r="H6632" s="33">
        <f>SUM(G6632:G6632)</f>
        <v>322.23050000000001</v>
      </c>
      <c r="I6632" s="34"/>
      <c r="J6632" s="138">
        <v>0</v>
      </c>
    </row>
    <row r="6633" spans="1:10" ht="15.75" hidden="1" thickBot="1" x14ac:dyDescent="0.3">
      <c r="A6633" s="227"/>
      <c r="B6633" s="224"/>
      <c r="C6633" s="49"/>
      <c r="D6633" s="49"/>
      <c r="E6633" s="60"/>
      <c r="F6633" s="61" t="s">
        <v>521</v>
      </c>
      <c r="G6633" s="61" t="str">
        <f t="shared" si="139"/>
        <v/>
      </c>
      <c r="H6633" s="63"/>
      <c r="I6633" s="25"/>
      <c r="J6633" s="138">
        <v>0</v>
      </c>
    </row>
    <row r="6634" spans="1:10" ht="15.75" hidden="1" thickBot="1" x14ac:dyDescent="0.3">
      <c r="A6634" s="220" t="s">
        <v>2394</v>
      </c>
      <c r="B6634" s="222" t="e">
        <f>INDEX(Orçamentária!A:B,MATCH(Composições!A6634,Orçamentária!A:A,0),2)</f>
        <v>#N/A</v>
      </c>
      <c r="C6634" s="35"/>
      <c r="D6634" s="20" t="s">
        <v>20</v>
      </c>
      <c r="E6634" s="21"/>
      <c r="F6634" s="36" t="s">
        <v>521</v>
      </c>
      <c r="G6634" s="22" t="str">
        <f t="shared" si="139"/>
        <v/>
      </c>
      <c r="H6634" s="23"/>
      <c r="I6634" s="24"/>
      <c r="J6634" s="138">
        <v>0</v>
      </c>
    </row>
    <row r="6635" spans="1:10" ht="15.75" hidden="1" thickBot="1" x14ac:dyDescent="0.3">
      <c r="A6635" s="221"/>
      <c r="B6635" s="223"/>
      <c r="C6635" s="26"/>
      <c r="D6635" s="26"/>
      <c r="E6635" s="27"/>
      <c r="F6635" s="37" t="s">
        <v>521</v>
      </c>
      <c r="G6635" s="25" t="str">
        <f t="shared" si="139"/>
        <v/>
      </c>
      <c r="H6635" s="29"/>
      <c r="I6635" s="25"/>
      <c r="J6635" s="138">
        <v>0</v>
      </c>
    </row>
    <row r="6636" spans="1:10" ht="26.25" hidden="1" thickBot="1" x14ac:dyDescent="0.3">
      <c r="A6636" s="221"/>
      <c r="B6636" s="223"/>
      <c r="C6636" s="159" t="s">
        <v>2633</v>
      </c>
      <c r="D6636" s="41" t="s">
        <v>20</v>
      </c>
      <c r="E6636" s="146">
        <v>1</v>
      </c>
      <c r="F6636" s="25">
        <v>33.924500000000002</v>
      </c>
      <c r="G6636" s="25">
        <f t="shared" si="139"/>
        <v>33.924500000000002</v>
      </c>
      <c r="H6636" s="33">
        <f>SUM(G6636:G6636)</f>
        <v>33.924500000000002</v>
      </c>
      <c r="I6636" s="34"/>
      <c r="J6636" s="138">
        <v>0</v>
      </c>
    </row>
    <row r="6637" spans="1:10" ht="15.75" hidden="1" thickBot="1" x14ac:dyDescent="0.3">
      <c r="A6637" s="227"/>
      <c r="B6637" s="224"/>
      <c r="C6637" s="49"/>
      <c r="D6637" s="49"/>
      <c r="E6637" s="60"/>
      <c r="F6637" s="61" t="s">
        <v>521</v>
      </c>
      <c r="G6637" s="61" t="str">
        <f t="shared" si="139"/>
        <v/>
      </c>
      <c r="H6637" s="63"/>
      <c r="I6637" s="25"/>
      <c r="J6637" s="138">
        <v>0</v>
      </c>
    </row>
    <row r="6638" spans="1:10" ht="15.75" hidden="1" thickBot="1" x14ac:dyDescent="0.3">
      <c r="A6638" s="220" t="s">
        <v>2395</v>
      </c>
      <c r="B6638" s="222" t="e">
        <f>INDEX(Orçamentária!A:B,MATCH(Composições!A6638,Orçamentária!A:A,0),2)</f>
        <v>#N/A</v>
      </c>
      <c r="C6638" s="35"/>
      <c r="D6638" s="20" t="s">
        <v>20</v>
      </c>
      <c r="E6638" s="21"/>
      <c r="F6638" s="36" t="s">
        <v>521</v>
      </c>
      <c r="G6638" s="22" t="str">
        <f t="shared" si="139"/>
        <v/>
      </c>
      <c r="H6638" s="23"/>
      <c r="I6638" s="24"/>
      <c r="J6638" s="138">
        <v>0</v>
      </c>
    </row>
    <row r="6639" spans="1:10" ht="15.75" hidden="1" thickBot="1" x14ac:dyDescent="0.3">
      <c r="A6639" s="221"/>
      <c r="B6639" s="223"/>
      <c r="C6639" s="26"/>
      <c r="D6639" s="26"/>
      <c r="E6639" s="27"/>
      <c r="F6639" s="37" t="s">
        <v>521</v>
      </c>
      <c r="G6639" s="25" t="str">
        <f t="shared" si="139"/>
        <v/>
      </c>
      <c r="H6639" s="29"/>
      <c r="I6639" s="25"/>
      <c r="J6639" s="138">
        <v>0</v>
      </c>
    </row>
    <row r="6640" spans="1:10" ht="26.25" hidden="1" thickBot="1" x14ac:dyDescent="0.3">
      <c r="A6640" s="221"/>
      <c r="B6640" s="223"/>
      <c r="C6640" s="159" t="s">
        <v>2634</v>
      </c>
      <c r="D6640" s="41" t="s">
        <v>20</v>
      </c>
      <c r="E6640" s="146">
        <v>1</v>
      </c>
      <c r="F6640" s="25">
        <v>671.41250000000002</v>
      </c>
      <c r="G6640" s="25">
        <f t="shared" si="139"/>
        <v>671.41250000000002</v>
      </c>
      <c r="H6640" s="33">
        <f>SUM(G6640:G6640)</f>
        <v>671.41250000000002</v>
      </c>
      <c r="I6640" s="34"/>
      <c r="J6640" s="138">
        <v>0</v>
      </c>
    </row>
    <row r="6641" spans="1:10" ht="15.75" hidden="1" thickBot="1" x14ac:dyDescent="0.3">
      <c r="A6641" s="227"/>
      <c r="B6641" s="224"/>
      <c r="C6641" s="49"/>
      <c r="D6641" s="49"/>
      <c r="E6641" s="60"/>
      <c r="F6641" s="61" t="s">
        <v>521</v>
      </c>
      <c r="G6641" s="61" t="str">
        <f t="shared" si="139"/>
        <v/>
      </c>
      <c r="H6641" s="63"/>
      <c r="I6641" s="25"/>
      <c r="J6641" s="138">
        <v>0</v>
      </c>
    </row>
    <row r="6642" spans="1:10" ht="15.75" hidden="1" thickBot="1" x14ac:dyDescent="0.3">
      <c r="A6642" s="220" t="s">
        <v>2396</v>
      </c>
      <c r="B6642" s="222" t="e">
        <f>INDEX(Orçamentária!A:B,MATCH(Composições!A6642,Orçamentária!A:A,0),2)</f>
        <v>#N/A</v>
      </c>
      <c r="C6642" s="35"/>
      <c r="D6642" s="20" t="s">
        <v>20</v>
      </c>
      <c r="E6642" s="21"/>
      <c r="F6642" s="36" t="s">
        <v>521</v>
      </c>
      <c r="G6642" s="22" t="str">
        <f t="shared" si="139"/>
        <v/>
      </c>
      <c r="H6642" s="23"/>
      <c r="I6642" s="24"/>
      <c r="J6642" s="138">
        <v>0</v>
      </c>
    </row>
    <row r="6643" spans="1:10" ht="15.75" hidden="1" thickBot="1" x14ac:dyDescent="0.3">
      <c r="A6643" s="221"/>
      <c r="B6643" s="223"/>
      <c r="C6643" s="26"/>
      <c r="D6643" s="26"/>
      <c r="E6643" s="27"/>
      <c r="F6643" s="37" t="s">
        <v>521</v>
      </c>
      <c r="G6643" s="25" t="str">
        <f t="shared" si="139"/>
        <v/>
      </c>
      <c r="H6643" s="29"/>
      <c r="I6643" s="25"/>
      <c r="J6643" s="138">
        <v>0</v>
      </c>
    </row>
    <row r="6644" spans="1:10" ht="26.25" hidden="1" thickBot="1" x14ac:dyDescent="0.3">
      <c r="A6644" s="221"/>
      <c r="B6644" s="223"/>
      <c r="C6644" s="159" t="s">
        <v>2636</v>
      </c>
      <c r="D6644" s="41" t="s">
        <v>20</v>
      </c>
      <c r="E6644" s="146">
        <v>1</v>
      </c>
      <c r="F6644" s="25">
        <v>22.790499999999998</v>
      </c>
      <c r="G6644" s="25">
        <f t="shared" si="139"/>
        <v>22.790499999999998</v>
      </c>
      <c r="H6644" s="33">
        <f>SUM(G6644:G6644)</f>
        <v>22.790499999999998</v>
      </c>
      <c r="I6644" s="34"/>
      <c r="J6644" s="138">
        <v>0</v>
      </c>
    </row>
    <row r="6645" spans="1:10" ht="15.75" hidden="1" thickBot="1" x14ac:dyDescent="0.3">
      <c r="A6645" s="227"/>
      <c r="B6645" s="224"/>
      <c r="C6645" s="49"/>
      <c r="D6645" s="49"/>
      <c r="E6645" s="60"/>
      <c r="F6645" s="61" t="s">
        <v>521</v>
      </c>
      <c r="G6645" s="61" t="str">
        <f t="shared" si="139"/>
        <v/>
      </c>
      <c r="H6645" s="63"/>
      <c r="I6645" s="25"/>
      <c r="J6645" s="138">
        <v>0</v>
      </c>
    </row>
    <row r="6646" spans="1:10" ht="15.75" hidden="1" thickBot="1" x14ac:dyDescent="0.3">
      <c r="A6646" s="220" t="s">
        <v>2397</v>
      </c>
      <c r="B6646" s="222" t="e">
        <f>INDEX(Orçamentária!A:B,MATCH(Composições!A6646,Orçamentária!A:A,0),2)</f>
        <v>#N/A</v>
      </c>
      <c r="C6646" s="35"/>
      <c r="D6646" s="20" t="s">
        <v>20</v>
      </c>
      <c r="E6646" s="21"/>
      <c r="F6646" s="36" t="s">
        <v>521</v>
      </c>
      <c r="G6646" s="22" t="str">
        <f t="shared" si="139"/>
        <v/>
      </c>
      <c r="H6646" s="23"/>
      <c r="I6646" s="24"/>
      <c r="J6646" s="138">
        <v>0</v>
      </c>
    </row>
    <row r="6647" spans="1:10" ht="15.75" hidden="1" thickBot="1" x14ac:dyDescent="0.3">
      <c r="A6647" s="221"/>
      <c r="B6647" s="223"/>
      <c r="C6647" s="26"/>
      <c r="D6647" s="26"/>
      <c r="E6647" s="27"/>
      <c r="F6647" s="37" t="s">
        <v>521</v>
      </c>
      <c r="G6647" s="25" t="str">
        <f t="shared" si="139"/>
        <v/>
      </c>
      <c r="H6647" s="29"/>
      <c r="I6647" s="25"/>
      <c r="J6647" s="138">
        <v>0</v>
      </c>
    </row>
    <row r="6648" spans="1:10" ht="26.25" hidden="1" thickBot="1" x14ac:dyDescent="0.3">
      <c r="A6648" s="221"/>
      <c r="B6648" s="223"/>
      <c r="C6648" s="159" t="s">
        <v>2637</v>
      </c>
      <c r="D6648" s="41" t="s">
        <v>20</v>
      </c>
      <c r="E6648" s="146">
        <v>1</v>
      </c>
      <c r="F6648" s="25">
        <v>27.207999999999998</v>
      </c>
      <c r="G6648" s="25">
        <f t="shared" si="139"/>
        <v>27.207999999999998</v>
      </c>
      <c r="H6648" s="33">
        <f>SUM(G6648:G6648)</f>
        <v>27.207999999999998</v>
      </c>
      <c r="I6648" s="34"/>
      <c r="J6648" s="138">
        <v>0</v>
      </c>
    </row>
    <row r="6649" spans="1:10" ht="15.75" hidden="1" thickBot="1" x14ac:dyDescent="0.3">
      <c r="A6649" s="227"/>
      <c r="B6649" s="224"/>
      <c r="C6649" s="49"/>
      <c r="D6649" s="49"/>
      <c r="E6649" s="60"/>
      <c r="F6649" s="61" t="s">
        <v>521</v>
      </c>
      <c r="G6649" s="61" t="str">
        <f t="shared" si="139"/>
        <v/>
      </c>
      <c r="H6649" s="63"/>
      <c r="I6649" s="25"/>
      <c r="J6649" s="138">
        <v>0</v>
      </c>
    </row>
    <row r="6650" spans="1:10" ht="15.75" hidden="1" thickBot="1" x14ac:dyDescent="0.3">
      <c r="A6650" s="220" t="s">
        <v>2398</v>
      </c>
      <c r="B6650" s="222" t="e">
        <f>INDEX(Orçamentária!A:B,MATCH(Composições!A6650,Orçamentária!A:A,0),2)</f>
        <v>#N/A</v>
      </c>
      <c r="C6650" s="35"/>
      <c r="D6650" s="20" t="s">
        <v>20</v>
      </c>
      <c r="E6650" s="21"/>
      <c r="F6650" s="36" t="s">
        <v>521</v>
      </c>
      <c r="G6650" s="22" t="str">
        <f t="shared" si="139"/>
        <v/>
      </c>
      <c r="H6650" s="23"/>
      <c r="I6650" s="24"/>
      <c r="J6650" s="138">
        <v>0</v>
      </c>
    </row>
    <row r="6651" spans="1:10" ht="15.75" hidden="1" thickBot="1" x14ac:dyDescent="0.3">
      <c r="A6651" s="221"/>
      <c r="B6651" s="223"/>
      <c r="C6651" s="26"/>
      <c r="D6651" s="26"/>
      <c r="E6651" s="27"/>
      <c r="F6651" s="37" t="s">
        <v>521</v>
      </c>
      <c r="G6651" s="25" t="str">
        <f t="shared" si="139"/>
        <v/>
      </c>
      <c r="H6651" s="29"/>
      <c r="I6651" s="25"/>
      <c r="J6651" s="138">
        <v>0</v>
      </c>
    </row>
    <row r="6652" spans="1:10" ht="26.25" hidden="1" thickBot="1" x14ac:dyDescent="0.3">
      <c r="A6652" s="221"/>
      <c r="B6652" s="223"/>
      <c r="C6652" s="159" t="s">
        <v>2624</v>
      </c>
      <c r="D6652" s="41" t="s">
        <v>20</v>
      </c>
      <c r="E6652" s="146">
        <v>1</v>
      </c>
      <c r="F6652" s="25">
        <v>31.691999999999997</v>
      </c>
      <c r="G6652" s="25">
        <f t="shared" si="139"/>
        <v>31.691999999999997</v>
      </c>
      <c r="H6652" s="33">
        <f>SUM(G6652:G6652)</f>
        <v>31.691999999999997</v>
      </c>
      <c r="I6652" s="34"/>
      <c r="J6652" s="138">
        <v>0</v>
      </c>
    </row>
    <row r="6653" spans="1:10" ht="15.75" hidden="1" thickBot="1" x14ac:dyDescent="0.3">
      <c r="A6653" s="227"/>
      <c r="B6653" s="224"/>
      <c r="C6653" s="49"/>
      <c r="D6653" s="49"/>
      <c r="E6653" s="60"/>
      <c r="F6653" s="61" t="s">
        <v>521</v>
      </c>
      <c r="G6653" s="61" t="str">
        <f t="shared" si="139"/>
        <v/>
      </c>
      <c r="H6653" s="63"/>
      <c r="I6653" s="25"/>
      <c r="J6653" s="138">
        <v>0</v>
      </c>
    </row>
    <row r="6654" spans="1:10" ht="15.75" hidden="1" thickBot="1" x14ac:dyDescent="0.3">
      <c r="A6654" s="220" t="s">
        <v>2399</v>
      </c>
      <c r="B6654" s="222" t="e">
        <f>INDEX(Orçamentária!A:B,MATCH(Composições!A6654,Orçamentária!A:A,0),2)</f>
        <v>#N/A</v>
      </c>
      <c r="C6654" s="35"/>
      <c r="D6654" s="20" t="s">
        <v>20</v>
      </c>
      <c r="E6654" s="21"/>
      <c r="F6654" s="36" t="s">
        <v>521</v>
      </c>
      <c r="G6654" s="22" t="str">
        <f t="shared" si="139"/>
        <v/>
      </c>
      <c r="H6654" s="23"/>
      <c r="I6654" s="24"/>
      <c r="J6654" s="138">
        <v>0</v>
      </c>
    </row>
    <row r="6655" spans="1:10" ht="15.75" hidden="1" thickBot="1" x14ac:dyDescent="0.3">
      <c r="A6655" s="221"/>
      <c r="B6655" s="223"/>
      <c r="C6655" s="26"/>
      <c r="D6655" s="26"/>
      <c r="E6655" s="27"/>
      <c r="F6655" s="37" t="s">
        <v>521</v>
      </c>
      <c r="G6655" s="25" t="str">
        <f t="shared" si="139"/>
        <v/>
      </c>
      <c r="H6655" s="29"/>
      <c r="I6655" s="25"/>
      <c r="J6655" s="138">
        <v>0</v>
      </c>
    </row>
    <row r="6656" spans="1:10" ht="26.25" hidden="1" thickBot="1" x14ac:dyDescent="0.3">
      <c r="A6656" s="221"/>
      <c r="B6656" s="223"/>
      <c r="C6656" s="159" t="s">
        <v>2623</v>
      </c>
      <c r="D6656" s="41" t="s">
        <v>20</v>
      </c>
      <c r="E6656" s="146">
        <v>1</v>
      </c>
      <c r="F6656" s="25">
        <v>86.867999999999995</v>
      </c>
      <c r="G6656" s="25">
        <f t="shared" si="139"/>
        <v>86.867999999999995</v>
      </c>
      <c r="H6656" s="33">
        <f>SUM(G6656:G6656)</f>
        <v>86.867999999999995</v>
      </c>
      <c r="I6656" s="34"/>
      <c r="J6656" s="138">
        <v>0</v>
      </c>
    </row>
    <row r="6657" spans="1:10" ht="15.75" hidden="1" thickBot="1" x14ac:dyDescent="0.3">
      <c r="A6657" s="227"/>
      <c r="B6657" s="224"/>
      <c r="C6657" s="49"/>
      <c r="D6657" s="49"/>
      <c r="E6657" s="60"/>
      <c r="F6657" s="61" t="s">
        <v>521</v>
      </c>
      <c r="G6657" s="61" t="str">
        <f t="shared" si="139"/>
        <v/>
      </c>
      <c r="H6657" s="63"/>
      <c r="I6657" s="25"/>
      <c r="J6657" s="138">
        <v>0</v>
      </c>
    </row>
    <row r="6658" spans="1:10" ht="15.75" hidden="1" thickBot="1" x14ac:dyDescent="0.3">
      <c r="A6658" s="220" t="s">
        <v>2400</v>
      </c>
      <c r="B6658" s="222" t="e">
        <f>INDEX(Orçamentária!A:B,MATCH(Composições!A6658,Orçamentária!A:A,0),2)</f>
        <v>#N/A</v>
      </c>
      <c r="C6658" s="35"/>
      <c r="D6658" s="20" t="s">
        <v>20</v>
      </c>
      <c r="E6658" s="21"/>
      <c r="F6658" s="36" t="s">
        <v>521</v>
      </c>
      <c r="G6658" s="22" t="str">
        <f t="shared" ref="G6658:G6721" si="140">IF(ISNUMBER(F6658),E6658*F6658,"")</f>
        <v/>
      </c>
      <c r="H6658" s="23"/>
      <c r="I6658" s="24"/>
      <c r="J6658" s="138">
        <v>0</v>
      </c>
    </row>
    <row r="6659" spans="1:10" ht="15.75" hidden="1" thickBot="1" x14ac:dyDescent="0.3">
      <c r="A6659" s="221"/>
      <c r="B6659" s="223"/>
      <c r="C6659" s="26"/>
      <c r="D6659" s="26"/>
      <c r="E6659" s="27"/>
      <c r="F6659" s="37" t="s">
        <v>521</v>
      </c>
      <c r="G6659" s="25" t="str">
        <f t="shared" si="140"/>
        <v/>
      </c>
      <c r="H6659" s="29"/>
      <c r="I6659" s="25"/>
      <c r="J6659" s="138">
        <v>0</v>
      </c>
    </row>
    <row r="6660" spans="1:10" ht="26.25" hidden="1" thickBot="1" x14ac:dyDescent="0.3">
      <c r="A6660" s="221"/>
      <c r="B6660" s="223"/>
      <c r="C6660" s="159" t="s">
        <v>2625</v>
      </c>
      <c r="D6660" s="41" t="s">
        <v>20</v>
      </c>
      <c r="E6660" s="146">
        <v>1</v>
      </c>
      <c r="F6660" s="25">
        <v>154.65049999999999</v>
      </c>
      <c r="G6660" s="25">
        <f t="shared" si="140"/>
        <v>154.65049999999999</v>
      </c>
      <c r="H6660" s="33">
        <f>SUM(G6660:G6660)</f>
        <v>154.65049999999999</v>
      </c>
      <c r="I6660" s="34"/>
      <c r="J6660" s="138">
        <v>0</v>
      </c>
    </row>
    <row r="6661" spans="1:10" ht="15.75" hidden="1" thickBot="1" x14ac:dyDescent="0.3">
      <c r="A6661" s="227"/>
      <c r="B6661" s="224"/>
      <c r="C6661" s="49"/>
      <c r="D6661" s="49"/>
      <c r="E6661" s="60"/>
      <c r="F6661" s="61" t="s">
        <v>521</v>
      </c>
      <c r="G6661" s="61" t="str">
        <f t="shared" si="140"/>
        <v/>
      </c>
      <c r="H6661" s="63"/>
      <c r="I6661" s="25"/>
      <c r="J6661" s="138">
        <v>0</v>
      </c>
    </row>
    <row r="6662" spans="1:10" ht="15.75" hidden="1" thickBot="1" x14ac:dyDescent="0.3">
      <c r="A6662" s="220" t="s">
        <v>2401</v>
      </c>
      <c r="B6662" s="222" t="e">
        <f>INDEX(Orçamentária!A:B,MATCH(Composições!A6662,Orçamentária!A:A,0),2)</f>
        <v>#N/A</v>
      </c>
      <c r="C6662" s="35"/>
      <c r="D6662" s="20" t="s">
        <v>20</v>
      </c>
      <c r="E6662" s="21"/>
      <c r="F6662" s="36" t="s">
        <v>521</v>
      </c>
      <c r="G6662" s="22" t="str">
        <f t="shared" si="140"/>
        <v/>
      </c>
      <c r="H6662" s="23"/>
      <c r="I6662" s="24"/>
      <c r="J6662" s="138">
        <v>0</v>
      </c>
    </row>
    <row r="6663" spans="1:10" ht="15.75" hidden="1" thickBot="1" x14ac:dyDescent="0.3">
      <c r="A6663" s="221"/>
      <c r="B6663" s="223"/>
      <c r="C6663" s="26"/>
      <c r="D6663" s="26"/>
      <c r="E6663" s="27"/>
      <c r="F6663" s="37" t="s">
        <v>521</v>
      </c>
      <c r="G6663" s="25" t="str">
        <f t="shared" si="140"/>
        <v/>
      </c>
      <c r="H6663" s="29"/>
      <c r="I6663" s="25"/>
      <c r="J6663" s="138">
        <v>0</v>
      </c>
    </row>
    <row r="6664" spans="1:10" ht="51.75" hidden="1" thickBot="1" x14ac:dyDescent="0.3">
      <c r="A6664" s="221"/>
      <c r="B6664" s="223"/>
      <c r="C6664" s="159" t="s">
        <v>2635</v>
      </c>
      <c r="D6664" s="41" t="s">
        <v>20</v>
      </c>
      <c r="E6664" s="146">
        <v>1</v>
      </c>
      <c r="F6664" s="25">
        <v>166.25</v>
      </c>
      <c r="G6664" s="25">
        <f t="shared" si="140"/>
        <v>166.25</v>
      </c>
      <c r="H6664" s="33">
        <f>SUM(G6664:G6664)</f>
        <v>166.25</v>
      </c>
      <c r="I6664" s="34"/>
      <c r="J6664" s="138">
        <v>0</v>
      </c>
    </row>
    <row r="6665" spans="1:10" ht="15.75" hidden="1" thickBot="1" x14ac:dyDescent="0.3">
      <c r="A6665" s="227"/>
      <c r="B6665" s="224"/>
      <c r="C6665" s="49"/>
      <c r="D6665" s="49"/>
      <c r="E6665" s="60"/>
      <c r="F6665" s="61" t="s">
        <v>521</v>
      </c>
      <c r="G6665" s="61" t="str">
        <f t="shared" si="140"/>
        <v/>
      </c>
      <c r="H6665" s="63"/>
      <c r="I6665" s="25"/>
      <c r="J6665" s="138">
        <v>0</v>
      </c>
    </row>
    <row r="6666" spans="1:10" ht="15.75" hidden="1" thickBot="1" x14ac:dyDescent="0.3">
      <c r="A6666" s="220" t="s">
        <v>2402</v>
      </c>
      <c r="B6666" s="222" t="e">
        <f>INDEX(Orçamentária!A:B,MATCH(Composições!A6666,Orçamentária!A:A,0),2)</f>
        <v>#N/A</v>
      </c>
      <c r="C6666" s="35"/>
      <c r="D6666" s="20" t="s">
        <v>20</v>
      </c>
      <c r="E6666" s="21"/>
      <c r="F6666" s="36" t="s">
        <v>521</v>
      </c>
      <c r="G6666" s="22" t="str">
        <f t="shared" si="140"/>
        <v/>
      </c>
      <c r="H6666" s="23"/>
      <c r="I6666" s="24"/>
      <c r="J6666" s="138">
        <v>0</v>
      </c>
    </row>
    <row r="6667" spans="1:10" ht="15.75" hidden="1" thickBot="1" x14ac:dyDescent="0.3">
      <c r="A6667" s="221"/>
      <c r="B6667" s="223"/>
      <c r="C6667" s="26"/>
      <c r="D6667" s="26"/>
      <c r="E6667" s="27"/>
      <c r="F6667" s="37" t="s">
        <v>521</v>
      </c>
      <c r="G6667" s="25" t="str">
        <f t="shared" si="140"/>
        <v/>
      </c>
      <c r="H6667" s="29"/>
      <c r="I6667" s="25"/>
      <c r="J6667" s="138">
        <v>0</v>
      </c>
    </row>
    <row r="6668" spans="1:10" ht="26.25" hidden="1" thickBot="1" x14ac:dyDescent="0.3">
      <c r="A6668" s="221"/>
      <c r="B6668" s="223"/>
      <c r="C6668" s="159" t="s">
        <v>2657</v>
      </c>
      <c r="D6668" s="41" t="s">
        <v>20</v>
      </c>
      <c r="E6668" s="146">
        <v>1</v>
      </c>
      <c r="F6668" s="25">
        <v>19.047499999999999</v>
      </c>
      <c r="G6668" s="25">
        <f t="shared" si="140"/>
        <v>19.047499999999999</v>
      </c>
      <c r="H6668" s="33">
        <f>SUM(G6668:G6668)</f>
        <v>19.047499999999999</v>
      </c>
      <c r="I6668" s="34"/>
      <c r="J6668" s="138">
        <v>0</v>
      </c>
    </row>
    <row r="6669" spans="1:10" ht="15.75" hidden="1" thickBot="1" x14ac:dyDescent="0.3">
      <c r="A6669" s="227"/>
      <c r="B6669" s="224"/>
      <c r="C6669" s="49"/>
      <c r="D6669" s="49"/>
      <c r="E6669" s="60"/>
      <c r="F6669" s="61" t="s">
        <v>521</v>
      </c>
      <c r="G6669" s="61" t="str">
        <f t="shared" si="140"/>
        <v/>
      </c>
      <c r="H6669" s="63"/>
      <c r="I6669" s="25"/>
      <c r="J6669" s="138">
        <v>0</v>
      </c>
    </row>
    <row r="6670" spans="1:10" ht="15.75" hidden="1" thickBot="1" x14ac:dyDescent="0.3">
      <c r="A6670" s="220" t="s">
        <v>2403</v>
      </c>
      <c r="B6670" s="222" t="e">
        <f>INDEX(Orçamentária!A:B,MATCH(Composições!A6670,Orçamentária!A:A,0),2)</f>
        <v>#N/A</v>
      </c>
      <c r="C6670" s="35"/>
      <c r="D6670" s="20" t="s">
        <v>20</v>
      </c>
      <c r="E6670" s="21"/>
      <c r="F6670" s="36" t="s">
        <v>521</v>
      </c>
      <c r="G6670" s="22" t="str">
        <f t="shared" si="140"/>
        <v/>
      </c>
      <c r="H6670" s="23"/>
      <c r="I6670" s="24"/>
      <c r="J6670" s="138">
        <v>0</v>
      </c>
    </row>
    <row r="6671" spans="1:10" ht="15.75" hidden="1" thickBot="1" x14ac:dyDescent="0.3">
      <c r="A6671" s="221"/>
      <c r="B6671" s="223"/>
      <c r="C6671" s="26"/>
      <c r="D6671" s="26"/>
      <c r="E6671" s="27"/>
      <c r="F6671" s="37" t="s">
        <v>521</v>
      </c>
      <c r="G6671" s="25" t="str">
        <f t="shared" si="140"/>
        <v/>
      </c>
      <c r="H6671" s="29"/>
      <c r="I6671" s="25"/>
      <c r="J6671" s="138">
        <v>0</v>
      </c>
    </row>
    <row r="6672" spans="1:10" ht="26.25" hidden="1" thickBot="1" x14ac:dyDescent="0.3">
      <c r="A6672" s="221"/>
      <c r="B6672" s="223"/>
      <c r="C6672" s="159" t="s">
        <v>2658</v>
      </c>
      <c r="D6672" s="41" t="s">
        <v>20</v>
      </c>
      <c r="E6672" s="146">
        <v>1</v>
      </c>
      <c r="F6672" s="25">
        <v>7.4384999999999994</v>
      </c>
      <c r="G6672" s="25">
        <f t="shared" si="140"/>
        <v>7.4384999999999994</v>
      </c>
      <c r="H6672" s="33">
        <f>SUM(G6672:G6672)</f>
        <v>7.4384999999999994</v>
      </c>
      <c r="I6672" s="34"/>
      <c r="J6672" s="138">
        <v>0</v>
      </c>
    </row>
    <row r="6673" spans="1:10" ht="15.75" hidden="1" thickBot="1" x14ac:dyDescent="0.3">
      <c r="A6673" s="227"/>
      <c r="B6673" s="224"/>
      <c r="C6673" s="49"/>
      <c r="D6673" s="49"/>
      <c r="E6673" s="60"/>
      <c r="F6673" s="61" t="s">
        <v>521</v>
      </c>
      <c r="G6673" s="61" t="str">
        <f t="shared" si="140"/>
        <v/>
      </c>
      <c r="H6673" s="63"/>
      <c r="I6673" s="25"/>
      <c r="J6673" s="138">
        <v>0</v>
      </c>
    </row>
    <row r="6674" spans="1:10" ht="15.75" hidden="1" thickBot="1" x14ac:dyDescent="0.3">
      <c r="A6674" s="220" t="s">
        <v>2404</v>
      </c>
      <c r="B6674" s="222" t="e">
        <f>INDEX(Orçamentária!A:B,MATCH(Composições!A6674,Orçamentária!A:A,0),2)</f>
        <v>#N/A</v>
      </c>
      <c r="C6674" s="35"/>
      <c r="D6674" s="20" t="s">
        <v>20</v>
      </c>
      <c r="E6674" s="21"/>
      <c r="F6674" s="36" t="s">
        <v>521</v>
      </c>
      <c r="G6674" s="22" t="str">
        <f t="shared" si="140"/>
        <v/>
      </c>
      <c r="H6674" s="23"/>
      <c r="I6674" s="24"/>
      <c r="J6674" s="138">
        <v>0</v>
      </c>
    </row>
    <row r="6675" spans="1:10" ht="15.75" hidden="1" thickBot="1" x14ac:dyDescent="0.3">
      <c r="A6675" s="221"/>
      <c r="B6675" s="223"/>
      <c r="C6675" s="26"/>
      <c r="D6675" s="26"/>
      <c r="E6675" s="27"/>
      <c r="F6675" s="37" t="s">
        <v>521</v>
      </c>
      <c r="G6675" s="25" t="str">
        <f t="shared" si="140"/>
        <v/>
      </c>
      <c r="H6675" s="29"/>
      <c r="I6675" s="25"/>
      <c r="J6675" s="138">
        <v>0</v>
      </c>
    </row>
    <row r="6676" spans="1:10" ht="26.25" hidden="1" thickBot="1" x14ac:dyDescent="0.3">
      <c r="A6676" s="221"/>
      <c r="B6676" s="223"/>
      <c r="C6676" s="159" t="s">
        <v>2659</v>
      </c>
      <c r="D6676" s="41" t="s">
        <v>20</v>
      </c>
      <c r="E6676" s="146">
        <v>1</v>
      </c>
      <c r="F6676" s="25">
        <v>12.359499999999999</v>
      </c>
      <c r="G6676" s="25">
        <f t="shared" si="140"/>
        <v>12.359499999999999</v>
      </c>
      <c r="H6676" s="33">
        <f>SUM(G6676:G6676)</f>
        <v>12.359499999999999</v>
      </c>
      <c r="I6676" s="34"/>
      <c r="J6676" s="138">
        <v>0</v>
      </c>
    </row>
    <row r="6677" spans="1:10" ht="15.75" hidden="1" thickBot="1" x14ac:dyDescent="0.3">
      <c r="A6677" s="227"/>
      <c r="B6677" s="224"/>
      <c r="C6677" s="49"/>
      <c r="D6677" s="49"/>
      <c r="E6677" s="60"/>
      <c r="F6677" s="61" t="s">
        <v>521</v>
      </c>
      <c r="G6677" s="61" t="str">
        <f t="shared" si="140"/>
        <v/>
      </c>
      <c r="H6677" s="63"/>
      <c r="I6677" s="25"/>
      <c r="J6677" s="138">
        <v>0</v>
      </c>
    </row>
    <row r="6678" spans="1:10" ht="15.75" hidden="1" thickBot="1" x14ac:dyDescent="0.3">
      <c r="A6678" s="220" t="s">
        <v>2405</v>
      </c>
      <c r="B6678" s="222" t="e">
        <f>INDEX(Orçamentária!A:B,MATCH(Composições!A6678,Orçamentária!A:A,0),2)</f>
        <v>#N/A</v>
      </c>
      <c r="C6678" s="35"/>
      <c r="D6678" s="20" t="s">
        <v>20</v>
      </c>
      <c r="E6678" s="21"/>
      <c r="F6678" s="36" t="s">
        <v>521</v>
      </c>
      <c r="G6678" s="22" t="str">
        <f t="shared" si="140"/>
        <v/>
      </c>
      <c r="H6678" s="23"/>
      <c r="I6678" s="24"/>
      <c r="J6678" s="138">
        <v>0</v>
      </c>
    </row>
    <row r="6679" spans="1:10" ht="15.75" hidden="1" thickBot="1" x14ac:dyDescent="0.3">
      <c r="A6679" s="221"/>
      <c r="B6679" s="223"/>
      <c r="C6679" s="26"/>
      <c r="D6679" s="26"/>
      <c r="E6679" s="27"/>
      <c r="F6679" s="37" t="s">
        <v>521</v>
      </c>
      <c r="G6679" s="25" t="str">
        <f t="shared" si="140"/>
        <v/>
      </c>
      <c r="H6679" s="29"/>
      <c r="I6679" s="25"/>
      <c r="J6679" s="138">
        <v>0</v>
      </c>
    </row>
    <row r="6680" spans="1:10" ht="39" hidden="1" thickBot="1" x14ac:dyDescent="0.3">
      <c r="A6680" s="221"/>
      <c r="B6680" s="223"/>
      <c r="C6680" s="159" t="s">
        <v>2660</v>
      </c>
      <c r="D6680" s="41" t="s">
        <v>20</v>
      </c>
      <c r="E6680" s="146">
        <v>1</v>
      </c>
      <c r="F6680" s="25">
        <v>414.91249999999997</v>
      </c>
      <c r="G6680" s="25">
        <f t="shared" si="140"/>
        <v>414.91249999999997</v>
      </c>
      <c r="H6680" s="33">
        <f>SUM(G6680:G6680)</f>
        <v>414.91249999999997</v>
      </c>
      <c r="I6680" s="34"/>
      <c r="J6680" s="138">
        <v>0</v>
      </c>
    </row>
    <row r="6681" spans="1:10" ht="15.75" hidden="1" thickBot="1" x14ac:dyDescent="0.3">
      <c r="A6681" s="227"/>
      <c r="B6681" s="224"/>
      <c r="C6681" s="49"/>
      <c r="D6681" s="49"/>
      <c r="E6681" s="60"/>
      <c r="F6681" s="61" t="s">
        <v>521</v>
      </c>
      <c r="G6681" s="61" t="str">
        <f t="shared" si="140"/>
        <v/>
      </c>
      <c r="H6681" s="63"/>
      <c r="I6681" s="25"/>
      <c r="J6681" s="138">
        <v>0</v>
      </c>
    </row>
    <row r="6682" spans="1:10" ht="15.75" hidden="1" thickBot="1" x14ac:dyDescent="0.3">
      <c r="A6682" s="220" t="s">
        <v>2406</v>
      </c>
      <c r="B6682" s="222" t="e">
        <f>INDEX(Orçamentária!A:B,MATCH(Composições!A6682,Orçamentária!A:A,0),2)</f>
        <v>#N/A</v>
      </c>
      <c r="C6682" s="35"/>
      <c r="D6682" s="20" t="s">
        <v>20</v>
      </c>
      <c r="E6682" s="21"/>
      <c r="F6682" s="36" t="s">
        <v>521</v>
      </c>
      <c r="G6682" s="22" t="str">
        <f t="shared" si="140"/>
        <v/>
      </c>
      <c r="H6682" s="23"/>
      <c r="I6682" s="24"/>
      <c r="J6682" s="138">
        <v>0</v>
      </c>
    </row>
    <row r="6683" spans="1:10" ht="15.75" hidden="1" thickBot="1" x14ac:dyDescent="0.3">
      <c r="A6683" s="221"/>
      <c r="B6683" s="223"/>
      <c r="C6683" s="26"/>
      <c r="D6683" s="26"/>
      <c r="E6683" s="27"/>
      <c r="F6683" s="37" t="s">
        <v>521</v>
      </c>
      <c r="G6683" s="25" t="str">
        <f t="shared" si="140"/>
        <v/>
      </c>
      <c r="H6683" s="29"/>
      <c r="I6683" s="25"/>
      <c r="J6683" s="138">
        <v>0</v>
      </c>
    </row>
    <row r="6684" spans="1:10" ht="39" hidden="1" thickBot="1" x14ac:dyDescent="0.3">
      <c r="A6684" s="221"/>
      <c r="B6684" s="223"/>
      <c r="C6684" s="159" t="s">
        <v>2661</v>
      </c>
      <c r="D6684" s="41" t="s">
        <v>20</v>
      </c>
      <c r="E6684" s="146">
        <v>1</v>
      </c>
      <c r="F6684" s="25">
        <v>340.41349999999994</v>
      </c>
      <c r="G6684" s="25">
        <f t="shared" si="140"/>
        <v>340.41349999999994</v>
      </c>
      <c r="H6684" s="33">
        <f>SUM(G6684:G6684)</f>
        <v>340.41349999999994</v>
      </c>
      <c r="I6684" s="34"/>
      <c r="J6684" s="138">
        <v>0</v>
      </c>
    </row>
    <row r="6685" spans="1:10" ht="15.75" hidden="1" thickBot="1" x14ac:dyDescent="0.3">
      <c r="A6685" s="227"/>
      <c r="B6685" s="224"/>
      <c r="C6685" s="49"/>
      <c r="D6685" s="49"/>
      <c r="E6685" s="60"/>
      <c r="F6685" s="61" t="s">
        <v>521</v>
      </c>
      <c r="G6685" s="61" t="str">
        <f t="shared" si="140"/>
        <v/>
      </c>
      <c r="H6685" s="63"/>
      <c r="I6685" s="25"/>
      <c r="J6685" s="138">
        <v>0</v>
      </c>
    </row>
    <row r="6686" spans="1:10" ht="15.75" hidden="1" thickBot="1" x14ac:dyDescent="0.3">
      <c r="A6686" s="220" t="s">
        <v>2407</v>
      </c>
      <c r="B6686" s="222" t="e">
        <f>INDEX(Orçamentária!A:B,MATCH(Composições!A6686,Orçamentária!A:A,0),2)</f>
        <v>#N/A</v>
      </c>
      <c r="C6686" s="35"/>
      <c r="D6686" s="20" t="s">
        <v>20</v>
      </c>
      <c r="E6686" s="21"/>
      <c r="F6686" s="36" t="s">
        <v>521</v>
      </c>
      <c r="G6686" s="22" t="str">
        <f t="shared" si="140"/>
        <v/>
      </c>
      <c r="H6686" s="23"/>
      <c r="I6686" s="24"/>
      <c r="J6686" s="138">
        <v>0</v>
      </c>
    </row>
    <row r="6687" spans="1:10" ht="15.75" hidden="1" thickBot="1" x14ac:dyDescent="0.3">
      <c r="A6687" s="221"/>
      <c r="B6687" s="223"/>
      <c r="C6687" s="26"/>
      <c r="D6687" s="26"/>
      <c r="E6687" s="27"/>
      <c r="F6687" s="37" t="s">
        <v>521</v>
      </c>
      <c r="G6687" s="25" t="str">
        <f t="shared" si="140"/>
        <v/>
      </c>
      <c r="H6687" s="29"/>
      <c r="I6687" s="25"/>
      <c r="J6687" s="138">
        <v>0</v>
      </c>
    </row>
    <row r="6688" spans="1:10" ht="26.25" hidden="1" thickBot="1" x14ac:dyDescent="0.3">
      <c r="A6688" s="221"/>
      <c r="B6688" s="223"/>
      <c r="C6688" s="159" t="s">
        <v>2663</v>
      </c>
      <c r="D6688" s="41" t="s">
        <v>20</v>
      </c>
      <c r="E6688" s="146">
        <v>1</v>
      </c>
      <c r="F6688" s="25">
        <v>199.87049999999996</v>
      </c>
      <c r="G6688" s="25">
        <f t="shared" si="140"/>
        <v>199.87049999999996</v>
      </c>
      <c r="H6688" s="33">
        <f>SUM(G6688:G6688)</f>
        <v>199.87049999999996</v>
      </c>
      <c r="I6688" s="34"/>
      <c r="J6688" s="138">
        <v>0</v>
      </c>
    </row>
    <row r="6689" spans="1:10" ht="15.75" hidden="1" thickBot="1" x14ac:dyDescent="0.3">
      <c r="A6689" s="227"/>
      <c r="B6689" s="224"/>
      <c r="C6689" s="49"/>
      <c r="D6689" s="49"/>
      <c r="E6689" s="60"/>
      <c r="F6689" s="61" t="s">
        <v>521</v>
      </c>
      <c r="G6689" s="61" t="str">
        <f t="shared" si="140"/>
        <v/>
      </c>
      <c r="H6689" s="63"/>
      <c r="I6689" s="25"/>
      <c r="J6689" s="138">
        <v>0</v>
      </c>
    </row>
    <row r="6690" spans="1:10" ht="15.75" hidden="1" thickBot="1" x14ac:dyDescent="0.3">
      <c r="A6690" s="220" t="s">
        <v>2408</v>
      </c>
      <c r="B6690" s="222" t="e">
        <f>INDEX(Orçamentária!A:B,MATCH(Composições!A6690,Orçamentária!A:A,0),2)</f>
        <v>#N/A</v>
      </c>
      <c r="C6690" s="35"/>
      <c r="D6690" s="20" t="s">
        <v>20</v>
      </c>
      <c r="E6690" s="21"/>
      <c r="F6690" s="36" t="s">
        <v>521</v>
      </c>
      <c r="G6690" s="22" t="str">
        <f t="shared" si="140"/>
        <v/>
      </c>
      <c r="H6690" s="23"/>
      <c r="I6690" s="24"/>
      <c r="J6690" s="138">
        <v>0</v>
      </c>
    </row>
    <row r="6691" spans="1:10" ht="15.75" hidden="1" thickBot="1" x14ac:dyDescent="0.3">
      <c r="A6691" s="221"/>
      <c r="B6691" s="223"/>
      <c r="C6691" s="26"/>
      <c r="D6691" s="26"/>
      <c r="E6691" s="27"/>
      <c r="F6691" s="37" t="s">
        <v>521</v>
      </c>
      <c r="G6691" s="25" t="str">
        <f t="shared" si="140"/>
        <v/>
      </c>
      <c r="H6691" s="29"/>
      <c r="I6691" s="25"/>
      <c r="J6691" s="138">
        <v>0</v>
      </c>
    </row>
    <row r="6692" spans="1:10" ht="26.25" hidden="1" thickBot="1" x14ac:dyDescent="0.3">
      <c r="A6692" s="221"/>
      <c r="B6692" s="223"/>
      <c r="C6692" s="159" t="s">
        <v>2664</v>
      </c>
      <c r="D6692" s="41" t="s">
        <v>20</v>
      </c>
      <c r="E6692" s="146">
        <v>1</v>
      </c>
      <c r="F6692" s="25">
        <v>532.35149999999999</v>
      </c>
      <c r="G6692" s="25">
        <f t="shared" si="140"/>
        <v>532.35149999999999</v>
      </c>
      <c r="H6692" s="33">
        <f>SUM(G6692:G6692)</f>
        <v>532.35149999999999</v>
      </c>
      <c r="I6692" s="34"/>
      <c r="J6692" s="138">
        <v>0</v>
      </c>
    </row>
    <row r="6693" spans="1:10" ht="15.75" hidden="1" thickBot="1" x14ac:dyDescent="0.3">
      <c r="A6693" s="227"/>
      <c r="B6693" s="224"/>
      <c r="C6693" s="49"/>
      <c r="D6693" s="49"/>
      <c r="E6693" s="60"/>
      <c r="F6693" s="61" t="s">
        <v>521</v>
      </c>
      <c r="G6693" s="61" t="str">
        <f t="shared" si="140"/>
        <v/>
      </c>
      <c r="H6693" s="63"/>
      <c r="I6693" s="25"/>
      <c r="J6693" s="138">
        <v>0</v>
      </c>
    </row>
    <row r="6694" spans="1:10" ht="15.75" hidden="1" thickBot="1" x14ac:dyDescent="0.3">
      <c r="A6694" s="220" t="s">
        <v>2409</v>
      </c>
      <c r="B6694" s="222" t="e">
        <f>INDEX(Orçamentária!A:B,MATCH(Composições!A6694,Orçamentária!A:A,0),2)</f>
        <v>#N/A</v>
      </c>
      <c r="C6694" s="35"/>
      <c r="D6694" s="20" t="s">
        <v>20</v>
      </c>
      <c r="E6694" s="21"/>
      <c r="F6694" s="36" t="s">
        <v>521</v>
      </c>
      <c r="G6694" s="22" t="str">
        <f t="shared" si="140"/>
        <v/>
      </c>
      <c r="H6694" s="23"/>
      <c r="I6694" s="24"/>
      <c r="J6694" s="138">
        <v>0</v>
      </c>
    </row>
    <row r="6695" spans="1:10" ht="15.75" hidden="1" thickBot="1" x14ac:dyDescent="0.3">
      <c r="A6695" s="221"/>
      <c r="B6695" s="223"/>
      <c r="C6695" s="26"/>
      <c r="D6695" s="26"/>
      <c r="E6695" s="27"/>
      <c r="F6695" s="37" t="s">
        <v>521</v>
      </c>
      <c r="G6695" s="25" t="str">
        <f t="shared" si="140"/>
        <v/>
      </c>
      <c r="H6695" s="29"/>
      <c r="I6695" s="25"/>
      <c r="J6695" s="138">
        <v>0</v>
      </c>
    </row>
    <row r="6696" spans="1:10" ht="26.25" hidden="1" thickBot="1" x14ac:dyDescent="0.3">
      <c r="A6696" s="221"/>
      <c r="B6696" s="223"/>
      <c r="C6696" s="159" t="s">
        <v>2662</v>
      </c>
      <c r="D6696" s="41" t="s">
        <v>20</v>
      </c>
      <c r="E6696" s="146">
        <v>1</v>
      </c>
      <c r="F6696" s="25">
        <v>88.843999999999994</v>
      </c>
      <c r="G6696" s="25">
        <f t="shared" si="140"/>
        <v>88.843999999999994</v>
      </c>
      <c r="H6696" s="33">
        <f>SUM(G6696:G6696)</f>
        <v>88.843999999999994</v>
      </c>
      <c r="I6696" s="34"/>
      <c r="J6696" s="138">
        <v>0</v>
      </c>
    </row>
    <row r="6697" spans="1:10" ht="15.75" hidden="1" thickBot="1" x14ac:dyDescent="0.3">
      <c r="A6697" s="227"/>
      <c r="B6697" s="224"/>
      <c r="C6697" s="49"/>
      <c r="D6697" s="49"/>
      <c r="E6697" s="60"/>
      <c r="F6697" s="61" t="s">
        <v>521</v>
      </c>
      <c r="G6697" s="61" t="str">
        <f t="shared" si="140"/>
        <v/>
      </c>
      <c r="H6697" s="63"/>
      <c r="I6697" s="25"/>
      <c r="J6697" s="138">
        <v>0</v>
      </c>
    </row>
    <row r="6698" spans="1:10" ht="15.75" hidden="1" thickBot="1" x14ac:dyDescent="0.3">
      <c r="A6698" s="220" t="s">
        <v>2410</v>
      </c>
      <c r="B6698" s="222" t="e">
        <f>INDEX(Orçamentária!A:B,MATCH(Composições!A6698,Orçamentária!A:A,0),2)</f>
        <v>#N/A</v>
      </c>
      <c r="C6698" s="35"/>
      <c r="D6698" s="20" t="s">
        <v>93</v>
      </c>
      <c r="E6698" s="21"/>
      <c r="F6698" s="36" t="s">
        <v>521</v>
      </c>
      <c r="G6698" s="22" t="str">
        <f t="shared" si="140"/>
        <v/>
      </c>
      <c r="H6698" s="23"/>
      <c r="I6698" s="24"/>
      <c r="J6698" s="138">
        <v>0</v>
      </c>
    </row>
    <row r="6699" spans="1:10" ht="15.75" hidden="1" thickBot="1" x14ac:dyDescent="0.3">
      <c r="A6699" s="221"/>
      <c r="B6699" s="223"/>
      <c r="C6699" s="26"/>
      <c r="D6699" s="26"/>
      <c r="E6699" s="27"/>
      <c r="F6699" s="37" t="s">
        <v>521</v>
      </c>
      <c r="G6699" s="25" t="str">
        <f t="shared" si="140"/>
        <v/>
      </c>
      <c r="H6699" s="29"/>
      <c r="I6699" s="25"/>
      <c r="J6699" s="138">
        <v>0</v>
      </c>
    </row>
    <row r="6700" spans="1:10" ht="26.25" hidden="1" thickBot="1" x14ac:dyDescent="0.3">
      <c r="A6700" s="221"/>
      <c r="B6700" s="223"/>
      <c r="C6700" s="159" t="s">
        <v>948</v>
      </c>
      <c r="D6700" s="41" t="s">
        <v>93</v>
      </c>
      <c r="E6700" s="146">
        <v>1</v>
      </c>
      <c r="F6700" s="25">
        <v>53.7605</v>
      </c>
      <c r="G6700" s="25">
        <f t="shared" si="140"/>
        <v>53.7605</v>
      </c>
      <c r="H6700" s="33">
        <f t="shared" ref="H6700" si="141">SUM(G6700:G6700)</f>
        <v>53.7605</v>
      </c>
      <c r="I6700" s="34"/>
      <c r="J6700" s="138">
        <v>0</v>
      </c>
    </row>
    <row r="6701" spans="1:10" ht="15.75" hidden="1" thickBot="1" x14ac:dyDescent="0.3">
      <c r="A6701" s="227"/>
      <c r="B6701" s="224"/>
      <c r="C6701" s="49"/>
      <c r="D6701" s="49"/>
      <c r="E6701" s="60"/>
      <c r="F6701" s="61" t="s">
        <v>521</v>
      </c>
      <c r="G6701" s="61" t="str">
        <f t="shared" si="140"/>
        <v/>
      </c>
      <c r="H6701" s="63"/>
      <c r="I6701" s="25"/>
      <c r="J6701" s="138">
        <v>0</v>
      </c>
    </row>
    <row r="6702" spans="1:10" ht="15.75" hidden="1" thickBot="1" x14ac:dyDescent="0.3">
      <c r="A6702" s="220" t="s">
        <v>2411</v>
      </c>
      <c r="B6702" s="222" t="e">
        <f>INDEX(Orçamentária!A:B,MATCH(Composições!A6702,Orçamentária!A:A,0),2)</f>
        <v>#N/A</v>
      </c>
      <c r="C6702" s="35"/>
      <c r="D6702" s="20" t="s">
        <v>93</v>
      </c>
      <c r="E6702" s="21"/>
      <c r="F6702" s="36" t="s">
        <v>521</v>
      </c>
      <c r="G6702" s="22" t="str">
        <f t="shared" si="140"/>
        <v/>
      </c>
      <c r="H6702" s="23"/>
      <c r="I6702" s="24"/>
      <c r="J6702" s="138">
        <v>0</v>
      </c>
    </row>
    <row r="6703" spans="1:10" ht="15.75" hidden="1" thickBot="1" x14ac:dyDescent="0.3">
      <c r="A6703" s="221"/>
      <c r="B6703" s="223"/>
      <c r="C6703" s="26"/>
      <c r="D6703" s="26"/>
      <c r="E6703" s="27"/>
      <c r="F6703" s="37" t="s">
        <v>521</v>
      </c>
      <c r="G6703" s="25" t="str">
        <f t="shared" si="140"/>
        <v/>
      </c>
      <c r="H6703" s="29"/>
      <c r="I6703" s="25"/>
      <c r="J6703" s="138">
        <v>0</v>
      </c>
    </row>
    <row r="6704" spans="1:10" ht="26.25" hidden="1" thickBot="1" x14ac:dyDescent="0.3">
      <c r="A6704" s="221"/>
      <c r="B6704" s="223"/>
      <c r="C6704" s="159" t="s">
        <v>952</v>
      </c>
      <c r="D6704" s="41" t="s">
        <v>93</v>
      </c>
      <c r="E6704" s="146">
        <v>1</v>
      </c>
      <c r="F6704" s="25">
        <v>68.238500000000002</v>
      </c>
      <c r="G6704" s="25">
        <f t="shared" si="140"/>
        <v>68.238500000000002</v>
      </c>
      <c r="H6704" s="33">
        <f t="shared" ref="H6704" si="142">SUM(G6704:G6704)</f>
        <v>68.238500000000002</v>
      </c>
      <c r="I6704" s="34"/>
      <c r="J6704" s="138">
        <v>0</v>
      </c>
    </row>
    <row r="6705" spans="1:10" ht="15.75" hidden="1" thickBot="1" x14ac:dyDescent="0.3">
      <c r="A6705" s="227"/>
      <c r="B6705" s="224"/>
      <c r="C6705" s="49"/>
      <c r="D6705" s="49"/>
      <c r="E6705" s="60"/>
      <c r="F6705" s="61" t="s">
        <v>521</v>
      </c>
      <c r="G6705" s="61" t="str">
        <f t="shared" si="140"/>
        <v/>
      </c>
      <c r="H6705" s="63"/>
      <c r="I6705" s="25"/>
      <c r="J6705" s="138">
        <v>0</v>
      </c>
    </row>
    <row r="6706" spans="1:10" ht="15.75" hidden="1" thickBot="1" x14ac:dyDescent="0.3">
      <c r="A6706" s="220" t="s">
        <v>2412</v>
      </c>
      <c r="B6706" s="222" t="e">
        <f>INDEX(Orçamentária!A:B,MATCH(Composições!A6706,Orçamentária!A:A,0),2)</f>
        <v>#N/A</v>
      </c>
      <c r="C6706" s="35"/>
      <c r="D6706" s="20" t="s">
        <v>93</v>
      </c>
      <c r="E6706" s="21"/>
      <c r="F6706" s="36" t="s">
        <v>521</v>
      </c>
      <c r="G6706" s="22" t="str">
        <f t="shared" si="140"/>
        <v/>
      </c>
      <c r="H6706" s="23"/>
      <c r="I6706" s="24"/>
      <c r="J6706" s="138">
        <v>0</v>
      </c>
    </row>
    <row r="6707" spans="1:10" ht="15.75" hidden="1" thickBot="1" x14ac:dyDescent="0.3">
      <c r="A6707" s="221"/>
      <c r="B6707" s="223"/>
      <c r="C6707" s="26"/>
      <c r="D6707" s="26"/>
      <c r="E6707" s="27"/>
      <c r="F6707" s="37" t="s">
        <v>521</v>
      </c>
      <c r="G6707" s="25" t="str">
        <f t="shared" si="140"/>
        <v/>
      </c>
      <c r="H6707" s="29"/>
      <c r="I6707" s="25"/>
      <c r="J6707" s="138">
        <v>0</v>
      </c>
    </row>
    <row r="6708" spans="1:10" ht="26.25" hidden="1" thickBot="1" x14ac:dyDescent="0.3">
      <c r="A6708" s="221"/>
      <c r="B6708" s="223"/>
      <c r="C6708" s="159" t="s">
        <v>954</v>
      </c>
      <c r="D6708" s="41" t="s">
        <v>93</v>
      </c>
      <c r="E6708" s="146">
        <v>1</v>
      </c>
      <c r="F6708" s="25">
        <v>133.80749999999998</v>
      </c>
      <c r="G6708" s="25">
        <f t="shared" si="140"/>
        <v>133.80749999999998</v>
      </c>
      <c r="H6708" s="33">
        <f t="shared" ref="H6708" si="143">SUM(G6708:G6708)</f>
        <v>133.80749999999998</v>
      </c>
      <c r="I6708" s="34"/>
      <c r="J6708" s="138">
        <v>0</v>
      </c>
    </row>
    <row r="6709" spans="1:10" ht="15.75" hidden="1" thickBot="1" x14ac:dyDescent="0.3">
      <c r="A6709" s="227"/>
      <c r="B6709" s="224"/>
      <c r="C6709" s="49"/>
      <c r="D6709" s="49"/>
      <c r="E6709" s="60"/>
      <c r="F6709" s="61" t="s">
        <v>521</v>
      </c>
      <c r="G6709" s="61" t="str">
        <f t="shared" si="140"/>
        <v/>
      </c>
      <c r="H6709" s="63"/>
      <c r="I6709" s="25"/>
      <c r="J6709" s="138">
        <v>0</v>
      </c>
    </row>
    <row r="6710" spans="1:10" ht="15.75" hidden="1" thickBot="1" x14ac:dyDescent="0.3">
      <c r="A6710" s="220" t="s">
        <v>2413</v>
      </c>
      <c r="B6710" s="222" t="e">
        <f>INDEX(Orçamentária!A:B,MATCH(Composições!A6710,Orçamentária!A:A,0),2)</f>
        <v>#N/A</v>
      </c>
      <c r="C6710" s="35"/>
      <c r="D6710" s="20" t="s">
        <v>93</v>
      </c>
      <c r="E6710" s="21"/>
      <c r="F6710" s="36" t="s">
        <v>521</v>
      </c>
      <c r="G6710" s="22" t="str">
        <f t="shared" si="140"/>
        <v/>
      </c>
      <c r="H6710" s="23"/>
      <c r="I6710" s="24"/>
      <c r="J6710" s="138">
        <v>0</v>
      </c>
    </row>
    <row r="6711" spans="1:10" ht="15.75" hidden="1" thickBot="1" x14ac:dyDescent="0.3">
      <c r="A6711" s="221"/>
      <c r="B6711" s="223"/>
      <c r="C6711" s="26"/>
      <c r="D6711" s="26"/>
      <c r="E6711" s="27"/>
      <c r="F6711" s="37" t="s">
        <v>521</v>
      </c>
      <c r="G6711" s="25" t="str">
        <f t="shared" si="140"/>
        <v/>
      </c>
      <c r="H6711" s="29"/>
      <c r="I6711" s="25"/>
      <c r="J6711" s="138">
        <v>0</v>
      </c>
    </row>
    <row r="6712" spans="1:10" ht="26.25" hidden="1" thickBot="1" x14ac:dyDescent="0.3">
      <c r="A6712" s="221"/>
      <c r="B6712" s="223"/>
      <c r="C6712" s="159" t="s">
        <v>2669</v>
      </c>
      <c r="D6712" s="41" t="s">
        <v>93</v>
      </c>
      <c r="E6712" s="146">
        <v>1</v>
      </c>
      <c r="F6712" s="25">
        <v>99.094499999999996</v>
      </c>
      <c r="G6712" s="25">
        <f t="shared" si="140"/>
        <v>99.094499999999996</v>
      </c>
      <c r="H6712" s="33">
        <f t="shared" ref="H6712" si="144">SUM(G6712:G6712)</f>
        <v>99.094499999999996</v>
      </c>
      <c r="I6712" s="34"/>
      <c r="J6712" s="138">
        <v>0</v>
      </c>
    </row>
    <row r="6713" spans="1:10" ht="15.75" hidden="1" thickBot="1" x14ac:dyDescent="0.3">
      <c r="A6713" s="227"/>
      <c r="B6713" s="224"/>
      <c r="C6713" s="49"/>
      <c r="D6713" s="49"/>
      <c r="E6713" s="60"/>
      <c r="F6713" s="61" t="s">
        <v>521</v>
      </c>
      <c r="G6713" s="61" t="str">
        <f t="shared" si="140"/>
        <v/>
      </c>
      <c r="H6713" s="63"/>
      <c r="I6713" s="25"/>
      <c r="J6713" s="138">
        <v>0</v>
      </c>
    </row>
    <row r="6714" spans="1:10" ht="15.75" hidden="1" thickBot="1" x14ac:dyDescent="0.3">
      <c r="A6714" s="220" t="s">
        <v>2414</v>
      </c>
      <c r="B6714" s="222" t="e">
        <f>INDEX(Orçamentária!A:B,MATCH(Composições!A6714,Orçamentária!A:A,0),2)</f>
        <v>#N/A</v>
      </c>
      <c r="C6714" s="35"/>
      <c r="D6714" s="20" t="s">
        <v>93</v>
      </c>
      <c r="E6714" s="21"/>
      <c r="F6714" s="36" t="s">
        <v>521</v>
      </c>
      <c r="G6714" s="22" t="str">
        <f t="shared" si="140"/>
        <v/>
      </c>
      <c r="H6714" s="23"/>
      <c r="I6714" s="24"/>
      <c r="J6714" s="138">
        <v>0</v>
      </c>
    </row>
    <row r="6715" spans="1:10" ht="15.75" hidden="1" thickBot="1" x14ac:dyDescent="0.3">
      <c r="A6715" s="221"/>
      <c r="B6715" s="223"/>
      <c r="C6715" s="26"/>
      <c r="D6715" s="26"/>
      <c r="E6715" s="27"/>
      <c r="F6715" s="37" t="s">
        <v>521</v>
      </c>
      <c r="G6715" s="25" t="str">
        <f t="shared" si="140"/>
        <v/>
      </c>
      <c r="H6715" s="29"/>
      <c r="I6715" s="25"/>
      <c r="J6715" s="138">
        <v>0</v>
      </c>
    </row>
    <row r="6716" spans="1:10" ht="26.25" hidden="1" thickBot="1" x14ac:dyDescent="0.3">
      <c r="A6716" s="221"/>
      <c r="B6716" s="223"/>
      <c r="C6716" s="159" t="s">
        <v>2670</v>
      </c>
      <c r="D6716" s="41" t="s">
        <v>93</v>
      </c>
      <c r="E6716" s="146">
        <v>1</v>
      </c>
      <c r="F6716" s="25">
        <v>194.0565</v>
      </c>
      <c r="G6716" s="25">
        <f t="shared" si="140"/>
        <v>194.0565</v>
      </c>
      <c r="H6716" s="33">
        <f t="shared" ref="H6716" si="145">SUM(G6716:G6716)</f>
        <v>194.0565</v>
      </c>
      <c r="I6716" s="34"/>
      <c r="J6716" s="138">
        <v>0</v>
      </c>
    </row>
    <row r="6717" spans="1:10" ht="15.75" hidden="1" thickBot="1" x14ac:dyDescent="0.3">
      <c r="A6717" s="227"/>
      <c r="B6717" s="224"/>
      <c r="C6717" s="49"/>
      <c r="D6717" s="49"/>
      <c r="E6717" s="60"/>
      <c r="F6717" s="61" t="s">
        <v>521</v>
      </c>
      <c r="G6717" s="61" t="str">
        <f t="shared" si="140"/>
        <v/>
      </c>
      <c r="H6717" s="63"/>
      <c r="I6717" s="25"/>
      <c r="J6717" s="138">
        <v>0</v>
      </c>
    </row>
    <row r="6718" spans="1:10" ht="15.75" hidden="1" thickBot="1" x14ac:dyDescent="0.3">
      <c r="A6718" s="220" t="s">
        <v>2415</v>
      </c>
      <c r="B6718" s="222" t="e">
        <f>INDEX(Orçamentária!A:B,MATCH(Composições!A6718,Orçamentária!A:A,0),2)</f>
        <v>#N/A</v>
      </c>
      <c r="C6718" s="35"/>
      <c r="D6718" s="20" t="s">
        <v>93</v>
      </c>
      <c r="E6718" s="21"/>
      <c r="F6718" s="36" t="s">
        <v>521</v>
      </c>
      <c r="G6718" s="22" t="str">
        <f t="shared" si="140"/>
        <v/>
      </c>
      <c r="H6718" s="23"/>
      <c r="I6718" s="24"/>
      <c r="J6718" s="138">
        <v>0</v>
      </c>
    </row>
    <row r="6719" spans="1:10" ht="15.75" hidden="1" thickBot="1" x14ac:dyDescent="0.3">
      <c r="A6719" s="221"/>
      <c r="B6719" s="223"/>
      <c r="C6719" s="26"/>
      <c r="D6719" s="26"/>
      <c r="E6719" s="27"/>
      <c r="F6719" s="37" t="s">
        <v>521</v>
      </c>
      <c r="G6719" s="25" t="str">
        <f t="shared" si="140"/>
        <v/>
      </c>
      <c r="H6719" s="29"/>
      <c r="I6719" s="25"/>
      <c r="J6719" s="138">
        <v>0</v>
      </c>
    </row>
    <row r="6720" spans="1:10" ht="26.25" hidden="1" thickBot="1" x14ac:dyDescent="0.3">
      <c r="A6720" s="221"/>
      <c r="B6720" s="223"/>
      <c r="C6720" s="159" t="s">
        <v>2671</v>
      </c>
      <c r="D6720" s="41" t="s">
        <v>93</v>
      </c>
      <c r="E6720" s="146">
        <v>1</v>
      </c>
      <c r="F6720" s="25">
        <v>273.39099999999996</v>
      </c>
      <c r="G6720" s="25">
        <f t="shared" si="140"/>
        <v>273.39099999999996</v>
      </c>
      <c r="H6720" s="33">
        <f t="shared" ref="H6720" si="146">SUM(G6720:G6720)</f>
        <v>273.39099999999996</v>
      </c>
      <c r="I6720" s="34"/>
      <c r="J6720" s="138">
        <v>0</v>
      </c>
    </row>
    <row r="6721" spans="1:10" ht="15.75" hidden="1" thickBot="1" x14ac:dyDescent="0.3">
      <c r="A6721" s="227"/>
      <c r="B6721" s="224"/>
      <c r="C6721" s="49"/>
      <c r="D6721" s="49"/>
      <c r="E6721" s="60"/>
      <c r="F6721" s="61" t="s">
        <v>521</v>
      </c>
      <c r="G6721" s="61" t="str">
        <f t="shared" si="140"/>
        <v/>
      </c>
      <c r="H6721" s="63"/>
      <c r="I6721" s="25"/>
      <c r="J6721" s="138">
        <v>0</v>
      </c>
    </row>
    <row r="6722" spans="1:10" ht="15.75" hidden="1" thickBot="1" x14ac:dyDescent="0.3">
      <c r="A6722" s="220" t="s">
        <v>2416</v>
      </c>
      <c r="B6722" s="222" t="e">
        <f>INDEX(Orçamentária!A:B,MATCH(Composições!A6722,Orçamentária!A:A,0),2)</f>
        <v>#N/A</v>
      </c>
      <c r="C6722" s="35"/>
      <c r="D6722" s="20" t="s">
        <v>93</v>
      </c>
      <c r="E6722" s="21"/>
      <c r="F6722" s="36" t="s">
        <v>521</v>
      </c>
      <c r="G6722" s="22" t="str">
        <f t="shared" ref="G6722:G6785" si="147">IF(ISNUMBER(F6722),E6722*F6722,"")</f>
        <v/>
      </c>
      <c r="H6722" s="23"/>
      <c r="I6722" s="24"/>
      <c r="J6722" s="138">
        <v>0</v>
      </c>
    </row>
    <row r="6723" spans="1:10" ht="15.75" hidden="1" thickBot="1" x14ac:dyDescent="0.3">
      <c r="A6723" s="221"/>
      <c r="B6723" s="223"/>
      <c r="C6723" s="26"/>
      <c r="D6723" s="26"/>
      <c r="E6723" s="27"/>
      <c r="F6723" s="37" t="s">
        <v>521</v>
      </c>
      <c r="G6723" s="25" t="str">
        <f t="shared" si="147"/>
        <v/>
      </c>
      <c r="H6723" s="29"/>
      <c r="I6723" s="25"/>
      <c r="J6723" s="138">
        <v>0</v>
      </c>
    </row>
    <row r="6724" spans="1:10" ht="26.25" hidden="1" thickBot="1" x14ac:dyDescent="0.3">
      <c r="A6724" s="221"/>
      <c r="B6724" s="223"/>
      <c r="C6724" s="159" t="s">
        <v>2672</v>
      </c>
      <c r="D6724" s="41" t="s">
        <v>93</v>
      </c>
      <c r="E6724" s="146">
        <v>1</v>
      </c>
      <c r="F6724" s="25">
        <v>399.65549999999996</v>
      </c>
      <c r="G6724" s="25">
        <f t="shared" si="147"/>
        <v>399.65549999999996</v>
      </c>
      <c r="H6724" s="33">
        <f t="shared" ref="H6724" si="148">SUM(G6724:G6724)</f>
        <v>399.65549999999996</v>
      </c>
      <c r="I6724" s="34"/>
      <c r="J6724" s="138">
        <v>0</v>
      </c>
    </row>
    <row r="6725" spans="1:10" ht="15.75" hidden="1" thickBot="1" x14ac:dyDescent="0.3">
      <c r="A6725" s="227"/>
      <c r="B6725" s="224"/>
      <c r="C6725" s="49"/>
      <c r="D6725" s="49"/>
      <c r="E6725" s="60"/>
      <c r="F6725" s="61" t="s">
        <v>521</v>
      </c>
      <c r="G6725" s="61" t="str">
        <f t="shared" si="147"/>
        <v/>
      </c>
      <c r="H6725" s="63"/>
      <c r="I6725" s="25"/>
      <c r="J6725" s="138">
        <v>0</v>
      </c>
    </row>
    <row r="6726" spans="1:10" ht="15.75" hidden="1" thickBot="1" x14ac:dyDescent="0.3">
      <c r="A6726" s="220" t="s">
        <v>2417</v>
      </c>
      <c r="B6726" s="222" t="e">
        <f>INDEX(Orçamentária!A:B,MATCH(Composições!A6726,Orçamentária!A:A,0),2)</f>
        <v>#N/A</v>
      </c>
      <c r="C6726" s="35"/>
      <c r="D6726" s="20" t="s">
        <v>93</v>
      </c>
      <c r="E6726" s="21"/>
      <c r="F6726" s="36" t="s">
        <v>521</v>
      </c>
      <c r="G6726" s="22" t="str">
        <f t="shared" si="147"/>
        <v/>
      </c>
      <c r="H6726" s="23"/>
      <c r="I6726" s="24"/>
      <c r="J6726" s="138">
        <v>0</v>
      </c>
    </row>
    <row r="6727" spans="1:10" ht="15.75" hidden="1" thickBot="1" x14ac:dyDescent="0.3">
      <c r="A6727" s="221"/>
      <c r="B6727" s="223"/>
      <c r="C6727" s="26"/>
      <c r="D6727" s="26"/>
      <c r="E6727" s="27"/>
      <c r="F6727" s="37" t="s">
        <v>521</v>
      </c>
      <c r="G6727" s="25" t="str">
        <f t="shared" si="147"/>
        <v/>
      </c>
      <c r="H6727" s="29"/>
      <c r="I6727" s="25"/>
      <c r="J6727" s="138">
        <v>0</v>
      </c>
    </row>
    <row r="6728" spans="1:10" ht="26.25" hidden="1" thickBot="1" x14ac:dyDescent="0.3">
      <c r="A6728" s="221"/>
      <c r="B6728" s="223"/>
      <c r="C6728" s="159" t="s">
        <v>2668</v>
      </c>
      <c r="D6728" s="41" t="s">
        <v>93</v>
      </c>
      <c r="E6728" s="146">
        <v>1</v>
      </c>
      <c r="F6728" s="25">
        <v>589.31349999999998</v>
      </c>
      <c r="G6728" s="25">
        <f t="shared" si="147"/>
        <v>589.31349999999998</v>
      </c>
      <c r="H6728" s="33">
        <f t="shared" ref="H6728" si="149">SUM(G6728:G6728)</f>
        <v>589.31349999999998</v>
      </c>
      <c r="I6728" s="34"/>
      <c r="J6728" s="138">
        <v>0</v>
      </c>
    </row>
    <row r="6729" spans="1:10" ht="15.75" hidden="1" thickBot="1" x14ac:dyDescent="0.3">
      <c r="A6729" s="227"/>
      <c r="B6729" s="224"/>
      <c r="C6729" s="49"/>
      <c r="D6729" s="49"/>
      <c r="E6729" s="60"/>
      <c r="F6729" s="61" t="s">
        <v>521</v>
      </c>
      <c r="G6729" s="61" t="str">
        <f t="shared" si="147"/>
        <v/>
      </c>
      <c r="H6729" s="63"/>
      <c r="I6729" s="25"/>
      <c r="J6729" s="138">
        <v>0</v>
      </c>
    </row>
    <row r="6730" spans="1:10" ht="15.75" hidden="1" thickBot="1" x14ac:dyDescent="0.3">
      <c r="A6730" s="220" t="s">
        <v>2418</v>
      </c>
      <c r="B6730" s="222" t="e">
        <f>INDEX(Orçamentária!A:B,MATCH(Composições!A6730,Orçamentária!A:A,0),2)</f>
        <v>#N/A</v>
      </c>
      <c r="C6730" s="35"/>
      <c r="D6730" s="20" t="s">
        <v>93</v>
      </c>
      <c r="E6730" s="21"/>
      <c r="F6730" s="36" t="s">
        <v>521</v>
      </c>
      <c r="G6730" s="22" t="str">
        <f t="shared" si="147"/>
        <v/>
      </c>
      <c r="H6730" s="23"/>
      <c r="I6730" s="24"/>
      <c r="J6730" s="138">
        <v>0</v>
      </c>
    </row>
    <row r="6731" spans="1:10" ht="15.75" hidden="1" thickBot="1" x14ac:dyDescent="0.3">
      <c r="A6731" s="221"/>
      <c r="B6731" s="223"/>
      <c r="C6731" s="26"/>
      <c r="D6731" s="26"/>
      <c r="E6731" s="27"/>
      <c r="F6731" s="37" t="s">
        <v>521</v>
      </c>
      <c r="G6731" s="25" t="str">
        <f t="shared" si="147"/>
        <v/>
      </c>
      <c r="H6731" s="29"/>
      <c r="I6731" s="25"/>
      <c r="J6731" s="138">
        <v>0</v>
      </c>
    </row>
    <row r="6732" spans="1:10" ht="15.75" hidden="1" thickBot="1" x14ac:dyDescent="0.3">
      <c r="A6732" s="221"/>
      <c r="B6732" s="223"/>
      <c r="C6732" s="159" t="s">
        <v>1755</v>
      </c>
      <c r="D6732" s="41" t="s">
        <v>93</v>
      </c>
      <c r="E6732" s="146">
        <v>1</v>
      </c>
      <c r="F6732" s="25">
        <v>13.575499999999998</v>
      </c>
      <c r="G6732" s="25">
        <f t="shared" si="147"/>
        <v>13.575499999999998</v>
      </c>
      <c r="H6732" s="33">
        <f t="shared" ref="H6732" si="150">SUM(G6732:G6732)</f>
        <v>13.575499999999998</v>
      </c>
      <c r="I6732" s="34"/>
      <c r="J6732" s="138">
        <v>0</v>
      </c>
    </row>
    <row r="6733" spans="1:10" ht="15.75" hidden="1" thickBot="1" x14ac:dyDescent="0.3">
      <c r="A6733" s="227"/>
      <c r="B6733" s="224"/>
      <c r="C6733" s="49"/>
      <c r="D6733" s="49"/>
      <c r="E6733" s="60"/>
      <c r="F6733" s="61" t="s">
        <v>521</v>
      </c>
      <c r="G6733" s="61" t="str">
        <f t="shared" si="147"/>
        <v/>
      </c>
      <c r="H6733" s="63"/>
      <c r="I6733" s="25"/>
      <c r="J6733" s="138">
        <v>0</v>
      </c>
    </row>
    <row r="6734" spans="1:10" ht="15.75" hidden="1" thickBot="1" x14ac:dyDescent="0.3">
      <c r="A6734" s="220" t="s">
        <v>2419</v>
      </c>
      <c r="B6734" s="222" t="e">
        <f>INDEX(Orçamentária!A:B,MATCH(Composições!A6734,Orçamentária!A:A,0),2)</f>
        <v>#N/A</v>
      </c>
      <c r="C6734" s="35"/>
      <c r="D6734" s="20" t="s">
        <v>93</v>
      </c>
      <c r="E6734" s="21"/>
      <c r="F6734" s="36" t="s">
        <v>521</v>
      </c>
      <c r="G6734" s="22" t="str">
        <f t="shared" si="147"/>
        <v/>
      </c>
      <c r="H6734" s="23"/>
      <c r="I6734" s="24"/>
      <c r="J6734" s="138">
        <v>0</v>
      </c>
    </row>
    <row r="6735" spans="1:10" ht="15.75" hidden="1" thickBot="1" x14ac:dyDescent="0.3">
      <c r="A6735" s="221"/>
      <c r="B6735" s="223"/>
      <c r="C6735" s="26"/>
      <c r="D6735" s="26"/>
      <c r="E6735" s="27"/>
      <c r="F6735" s="37" t="s">
        <v>521</v>
      </c>
      <c r="G6735" s="25" t="str">
        <f t="shared" si="147"/>
        <v/>
      </c>
      <c r="H6735" s="29"/>
      <c r="I6735" s="25"/>
      <c r="J6735" s="138">
        <v>0</v>
      </c>
    </row>
    <row r="6736" spans="1:10" ht="15.75" hidden="1" thickBot="1" x14ac:dyDescent="0.3">
      <c r="A6736" s="221"/>
      <c r="B6736" s="223"/>
      <c r="C6736" s="159" t="s">
        <v>1756</v>
      </c>
      <c r="D6736" s="41" t="s">
        <v>93</v>
      </c>
      <c r="E6736" s="146">
        <v>1</v>
      </c>
      <c r="F6736" s="25">
        <v>21.792999999999999</v>
      </c>
      <c r="G6736" s="25">
        <f t="shared" si="147"/>
        <v>21.792999999999999</v>
      </c>
      <c r="H6736" s="33">
        <f t="shared" ref="H6736" si="151">SUM(G6736:G6736)</f>
        <v>21.792999999999999</v>
      </c>
      <c r="I6736" s="34"/>
      <c r="J6736" s="138">
        <v>0</v>
      </c>
    </row>
    <row r="6737" spans="1:10" ht="15.75" hidden="1" thickBot="1" x14ac:dyDescent="0.3">
      <c r="A6737" s="227"/>
      <c r="B6737" s="224"/>
      <c r="C6737" s="49"/>
      <c r="D6737" s="49"/>
      <c r="E6737" s="60"/>
      <c r="F6737" s="61" t="s">
        <v>521</v>
      </c>
      <c r="G6737" s="61" t="str">
        <f t="shared" si="147"/>
        <v/>
      </c>
      <c r="H6737" s="63"/>
      <c r="I6737" s="25"/>
      <c r="J6737" s="138">
        <v>0</v>
      </c>
    </row>
    <row r="6738" spans="1:10" ht="15.75" hidden="1" thickBot="1" x14ac:dyDescent="0.3">
      <c r="A6738" s="220" t="s">
        <v>2420</v>
      </c>
      <c r="B6738" s="222" t="e">
        <f>INDEX(Orçamentária!A:B,MATCH(Composições!A6738,Orçamentária!A:A,0),2)</f>
        <v>#N/A</v>
      </c>
      <c r="C6738" s="35"/>
      <c r="D6738" s="20" t="s">
        <v>93</v>
      </c>
      <c r="E6738" s="21"/>
      <c r="F6738" s="36" t="s">
        <v>521</v>
      </c>
      <c r="G6738" s="22" t="str">
        <f t="shared" si="147"/>
        <v/>
      </c>
      <c r="H6738" s="23"/>
      <c r="I6738" s="24"/>
      <c r="J6738" s="138">
        <v>0</v>
      </c>
    </row>
    <row r="6739" spans="1:10" ht="15.75" hidden="1" thickBot="1" x14ac:dyDescent="0.3">
      <c r="A6739" s="221"/>
      <c r="B6739" s="223"/>
      <c r="C6739" s="26"/>
      <c r="D6739" s="26"/>
      <c r="E6739" s="27"/>
      <c r="F6739" s="37" t="s">
        <v>521</v>
      </c>
      <c r="G6739" s="25" t="str">
        <f t="shared" si="147"/>
        <v/>
      </c>
      <c r="H6739" s="29"/>
      <c r="I6739" s="25"/>
      <c r="J6739" s="138">
        <v>0</v>
      </c>
    </row>
    <row r="6740" spans="1:10" ht="26.25" hidden="1" thickBot="1" x14ac:dyDescent="0.3">
      <c r="A6740" s="221"/>
      <c r="B6740" s="223"/>
      <c r="C6740" s="159" t="s">
        <v>2716</v>
      </c>
      <c r="D6740" s="41" t="s">
        <v>93</v>
      </c>
      <c r="E6740" s="146">
        <v>1</v>
      </c>
      <c r="F6740" s="25">
        <v>59.013999999999996</v>
      </c>
      <c r="G6740" s="25">
        <f t="shared" si="147"/>
        <v>59.013999999999996</v>
      </c>
      <c r="H6740" s="33">
        <f t="shared" ref="H6740" si="152">SUM(G6740:G6740)</f>
        <v>59.013999999999996</v>
      </c>
      <c r="I6740" s="34"/>
      <c r="J6740" s="138">
        <v>0</v>
      </c>
    </row>
    <row r="6741" spans="1:10" ht="15.75" hidden="1" thickBot="1" x14ac:dyDescent="0.3">
      <c r="A6741" s="227"/>
      <c r="B6741" s="224"/>
      <c r="C6741" s="49"/>
      <c r="D6741" s="49"/>
      <c r="E6741" s="60"/>
      <c r="F6741" s="61" t="s">
        <v>521</v>
      </c>
      <c r="G6741" s="61" t="str">
        <f t="shared" si="147"/>
        <v/>
      </c>
      <c r="H6741" s="63"/>
      <c r="I6741" s="25"/>
      <c r="J6741" s="138">
        <v>0</v>
      </c>
    </row>
    <row r="6742" spans="1:10" ht="15.75" hidden="1" thickBot="1" x14ac:dyDescent="0.3">
      <c r="A6742" s="220" t="s">
        <v>2421</v>
      </c>
      <c r="B6742" s="222" t="e">
        <f>INDEX(Orçamentária!A:B,MATCH(Composições!A6742,Orçamentária!A:A,0),2)</f>
        <v>#N/A</v>
      </c>
      <c r="C6742" s="35"/>
      <c r="D6742" s="20" t="s">
        <v>93</v>
      </c>
      <c r="E6742" s="21"/>
      <c r="F6742" s="36" t="s">
        <v>521</v>
      </c>
      <c r="G6742" s="22" t="str">
        <f t="shared" si="147"/>
        <v/>
      </c>
      <c r="H6742" s="23"/>
      <c r="I6742" s="24"/>
      <c r="J6742" s="138">
        <v>0</v>
      </c>
    </row>
    <row r="6743" spans="1:10" ht="15.75" hidden="1" thickBot="1" x14ac:dyDescent="0.3">
      <c r="A6743" s="221"/>
      <c r="B6743" s="223"/>
      <c r="C6743" s="26"/>
      <c r="D6743" s="26"/>
      <c r="E6743" s="27"/>
      <c r="F6743" s="37" t="s">
        <v>521</v>
      </c>
      <c r="G6743" s="25" t="str">
        <f t="shared" si="147"/>
        <v/>
      </c>
      <c r="H6743" s="29"/>
      <c r="I6743" s="25"/>
      <c r="J6743" s="138">
        <v>0</v>
      </c>
    </row>
    <row r="6744" spans="1:10" ht="26.25" hidden="1" thickBot="1" x14ac:dyDescent="0.3">
      <c r="A6744" s="221"/>
      <c r="B6744" s="223"/>
      <c r="C6744" s="159" t="s">
        <v>2717</v>
      </c>
      <c r="D6744" s="41" t="s">
        <v>93</v>
      </c>
      <c r="E6744" s="146">
        <v>1</v>
      </c>
      <c r="F6744" s="25">
        <v>23.160999999999998</v>
      </c>
      <c r="G6744" s="25">
        <f t="shared" si="147"/>
        <v>23.160999999999998</v>
      </c>
      <c r="H6744" s="33">
        <f t="shared" ref="H6744" si="153">SUM(G6744:G6744)</f>
        <v>23.160999999999998</v>
      </c>
      <c r="I6744" s="34"/>
      <c r="J6744" s="138">
        <v>0</v>
      </c>
    </row>
    <row r="6745" spans="1:10" ht="15.75" hidden="1" thickBot="1" x14ac:dyDescent="0.3">
      <c r="A6745" s="227"/>
      <c r="B6745" s="224"/>
      <c r="C6745" s="49"/>
      <c r="D6745" s="49"/>
      <c r="E6745" s="60"/>
      <c r="F6745" s="61" t="s">
        <v>521</v>
      </c>
      <c r="G6745" s="61" t="str">
        <f t="shared" si="147"/>
        <v/>
      </c>
      <c r="H6745" s="63"/>
      <c r="I6745" s="25"/>
      <c r="J6745" s="138">
        <v>0</v>
      </c>
    </row>
    <row r="6746" spans="1:10" ht="15.75" hidden="1" thickBot="1" x14ac:dyDescent="0.3">
      <c r="A6746" s="220" t="s">
        <v>2422</v>
      </c>
      <c r="B6746" s="222" t="e">
        <f>INDEX(Orçamentária!A:B,MATCH(Composições!A6746,Orçamentária!A:A,0),2)</f>
        <v>#N/A</v>
      </c>
      <c r="C6746" s="35"/>
      <c r="D6746" s="20" t="s">
        <v>93</v>
      </c>
      <c r="E6746" s="21"/>
      <c r="F6746" s="36" t="s">
        <v>521</v>
      </c>
      <c r="G6746" s="22" t="str">
        <f t="shared" si="147"/>
        <v/>
      </c>
      <c r="H6746" s="23"/>
      <c r="I6746" s="24"/>
      <c r="J6746" s="138">
        <v>0</v>
      </c>
    </row>
    <row r="6747" spans="1:10" ht="15.75" hidden="1" thickBot="1" x14ac:dyDescent="0.3">
      <c r="A6747" s="221"/>
      <c r="B6747" s="223"/>
      <c r="C6747" s="26"/>
      <c r="D6747" s="26"/>
      <c r="E6747" s="27"/>
      <c r="F6747" s="37" t="s">
        <v>521</v>
      </c>
      <c r="G6747" s="25" t="str">
        <f t="shared" si="147"/>
        <v/>
      </c>
      <c r="H6747" s="29"/>
      <c r="I6747" s="25"/>
      <c r="J6747" s="138">
        <v>0</v>
      </c>
    </row>
    <row r="6748" spans="1:10" ht="26.25" hidden="1" thickBot="1" x14ac:dyDescent="0.3">
      <c r="A6748" s="221"/>
      <c r="B6748" s="223"/>
      <c r="C6748" s="159" t="s">
        <v>2718</v>
      </c>
      <c r="D6748" s="41" t="s">
        <v>93</v>
      </c>
      <c r="E6748" s="146">
        <v>1</v>
      </c>
      <c r="F6748" s="25">
        <v>30.152999999999999</v>
      </c>
      <c r="G6748" s="25">
        <f t="shared" si="147"/>
        <v>30.152999999999999</v>
      </c>
      <c r="H6748" s="33">
        <f t="shared" ref="H6748" si="154">SUM(G6748:G6748)</f>
        <v>30.152999999999999</v>
      </c>
      <c r="I6748" s="34"/>
      <c r="J6748" s="138">
        <v>0</v>
      </c>
    </row>
    <row r="6749" spans="1:10" ht="15.75" hidden="1" thickBot="1" x14ac:dyDescent="0.3">
      <c r="A6749" s="227"/>
      <c r="B6749" s="224"/>
      <c r="C6749" s="49"/>
      <c r="D6749" s="49"/>
      <c r="E6749" s="60"/>
      <c r="F6749" s="61" t="s">
        <v>521</v>
      </c>
      <c r="G6749" s="61" t="str">
        <f t="shared" si="147"/>
        <v/>
      </c>
      <c r="H6749" s="63"/>
      <c r="I6749" s="25"/>
      <c r="J6749" s="138">
        <v>0</v>
      </c>
    </row>
    <row r="6750" spans="1:10" ht="15.75" hidden="1" thickBot="1" x14ac:dyDescent="0.3">
      <c r="A6750" s="220" t="s">
        <v>2423</v>
      </c>
      <c r="B6750" s="222" t="e">
        <f>INDEX(Orçamentária!A:B,MATCH(Composições!A6750,Orçamentária!A:A,0),2)</f>
        <v>#N/A</v>
      </c>
      <c r="C6750" s="35"/>
      <c r="D6750" s="20" t="s">
        <v>93</v>
      </c>
      <c r="E6750" s="21"/>
      <c r="F6750" s="36" t="s">
        <v>521</v>
      </c>
      <c r="G6750" s="22" t="str">
        <f t="shared" si="147"/>
        <v/>
      </c>
      <c r="H6750" s="23"/>
      <c r="I6750" s="24"/>
      <c r="J6750" s="138">
        <v>0</v>
      </c>
    </row>
    <row r="6751" spans="1:10" ht="15.75" hidden="1" thickBot="1" x14ac:dyDescent="0.3">
      <c r="A6751" s="221"/>
      <c r="B6751" s="223"/>
      <c r="C6751" s="26"/>
      <c r="D6751" s="26"/>
      <c r="E6751" s="27"/>
      <c r="F6751" s="37" t="s">
        <v>521</v>
      </c>
      <c r="G6751" s="25" t="str">
        <f t="shared" si="147"/>
        <v/>
      </c>
      <c r="H6751" s="29"/>
      <c r="I6751" s="25"/>
      <c r="J6751" s="138">
        <v>0</v>
      </c>
    </row>
    <row r="6752" spans="1:10" ht="26.25" hidden="1" thickBot="1" x14ac:dyDescent="0.3">
      <c r="A6752" s="221"/>
      <c r="B6752" s="223"/>
      <c r="C6752" s="159" t="s">
        <v>2719</v>
      </c>
      <c r="D6752" s="41" t="s">
        <v>93</v>
      </c>
      <c r="E6752" s="146">
        <v>1</v>
      </c>
      <c r="F6752" s="25">
        <v>40.488999999999997</v>
      </c>
      <c r="G6752" s="25">
        <f t="shared" si="147"/>
        <v>40.488999999999997</v>
      </c>
      <c r="H6752" s="33">
        <f t="shared" ref="H6752" si="155">SUM(G6752:G6752)</f>
        <v>40.488999999999997</v>
      </c>
      <c r="I6752" s="34"/>
      <c r="J6752" s="138">
        <v>0</v>
      </c>
    </row>
    <row r="6753" spans="1:10" ht="15.75" hidden="1" thickBot="1" x14ac:dyDescent="0.3">
      <c r="A6753" s="227"/>
      <c r="B6753" s="224"/>
      <c r="C6753" s="49"/>
      <c r="D6753" s="49"/>
      <c r="E6753" s="60"/>
      <c r="F6753" s="61" t="s">
        <v>521</v>
      </c>
      <c r="G6753" s="61" t="str">
        <f t="shared" si="147"/>
        <v/>
      </c>
      <c r="H6753" s="63"/>
      <c r="I6753" s="25"/>
      <c r="J6753" s="138">
        <v>0</v>
      </c>
    </row>
    <row r="6754" spans="1:10" ht="15.75" hidden="1" thickBot="1" x14ac:dyDescent="0.3">
      <c r="A6754" s="220" t="s">
        <v>2424</v>
      </c>
      <c r="B6754" s="222" t="e">
        <f>INDEX(Orçamentária!A:B,MATCH(Composições!A6754,Orçamentária!A:A,0),2)</f>
        <v>#N/A</v>
      </c>
      <c r="C6754" s="35"/>
      <c r="D6754" s="20" t="s">
        <v>93</v>
      </c>
      <c r="E6754" s="21"/>
      <c r="F6754" s="36" t="s">
        <v>521</v>
      </c>
      <c r="G6754" s="22" t="str">
        <f t="shared" si="147"/>
        <v/>
      </c>
      <c r="H6754" s="23"/>
      <c r="I6754" s="24"/>
      <c r="J6754" s="138">
        <v>0</v>
      </c>
    </row>
    <row r="6755" spans="1:10" ht="15.75" hidden="1" thickBot="1" x14ac:dyDescent="0.3">
      <c r="A6755" s="221"/>
      <c r="B6755" s="223"/>
      <c r="C6755" s="26"/>
      <c r="D6755" s="26"/>
      <c r="E6755" s="27"/>
      <c r="F6755" s="37" t="s">
        <v>521</v>
      </c>
      <c r="G6755" s="25" t="str">
        <f t="shared" si="147"/>
        <v/>
      </c>
      <c r="H6755" s="29"/>
      <c r="I6755" s="25"/>
      <c r="J6755" s="138">
        <v>0</v>
      </c>
    </row>
    <row r="6756" spans="1:10" ht="26.25" hidden="1" thickBot="1" x14ac:dyDescent="0.3">
      <c r="A6756" s="221"/>
      <c r="B6756" s="223"/>
      <c r="C6756" s="159" t="s">
        <v>2720</v>
      </c>
      <c r="D6756" s="41" t="s">
        <v>93</v>
      </c>
      <c r="E6756" s="146">
        <v>1</v>
      </c>
      <c r="F6756" s="25">
        <v>85.100999999999999</v>
      </c>
      <c r="G6756" s="25">
        <f t="shared" si="147"/>
        <v>85.100999999999999</v>
      </c>
      <c r="H6756" s="33">
        <f t="shared" ref="H6756" si="156">SUM(G6756:G6756)</f>
        <v>85.100999999999999</v>
      </c>
      <c r="I6756" s="34"/>
      <c r="J6756" s="138">
        <v>0</v>
      </c>
    </row>
    <row r="6757" spans="1:10" ht="15.75" hidden="1" thickBot="1" x14ac:dyDescent="0.3">
      <c r="A6757" s="227"/>
      <c r="B6757" s="224"/>
      <c r="C6757" s="49"/>
      <c r="D6757" s="49"/>
      <c r="E6757" s="60"/>
      <c r="F6757" s="61" t="s">
        <v>521</v>
      </c>
      <c r="G6757" s="61" t="str">
        <f t="shared" si="147"/>
        <v/>
      </c>
      <c r="H6757" s="63"/>
      <c r="I6757" s="25"/>
      <c r="J6757" s="138">
        <v>0</v>
      </c>
    </row>
    <row r="6758" spans="1:10" ht="15.75" hidden="1" thickBot="1" x14ac:dyDescent="0.3">
      <c r="A6758" s="220" t="s">
        <v>2425</v>
      </c>
      <c r="B6758" s="222" t="e">
        <f>INDEX(Orçamentária!A:B,MATCH(Composições!A6758,Orçamentária!A:A,0),2)</f>
        <v>#N/A</v>
      </c>
      <c r="C6758" s="35"/>
      <c r="D6758" s="20" t="s">
        <v>93</v>
      </c>
      <c r="E6758" s="21"/>
      <c r="F6758" s="36" t="s">
        <v>521</v>
      </c>
      <c r="G6758" s="22" t="str">
        <f t="shared" si="147"/>
        <v/>
      </c>
      <c r="H6758" s="23"/>
      <c r="I6758" s="24"/>
      <c r="J6758" s="138">
        <v>0</v>
      </c>
    </row>
    <row r="6759" spans="1:10" ht="15.75" hidden="1" thickBot="1" x14ac:dyDescent="0.3">
      <c r="A6759" s="221"/>
      <c r="B6759" s="223"/>
      <c r="C6759" s="26"/>
      <c r="D6759" s="26"/>
      <c r="E6759" s="27"/>
      <c r="F6759" s="37" t="s">
        <v>521</v>
      </c>
      <c r="G6759" s="25" t="str">
        <f t="shared" si="147"/>
        <v/>
      </c>
      <c r="H6759" s="29"/>
      <c r="I6759" s="25"/>
      <c r="J6759" s="138">
        <v>0</v>
      </c>
    </row>
    <row r="6760" spans="1:10" ht="26.25" hidden="1" thickBot="1" x14ac:dyDescent="0.3">
      <c r="A6760" s="221"/>
      <c r="B6760" s="223"/>
      <c r="C6760" s="159" t="s">
        <v>2721</v>
      </c>
      <c r="D6760" s="41" t="s">
        <v>93</v>
      </c>
      <c r="E6760" s="146">
        <v>1</v>
      </c>
      <c r="F6760" s="25">
        <v>119.07299999999999</v>
      </c>
      <c r="G6760" s="25">
        <f t="shared" si="147"/>
        <v>119.07299999999999</v>
      </c>
      <c r="H6760" s="33">
        <f t="shared" ref="H6760" si="157">SUM(G6760:G6760)</f>
        <v>119.07299999999999</v>
      </c>
      <c r="I6760" s="34"/>
      <c r="J6760" s="138">
        <v>0</v>
      </c>
    </row>
    <row r="6761" spans="1:10" ht="15.75" hidden="1" thickBot="1" x14ac:dyDescent="0.3">
      <c r="A6761" s="227"/>
      <c r="B6761" s="224"/>
      <c r="C6761" s="49"/>
      <c r="D6761" s="49"/>
      <c r="E6761" s="60"/>
      <c r="F6761" s="61" t="s">
        <v>521</v>
      </c>
      <c r="G6761" s="61" t="str">
        <f t="shared" si="147"/>
        <v/>
      </c>
      <c r="H6761" s="63"/>
      <c r="I6761" s="25"/>
      <c r="J6761" s="138">
        <v>0</v>
      </c>
    </row>
    <row r="6762" spans="1:10" ht="15.75" hidden="1" thickBot="1" x14ac:dyDescent="0.3">
      <c r="A6762" s="220" t="s">
        <v>2426</v>
      </c>
      <c r="B6762" s="222" t="e">
        <f>INDEX(Orçamentária!A:B,MATCH(Composições!A6762,Orçamentária!A:A,0),2)</f>
        <v>#N/A</v>
      </c>
      <c r="C6762" s="35"/>
      <c r="D6762" s="20" t="s">
        <v>93</v>
      </c>
      <c r="E6762" s="21"/>
      <c r="F6762" s="36" t="s">
        <v>521</v>
      </c>
      <c r="G6762" s="22" t="str">
        <f t="shared" si="147"/>
        <v/>
      </c>
      <c r="H6762" s="23"/>
      <c r="I6762" s="24"/>
      <c r="J6762" s="138">
        <v>0</v>
      </c>
    </row>
    <row r="6763" spans="1:10" ht="15.75" hidden="1" thickBot="1" x14ac:dyDescent="0.3">
      <c r="A6763" s="221"/>
      <c r="B6763" s="223"/>
      <c r="C6763" s="26"/>
      <c r="D6763" s="26"/>
      <c r="E6763" s="27"/>
      <c r="F6763" s="37" t="s">
        <v>521</v>
      </c>
      <c r="G6763" s="25" t="str">
        <f t="shared" si="147"/>
        <v/>
      </c>
      <c r="H6763" s="29"/>
      <c r="I6763" s="25"/>
      <c r="J6763" s="138">
        <v>0</v>
      </c>
    </row>
    <row r="6764" spans="1:10" ht="26.25" hidden="1" thickBot="1" x14ac:dyDescent="0.3">
      <c r="A6764" s="221"/>
      <c r="B6764" s="223"/>
      <c r="C6764" s="159" t="s">
        <v>2722</v>
      </c>
      <c r="D6764" s="41" t="s">
        <v>93</v>
      </c>
      <c r="E6764" s="146">
        <v>1</v>
      </c>
      <c r="F6764" s="25">
        <v>136.79999999999998</v>
      </c>
      <c r="G6764" s="25">
        <f t="shared" si="147"/>
        <v>136.79999999999998</v>
      </c>
      <c r="H6764" s="33">
        <f t="shared" ref="H6764" si="158">SUM(G6764:G6764)</f>
        <v>136.79999999999998</v>
      </c>
      <c r="I6764" s="34"/>
      <c r="J6764" s="138">
        <v>0</v>
      </c>
    </row>
    <row r="6765" spans="1:10" ht="15.75" hidden="1" thickBot="1" x14ac:dyDescent="0.3">
      <c r="A6765" s="227"/>
      <c r="B6765" s="224"/>
      <c r="C6765" s="49"/>
      <c r="D6765" s="49"/>
      <c r="E6765" s="60"/>
      <c r="F6765" s="61" t="s">
        <v>521</v>
      </c>
      <c r="G6765" s="61" t="str">
        <f t="shared" si="147"/>
        <v/>
      </c>
      <c r="H6765" s="63"/>
      <c r="I6765" s="25"/>
      <c r="J6765" s="138">
        <v>0</v>
      </c>
    </row>
    <row r="6766" spans="1:10" ht="15.75" hidden="1" thickBot="1" x14ac:dyDescent="0.3">
      <c r="A6766" s="220" t="s">
        <v>2427</v>
      </c>
      <c r="B6766" s="222" t="e">
        <f>INDEX(Orçamentária!A:B,MATCH(Composições!A6766,Orçamentária!A:A,0),2)</f>
        <v>#N/A</v>
      </c>
      <c r="C6766" s="35"/>
      <c r="D6766" s="20" t="s">
        <v>20</v>
      </c>
      <c r="E6766" s="21"/>
      <c r="F6766" s="36" t="s">
        <v>521</v>
      </c>
      <c r="G6766" s="22" t="str">
        <f t="shared" si="147"/>
        <v/>
      </c>
      <c r="H6766" s="23"/>
      <c r="I6766" s="24"/>
      <c r="J6766" s="138">
        <v>0</v>
      </c>
    </row>
    <row r="6767" spans="1:10" ht="15.75" hidden="1" thickBot="1" x14ac:dyDescent="0.3">
      <c r="A6767" s="221"/>
      <c r="B6767" s="223"/>
      <c r="C6767" s="26"/>
      <c r="D6767" s="26"/>
      <c r="E6767" s="27"/>
      <c r="F6767" s="37" t="s">
        <v>521</v>
      </c>
      <c r="G6767" s="25" t="str">
        <f t="shared" si="147"/>
        <v/>
      </c>
      <c r="H6767" s="29"/>
      <c r="I6767" s="25"/>
      <c r="J6767" s="138">
        <v>0</v>
      </c>
    </row>
    <row r="6768" spans="1:10" ht="15.75" hidden="1" thickBot="1" x14ac:dyDescent="0.3">
      <c r="A6768" s="221"/>
      <c r="B6768" s="223"/>
      <c r="C6768" s="159" t="s">
        <v>2615</v>
      </c>
      <c r="D6768" s="41" t="s">
        <v>20</v>
      </c>
      <c r="E6768" s="146">
        <v>1</v>
      </c>
      <c r="F6768" s="25">
        <v>35.0075</v>
      </c>
      <c r="G6768" s="25">
        <f t="shared" si="147"/>
        <v>35.0075</v>
      </c>
      <c r="H6768" s="33">
        <f t="shared" ref="H6768" si="159">SUM(G6768:G6768)</f>
        <v>35.0075</v>
      </c>
      <c r="I6768" s="34"/>
      <c r="J6768" s="138">
        <v>0</v>
      </c>
    </row>
    <row r="6769" spans="1:10" ht="15.75" hidden="1" thickBot="1" x14ac:dyDescent="0.3">
      <c r="A6769" s="227"/>
      <c r="B6769" s="224"/>
      <c r="C6769" s="49"/>
      <c r="D6769" s="49"/>
      <c r="E6769" s="60"/>
      <c r="F6769" s="61" t="s">
        <v>521</v>
      </c>
      <c r="G6769" s="61" t="str">
        <f t="shared" si="147"/>
        <v/>
      </c>
      <c r="H6769" s="63"/>
      <c r="I6769" s="25"/>
      <c r="J6769" s="138">
        <v>0</v>
      </c>
    </row>
    <row r="6770" spans="1:10" ht="15.75" hidden="1" thickBot="1" x14ac:dyDescent="0.3">
      <c r="A6770" s="220" t="s">
        <v>2428</v>
      </c>
      <c r="B6770" s="222" t="e">
        <f>INDEX(Orçamentária!A:B,MATCH(Composições!A6770,Orçamentária!A:A,0),2)</f>
        <v>#N/A</v>
      </c>
      <c r="C6770" s="35"/>
      <c r="D6770" s="20" t="s">
        <v>20</v>
      </c>
      <c r="E6770" s="21"/>
      <c r="F6770" s="36" t="s">
        <v>521</v>
      </c>
      <c r="G6770" s="22" t="str">
        <f t="shared" si="147"/>
        <v/>
      </c>
      <c r="H6770" s="23"/>
      <c r="I6770" s="24"/>
      <c r="J6770" s="138">
        <v>0</v>
      </c>
    </row>
    <row r="6771" spans="1:10" ht="15.75" hidden="1" thickBot="1" x14ac:dyDescent="0.3">
      <c r="A6771" s="221"/>
      <c r="B6771" s="223"/>
      <c r="C6771" s="26"/>
      <c r="D6771" s="26"/>
      <c r="E6771" s="27"/>
      <c r="F6771" s="37" t="s">
        <v>521</v>
      </c>
      <c r="G6771" s="25" t="str">
        <f t="shared" si="147"/>
        <v/>
      </c>
      <c r="H6771" s="29"/>
      <c r="I6771" s="25"/>
      <c r="J6771" s="138">
        <v>0</v>
      </c>
    </row>
    <row r="6772" spans="1:10" ht="15.75" hidden="1" thickBot="1" x14ac:dyDescent="0.3">
      <c r="A6772" s="221"/>
      <c r="B6772" s="223"/>
      <c r="C6772" s="159" t="s">
        <v>2614</v>
      </c>
      <c r="D6772" s="41" t="s">
        <v>20</v>
      </c>
      <c r="E6772" s="146">
        <v>1</v>
      </c>
      <c r="F6772" s="25">
        <v>53.58</v>
      </c>
      <c r="G6772" s="25">
        <f t="shared" si="147"/>
        <v>53.58</v>
      </c>
      <c r="H6772" s="33">
        <f t="shared" ref="H6772" si="160">SUM(G6772:G6772)</f>
        <v>53.58</v>
      </c>
      <c r="I6772" s="34"/>
      <c r="J6772" s="138">
        <v>0</v>
      </c>
    </row>
    <row r="6773" spans="1:10" ht="15.75" hidden="1" thickBot="1" x14ac:dyDescent="0.3">
      <c r="A6773" s="227"/>
      <c r="B6773" s="224"/>
      <c r="C6773" s="49"/>
      <c r="D6773" s="49"/>
      <c r="E6773" s="60"/>
      <c r="F6773" s="61" t="s">
        <v>521</v>
      </c>
      <c r="G6773" s="61" t="str">
        <f t="shared" si="147"/>
        <v/>
      </c>
      <c r="H6773" s="63"/>
      <c r="I6773" s="25"/>
      <c r="J6773" s="138">
        <v>0</v>
      </c>
    </row>
    <row r="6774" spans="1:10" ht="15.75" hidden="1" thickBot="1" x14ac:dyDescent="0.3">
      <c r="A6774" s="220" t="s">
        <v>2429</v>
      </c>
      <c r="B6774" s="222" t="e">
        <f>INDEX(Orçamentária!A:B,MATCH(Composições!A6774,Orçamentária!A:A,0),2)</f>
        <v>#N/A</v>
      </c>
      <c r="C6774" s="35"/>
      <c r="D6774" s="20" t="s">
        <v>20</v>
      </c>
      <c r="E6774" s="21"/>
      <c r="F6774" s="36" t="s">
        <v>521</v>
      </c>
      <c r="G6774" s="22" t="str">
        <f t="shared" si="147"/>
        <v/>
      </c>
      <c r="H6774" s="23"/>
      <c r="I6774" s="24"/>
      <c r="J6774" s="138">
        <v>0</v>
      </c>
    </row>
    <row r="6775" spans="1:10" ht="15.75" hidden="1" thickBot="1" x14ac:dyDescent="0.3">
      <c r="A6775" s="221"/>
      <c r="B6775" s="223"/>
      <c r="C6775" s="26"/>
      <c r="D6775" s="26"/>
      <c r="E6775" s="27"/>
      <c r="F6775" s="37" t="s">
        <v>521</v>
      </c>
      <c r="G6775" s="25" t="str">
        <f t="shared" si="147"/>
        <v/>
      </c>
      <c r="H6775" s="29"/>
      <c r="I6775" s="25"/>
      <c r="J6775" s="138">
        <v>0</v>
      </c>
    </row>
    <row r="6776" spans="1:10" ht="15.75" hidden="1" thickBot="1" x14ac:dyDescent="0.3">
      <c r="A6776" s="221"/>
      <c r="B6776" s="223"/>
      <c r="C6776" s="159" t="s">
        <v>2616</v>
      </c>
      <c r="D6776" s="41" t="s">
        <v>20</v>
      </c>
      <c r="E6776" s="146">
        <v>1</v>
      </c>
      <c r="F6776" s="25">
        <v>87.162499999999994</v>
      </c>
      <c r="G6776" s="25">
        <f t="shared" si="147"/>
        <v>87.162499999999994</v>
      </c>
      <c r="H6776" s="33">
        <f t="shared" ref="H6776" si="161">SUM(G6776:G6776)</f>
        <v>87.162499999999994</v>
      </c>
      <c r="I6776" s="34"/>
      <c r="J6776" s="138">
        <v>0</v>
      </c>
    </row>
    <row r="6777" spans="1:10" ht="15.75" hidden="1" thickBot="1" x14ac:dyDescent="0.3">
      <c r="A6777" s="227"/>
      <c r="B6777" s="224"/>
      <c r="C6777" s="49"/>
      <c r="D6777" s="49"/>
      <c r="E6777" s="60"/>
      <c r="F6777" s="61" t="s">
        <v>521</v>
      </c>
      <c r="G6777" s="61" t="str">
        <f t="shared" si="147"/>
        <v/>
      </c>
      <c r="H6777" s="63"/>
      <c r="I6777" s="25"/>
      <c r="J6777" s="138">
        <v>0</v>
      </c>
    </row>
    <row r="6778" spans="1:10" ht="15.75" hidden="1" thickBot="1" x14ac:dyDescent="0.3">
      <c r="A6778" s="220" t="s">
        <v>2430</v>
      </c>
      <c r="B6778" s="222" t="e">
        <f>INDEX(Orçamentária!A:B,MATCH(Composições!A6778,Orçamentária!A:A,0),2)</f>
        <v>#N/A</v>
      </c>
      <c r="C6778" s="35"/>
      <c r="D6778" s="20" t="s">
        <v>93</v>
      </c>
      <c r="E6778" s="21"/>
      <c r="F6778" s="36" t="s">
        <v>521</v>
      </c>
      <c r="G6778" s="22" t="str">
        <f t="shared" si="147"/>
        <v/>
      </c>
      <c r="H6778" s="23"/>
      <c r="I6778" s="24"/>
      <c r="J6778" s="138">
        <v>0</v>
      </c>
    </row>
    <row r="6779" spans="1:10" ht="15.75" hidden="1" thickBot="1" x14ac:dyDescent="0.3">
      <c r="A6779" s="221"/>
      <c r="B6779" s="223"/>
      <c r="C6779" s="26"/>
      <c r="D6779" s="26"/>
      <c r="E6779" s="27"/>
      <c r="F6779" s="37" t="s">
        <v>521</v>
      </c>
      <c r="G6779" s="25" t="str">
        <f t="shared" si="147"/>
        <v/>
      </c>
      <c r="H6779" s="29"/>
      <c r="I6779" s="25"/>
      <c r="J6779" s="138">
        <v>0</v>
      </c>
    </row>
    <row r="6780" spans="1:10" ht="15.75" hidden="1" thickBot="1" x14ac:dyDescent="0.3">
      <c r="A6780" s="221"/>
      <c r="B6780" s="223"/>
      <c r="C6780" s="159" t="s">
        <v>2667</v>
      </c>
      <c r="D6780" s="41" t="s">
        <v>93</v>
      </c>
      <c r="E6780" s="146">
        <v>1</v>
      </c>
      <c r="F6780" s="25">
        <v>350.74949999999995</v>
      </c>
      <c r="G6780" s="25">
        <f t="shared" si="147"/>
        <v>350.74949999999995</v>
      </c>
      <c r="H6780" s="33">
        <f t="shared" ref="H6780" si="162">SUM(G6780:G6780)</f>
        <v>350.74949999999995</v>
      </c>
      <c r="I6780" s="34"/>
      <c r="J6780" s="138">
        <v>0</v>
      </c>
    </row>
    <row r="6781" spans="1:10" ht="15.75" hidden="1" thickBot="1" x14ac:dyDescent="0.3">
      <c r="A6781" s="227"/>
      <c r="B6781" s="224"/>
      <c r="C6781" s="49"/>
      <c r="D6781" s="49"/>
      <c r="E6781" s="60"/>
      <c r="F6781" s="61" t="s">
        <v>521</v>
      </c>
      <c r="G6781" s="61" t="str">
        <f t="shared" si="147"/>
        <v/>
      </c>
      <c r="H6781" s="63"/>
      <c r="I6781" s="25"/>
      <c r="J6781" s="138">
        <v>0</v>
      </c>
    </row>
    <row r="6782" spans="1:10" ht="15.75" hidden="1" thickBot="1" x14ac:dyDescent="0.3">
      <c r="A6782" s="220" t="s">
        <v>2431</v>
      </c>
      <c r="B6782" s="222" t="e">
        <f>INDEX(Orçamentária!A:B,MATCH(Composições!A6782,Orçamentária!A:A,0),2)</f>
        <v>#N/A</v>
      </c>
      <c r="C6782" s="35"/>
      <c r="D6782" s="20" t="s">
        <v>93</v>
      </c>
      <c r="E6782" s="21"/>
      <c r="F6782" s="36" t="s">
        <v>521</v>
      </c>
      <c r="G6782" s="22" t="str">
        <f t="shared" si="147"/>
        <v/>
      </c>
      <c r="H6782" s="23"/>
      <c r="I6782" s="24"/>
      <c r="J6782" s="138">
        <v>0</v>
      </c>
    </row>
    <row r="6783" spans="1:10" ht="15.75" hidden="1" thickBot="1" x14ac:dyDescent="0.3">
      <c r="A6783" s="221"/>
      <c r="B6783" s="223"/>
      <c r="C6783" s="26"/>
      <c r="D6783" s="26"/>
      <c r="E6783" s="27"/>
      <c r="F6783" s="37" t="s">
        <v>521</v>
      </c>
      <c r="G6783" s="25" t="str">
        <f t="shared" si="147"/>
        <v/>
      </c>
      <c r="H6783" s="29"/>
      <c r="I6783" s="25"/>
      <c r="J6783" s="138">
        <v>0</v>
      </c>
    </row>
    <row r="6784" spans="1:10" ht="26.25" hidden="1" thickBot="1" x14ac:dyDescent="0.3">
      <c r="A6784" s="221"/>
      <c r="B6784" s="223"/>
      <c r="C6784" s="159" t="s">
        <v>2723</v>
      </c>
      <c r="D6784" s="41" t="s">
        <v>93</v>
      </c>
      <c r="E6784" s="146">
        <v>1</v>
      </c>
      <c r="F6784" s="25">
        <v>15.845999999999998</v>
      </c>
      <c r="G6784" s="25">
        <f t="shared" si="147"/>
        <v>15.845999999999998</v>
      </c>
      <c r="H6784" s="33">
        <f t="shared" ref="H6784" si="163">SUM(G6784:G6784)</f>
        <v>15.845999999999998</v>
      </c>
      <c r="I6784" s="34"/>
      <c r="J6784" s="138">
        <v>0</v>
      </c>
    </row>
    <row r="6785" spans="1:10" ht="15.75" hidden="1" thickBot="1" x14ac:dyDescent="0.3">
      <c r="A6785" s="227"/>
      <c r="B6785" s="224"/>
      <c r="C6785" s="49"/>
      <c r="D6785" s="49"/>
      <c r="E6785" s="60"/>
      <c r="F6785" s="61" t="s">
        <v>521</v>
      </c>
      <c r="G6785" s="61" t="str">
        <f t="shared" si="147"/>
        <v/>
      </c>
      <c r="H6785" s="63"/>
      <c r="I6785" s="25"/>
      <c r="J6785" s="138">
        <v>0</v>
      </c>
    </row>
    <row r="6786" spans="1:10" ht="15.75" hidden="1" thickBot="1" x14ac:dyDescent="0.3">
      <c r="A6786" s="220" t="s">
        <v>2432</v>
      </c>
      <c r="B6786" s="222" t="e">
        <f>INDEX(Orçamentária!A:B,MATCH(Composições!A6786,Orçamentária!A:A,0),2)</f>
        <v>#N/A</v>
      </c>
      <c r="C6786" s="35"/>
      <c r="D6786" s="20" t="s">
        <v>93</v>
      </c>
      <c r="E6786" s="21"/>
      <c r="F6786" s="36" t="s">
        <v>521</v>
      </c>
      <c r="G6786" s="22" t="str">
        <f t="shared" ref="G6786:G6849" si="164">IF(ISNUMBER(F6786),E6786*F6786,"")</f>
        <v/>
      </c>
      <c r="H6786" s="23"/>
      <c r="I6786" s="24"/>
      <c r="J6786" s="138">
        <v>0</v>
      </c>
    </row>
    <row r="6787" spans="1:10" ht="15.75" hidden="1" thickBot="1" x14ac:dyDescent="0.3">
      <c r="A6787" s="221"/>
      <c r="B6787" s="223"/>
      <c r="C6787" s="26"/>
      <c r="D6787" s="26"/>
      <c r="E6787" s="27"/>
      <c r="F6787" s="37" t="s">
        <v>521</v>
      </c>
      <c r="G6787" s="25" t="str">
        <f t="shared" si="164"/>
        <v/>
      </c>
      <c r="H6787" s="29"/>
      <c r="I6787" s="25"/>
      <c r="J6787" s="138">
        <v>0</v>
      </c>
    </row>
    <row r="6788" spans="1:10" ht="26.25" hidden="1" thickBot="1" x14ac:dyDescent="0.3">
      <c r="A6788" s="221"/>
      <c r="B6788" s="223"/>
      <c r="C6788" s="159" t="s">
        <v>2727</v>
      </c>
      <c r="D6788" s="41" t="s">
        <v>93</v>
      </c>
      <c r="E6788" s="146">
        <v>1</v>
      </c>
      <c r="F6788" s="25">
        <v>40.536499999999997</v>
      </c>
      <c r="G6788" s="25">
        <f t="shared" si="164"/>
        <v>40.536499999999997</v>
      </c>
      <c r="H6788" s="33">
        <f t="shared" ref="H6788" si="165">SUM(G6788:G6788)</f>
        <v>40.536499999999997</v>
      </c>
      <c r="I6788" s="34"/>
      <c r="J6788" s="138">
        <v>0</v>
      </c>
    </row>
    <row r="6789" spans="1:10" ht="15.75" hidden="1" thickBot="1" x14ac:dyDescent="0.3">
      <c r="A6789" s="227"/>
      <c r="B6789" s="224"/>
      <c r="C6789" s="49"/>
      <c r="D6789" s="49"/>
      <c r="E6789" s="60"/>
      <c r="F6789" s="61" t="s">
        <v>521</v>
      </c>
      <c r="G6789" s="61" t="str">
        <f t="shared" si="164"/>
        <v/>
      </c>
      <c r="H6789" s="63"/>
      <c r="I6789" s="25"/>
      <c r="J6789" s="138">
        <v>0</v>
      </c>
    </row>
    <row r="6790" spans="1:10" ht="15.75" hidden="1" thickBot="1" x14ac:dyDescent="0.3">
      <c r="A6790" s="220" t="s">
        <v>2433</v>
      </c>
      <c r="B6790" s="222" t="e">
        <f>INDEX(Orçamentária!A:B,MATCH(Composições!A6790,Orçamentária!A:A,0),2)</f>
        <v>#N/A</v>
      </c>
      <c r="C6790" s="35"/>
      <c r="D6790" s="20" t="s">
        <v>93</v>
      </c>
      <c r="E6790" s="21"/>
      <c r="F6790" s="36" t="s">
        <v>521</v>
      </c>
      <c r="G6790" s="22" t="str">
        <f t="shared" si="164"/>
        <v/>
      </c>
      <c r="H6790" s="23"/>
      <c r="I6790" s="24"/>
      <c r="J6790" s="138">
        <v>0</v>
      </c>
    </row>
    <row r="6791" spans="1:10" ht="15.75" hidden="1" thickBot="1" x14ac:dyDescent="0.3">
      <c r="A6791" s="221"/>
      <c r="B6791" s="223"/>
      <c r="C6791" s="26"/>
      <c r="D6791" s="26"/>
      <c r="E6791" s="27"/>
      <c r="F6791" s="37" t="s">
        <v>521</v>
      </c>
      <c r="G6791" s="25" t="str">
        <f t="shared" si="164"/>
        <v/>
      </c>
      <c r="H6791" s="29"/>
      <c r="I6791" s="25"/>
      <c r="J6791" s="138">
        <v>0</v>
      </c>
    </row>
    <row r="6792" spans="1:10" ht="26.25" hidden="1" thickBot="1" x14ac:dyDescent="0.3">
      <c r="A6792" s="221"/>
      <c r="B6792" s="223"/>
      <c r="C6792" s="159" t="s">
        <v>2728</v>
      </c>
      <c r="D6792" s="41" t="s">
        <v>93</v>
      </c>
      <c r="E6792" s="146">
        <v>1</v>
      </c>
      <c r="F6792" s="25">
        <v>5.7094999999999994</v>
      </c>
      <c r="G6792" s="25">
        <f t="shared" si="164"/>
        <v>5.7094999999999994</v>
      </c>
      <c r="H6792" s="33">
        <f t="shared" ref="H6792" si="166">SUM(G6792:G6792)</f>
        <v>5.7094999999999994</v>
      </c>
      <c r="I6792" s="34"/>
      <c r="J6792" s="138">
        <v>0</v>
      </c>
    </row>
    <row r="6793" spans="1:10" ht="15.75" hidden="1" thickBot="1" x14ac:dyDescent="0.3">
      <c r="A6793" s="227"/>
      <c r="B6793" s="224"/>
      <c r="C6793" s="49"/>
      <c r="D6793" s="49"/>
      <c r="E6793" s="60"/>
      <c r="F6793" s="61" t="s">
        <v>521</v>
      </c>
      <c r="G6793" s="61" t="str">
        <f t="shared" si="164"/>
        <v/>
      </c>
      <c r="H6793" s="63"/>
      <c r="I6793" s="25"/>
      <c r="J6793" s="138">
        <v>0</v>
      </c>
    </row>
    <row r="6794" spans="1:10" ht="15.75" hidden="1" thickBot="1" x14ac:dyDescent="0.3">
      <c r="A6794" s="220" t="s">
        <v>2434</v>
      </c>
      <c r="B6794" s="222" t="e">
        <f>INDEX(Orçamentária!A:B,MATCH(Composições!A6794,Orçamentária!A:A,0),2)</f>
        <v>#N/A</v>
      </c>
      <c r="C6794" s="35"/>
      <c r="D6794" s="20" t="s">
        <v>93</v>
      </c>
      <c r="E6794" s="21"/>
      <c r="F6794" s="36" t="s">
        <v>521</v>
      </c>
      <c r="G6794" s="22" t="str">
        <f t="shared" si="164"/>
        <v/>
      </c>
      <c r="H6794" s="23"/>
      <c r="I6794" s="24"/>
      <c r="J6794" s="138">
        <v>0</v>
      </c>
    </row>
    <row r="6795" spans="1:10" ht="15.75" hidden="1" thickBot="1" x14ac:dyDescent="0.3">
      <c r="A6795" s="221"/>
      <c r="B6795" s="223"/>
      <c r="C6795" s="26"/>
      <c r="D6795" s="26"/>
      <c r="E6795" s="27"/>
      <c r="F6795" s="37" t="s">
        <v>521</v>
      </c>
      <c r="G6795" s="25" t="str">
        <f t="shared" si="164"/>
        <v/>
      </c>
      <c r="H6795" s="29"/>
      <c r="I6795" s="25"/>
      <c r="J6795" s="138">
        <v>0</v>
      </c>
    </row>
    <row r="6796" spans="1:10" ht="26.25" hidden="1" thickBot="1" x14ac:dyDescent="0.3">
      <c r="A6796" s="221"/>
      <c r="B6796" s="223"/>
      <c r="C6796" s="159" t="s">
        <v>2673</v>
      </c>
      <c r="D6796" s="41" t="s">
        <v>93</v>
      </c>
      <c r="E6796" s="146">
        <v>1</v>
      </c>
      <c r="F6796" s="25">
        <v>9.7279999999999998</v>
      </c>
      <c r="G6796" s="25">
        <f t="shared" si="164"/>
        <v>9.7279999999999998</v>
      </c>
      <c r="H6796" s="33">
        <f t="shared" ref="H6796" si="167">SUM(G6796:G6796)</f>
        <v>9.7279999999999998</v>
      </c>
      <c r="I6796" s="34"/>
      <c r="J6796" s="138">
        <v>0</v>
      </c>
    </row>
    <row r="6797" spans="1:10" ht="15.75" hidden="1" thickBot="1" x14ac:dyDescent="0.3">
      <c r="A6797" s="227"/>
      <c r="B6797" s="224"/>
      <c r="C6797" s="49"/>
      <c r="D6797" s="49"/>
      <c r="E6797" s="60"/>
      <c r="F6797" s="61" t="s">
        <v>521</v>
      </c>
      <c r="G6797" s="61" t="str">
        <f t="shared" si="164"/>
        <v/>
      </c>
      <c r="H6797" s="63"/>
      <c r="I6797" s="25"/>
      <c r="J6797" s="138">
        <v>0</v>
      </c>
    </row>
    <row r="6798" spans="1:10" ht="15.75" hidden="1" thickBot="1" x14ac:dyDescent="0.3">
      <c r="A6798" s="220" t="s">
        <v>2435</v>
      </c>
      <c r="B6798" s="222" t="e">
        <f>INDEX(Orçamentária!A:B,MATCH(Composições!A6798,Orçamentária!A:A,0),2)</f>
        <v>#N/A</v>
      </c>
      <c r="C6798" s="35"/>
      <c r="D6798" s="20" t="s">
        <v>93</v>
      </c>
      <c r="E6798" s="21"/>
      <c r="F6798" s="36" t="s">
        <v>521</v>
      </c>
      <c r="G6798" s="22" t="str">
        <f t="shared" si="164"/>
        <v/>
      </c>
      <c r="H6798" s="23"/>
      <c r="I6798" s="24"/>
      <c r="J6798" s="138">
        <v>0</v>
      </c>
    </row>
    <row r="6799" spans="1:10" ht="15.75" hidden="1" thickBot="1" x14ac:dyDescent="0.3">
      <c r="A6799" s="221"/>
      <c r="B6799" s="223"/>
      <c r="C6799" s="26"/>
      <c r="D6799" s="26"/>
      <c r="E6799" s="27"/>
      <c r="F6799" s="37" t="s">
        <v>521</v>
      </c>
      <c r="G6799" s="25" t="str">
        <f t="shared" si="164"/>
        <v/>
      </c>
      <c r="H6799" s="29"/>
      <c r="I6799" s="25"/>
      <c r="J6799" s="138">
        <v>0</v>
      </c>
    </row>
    <row r="6800" spans="1:10" ht="26.25" hidden="1" thickBot="1" x14ac:dyDescent="0.3">
      <c r="A6800" s="221"/>
      <c r="B6800" s="223"/>
      <c r="C6800" s="159" t="s">
        <v>2674</v>
      </c>
      <c r="D6800" s="41" t="s">
        <v>93</v>
      </c>
      <c r="E6800" s="146">
        <v>1</v>
      </c>
      <c r="F6800" s="25">
        <v>14.040999999999999</v>
      </c>
      <c r="G6800" s="25">
        <f t="shared" si="164"/>
        <v>14.040999999999999</v>
      </c>
      <c r="H6800" s="33">
        <f t="shared" ref="H6800" si="168">SUM(G6800:G6800)</f>
        <v>14.040999999999999</v>
      </c>
      <c r="I6800" s="34"/>
      <c r="J6800" s="138">
        <v>0</v>
      </c>
    </row>
    <row r="6801" spans="1:10" ht="15.75" hidden="1" thickBot="1" x14ac:dyDescent="0.3">
      <c r="A6801" s="227"/>
      <c r="B6801" s="224"/>
      <c r="C6801" s="49"/>
      <c r="D6801" s="49"/>
      <c r="E6801" s="60"/>
      <c r="F6801" s="61" t="s">
        <v>521</v>
      </c>
      <c r="G6801" s="61" t="str">
        <f t="shared" si="164"/>
        <v/>
      </c>
      <c r="H6801" s="63"/>
      <c r="I6801" s="25"/>
      <c r="J6801" s="138">
        <v>0</v>
      </c>
    </row>
    <row r="6802" spans="1:10" ht="15.75" hidden="1" thickBot="1" x14ac:dyDescent="0.3">
      <c r="A6802" s="220" t="s">
        <v>2436</v>
      </c>
      <c r="B6802" s="222" t="e">
        <f>INDEX(Orçamentária!A:B,MATCH(Composições!A6802,Orçamentária!A:A,0),2)</f>
        <v>#N/A</v>
      </c>
      <c r="C6802" s="35"/>
      <c r="D6802" s="20" t="s">
        <v>93</v>
      </c>
      <c r="E6802" s="21"/>
      <c r="F6802" s="36" t="s">
        <v>521</v>
      </c>
      <c r="G6802" s="22" t="str">
        <f t="shared" si="164"/>
        <v/>
      </c>
      <c r="H6802" s="23"/>
      <c r="I6802" s="24"/>
      <c r="J6802" s="138">
        <v>0</v>
      </c>
    </row>
    <row r="6803" spans="1:10" ht="15.75" hidden="1" thickBot="1" x14ac:dyDescent="0.3">
      <c r="A6803" s="221"/>
      <c r="B6803" s="223"/>
      <c r="C6803" s="26"/>
      <c r="D6803" s="26"/>
      <c r="E6803" s="27"/>
      <c r="F6803" s="37" t="s">
        <v>521</v>
      </c>
      <c r="G6803" s="25" t="str">
        <f t="shared" si="164"/>
        <v/>
      </c>
      <c r="H6803" s="29"/>
      <c r="I6803" s="25"/>
      <c r="J6803" s="138">
        <v>0</v>
      </c>
    </row>
    <row r="6804" spans="1:10" ht="15.75" hidden="1" thickBot="1" x14ac:dyDescent="0.3">
      <c r="A6804" s="221"/>
      <c r="B6804" s="223"/>
      <c r="C6804" s="159" t="s">
        <v>2724</v>
      </c>
      <c r="D6804" s="41" t="s">
        <v>93</v>
      </c>
      <c r="E6804" s="146">
        <v>1</v>
      </c>
      <c r="F6804" s="25">
        <v>39.766999999999996</v>
      </c>
      <c r="G6804" s="25">
        <f t="shared" si="164"/>
        <v>39.766999999999996</v>
      </c>
      <c r="H6804" s="33">
        <f t="shared" ref="H6804" si="169">SUM(G6804:G6804)</f>
        <v>39.766999999999996</v>
      </c>
      <c r="I6804" s="34"/>
      <c r="J6804" s="138">
        <v>0</v>
      </c>
    </row>
    <row r="6805" spans="1:10" ht="15.75" hidden="1" thickBot="1" x14ac:dyDescent="0.3">
      <c r="A6805" s="227"/>
      <c r="B6805" s="224"/>
      <c r="C6805" s="49"/>
      <c r="D6805" s="49"/>
      <c r="E6805" s="60"/>
      <c r="F6805" s="61" t="s">
        <v>521</v>
      </c>
      <c r="G6805" s="61" t="str">
        <f t="shared" si="164"/>
        <v/>
      </c>
      <c r="H6805" s="63"/>
      <c r="I6805" s="25"/>
      <c r="J6805" s="138">
        <v>0</v>
      </c>
    </row>
    <row r="6806" spans="1:10" ht="15.75" hidden="1" thickBot="1" x14ac:dyDescent="0.3">
      <c r="A6806" s="220" t="s">
        <v>2437</v>
      </c>
      <c r="B6806" s="222" t="e">
        <f>INDEX(Orçamentária!A:B,MATCH(Composições!A6806,Orçamentária!A:A,0),2)</f>
        <v>#N/A</v>
      </c>
      <c r="C6806" s="35"/>
      <c r="D6806" s="20" t="s">
        <v>93</v>
      </c>
      <c r="E6806" s="21"/>
      <c r="F6806" s="36" t="s">
        <v>521</v>
      </c>
      <c r="G6806" s="22" t="str">
        <f t="shared" si="164"/>
        <v/>
      </c>
      <c r="H6806" s="23"/>
      <c r="I6806" s="24"/>
      <c r="J6806" s="138">
        <v>0</v>
      </c>
    </row>
    <row r="6807" spans="1:10" ht="15.75" hidden="1" thickBot="1" x14ac:dyDescent="0.3">
      <c r="A6807" s="221"/>
      <c r="B6807" s="223"/>
      <c r="C6807" s="26"/>
      <c r="D6807" s="26"/>
      <c r="E6807" s="27"/>
      <c r="F6807" s="37" t="s">
        <v>521</v>
      </c>
      <c r="G6807" s="25" t="str">
        <f t="shared" si="164"/>
        <v/>
      </c>
      <c r="H6807" s="29"/>
      <c r="I6807" s="25"/>
      <c r="J6807" s="138">
        <v>0</v>
      </c>
    </row>
    <row r="6808" spans="1:10" ht="15.75" hidden="1" thickBot="1" x14ac:dyDescent="0.3">
      <c r="A6808" s="221"/>
      <c r="B6808" s="223"/>
      <c r="C6808" s="159" t="s">
        <v>2675</v>
      </c>
      <c r="D6808" s="41" t="s">
        <v>93</v>
      </c>
      <c r="E6808" s="146">
        <v>1</v>
      </c>
      <c r="F6808" s="25">
        <v>23.607500000000002</v>
      </c>
      <c r="G6808" s="25">
        <f t="shared" si="164"/>
        <v>23.607500000000002</v>
      </c>
      <c r="H6808" s="33">
        <f t="shared" ref="H6808" si="170">SUM(G6808:G6808)</f>
        <v>23.607500000000002</v>
      </c>
      <c r="I6808" s="34"/>
      <c r="J6808" s="138">
        <v>0</v>
      </c>
    </row>
    <row r="6809" spans="1:10" ht="15.75" hidden="1" thickBot="1" x14ac:dyDescent="0.3">
      <c r="A6809" s="227"/>
      <c r="B6809" s="224"/>
      <c r="C6809" s="49"/>
      <c r="D6809" s="49"/>
      <c r="E6809" s="60"/>
      <c r="F6809" s="61" t="s">
        <v>521</v>
      </c>
      <c r="G6809" s="61" t="str">
        <f t="shared" si="164"/>
        <v/>
      </c>
      <c r="H6809" s="63"/>
      <c r="I6809" s="25"/>
      <c r="J6809" s="138">
        <v>0</v>
      </c>
    </row>
    <row r="6810" spans="1:10" ht="15.75" hidden="1" thickBot="1" x14ac:dyDescent="0.3">
      <c r="A6810" s="220" t="s">
        <v>2438</v>
      </c>
      <c r="B6810" s="222" t="e">
        <f>INDEX(Orçamentária!A:B,MATCH(Composições!A6810,Orçamentária!A:A,0),2)</f>
        <v>#N/A</v>
      </c>
      <c r="C6810" s="35"/>
      <c r="D6810" s="20" t="s">
        <v>93</v>
      </c>
      <c r="E6810" s="21"/>
      <c r="F6810" s="36" t="s">
        <v>521</v>
      </c>
      <c r="G6810" s="22" t="str">
        <f t="shared" si="164"/>
        <v/>
      </c>
      <c r="H6810" s="23"/>
      <c r="I6810" s="24"/>
      <c r="J6810" s="138">
        <v>0</v>
      </c>
    </row>
    <row r="6811" spans="1:10" ht="15.75" hidden="1" thickBot="1" x14ac:dyDescent="0.3">
      <c r="A6811" s="221"/>
      <c r="B6811" s="223"/>
      <c r="C6811" s="26"/>
      <c r="D6811" s="26"/>
      <c r="E6811" s="27"/>
      <c r="F6811" s="37" t="s">
        <v>521</v>
      </c>
      <c r="G6811" s="25" t="str">
        <f t="shared" si="164"/>
        <v/>
      </c>
      <c r="H6811" s="29"/>
      <c r="I6811" s="25"/>
      <c r="J6811" s="138">
        <v>0</v>
      </c>
    </row>
    <row r="6812" spans="1:10" ht="15.75" hidden="1" thickBot="1" x14ac:dyDescent="0.3">
      <c r="A6812" s="221"/>
      <c r="B6812" s="223"/>
      <c r="C6812" s="159" t="s">
        <v>2725</v>
      </c>
      <c r="D6812" s="41" t="s">
        <v>93</v>
      </c>
      <c r="E6812" s="146">
        <v>1</v>
      </c>
      <c r="F6812" s="25">
        <v>87.78949999999999</v>
      </c>
      <c r="G6812" s="25">
        <f t="shared" si="164"/>
        <v>87.78949999999999</v>
      </c>
      <c r="H6812" s="33">
        <f t="shared" ref="H6812" si="171">SUM(G6812:G6812)</f>
        <v>87.78949999999999</v>
      </c>
      <c r="I6812" s="34"/>
      <c r="J6812" s="138">
        <v>0</v>
      </c>
    </row>
    <row r="6813" spans="1:10" ht="15.75" hidden="1" thickBot="1" x14ac:dyDescent="0.3">
      <c r="A6813" s="227"/>
      <c r="B6813" s="224"/>
      <c r="C6813" s="49"/>
      <c r="D6813" s="49"/>
      <c r="E6813" s="60"/>
      <c r="F6813" s="61" t="s">
        <v>521</v>
      </c>
      <c r="G6813" s="61" t="str">
        <f t="shared" si="164"/>
        <v/>
      </c>
      <c r="H6813" s="63"/>
      <c r="I6813" s="25"/>
      <c r="J6813" s="138">
        <v>0</v>
      </c>
    </row>
    <row r="6814" spans="1:10" ht="15.75" hidden="1" thickBot="1" x14ac:dyDescent="0.3">
      <c r="A6814" s="220" t="s">
        <v>2439</v>
      </c>
      <c r="B6814" s="222" t="e">
        <f>INDEX(Orçamentária!A:B,MATCH(Composições!A6814,Orçamentária!A:A,0),2)</f>
        <v>#N/A</v>
      </c>
      <c r="C6814" s="35"/>
      <c r="D6814" s="20" t="s">
        <v>93</v>
      </c>
      <c r="E6814" s="21"/>
      <c r="F6814" s="36" t="s">
        <v>521</v>
      </c>
      <c r="G6814" s="22" t="str">
        <f t="shared" si="164"/>
        <v/>
      </c>
      <c r="H6814" s="23"/>
      <c r="I6814" s="24"/>
      <c r="J6814" s="138">
        <v>0</v>
      </c>
    </row>
    <row r="6815" spans="1:10" ht="15.75" hidden="1" thickBot="1" x14ac:dyDescent="0.3">
      <c r="A6815" s="221"/>
      <c r="B6815" s="223"/>
      <c r="C6815" s="26"/>
      <c r="D6815" s="26"/>
      <c r="E6815" s="27"/>
      <c r="F6815" s="37" t="s">
        <v>521</v>
      </c>
      <c r="G6815" s="25" t="str">
        <f t="shared" si="164"/>
        <v/>
      </c>
      <c r="H6815" s="29"/>
      <c r="I6815" s="25"/>
      <c r="J6815" s="138">
        <v>0</v>
      </c>
    </row>
    <row r="6816" spans="1:10" ht="15.75" hidden="1" thickBot="1" x14ac:dyDescent="0.3">
      <c r="A6816" s="221"/>
      <c r="B6816" s="223"/>
      <c r="C6816" s="159" t="s">
        <v>2726</v>
      </c>
      <c r="D6816" s="41" t="s">
        <v>93</v>
      </c>
      <c r="E6816" s="146">
        <v>1</v>
      </c>
      <c r="F6816" s="25">
        <v>56.363499999999995</v>
      </c>
      <c r="G6816" s="25">
        <f t="shared" si="164"/>
        <v>56.363499999999995</v>
      </c>
      <c r="H6816" s="33">
        <f t="shared" ref="H6816" si="172">SUM(G6816:G6816)</f>
        <v>56.363499999999995</v>
      </c>
      <c r="I6816" s="34"/>
      <c r="J6816" s="138">
        <v>0</v>
      </c>
    </row>
    <row r="6817" spans="1:10" ht="15.75" hidden="1" thickBot="1" x14ac:dyDescent="0.3">
      <c r="A6817" s="227"/>
      <c r="B6817" s="224"/>
      <c r="C6817" s="49"/>
      <c r="D6817" s="49"/>
      <c r="E6817" s="60"/>
      <c r="F6817" s="61" t="s">
        <v>521</v>
      </c>
      <c r="G6817" s="61" t="str">
        <f t="shared" si="164"/>
        <v/>
      </c>
      <c r="H6817" s="63"/>
      <c r="I6817" s="25"/>
      <c r="J6817" s="138">
        <v>0</v>
      </c>
    </row>
    <row r="6818" spans="1:10" ht="15.75" hidden="1" thickBot="1" x14ac:dyDescent="0.3">
      <c r="A6818" s="220" t="s">
        <v>2440</v>
      </c>
      <c r="B6818" s="222" t="e">
        <f>INDEX(Orçamentária!A:B,MATCH(Composições!A6818,Orçamentária!A:A,0),2)</f>
        <v>#N/A</v>
      </c>
      <c r="C6818" s="35"/>
      <c r="D6818" s="20" t="s">
        <v>93</v>
      </c>
      <c r="E6818" s="21"/>
      <c r="F6818" s="36" t="s">
        <v>521</v>
      </c>
      <c r="G6818" s="22" t="str">
        <f t="shared" si="164"/>
        <v/>
      </c>
      <c r="H6818" s="23"/>
      <c r="I6818" s="24"/>
      <c r="J6818" s="138">
        <v>0</v>
      </c>
    </row>
    <row r="6819" spans="1:10" ht="15.75" hidden="1" thickBot="1" x14ac:dyDescent="0.3">
      <c r="A6819" s="221"/>
      <c r="B6819" s="223"/>
      <c r="C6819" s="26"/>
      <c r="D6819" s="26"/>
      <c r="E6819" s="27"/>
      <c r="F6819" s="37" t="s">
        <v>521</v>
      </c>
      <c r="G6819" s="25" t="str">
        <f t="shared" si="164"/>
        <v/>
      </c>
      <c r="H6819" s="29"/>
      <c r="I6819" s="25"/>
      <c r="J6819" s="138">
        <v>0</v>
      </c>
    </row>
    <row r="6820" spans="1:10" ht="15.75" hidden="1" thickBot="1" x14ac:dyDescent="0.3">
      <c r="A6820" s="221"/>
      <c r="B6820" s="223"/>
      <c r="C6820" s="159" t="s">
        <v>2676</v>
      </c>
      <c r="D6820" s="41" t="s">
        <v>93</v>
      </c>
      <c r="E6820" s="146">
        <v>1</v>
      </c>
      <c r="F6820" s="25">
        <v>113.544</v>
      </c>
      <c r="G6820" s="25">
        <f t="shared" si="164"/>
        <v>113.544</v>
      </c>
      <c r="H6820" s="33">
        <f t="shared" ref="H6820" si="173">SUM(G6820:G6820)</f>
        <v>113.544</v>
      </c>
      <c r="I6820" s="34"/>
      <c r="J6820" s="138">
        <v>0</v>
      </c>
    </row>
    <row r="6821" spans="1:10" ht="15.75" hidden="1" thickBot="1" x14ac:dyDescent="0.3">
      <c r="A6821" s="227"/>
      <c r="B6821" s="224"/>
      <c r="C6821" s="49"/>
      <c r="D6821" s="49"/>
      <c r="E6821" s="60"/>
      <c r="F6821" s="61" t="s">
        <v>521</v>
      </c>
      <c r="G6821" s="61" t="str">
        <f t="shared" si="164"/>
        <v/>
      </c>
      <c r="H6821" s="63"/>
      <c r="I6821" s="25"/>
      <c r="J6821" s="138">
        <v>0</v>
      </c>
    </row>
    <row r="6822" spans="1:10" ht="15.75" hidden="1" thickBot="1" x14ac:dyDescent="0.3">
      <c r="A6822" s="220" t="s">
        <v>2441</v>
      </c>
      <c r="B6822" s="222" t="e">
        <f>INDEX(Orçamentária!A:B,MATCH(Composições!A6822,Orçamentária!A:A,0),2)</f>
        <v>#N/A</v>
      </c>
      <c r="C6822" s="35"/>
      <c r="D6822" s="20" t="s">
        <v>93</v>
      </c>
      <c r="E6822" s="21"/>
      <c r="F6822" s="36" t="s">
        <v>521</v>
      </c>
      <c r="G6822" s="22" t="str">
        <f t="shared" si="164"/>
        <v/>
      </c>
      <c r="H6822" s="23"/>
      <c r="I6822" s="24"/>
      <c r="J6822" s="138">
        <v>0</v>
      </c>
    </row>
    <row r="6823" spans="1:10" ht="15.75" hidden="1" thickBot="1" x14ac:dyDescent="0.3">
      <c r="A6823" s="221"/>
      <c r="B6823" s="223"/>
      <c r="C6823" s="26"/>
      <c r="D6823" s="26"/>
      <c r="E6823" s="27"/>
      <c r="F6823" s="37" t="s">
        <v>521</v>
      </c>
      <c r="G6823" s="25" t="str">
        <f t="shared" si="164"/>
        <v/>
      </c>
      <c r="H6823" s="29"/>
      <c r="I6823" s="25"/>
      <c r="J6823" s="138">
        <v>0</v>
      </c>
    </row>
    <row r="6824" spans="1:10" ht="15.75" hidden="1" thickBot="1" x14ac:dyDescent="0.3">
      <c r="A6824" s="221"/>
      <c r="B6824" s="223"/>
      <c r="C6824" s="159" t="s">
        <v>2729</v>
      </c>
      <c r="D6824" s="41" t="s">
        <v>93</v>
      </c>
      <c r="E6824" s="146">
        <v>1</v>
      </c>
      <c r="F6824" s="25">
        <v>12.169499999999999</v>
      </c>
      <c r="G6824" s="25">
        <f t="shared" si="164"/>
        <v>12.169499999999999</v>
      </c>
      <c r="H6824" s="33">
        <f t="shared" ref="H6824" si="174">SUM(G6824:G6824)</f>
        <v>12.169499999999999</v>
      </c>
      <c r="I6824" s="34"/>
      <c r="J6824" s="138">
        <v>0</v>
      </c>
    </row>
    <row r="6825" spans="1:10" ht="15.75" hidden="1" thickBot="1" x14ac:dyDescent="0.3">
      <c r="A6825" s="227"/>
      <c r="B6825" s="224"/>
      <c r="C6825" s="49"/>
      <c r="D6825" s="49"/>
      <c r="E6825" s="60"/>
      <c r="F6825" s="61" t="s">
        <v>521</v>
      </c>
      <c r="G6825" s="61" t="str">
        <f t="shared" si="164"/>
        <v/>
      </c>
      <c r="H6825" s="63"/>
      <c r="I6825" s="25"/>
      <c r="J6825" s="138">
        <v>0</v>
      </c>
    </row>
    <row r="6826" spans="1:10" ht="15.75" hidden="1" thickBot="1" x14ac:dyDescent="0.3">
      <c r="A6826" s="220" t="s">
        <v>2442</v>
      </c>
      <c r="B6826" s="222" t="e">
        <f>INDEX(Orçamentária!A:B,MATCH(Composições!A6826,Orçamentária!A:A,0),2)</f>
        <v>#N/A</v>
      </c>
      <c r="C6826" s="35"/>
      <c r="D6826" s="20" t="s">
        <v>93</v>
      </c>
      <c r="E6826" s="21"/>
      <c r="F6826" s="36" t="s">
        <v>521</v>
      </c>
      <c r="G6826" s="22" t="str">
        <f t="shared" si="164"/>
        <v/>
      </c>
      <c r="H6826" s="23"/>
      <c r="I6826" s="24"/>
      <c r="J6826" s="138">
        <v>0</v>
      </c>
    </row>
    <row r="6827" spans="1:10" ht="15.75" hidden="1" thickBot="1" x14ac:dyDescent="0.3">
      <c r="A6827" s="221"/>
      <c r="B6827" s="223"/>
      <c r="C6827" s="26"/>
      <c r="D6827" s="26"/>
      <c r="E6827" s="27"/>
      <c r="F6827" s="37" t="s">
        <v>521</v>
      </c>
      <c r="G6827" s="25" t="str">
        <f t="shared" si="164"/>
        <v/>
      </c>
      <c r="H6827" s="29"/>
      <c r="I6827" s="25"/>
      <c r="J6827" s="138">
        <v>0</v>
      </c>
    </row>
    <row r="6828" spans="1:10" ht="15.75" hidden="1" thickBot="1" x14ac:dyDescent="0.3">
      <c r="A6828" s="221"/>
      <c r="B6828" s="223"/>
      <c r="C6828" s="159" t="s">
        <v>2730</v>
      </c>
      <c r="D6828" s="41" t="s">
        <v>93</v>
      </c>
      <c r="E6828" s="146">
        <v>1</v>
      </c>
      <c r="F6828" s="25">
        <v>137.07549999999998</v>
      </c>
      <c r="G6828" s="25">
        <f t="shared" si="164"/>
        <v>137.07549999999998</v>
      </c>
      <c r="H6828" s="33">
        <f t="shared" ref="H6828" si="175">SUM(G6828:G6828)</f>
        <v>137.07549999999998</v>
      </c>
      <c r="I6828" s="34"/>
      <c r="J6828" s="138">
        <v>0</v>
      </c>
    </row>
    <row r="6829" spans="1:10" ht="15.75" hidden="1" thickBot="1" x14ac:dyDescent="0.3">
      <c r="A6829" s="227"/>
      <c r="B6829" s="224"/>
      <c r="C6829" s="49"/>
      <c r="D6829" s="49"/>
      <c r="E6829" s="60"/>
      <c r="F6829" s="61" t="s">
        <v>521</v>
      </c>
      <c r="G6829" s="61" t="str">
        <f t="shared" si="164"/>
        <v/>
      </c>
      <c r="H6829" s="63"/>
      <c r="I6829" s="25"/>
      <c r="J6829" s="138">
        <v>0</v>
      </c>
    </row>
    <row r="6830" spans="1:10" ht="15.75" hidden="1" thickBot="1" x14ac:dyDescent="0.3">
      <c r="A6830" s="220" t="s">
        <v>2443</v>
      </c>
      <c r="B6830" s="222" t="e">
        <f>INDEX(Orçamentária!A:B,MATCH(Composições!A6830,Orçamentária!A:A,0),2)</f>
        <v>#N/A</v>
      </c>
      <c r="C6830" s="35"/>
      <c r="D6830" s="20" t="s">
        <v>93</v>
      </c>
      <c r="E6830" s="21"/>
      <c r="F6830" s="36" t="s">
        <v>521</v>
      </c>
      <c r="G6830" s="22" t="str">
        <f t="shared" si="164"/>
        <v/>
      </c>
      <c r="H6830" s="23"/>
      <c r="I6830" s="24"/>
      <c r="J6830" s="138">
        <v>0</v>
      </c>
    </row>
    <row r="6831" spans="1:10" ht="15.75" hidden="1" thickBot="1" x14ac:dyDescent="0.3">
      <c r="A6831" s="221"/>
      <c r="B6831" s="223"/>
      <c r="C6831" s="26"/>
      <c r="D6831" s="26"/>
      <c r="E6831" s="27"/>
      <c r="F6831" s="37" t="s">
        <v>521</v>
      </c>
      <c r="G6831" s="25" t="str">
        <f t="shared" si="164"/>
        <v/>
      </c>
      <c r="H6831" s="29"/>
      <c r="I6831" s="25"/>
      <c r="J6831" s="138">
        <v>0</v>
      </c>
    </row>
    <row r="6832" spans="1:10" ht="15.75" hidden="1" thickBot="1" x14ac:dyDescent="0.3">
      <c r="A6832" s="221"/>
      <c r="B6832" s="223"/>
      <c r="C6832" s="159" t="s">
        <v>2731</v>
      </c>
      <c r="D6832" s="41" t="s">
        <v>93</v>
      </c>
      <c r="E6832" s="146">
        <v>1</v>
      </c>
      <c r="F6832" s="25">
        <v>206.67250000000001</v>
      </c>
      <c r="G6832" s="25">
        <f t="shared" si="164"/>
        <v>206.67250000000001</v>
      </c>
      <c r="H6832" s="33">
        <f t="shared" ref="H6832" si="176">SUM(G6832:G6832)</f>
        <v>206.67250000000001</v>
      </c>
      <c r="I6832" s="34"/>
      <c r="J6832" s="138">
        <v>0</v>
      </c>
    </row>
    <row r="6833" spans="1:10" ht="15.75" hidden="1" thickBot="1" x14ac:dyDescent="0.3">
      <c r="A6833" s="227"/>
      <c r="B6833" s="224"/>
      <c r="C6833" s="49"/>
      <c r="D6833" s="49"/>
      <c r="E6833" s="60"/>
      <c r="F6833" s="61" t="s">
        <v>521</v>
      </c>
      <c r="G6833" s="61" t="str">
        <f t="shared" si="164"/>
        <v/>
      </c>
      <c r="H6833" s="63"/>
      <c r="I6833" s="25"/>
      <c r="J6833" s="138">
        <v>0</v>
      </c>
    </row>
    <row r="6834" spans="1:10" ht="15.75" hidden="1" thickBot="1" x14ac:dyDescent="0.3">
      <c r="A6834" s="220" t="s">
        <v>2444</v>
      </c>
      <c r="B6834" s="222" t="e">
        <f>INDEX(Orçamentária!A:B,MATCH(Composições!A6834,Orçamentária!A:A,0),2)</f>
        <v>#N/A</v>
      </c>
      <c r="C6834" s="35"/>
      <c r="D6834" s="20" t="s">
        <v>93</v>
      </c>
      <c r="E6834" s="21"/>
      <c r="F6834" s="36" t="s">
        <v>521</v>
      </c>
      <c r="G6834" s="22" t="str">
        <f t="shared" si="164"/>
        <v/>
      </c>
      <c r="H6834" s="23"/>
      <c r="I6834" s="24"/>
      <c r="J6834" s="138">
        <v>0</v>
      </c>
    </row>
    <row r="6835" spans="1:10" ht="15.75" hidden="1" thickBot="1" x14ac:dyDescent="0.3">
      <c r="A6835" s="221"/>
      <c r="B6835" s="223"/>
      <c r="C6835" s="26"/>
      <c r="D6835" s="26"/>
      <c r="E6835" s="27"/>
      <c r="F6835" s="37" t="s">
        <v>521</v>
      </c>
      <c r="G6835" s="25" t="str">
        <f t="shared" si="164"/>
        <v/>
      </c>
      <c r="H6835" s="29"/>
      <c r="I6835" s="25"/>
      <c r="J6835" s="138">
        <v>0</v>
      </c>
    </row>
    <row r="6836" spans="1:10" ht="15.75" hidden="1" thickBot="1" x14ac:dyDescent="0.3">
      <c r="A6836" s="221"/>
      <c r="B6836" s="223"/>
      <c r="C6836" s="159" t="s">
        <v>2678</v>
      </c>
      <c r="D6836" s="41" t="s">
        <v>93</v>
      </c>
      <c r="E6836" s="146">
        <v>1</v>
      </c>
      <c r="F6836" s="25">
        <v>3.5150000000000001</v>
      </c>
      <c r="G6836" s="25">
        <f t="shared" si="164"/>
        <v>3.5150000000000001</v>
      </c>
      <c r="H6836" s="33">
        <f t="shared" ref="H6836" si="177">SUM(G6836:G6836)</f>
        <v>3.5150000000000001</v>
      </c>
      <c r="I6836" s="34"/>
      <c r="J6836" s="138">
        <v>0</v>
      </c>
    </row>
    <row r="6837" spans="1:10" ht="15.75" hidden="1" thickBot="1" x14ac:dyDescent="0.3">
      <c r="A6837" s="227"/>
      <c r="B6837" s="224"/>
      <c r="C6837" s="49"/>
      <c r="D6837" s="49"/>
      <c r="E6837" s="60"/>
      <c r="F6837" s="61" t="s">
        <v>521</v>
      </c>
      <c r="G6837" s="61" t="str">
        <f t="shared" si="164"/>
        <v/>
      </c>
      <c r="H6837" s="63"/>
      <c r="I6837" s="25"/>
      <c r="J6837" s="138">
        <v>0</v>
      </c>
    </row>
    <row r="6838" spans="1:10" ht="15.75" hidden="1" thickBot="1" x14ac:dyDescent="0.3">
      <c r="A6838" s="220" t="s">
        <v>2445</v>
      </c>
      <c r="B6838" s="222" t="e">
        <f>INDEX(Orçamentária!A:B,MATCH(Composições!A6838,Orçamentária!A:A,0),2)</f>
        <v>#N/A</v>
      </c>
      <c r="C6838" s="35"/>
      <c r="D6838" s="20" t="s">
        <v>93</v>
      </c>
      <c r="E6838" s="21"/>
      <c r="F6838" s="36" t="s">
        <v>521</v>
      </c>
      <c r="G6838" s="22" t="str">
        <f t="shared" si="164"/>
        <v/>
      </c>
      <c r="H6838" s="23"/>
      <c r="I6838" s="24"/>
      <c r="J6838" s="138">
        <v>0</v>
      </c>
    </row>
    <row r="6839" spans="1:10" ht="15.75" hidden="1" thickBot="1" x14ac:dyDescent="0.3">
      <c r="A6839" s="221"/>
      <c r="B6839" s="223"/>
      <c r="C6839" s="26"/>
      <c r="D6839" s="26"/>
      <c r="E6839" s="27"/>
      <c r="F6839" s="37" t="s">
        <v>521</v>
      </c>
      <c r="G6839" s="25" t="str">
        <f t="shared" si="164"/>
        <v/>
      </c>
      <c r="H6839" s="29"/>
      <c r="I6839" s="25"/>
      <c r="J6839" s="138">
        <v>0</v>
      </c>
    </row>
    <row r="6840" spans="1:10" ht="15.75" hidden="1" thickBot="1" x14ac:dyDescent="0.3">
      <c r="A6840" s="221"/>
      <c r="B6840" s="223"/>
      <c r="C6840" s="159" t="s">
        <v>2679</v>
      </c>
      <c r="D6840" s="41" t="s">
        <v>93</v>
      </c>
      <c r="E6840" s="146">
        <v>1</v>
      </c>
      <c r="F6840" s="25">
        <v>4.5125000000000002</v>
      </c>
      <c r="G6840" s="25">
        <f t="shared" si="164"/>
        <v>4.5125000000000002</v>
      </c>
      <c r="H6840" s="33">
        <f t="shared" ref="H6840" si="178">SUM(G6840:G6840)</f>
        <v>4.5125000000000002</v>
      </c>
      <c r="I6840" s="34"/>
      <c r="J6840" s="138">
        <v>0</v>
      </c>
    </row>
    <row r="6841" spans="1:10" ht="15.75" hidden="1" thickBot="1" x14ac:dyDescent="0.3">
      <c r="A6841" s="227"/>
      <c r="B6841" s="224"/>
      <c r="C6841" s="49"/>
      <c r="D6841" s="49"/>
      <c r="E6841" s="60"/>
      <c r="F6841" s="61" t="s">
        <v>521</v>
      </c>
      <c r="G6841" s="61" t="str">
        <f t="shared" si="164"/>
        <v/>
      </c>
      <c r="H6841" s="63"/>
      <c r="I6841" s="25"/>
      <c r="J6841" s="138">
        <v>0</v>
      </c>
    </row>
    <row r="6842" spans="1:10" ht="15.75" hidden="1" thickBot="1" x14ac:dyDescent="0.3">
      <c r="A6842" s="220" t="s">
        <v>2446</v>
      </c>
      <c r="B6842" s="222" t="e">
        <f>INDEX(Orçamentária!A:B,MATCH(Composições!A6842,Orçamentária!A:A,0),2)</f>
        <v>#N/A</v>
      </c>
      <c r="C6842" s="35"/>
      <c r="D6842" s="20" t="s">
        <v>93</v>
      </c>
      <c r="E6842" s="21"/>
      <c r="F6842" s="36" t="s">
        <v>521</v>
      </c>
      <c r="G6842" s="22" t="str">
        <f t="shared" si="164"/>
        <v/>
      </c>
      <c r="H6842" s="23"/>
      <c r="I6842" s="24"/>
      <c r="J6842" s="138">
        <v>0</v>
      </c>
    </row>
    <row r="6843" spans="1:10" ht="15.75" hidden="1" thickBot="1" x14ac:dyDescent="0.3">
      <c r="A6843" s="221"/>
      <c r="B6843" s="223"/>
      <c r="C6843" s="26"/>
      <c r="D6843" s="26"/>
      <c r="E6843" s="27"/>
      <c r="F6843" s="37" t="s">
        <v>521</v>
      </c>
      <c r="G6843" s="25" t="str">
        <f t="shared" si="164"/>
        <v/>
      </c>
      <c r="H6843" s="29"/>
      <c r="I6843" s="25"/>
      <c r="J6843" s="138">
        <v>0</v>
      </c>
    </row>
    <row r="6844" spans="1:10" ht="15.75" hidden="1" thickBot="1" x14ac:dyDescent="0.3">
      <c r="A6844" s="221"/>
      <c r="B6844" s="223"/>
      <c r="C6844" s="159" t="s">
        <v>2680</v>
      </c>
      <c r="D6844" s="41" t="s">
        <v>93</v>
      </c>
      <c r="E6844" s="146">
        <v>1</v>
      </c>
      <c r="F6844" s="25">
        <v>10.1365</v>
      </c>
      <c r="G6844" s="25">
        <f t="shared" si="164"/>
        <v>10.1365</v>
      </c>
      <c r="H6844" s="33">
        <f t="shared" ref="H6844" si="179">SUM(G6844:G6844)</f>
        <v>10.1365</v>
      </c>
      <c r="I6844" s="34"/>
      <c r="J6844" s="138">
        <v>0</v>
      </c>
    </row>
    <row r="6845" spans="1:10" ht="15.75" hidden="1" thickBot="1" x14ac:dyDescent="0.3">
      <c r="A6845" s="227"/>
      <c r="B6845" s="224"/>
      <c r="C6845" s="49"/>
      <c r="D6845" s="49"/>
      <c r="E6845" s="60"/>
      <c r="F6845" s="61" t="s">
        <v>521</v>
      </c>
      <c r="G6845" s="61" t="str">
        <f t="shared" si="164"/>
        <v/>
      </c>
      <c r="H6845" s="63"/>
      <c r="I6845" s="25"/>
      <c r="J6845" s="138">
        <v>0</v>
      </c>
    </row>
    <row r="6846" spans="1:10" ht="15.75" hidden="1" thickBot="1" x14ac:dyDescent="0.3">
      <c r="A6846" s="220" t="s">
        <v>2447</v>
      </c>
      <c r="B6846" s="222" t="e">
        <f>INDEX(Orçamentária!A:B,MATCH(Composições!A6846,Orçamentária!A:A,0),2)</f>
        <v>#N/A</v>
      </c>
      <c r="C6846" s="35"/>
      <c r="D6846" s="20" t="s">
        <v>93</v>
      </c>
      <c r="E6846" s="21"/>
      <c r="F6846" s="36" t="s">
        <v>521</v>
      </c>
      <c r="G6846" s="22" t="str">
        <f t="shared" si="164"/>
        <v/>
      </c>
      <c r="H6846" s="23"/>
      <c r="I6846" s="24"/>
      <c r="J6846" s="138">
        <v>0</v>
      </c>
    </row>
    <row r="6847" spans="1:10" ht="15.75" hidden="1" thickBot="1" x14ac:dyDescent="0.3">
      <c r="A6847" s="221"/>
      <c r="B6847" s="223"/>
      <c r="C6847" s="26"/>
      <c r="D6847" s="26"/>
      <c r="E6847" s="27"/>
      <c r="F6847" s="37" t="s">
        <v>521</v>
      </c>
      <c r="G6847" s="25" t="str">
        <f t="shared" si="164"/>
        <v/>
      </c>
      <c r="H6847" s="29"/>
      <c r="I6847" s="25"/>
      <c r="J6847" s="138">
        <v>0</v>
      </c>
    </row>
    <row r="6848" spans="1:10" ht="15.75" hidden="1" thickBot="1" x14ac:dyDescent="0.3">
      <c r="A6848" s="221"/>
      <c r="B6848" s="223"/>
      <c r="C6848" s="159" t="s">
        <v>2681</v>
      </c>
      <c r="D6848" s="41" t="s">
        <v>93</v>
      </c>
      <c r="E6848" s="146">
        <v>1</v>
      </c>
      <c r="F6848" s="25">
        <v>14.753499999999999</v>
      </c>
      <c r="G6848" s="25">
        <f t="shared" si="164"/>
        <v>14.753499999999999</v>
      </c>
      <c r="H6848" s="33">
        <f t="shared" ref="H6848" si="180">SUM(G6848:G6848)</f>
        <v>14.753499999999999</v>
      </c>
      <c r="I6848" s="34"/>
      <c r="J6848" s="138">
        <v>0</v>
      </c>
    </row>
    <row r="6849" spans="1:10" ht="15.75" hidden="1" thickBot="1" x14ac:dyDescent="0.3">
      <c r="A6849" s="227"/>
      <c r="B6849" s="224"/>
      <c r="C6849" s="49"/>
      <c r="D6849" s="49"/>
      <c r="E6849" s="60"/>
      <c r="F6849" s="61" t="s">
        <v>521</v>
      </c>
      <c r="G6849" s="61" t="str">
        <f t="shared" si="164"/>
        <v/>
      </c>
      <c r="H6849" s="63"/>
      <c r="I6849" s="25"/>
      <c r="J6849" s="138">
        <v>0</v>
      </c>
    </row>
    <row r="6850" spans="1:10" ht="15.75" hidden="1" thickBot="1" x14ac:dyDescent="0.3">
      <c r="A6850" s="220" t="s">
        <v>2448</v>
      </c>
      <c r="B6850" s="222" t="e">
        <f>INDEX(Orçamentária!A:B,MATCH(Composições!A6850,Orçamentária!A:A,0),2)</f>
        <v>#N/A</v>
      </c>
      <c r="C6850" s="35"/>
      <c r="D6850" s="20" t="s">
        <v>93</v>
      </c>
      <c r="E6850" s="21"/>
      <c r="F6850" s="36" t="s">
        <v>521</v>
      </c>
      <c r="G6850" s="22" t="str">
        <f t="shared" ref="G6850:G6913" si="181">IF(ISNUMBER(F6850),E6850*F6850,"")</f>
        <v/>
      </c>
      <c r="H6850" s="23"/>
      <c r="I6850" s="24"/>
      <c r="J6850" s="138">
        <v>0</v>
      </c>
    </row>
    <row r="6851" spans="1:10" ht="15.75" hidden="1" thickBot="1" x14ac:dyDescent="0.3">
      <c r="A6851" s="221"/>
      <c r="B6851" s="223"/>
      <c r="C6851" s="26"/>
      <c r="D6851" s="26"/>
      <c r="E6851" s="27"/>
      <c r="F6851" s="37" t="s">
        <v>521</v>
      </c>
      <c r="G6851" s="25" t="str">
        <f t="shared" si="181"/>
        <v/>
      </c>
      <c r="H6851" s="29"/>
      <c r="I6851" s="25"/>
      <c r="J6851" s="138">
        <v>0</v>
      </c>
    </row>
    <row r="6852" spans="1:10" ht="15.75" hidden="1" thickBot="1" x14ac:dyDescent="0.3">
      <c r="A6852" s="221"/>
      <c r="B6852" s="223"/>
      <c r="C6852" s="159" t="s">
        <v>315</v>
      </c>
      <c r="D6852" s="41" t="s">
        <v>93</v>
      </c>
      <c r="E6852" s="146">
        <v>1</v>
      </c>
      <c r="F6852" s="25">
        <v>16.900499999999997</v>
      </c>
      <c r="G6852" s="25">
        <f t="shared" si="181"/>
        <v>16.900499999999997</v>
      </c>
      <c r="H6852" s="33">
        <f t="shared" ref="H6852" si="182">SUM(G6852:G6852)</f>
        <v>16.900499999999997</v>
      </c>
      <c r="I6852" s="34"/>
      <c r="J6852" s="138">
        <v>0</v>
      </c>
    </row>
    <row r="6853" spans="1:10" ht="15.75" hidden="1" thickBot="1" x14ac:dyDescent="0.3">
      <c r="A6853" s="227"/>
      <c r="B6853" s="224"/>
      <c r="C6853" s="49"/>
      <c r="D6853" s="49"/>
      <c r="E6853" s="60"/>
      <c r="F6853" s="61" t="s">
        <v>521</v>
      </c>
      <c r="G6853" s="61" t="str">
        <f t="shared" si="181"/>
        <v/>
      </c>
      <c r="H6853" s="63"/>
      <c r="I6853" s="25"/>
      <c r="J6853" s="138">
        <v>0</v>
      </c>
    </row>
    <row r="6854" spans="1:10" ht="15.75" hidden="1" thickBot="1" x14ac:dyDescent="0.3">
      <c r="A6854" s="220" t="s">
        <v>2449</v>
      </c>
      <c r="B6854" s="222" t="e">
        <f>INDEX(Orçamentária!A:B,MATCH(Composições!A6854,Orçamentária!A:A,0),2)</f>
        <v>#N/A</v>
      </c>
      <c r="C6854" s="35"/>
      <c r="D6854" s="20" t="s">
        <v>93</v>
      </c>
      <c r="E6854" s="21"/>
      <c r="F6854" s="36" t="s">
        <v>521</v>
      </c>
      <c r="G6854" s="22" t="str">
        <f t="shared" si="181"/>
        <v/>
      </c>
      <c r="H6854" s="23"/>
      <c r="I6854" s="24"/>
      <c r="J6854" s="138">
        <v>0</v>
      </c>
    </row>
    <row r="6855" spans="1:10" ht="15.75" hidden="1" thickBot="1" x14ac:dyDescent="0.3">
      <c r="A6855" s="221"/>
      <c r="B6855" s="223"/>
      <c r="C6855" s="26"/>
      <c r="D6855" s="26"/>
      <c r="E6855" s="27"/>
      <c r="F6855" s="37" t="s">
        <v>521</v>
      </c>
      <c r="G6855" s="25" t="str">
        <f t="shared" si="181"/>
        <v/>
      </c>
      <c r="H6855" s="29"/>
      <c r="I6855" s="25"/>
      <c r="J6855" s="138">
        <v>0</v>
      </c>
    </row>
    <row r="6856" spans="1:10" ht="15.75" hidden="1" thickBot="1" x14ac:dyDescent="0.3">
      <c r="A6856" s="221"/>
      <c r="B6856" s="223"/>
      <c r="C6856" s="159" t="s">
        <v>2682</v>
      </c>
      <c r="D6856" s="41" t="s">
        <v>93</v>
      </c>
      <c r="E6856" s="146">
        <v>1</v>
      </c>
      <c r="F6856" s="25">
        <v>28.509499999999999</v>
      </c>
      <c r="G6856" s="25">
        <f t="shared" si="181"/>
        <v>28.509499999999999</v>
      </c>
      <c r="H6856" s="33">
        <f t="shared" ref="H6856" si="183">SUM(G6856:G6856)</f>
        <v>28.509499999999999</v>
      </c>
      <c r="I6856" s="34"/>
      <c r="J6856" s="138">
        <v>0</v>
      </c>
    </row>
    <row r="6857" spans="1:10" ht="15.75" hidden="1" thickBot="1" x14ac:dyDescent="0.3">
      <c r="A6857" s="227"/>
      <c r="B6857" s="224"/>
      <c r="C6857" s="49"/>
      <c r="D6857" s="49"/>
      <c r="E6857" s="60"/>
      <c r="F6857" s="61" t="s">
        <v>521</v>
      </c>
      <c r="G6857" s="61" t="str">
        <f t="shared" si="181"/>
        <v/>
      </c>
      <c r="H6857" s="63"/>
      <c r="I6857" s="25"/>
      <c r="J6857" s="138">
        <v>0</v>
      </c>
    </row>
    <row r="6858" spans="1:10" ht="15.75" hidden="1" thickBot="1" x14ac:dyDescent="0.3">
      <c r="A6858" s="220" t="s">
        <v>2450</v>
      </c>
      <c r="B6858" s="222" t="e">
        <f>INDEX(Orçamentária!A:B,MATCH(Composições!A6858,Orçamentária!A:A,0),2)</f>
        <v>#N/A</v>
      </c>
      <c r="C6858" s="35"/>
      <c r="D6858" s="20" t="s">
        <v>93</v>
      </c>
      <c r="E6858" s="21"/>
      <c r="F6858" s="36" t="s">
        <v>521</v>
      </c>
      <c r="G6858" s="22" t="str">
        <f t="shared" si="181"/>
        <v/>
      </c>
      <c r="H6858" s="23"/>
      <c r="I6858" s="24"/>
      <c r="J6858" s="138">
        <v>0</v>
      </c>
    </row>
    <row r="6859" spans="1:10" ht="15.75" hidden="1" thickBot="1" x14ac:dyDescent="0.3">
      <c r="A6859" s="221"/>
      <c r="B6859" s="223"/>
      <c r="C6859" s="26"/>
      <c r="D6859" s="26"/>
      <c r="E6859" s="27"/>
      <c r="F6859" s="37" t="s">
        <v>521</v>
      </c>
      <c r="G6859" s="25" t="str">
        <f t="shared" si="181"/>
        <v/>
      </c>
      <c r="H6859" s="29"/>
      <c r="I6859" s="25"/>
      <c r="J6859" s="138">
        <v>0</v>
      </c>
    </row>
    <row r="6860" spans="1:10" ht="15.75" hidden="1" thickBot="1" x14ac:dyDescent="0.3">
      <c r="A6860" s="221"/>
      <c r="B6860" s="223"/>
      <c r="C6860" s="159" t="s">
        <v>2683</v>
      </c>
      <c r="D6860" s="41" t="s">
        <v>93</v>
      </c>
      <c r="E6860" s="146">
        <v>1</v>
      </c>
      <c r="F6860" s="25">
        <v>47.756500000000003</v>
      </c>
      <c r="G6860" s="25">
        <f t="shared" si="181"/>
        <v>47.756500000000003</v>
      </c>
      <c r="H6860" s="33">
        <f t="shared" ref="H6860" si="184">SUM(G6860:G6860)</f>
        <v>47.756500000000003</v>
      </c>
      <c r="I6860" s="34"/>
      <c r="J6860" s="138">
        <v>0</v>
      </c>
    </row>
    <row r="6861" spans="1:10" ht="15.75" hidden="1" thickBot="1" x14ac:dyDescent="0.3">
      <c r="A6861" s="227"/>
      <c r="B6861" s="224"/>
      <c r="C6861" s="49"/>
      <c r="D6861" s="49"/>
      <c r="E6861" s="60"/>
      <c r="F6861" s="61" t="s">
        <v>521</v>
      </c>
      <c r="G6861" s="61" t="str">
        <f t="shared" si="181"/>
        <v/>
      </c>
      <c r="H6861" s="63"/>
      <c r="I6861" s="25"/>
      <c r="J6861" s="138">
        <v>0</v>
      </c>
    </row>
    <row r="6862" spans="1:10" ht="15.75" hidden="1" thickBot="1" x14ac:dyDescent="0.3">
      <c r="A6862" s="220" t="s">
        <v>2451</v>
      </c>
      <c r="B6862" s="222" t="e">
        <f>INDEX(Orçamentária!A:B,MATCH(Composições!A6862,Orçamentária!A:A,0),2)</f>
        <v>#N/A</v>
      </c>
      <c r="C6862" s="35"/>
      <c r="D6862" s="20" t="s">
        <v>93</v>
      </c>
      <c r="E6862" s="21"/>
      <c r="F6862" s="36" t="s">
        <v>521</v>
      </c>
      <c r="G6862" s="22" t="str">
        <f t="shared" si="181"/>
        <v/>
      </c>
      <c r="H6862" s="23"/>
      <c r="I6862" s="24"/>
      <c r="J6862" s="138">
        <v>0</v>
      </c>
    </row>
    <row r="6863" spans="1:10" ht="15.75" hidden="1" thickBot="1" x14ac:dyDescent="0.3">
      <c r="A6863" s="221"/>
      <c r="B6863" s="223"/>
      <c r="C6863" s="26"/>
      <c r="D6863" s="26"/>
      <c r="E6863" s="27"/>
      <c r="F6863" s="37" t="s">
        <v>521</v>
      </c>
      <c r="G6863" s="25" t="str">
        <f t="shared" si="181"/>
        <v/>
      </c>
      <c r="H6863" s="29"/>
      <c r="I6863" s="25"/>
      <c r="J6863" s="138">
        <v>0</v>
      </c>
    </row>
    <row r="6864" spans="1:10" ht="15.75" hidden="1" thickBot="1" x14ac:dyDescent="0.3">
      <c r="A6864" s="221"/>
      <c r="B6864" s="223"/>
      <c r="C6864" s="159" t="s">
        <v>2684</v>
      </c>
      <c r="D6864" s="41" t="s">
        <v>93</v>
      </c>
      <c r="E6864" s="146">
        <v>1</v>
      </c>
      <c r="F6864" s="25">
        <v>59.669499999999999</v>
      </c>
      <c r="G6864" s="25">
        <f t="shared" si="181"/>
        <v>59.669499999999999</v>
      </c>
      <c r="H6864" s="33">
        <f t="shared" ref="H6864" si="185">SUM(G6864:G6864)</f>
        <v>59.669499999999999</v>
      </c>
      <c r="I6864" s="34"/>
      <c r="J6864" s="138">
        <v>0</v>
      </c>
    </row>
    <row r="6865" spans="1:10" ht="15.75" hidden="1" thickBot="1" x14ac:dyDescent="0.3">
      <c r="A6865" s="227"/>
      <c r="B6865" s="224"/>
      <c r="C6865" s="49"/>
      <c r="D6865" s="49"/>
      <c r="E6865" s="60"/>
      <c r="F6865" s="61" t="s">
        <v>521</v>
      </c>
      <c r="G6865" s="61" t="str">
        <f t="shared" si="181"/>
        <v/>
      </c>
      <c r="H6865" s="63"/>
      <c r="I6865" s="25"/>
      <c r="J6865" s="138">
        <v>0</v>
      </c>
    </row>
    <row r="6866" spans="1:10" ht="15.75" hidden="1" thickBot="1" x14ac:dyDescent="0.3">
      <c r="A6866" s="220" t="s">
        <v>2452</v>
      </c>
      <c r="B6866" s="222" t="e">
        <f>INDEX(Orçamentária!A:B,MATCH(Composições!A6866,Orçamentária!A:A,0),2)</f>
        <v>#N/A</v>
      </c>
      <c r="C6866" s="35"/>
      <c r="D6866" s="20" t="s">
        <v>93</v>
      </c>
      <c r="E6866" s="21"/>
      <c r="F6866" s="36" t="s">
        <v>521</v>
      </c>
      <c r="G6866" s="22" t="str">
        <f t="shared" si="181"/>
        <v/>
      </c>
      <c r="H6866" s="23"/>
      <c r="I6866" s="24"/>
      <c r="J6866" s="138">
        <v>0</v>
      </c>
    </row>
    <row r="6867" spans="1:10" ht="15.75" hidden="1" thickBot="1" x14ac:dyDescent="0.3">
      <c r="A6867" s="221"/>
      <c r="B6867" s="223"/>
      <c r="C6867" s="26"/>
      <c r="D6867" s="26"/>
      <c r="E6867" s="27"/>
      <c r="F6867" s="37" t="s">
        <v>521</v>
      </c>
      <c r="G6867" s="25" t="str">
        <f t="shared" si="181"/>
        <v/>
      </c>
      <c r="H6867" s="29"/>
      <c r="I6867" s="25"/>
      <c r="J6867" s="138">
        <v>0</v>
      </c>
    </row>
    <row r="6868" spans="1:10" ht="15.75" hidden="1" thickBot="1" x14ac:dyDescent="0.3">
      <c r="A6868" s="221"/>
      <c r="B6868" s="223"/>
      <c r="C6868" s="159" t="s">
        <v>2677</v>
      </c>
      <c r="D6868" s="41" t="s">
        <v>93</v>
      </c>
      <c r="E6868" s="146">
        <v>1</v>
      </c>
      <c r="F6868" s="25">
        <v>95.731499999999997</v>
      </c>
      <c r="G6868" s="25">
        <f t="shared" si="181"/>
        <v>95.731499999999997</v>
      </c>
      <c r="H6868" s="33">
        <f t="shared" ref="H6868" si="186">SUM(G6868:G6868)</f>
        <v>95.731499999999997</v>
      </c>
      <c r="I6868" s="34"/>
      <c r="J6868" s="138">
        <v>0</v>
      </c>
    </row>
    <row r="6869" spans="1:10" ht="15.75" hidden="1" thickBot="1" x14ac:dyDescent="0.3">
      <c r="A6869" s="227"/>
      <c r="B6869" s="224"/>
      <c r="C6869" s="49"/>
      <c r="D6869" s="49"/>
      <c r="E6869" s="60"/>
      <c r="F6869" s="61" t="s">
        <v>521</v>
      </c>
      <c r="G6869" s="61" t="str">
        <f t="shared" si="181"/>
        <v/>
      </c>
      <c r="H6869" s="63"/>
      <c r="I6869" s="25"/>
      <c r="J6869" s="138">
        <v>0</v>
      </c>
    </row>
    <row r="6870" spans="1:10" ht="15.75" hidden="1" thickBot="1" x14ac:dyDescent="0.3">
      <c r="A6870" s="220" t="s">
        <v>2453</v>
      </c>
      <c r="B6870" s="222" t="e">
        <f>INDEX(Orçamentária!A:B,MATCH(Composições!A6870,Orçamentária!A:A,0),2)</f>
        <v>#N/A</v>
      </c>
      <c r="C6870" s="35"/>
      <c r="D6870" s="20" t="s">
        <v>20</v>
      </c>
      <c r="E6870" s="21"/>
      <c r="F6870" s="36" t="s">
        <v>521</v>
      </c>
      <c r="G6870" s="22" t="str">
        <f t="shared" si="181"/>
        <v/>
      </c>
      <c r="H6870" s="23"/>
      <c r="I6870" s="24"/>
      <c r="J6870" s="138">
        <v>0</v>
      </c>
    </row>
    <row r="6871" spans="1:10" ht="15.75" hidden="1" thickBot="1" x14ac:dyDescent="0.3">
      <c r="A6871" s="221"/>
      <c r="B6871" s="223"/>
      <c r="C6871" s="26"/>
      <c r="D6871" s="26"/>
      <c r="E6871" s="27"/>
      <c r="F6871" s="37" t="s">
        <v>521</v>
      </c>
      <c r="G6871" s="25" t="str">
        <f t="shared" si="181"/>
        <v/>
      </c>
      <c r="H6871" s="29"/>
      <c r="I6871" s="25"/>
      <c r="J6871" s="138">
        <v>0</v>
      </c>
    </row>
    <row r="6872" spans="1:10" ht="15.75" hidden="1" thickBot="1" x14ac:dyDescent="0.3">
      <c r="A6872" s="221"/>
      <c r="B6872" s="223"/>
      <c r="C6872" s="159" t="s">
        <v>2704</v>
      </c>
      <c r="D6872" s="41" t="s">
        <v>20</v>
      </c>
      <c r="E6872" s="146">
        <v>1</v>
      </c>
      <c r="F6872" s="25">
        <v>39.947499999999998</v>
      </c>
      <c r="G6872" s="25">
        <f t="shared" si="181"/>
        <v>39.947499999999998</v>
      </c>
      <c r="H6872" s="33">
        <f t="shared" ref="H6872" si="187">SUM(G6872:G6872)</f>
        <v>39.947499999999998</v>
      </c>
      <c r="I6872" s="34"/>
      <c r="J6872" s="138">
        <v>0</v>
      </c>
    </row>
    <row r="6873" spans="1:10" ht="15.75" hidden="1" thickBot="1" x14ac:dyDescent="0.3">
      <c r="A6873" s="227"/>
      <c r="B6873" s="224"/>
      <c r="C6873" s="49"/>
      <c r="D6873" s="49"/>
      <c r="E6873" s="60"/>
      <c r="F6873" s="61" t="s">
        <v>521</v>
      </c>
      <c r="G6873" s="61" t="str">
        <f t="shared" si="181"/>
        <v/>
      </c>
      <c r="H6873" s="63"/>
      <c r="I6873" s="25"/>
      <c r="J6873" s="138">
        <v>0</v>
      </c>
    </row>
    <row r="6874" spans="1:10" ht="15.75" hidden="1" thickBot="1" x14ac:dyDescent="0.3">
      <c r="A6874" s="220" t="s">
        <v>2454</v>
      </c>
      <c r="B6874" s="222" t="e">
        <f>INDEX(Orçamentária!A:B,MATCH(Composições!A6874,Orçamentária!A:A,0),2)</f>
        <v>#N/A</v>
      </c>
      <c r="C6874" s="35"/>
      <c r="D6874" s="20" t="s">
        <v>20</v>
      </c>
      <c r="E6874" s="21"/>
      <c r="F6874" s="36" t="s">
        <v>521</v>
      </c>
      <c r="G6874" s="22" t="str">
        <f t="shared" si="181"/>
        <v/>
      </c>
      <c r="H6874" s="23"/>
      <c r="I6874" s="24"/>
      <c r="J6874" s="138">
        <v>0</v>
      </c>
    </row>
    <row r="6875" spans="1:10" ht="15.75" hidden="1" thickBot="1" x14ac:dyDescent="0.3">
      <c r="A6875" s="221"/>
      <c r="B6875" s="223"/>
      <c r="C6875" s="26"/>
      <c r="D6875" s="26"/>
      <c r="E6875" s="27"/>
      <c r="F6875" s="37" t="s">
        <v>521</v>
      </c>
      <c r="G6875" s="25" t="str">
        <f t="shared" si="181"/>
        <v/>
      </c>
      <c r="H6875" s="29"/>
      <c r="I6875" s="25"/>
      <c r="J6875" s="138">
        <v>0</v>
      </c>
    </row>
    <row r="6876" spans="1:10" ht="15.75" hidden="1" thickBot="1" x14ac:dyDescent="0.3">
      <c r="A6876" s="221"/>
      <c r="B6876" s="223"/>
      <c r="C6876" s="159" t="s">
        <v>2705</v>
      </c>
      <c r="D6876" s="41" t="s">
        <v>20</v>
      </c>
      <c r="E6876" s="146">
        <v>1</v>
      </c>
      <c r="F6876" s="25">
        <v>54.567999999999998</v>
      </c>
      <c r="G6876" s="25">
        <f t="shared" si="181"/>
        <v>54.567999999999998</v>
      </c>
      <c r="H6876" s="33">
        <f t="shared" ref="H6876" si="188">SUM(G6876:G6876)</f>
        <v>54.567999999999998</v>
      </c>
      <c r="I6876" s="34"/>
      <c r="J6876" s="138">
        <v>0</v>
      </c>
    </row>
    <row r="6877" spans="1:10" ht="15.75" hidden="1" thickBot="1" x14ac:dyDescent="0.3">
      <c r="A6877" s="227"/>
      <c r="B6877" s="224"/>
      <c r="C6877" s="49"/>
      <c r="D6877" s="49"/>
      <c r="E6877" s="60"/>
      <c r="F6877" s="61" t="s">
        <v>521</v>
      </c>
      <c r="G6877" s="61" t="str">
        <f t="shared" si="181"/>
        <v/>
      </c>
      <c r="H6877" s="63"/>
      <c r="I6877" s="25"/>
      <c r="J6877" s="138">
        <v>0</v>
      </c>
    </row>
    <row r="6878" spans="1:10" ht="15.75" hidden="1" thickBot="1" x14ac:dyDescent="0.3">
      <c r="A6878" s="220" t="s">
        <v>2455</v>
      </c>
      <c r="B6878" s="222" t="e">
        <f>INDEX(Orçamentária!A:B,MATCH(Composições!A6878,Orçamentária!A:A,0),2)</f>
        <v>#N/A</v>
      </c>
      <c r="C6878" s="35"/>
      <c r="D6878" s="20" t="s">
        <v>20</v>
      </c>
      <c r="E6878" s="21"/>
      <c r="F6878" s="36" t="s">
        <v>521</v>
      </c>
      <c r="G6878" s="22" t="str">
        <f t="shared" si="181"/>
        <v/>
      </c>
      <c r="H6878" s="23"/>
      <c r="I6878" s="24"/>
      <c r="J6878" s="138">
        <v>0</v>
      </c>
    </row>
    <row r="6879" spans="1:10" ht="15.75" hidden="1" thickBot="1" x14ac:dyDescent="0.3">
      <c r="A6879" s="221"/>
      <c r="B6879" s="223"/>
      <c r="C6879" s="26"/>
      <c r="D6879" s="26"/>
      <c r="E6879" s="27"/>
      <c r="F6879" s="37" t="s">
        <v>521</v>
      </c>
      <c r="G6879" s="25" t="str">
        <f t="shared" si="181"/>
        <v/>
      </c>
      <c r="H6879" s="29"/>
      <c r="I6879" s="25"/>
      <c r="J6879" s="138">
        <v>0</v>
      </c>
    </row>
    <row r="6880" spans="1:10" ht="26.25" hidden="1" thickBot="1" x14ac:dyDescent="0.3">
      <c r="A6880" s="221"/>
      <c r="B6880" s="223"/>
      <c r="C6880" s="159" t="s">
        <v>2696</v>
      </c>
      <c r="D6880" s="41" t="s">
        <v>20</v>
      </c>
      <c r="E6880" s="146">
        <v>1</v>
      </c>
      <c r="F6880" s="25">
        <v>60.733499999999999</v>
      </c>
      <c r="G6880" s="25">
        <f t="shared" si="181"/>
        <v>60.733499999999999</v>
      </c>
      <c r="H6880" s="33">
        <f t="shared" ref="H6880" si="189">SUM(G6880:G6880)</f>
        <v>60.733499999999999</v>
      </c>
      <c r="I6880" s="34"/>
      <c r="J6880" s="138">
        <v>0</v>
      </c>
    </row>
    <row r="6881" spans="1:10" ht="15.75" hidden="1" thickBot="1" x14ac:dyDescent="0.3">
      <c r="A6881" s="227"/>
      <c r="B6881" s="224"/>
      <c r="C6881" s="49"/>
      <c r="D6881" s="49"/>
      <c r="E6881" s="60"/>
      <c r="F6881" s="61" t="s">
        <v>521</v>
      </c>
      <c r="G6881" s="61" t="str">
        <f t="shared" si="181"/>
        <v/>
      </c>
      <c r="H6881" s="63"/>
      <c r="I6881" s="25"/>
      <c r="J6881" s="138">
        <v>0</v>
      </c>
    </row>
    <row r="6882" spans="1:10" ht="15.75" hidden="1" thickBot="1" x14ac:dyDescent="0.3">
      <c r="A6882" s="220" t="s">
        <v>2456</v>
      </c>
      <c r="B6882" s="222" t="e">
        <f>INDEX(Orçamentária!A:B,MATCH(Composições!A6882,Orçamentária!A:A,0),2)</f>
        <v>#N/A</v>
      </c>
      <c r="C6882" s="35"/>
      <c r="D6882" s="20" t="s">
        <v>20</v>
      </c>
      <c r="E6882" s="21"/>
      <c r="F6882" s="36" t="s">
        <v>521</v>
      </c>
      <c r="G6882" s="22" t="str">
        <f t="shared" si="181"/>
        <v/>
      </c>
      <c r="H6882" s="23"/>
      <c r="I6882" s="24"/>
      <c r="J6882" s="138">
        <v>0</v>
      </c>
    </row>
    <row r="6883" spans="1:10" ht="15.75" hidden="1" thickBot="1" x14ac:dyDescent="0.3">
      <c r="A6883" s="221"/>
      <c r="B6883" s="223"/>
      <c r="C6883" s="26"/>
      <c r="D6883" s="26"/>
      <c r="E6883" s="27"/>
      <c r="F6883" s="37" t="s">
        <v>521</v>
      </c>
      <c r="G6883" s="25" t="str">
        <f t="shared" si="181"/>
        <v/>
      </c>
      <c r="H6883" s="29"/>
      <c r="I6883" s="25"/>
      <c r="J6883" s="138">
        <v>0</v>
      </c>
    </row>
    <row r="6884" spans="1:10" ht="26.25" hidden="1" thickBot="1" x14ac:dyDescent="0.3">
      <c r="A6884" s="221"/>
      <c r="B6884" s="223"/>
      <c r="C6884" s="159" t="s">
        <v>2697</v>
      </c>
      <c r="D6884" s="41" t="s">
        <v>20</v>
      </c>
      <c r="E6884" s="146">
        <v>1</v>
      </c>
      <c r="F6884" s="25">
        <v>155.857</v>
      </c>
      <c r="G6884" s="25">
        <f t="shared" si="181"/>
        <v>155.857</v>
      </c>
      <c r="H6884" s="33">
        <f t="shared" ref="H6884" si="190">SUM(G6884:G6884)</f>
        <v>155.857</v>
      </c>
      <c r="I6884" s="34"/>
      <c r="J6884" s="138">
        <v>0</v>
      </c>
    </row>
    <row r="6885" spans="1:10" ht="15.75" hidden="1" thickBot="1" x14ac:dyDescent="0.3">
      <c r="A6885" s="227"/>
      <c r="B6885" s="224"/>
      <c r="C6885" s="49"/>
      <c r="D6885" s="49"/>
      <c r="E6885" s="60"/>
      <c r="F6885" s="61" t="s">
        <v>521</v>
      </c>
      <c r="G6885" s="61" t="str">
        <f t="shared" si="181"/>
        <v/>
      </c>
      <c r="H6885" s="63"/>
      <c r="I6885" s="25"/>
      <c r="J6885" s="138">
        <v>0</v>
      </c>
    </row>
    <row r="6886" spans="1:10" ht="15.75" hidden="1" thickBot="1" x14ac:dyDescent="0.3">
      <c r="A6886" s="220" t="s">
        <v>2457</v>
      </c>
      <c r="B6886" s="222" t="e">
        <f>INDEX(Orçamentária!A:B,MATCH(Composições!A6886,Orçamentária!A:A,0),2)</f>
        <v>#N/A</v>
      </c>
      <c r="C6886" s="35"/>
      <c r="D6886" s="20" t="s">
        <v>20</v>
      </c>
      <c r="E6886" s="21"/>
      <c r="F6886" s="36" t="s">
        <v>521</v>
      </c>
      <c r="G6886" s="22" t="str">
        <f t="shared" si="181"/>
        <v/>
      </c>
      <c r="H6886" s="23"/>
      <c r="I6886" s="24"/>
      <c r="J6886" s="138">
        <v>0</v>
      </c>
    </row>
    <row r="6887" spans="1:10" ht="15.75" hidden="1" thickBot="1" x14ac:dyDescent="0.3">
      <c r="A6887" s="221"/>
      <c r="B6887" s="223"/>
      <c r="C6887" s="26"/>
      <c r="D6887" s="26"/>
      <c r="E6887" s="27"/>
      <c r="F6887" s="37" t="s">
        <v>521</v>
      </c>
      <c r="G6887" s="25" t="str">
        <f t="shared" si="181"/>
        <v/>
      </c>
      <c r="H6887" s="29"/>
      <c r="I6887" s="25"/>
      <c r="J6887" s="138">
        <v>0</v>
      </c>
    </row>
    <row r="6888" spans="1:10" ht="26.25" hidden="1" thickBot="1" x14ac:dyDescent="0.3">
      <c r="A6888" s="221"/>
      <c r="B6888" s="223"/>
      <c r="C6888" s="159" t="s">
        <v>2699</v>
      </c>
      <c r="D6888" s="41" t="s">
        <v>20</v>
      </c>
      <c r="E6888" s="146">
        <v>1</v>
      </c>
      <c r="F6888" s="25">
        <v>87.78949999999999</v>
      </c>
      <c r="G6888" s="25">
        <f t="shared" si="181"/>
        <v>87.78949999999999</v>
      </c>
      <c r="H6888" s="33">
        <f>SUM(G6888:G6888)</f>
        <v>87.78949999999999</v>
      </c>
      <c r="I6888" s="34"/>
      <c r="J6888" s="138">
        <v>0</v>
      </c>
    </row>
    <row r="6889" spans="1:10" ht="15.75" hidden="1" thickBot="1" x14ac:dyDescent="0.3">
      <c r="A6889" s="227"/>
      <c r="B6889" s="224"/>
      <c r="C6889" s="49"/>
      <c r="D6889" s="49"/>
      <c r="E6889" s="60"/>
      <c r="F6889" s="61" t="s">
        <v>521</v>
      </c>
      <c r="G6889" s="61" t="str">
        <f t="shared" si="181"/>
        <v/>
      </c>
      <c r="H6889" s="63"/>
      <c r="I6889" s="25"/>
      <c r="J6889" s="138">
        <v>0</v>
      </c>
    </row>
    <row r="6890" spans="1:10" ht="15.75" hidden="1" thickBot="1" x14ac:dyDescent="0.3">
      <c r="A6890" s="220" t="s">
        <v>2458</v>
      </c>
      <c r="B6890" s="222" t="e">
        <f>INDEX(Orçamentária!A:B,MATCH(Composições!A6890,Orçamentária!A:A,0),2)</f>
        <v>#N/A</v>
      </c>
      <c r="C6890" s="35"/>
      <c r="D6890" s="20" t="s">
        <v>20</v>
      </c>
      <c r="E6890" s="21"/>
      <c r="F6890" s="36" t="s">
        <v>521</v>
      </c>
      <c r="G6890" s="22" t="str">
        <f t="shared" si="181"/>
        <v/>
      </c>
      <c r="H6890" s="23"/>
      <c r="I6890" s="24"/>
      <c r="J6890" s="138">
        <v>0</v>
      </c>
    </row>
    <row r="6891" spans="1:10" ht="15.75" hidden="1" thickBot="1" x14ac:dyDescent="0.3">
      <c r="A6891" s="221"/>
      <c r="B6891" s="223"/>
      <c r="C6891" s="26"/>
      <c r="D6891" s="26"/>
      <c r="E6891" s="27"/>
      <c r="F6891" s="37" t="s">
        <v>521</v>
      </c>
      <c r="G6891" s="25" t="str">
        <f t="shared" si="181"/>
        <v/>
      </c>
      <c r="H6891" s="29"/>
      <c r="I6891" s="25"/>
      <c r="J6891" s="138">
        <v>0</v>
      </c>
    </row>
    <row r="6892" spans="1:10" ht="26.25" hidden="1" thickBot="1" x14ac:dyDescent="0.3">
      <c r="A6892" s="221"/>
      <c r="B6892" s="223"/>
      <c r="C6892" s="159" t="s">
        <v>2698</v>
      </c>
      <c r="D6892" s="41" t="s">
        <v>20</v>
      </c>
      <c r="E6892" s="146">
        <v>1</v>
      </c>
      <c r="F6892" s="25">
        <v>279.68950000000001</v>
      </c>
      <c r="G6892" s="25">
        <f t="shared" si="181"/>
        <v>279.68950000000001</v>
      </c>
      <c r="H6892" s="33">
        <f>SUM(G6892:G6892)</f>
        <v>279.68950000000001</v>
      </c>
      <c r="I6892" s="34"/>
      <c r="J6892" s="138">
        <v>0</v>
      </c>
    </row>
    <row r="6893" spans="1:10" ht="15.75" hidden="1" thickBot="1" x14ac:dyDescent="0.3">
      <c r="A6893" s="227"/>
      <c r="B6893" s="224"/>
      <c r="C6893" s="49"/>
      <c r="D6893" s="49"/>
      <c r="E6893" s="60"/>
      <c r="F6893" s="61" t="s">
        <v>521</v>
      </c>
      <c r="G6893" s="61" t="str">
        <f t="shared" si="181"/>
        <v/>
      </c>
      <c r="H6893" s="63"/>
      <c r="I6893" s="25"/>
      <c r="J6893" s="138">
        <v>0</v>
      </c>
    </row>
    <row r="6894" spans="1:10" ht="15.75" hidden="1" thickBot="1" x14ac:dyDescent="0.3">
      <c r="A6894" s="220" t="s">
        <v>2459</v>
      </c>
      <c r="B6894" s="222" t="e">
        <f>INDEX(Orçamentária!A:B,MATCH(Composições!A6894,Orçamentária!A:A,0),2)</f>
        <v>#N/A</v>
      </c>
      <c r="C6894" s="35"/>
      <c r="D6894" s="20" t="s">
        <v>20</v>
      </c>
      <c r="E6894" s="21"/>
      <c r="F6894" s="36" t="s">
        <v>521</v>
      </c>
      <c r="G6894" s="22" t="str">
        <f t="shared" si="181"/>
        <v/>
      </c>
      <c r="H6894" s="23"/>
      <c r="I6894" s="24"/>
      <c r="J6894" s="138">
        <v>0</v>
      </c>
    </row>
    <row r="6895" spans="1:10" ht="15.75" hidden="1" thickBot="1" x14ac:dyDescent="0.3">
      <c r="A6895" s="221"/>
      <c r="B6895" s="223"/>
      <c r="C6895" s="26"/>
      <c r="D6895" s="26"/>
      <c r="E6895" s="27"/>
      <c r="F6895" s="37" t="s">
        <v>521</v>
      </c>
      <c r="G6895" s="25" t="str">
        <f t="shared" si="181"/>
        <v/>
      </c>
      <c r="H6895" s="29"/>
      <c r="I6895" s="25"/>
      <c r="J6895" s="138">
        <v>0</v>
      </c>
    </row>
    <row r="6896" spans="1:10" ht="26.25" hidden="1" thickBot="1" x14ac:dyDescent="0.3">
      <c r="A6896" s="221"/>
      <c r="B6896" s="223"/>
      <c r="C6896" s="159" t="s">
        <v>2702</v>
      </c>
      <c r="D6896" s="41" t="s">
        <v>20</v>
      </c>
      <c r="E6896" s="146">
        <v>1</v>
      </c>
      <c r="F6896" s="25">
        <v>338.85550000000001</v>
      </c>
      <c r="G6896" s="25">
        <f t="shared" si="181"/>
        <v>338.85550000000001</v>
      </c>
      <c r="H6896" s="33">
        <f>SUM(G6896:G6896)</f>
        <v>338.85550000000001</v>
      </c>
      <c r="I6896" s="34"/>
      <c r="J6896" s="138">
        <v>0</v>
      </c>
    </row>
    <row r="6897" spans="1:10" ht="15.75" hidden="1" thickBot="1" x14ac:dyDescent="0.3">
      <c r="A6897" s="227"/>
      <c r="B6897" s="224"/>
      <c r="C6897" s="49"/>
      <c r="D6897" s="49"/>
      <c r="E6897" s="60"/>
      <c r="F6897" s="61" t="s">
        <v>521</v>
      </c>
      <c r="G6897" s="61" t="str">
        <f t="shared" si="181"/>
        <v/>
      </c>
      <c r="H6897" s="63"/>
      <c r="I6897" s="25"/>
      <c r="J6897" s="138">
        <v>0</v>
      </c>
    </row>
    <row r="6898" spans="1:10" ht="15.75" hidden="1" thickBot="1" x14ac:dyDescent="0.3">
      <c r="A6898" s="220" t="s">
        <v>2460</v>
      </c>
      <c r="B6898" s="222" t="e">
        <f>INDEX(Orçamentária!A:B,MATCH(Composições!A6898,Orçamentária!A:A,0),2)</f>
        <v>#N/A</v>
      </c>
      <c r="C6898" s="35"/>
      <c r="D6898" s="20" t="s">
        <v>20</v>
      </c>
      <c r="E6898" s="21"/>
      <c r="F6898" s="36" t="s">
        <v>521</v>
      </c>
      <c r="G6898" s="22" t="str">
        <f t="shared" si="181"/>
        <v/>
      </c>
      <c r="H6898" s="23"/>
      <c r="I6898" s="24"/>
      <c r="J6898" s="138">
        <v>0</v>
      </c>
    </row>
    <row r="6899" spans="1:10" ht="15.75" hidden="1" thickBot="1" x14ac:dyDescent="0.3">
      <c r="A6899" s="221"/>
      <c r="B6899" s="223"/>
      <c r="C6899" s="26"/>
      <c r="D6899" s="26"/>
      <c r="E6899" s="27"/>
      <c r="F6899" s="37" t="s">
        <v>521</v>
      </c>
      <c r="G6899" s="25" t="str">
        <f t="shared" si="181"/>
        <v/>
      </c>
      <c r="H6899" s="29"/>
      <c r="I6899" s="25"/>
      <c r="J6899" s="138">
        <v>0</v>
      </c>
    </row>
    <row r="6900" spans="1:10" ht="26.25" hidden="1" thickBot="1" x14ac:dyDescent="0.3">
      <c r="A6900" s="221"/>
      <c r="B6900" s="223"/>
      <c r="C6900" s="159" t="s">
        <v>2703</v>
      </c>
      <c r="D6900" s="41" t="s">
        <v>20</v>
      </c>
      <c r="E6900" s="146">
        <v>1</v>
      </c>
      <c r="F6900" s="25">
        <v>588.09749999999997</v>
      </c>
      <c r="G6900" s="25">
        <f t="shared" si="181"/>
        <v>588.09749999999997</v>
      </c>
      <c r="H6900" s="33">
        <f>SUM(G6900:G6900)</f>
        <v>588.09749999999997</v>
      </c>
      <c r="I6900" s="34"/>
      <c r="J6900" s="138">
        <v>0</v>
      </c>
    </row>
    <row r="6901" spans="1:10" ht="15.75" hidden="1" thickBot="1" x14ac:dyDescent="0.3">
      <c r="A6901" s="227"/>
      <c r="B6901" s="224"/>
      <c r="C6901" s="49"/>
      <c r="D6901" s="49"/>
      <c r="E6901" s="60"/>
      <c r="F6901" s="61" t="s">
        <v>521</v>
      </c>
      <c r="G6901" s="61" t="str">
        <f t="shared" si="181"/>
        <v/>
      </c>
      <c r="H6901" s="63"/>
      <c r="I6901" s="25"/>
      <c r="J6901" s="138">
        <v>0</v>
      </c>
    </row>
    <row r="6902" spans="1:10" ht="15.75" hidden="1" thickBot="1" x14ac:dyDescent="0.3">
      <c r="A6902" s="220" t="s">
        <v>2461</v>
      </c>
      <c r="B6902" s="222" t="e">
        <f>INDEX(Orçamentária!A:B,MATCH(Composições!A6902,Orçamentária!A:A,0),2)</f>
        <v>#N/A</v>
      </c>
      <c r="C6902" s="35"/>
      <c r="D6902" s="20" t="s">
        <v>20</v>
      </c>
      <c r="E6902" s="21"/>
      <c r="F6902" s="36" t="s">
        <v>521</v>
      </c>
      <c r="G6902" s="22" t="str">
        <f t="shared" si="181"/>
        <v/>
      </c>
      <c r="H6902" s="23"/>
      <c r="I6902" s="24"/>
      <c r="J6902" s="138">
        <v>0</v>
      </c>
    </row>
    <row r="6903" spans="1:10" ht="15.75" hidden="1" thickBot="1" x14ac:dyDescent="0.3">
      <c r="A6903" s="221"/>
      <c r="B6903" s="223"/>
      <c r="C6903" s="26"/>
      <c r="D6903" s="26"/>
      <c r="E6903" s="27"/>
      <c r="F6903" s="37" t="s">
        <v>521</v>
      </c>
      <c r="G6903" s="25" t="str">
        <f t="shared" si="181"/>
        <v/>
      </c>
      <c r="H6903" s="29"/>
      <c r="I6903" s="25"/>
      <c r="J6903" s="138">
        <v>0</v>
      </c>
    </row>
    <row r="6904" spans="1:10" ht="26.25" hidden="1" thickBot="1" x14ac:dyDescent="0.3">
      <c r="A6904" s="221"/>
      <c r="B6904" s="223"/>
      <c r="C6904" s="159" t="s">
        <v>2701</v>
      </c>
      <c r="D6904" s="41" t="s">
        <v>20</v>
      </c>
      <c r="E6904" s="146">
        <v>1</v>
      </c>
      <c r="F6904" s="25">
        <v>154.85</v>
      </c>
      <c r="G6904" s="25">
        <f t="shared" si="181"/>
        <v>154.85</v>
      </c>
      <c r="H6904" s="33">
        <f>SUM(G6904:G6904)</f>
        <v>154.85</v>
      </c>
      <c r="I6904" s="34"/>
      <c r="J6904" s="138">
        <v>0</v>
      </c>
    </row>
    <row r="6905" spans="1:10" ht="15.75" hidden="1" thickBot="1" x14ac:dyDescent="0.3">
      <c r="A6905" s="227"/>
      <c r="B6905" s="224"/>
      <c r="C6905" s="49"/>
      <c r="D6905" s="49"/>
      <c r="E6905" s="60"/>
      <c r="F6905" s="61" t="s">
        <v>521</v>
      </c>
      <c r="G6905" s="61" t="str">
        <f t="shared" si="181"/>
        <v/>
      </c>
      <c r="H6905" s="63"/>
      <c r="I6905" s="25"/>
      <c r="J6905" s="138">
        <v>0</v>
      </c>
    </row>
    <row r="6906" spans="1:10" ht="15.75" hidden="1" thickBot="1" x14ac:dyDescent="0.3">
      <c r="A6906" s="220" t="s">
        <v>2462</v>
      </c>
      <c r="B6906" s="222" t="e">
        <f>INDEX(Orçamentária!A:B,MATCH(Composições!A6906,Orçamentária!A:A,0),2)</f>
        <v>#N/A</v>
      </c>
      <c r="C6906" s="35"/>
      <c r="D6906" s="20" t="s">
        <v>20</v>
      </c>
      <c r="E6906" s="21"/>
      <c r="F6906" s="36" t="s">
        <v>521</v>
      </c>
      <c r="G6906" s="22" t="str">
        <f t="shared" si="181"/>
        <v/>
      </c>
      <c r="H6906" s="23"/>
      <c r="I6906" s="24"/>
      <c r="J6906" s="138">
        <v>0</v>
      </c>
    </row>
    <row r="6907" spans="1:10" ht="15.75" hidden="1" thickBot="1" x14ac:dyDescent="0.3">
      <c r="A6907" s="221"/>
      <c r="B6907" s="223"/>
      <c r="C6907" s="26"/>
      <c r="D6907" s="26"/>
      <c r="E6907" s="27"/>
      <c r="F6907" s="37" t="s">
        <v>521</v>
      </c>
      <c r="G6907" s="25" t="str">
        <f t="shared" si="181"/>
        <v/>
      </c>
      <c r="H6907" s="29"/>
      <c r="I6907" s="25"/>
      <c r="J6907" s="138">
        <v>0</v>
      </c>
    </row>
    <row r="6908" spans="1:10" ht="26.25" hidden="1" thickBot="1" x14ac:dyDescent="0.3">
      <c r="A6908" s="221"/>
      <c r="B6908" s="223"/>
      <c r="C6908" s="159" t="s">
        <v>2700</v>
      </c>
      <c r="D6908" s="41" t="s">
        <v>20</v>
      </c>
      <c r="E6908" s="146">
        <v>1</v>
      </c>
      <c r="F6908" s="25">
        <v>248.14</v>
      </c>
      <c r="G6908" s="25">
        <f t="shared" si="181"/>
        <v>248.14</v>
      </c>
      <c r="H6908" s="33">
        <f>SUM(G6908:G6908)</f>
        <v>248.14</v>
      </c>
      <c r="I6908" s="34"/>
      <c r="J6908" s="138">
        <v>0</v>
      </c>
    </row>
    <row r="6909" spans="1:10" ht="15.75" hidden="1" thickBot="1" x14ac:dyDescent="0.3">
      <c r="A6909" s="227"/>
      <c r="B6909" s="224"/>
      <c r="C6909" s="49"/>
      <c r="D6909" s="49"/>
      <c r="E6909" s="60"/>
      <c r="F6909" s="61" t="s">
        <v>521</v>
      </c>
      <c r="G6909" s="61" t="str">
        <f t="shared" si="181"/>
        <v/>
      </c>
      <c r="H6909" s="63"/>
      <c r="I6909" s="25"/>
      <c r="J6909" s="138">
        <v>0</v>
      </c>
    </row>
    <row r="6910" spans="1:10" ht="15.75" hidden="1" thickBot="1" x14ac:dyDescent="0.3">
      <c r="A6910" s="220" t="s">
        <v>2463</v>
      </c>
      <c r="B6910" s="222" t="e">
        <f>INDEX(Orçamentária!A:B,MATCH(Composições!A6910,Orçamentária!A:A,0),2)</f>
        <v>#N/A</v>
      </c>
      <c r="C6910" s="35"/>
      <c r="D6910" s="20" t="s">
        <v>20</v>
      </c>
      <c r="E6910" s="21"/>
      <c r="F6910" s="36" t="s">
        <v>521</v>
      </c>
      <c r="G6910" s="22" t="str">
        <f t="shared" si="181"/>
        <v/>
      </c>
      <c r="H6910" s="23"/>
      <c r="I6910" s="24"/>
      <c r="J6910" s="138">
        <v>0</v>
      </c>
    </row>
    <row r="6911" spans="1:10" ht="15.75" hidden="1" thickBot="1" x14ac:dyDescent="0.3">
      <c r="A6911" s="221"/>
      <c r="B6911" s="223"/>
      <c r="C6911" s="26"/>
      <c r="D6911" s="26"/>
      <c r="E6911" s="27"/>
      <c r="F6911" s="37" t="s">
        <v>521</v>
      </c>
      <c r="G6911" s="25" t="str">
        <f t="shared" si="181"/>
        <v/>
      </c>
      <c r="H6911" s="29"/>
      <c r="I6911" s="25"/>
      <c r="J6911" s="138">
        <v>0</v>
      </c>
    </row>
    <row r="6912" spans="1:10" ht="26.25" hidden="1" thickBot="1" x14ac:dyDescent="0.3">
      <c r="A6912" s="221"/>
      <c r="B6912" s="223"/>
      <c r="C6912" s="159" t="s">
        <v>2316</v>
      </c>
      <c r="D6912" s="41" t="s">
        <v>20</v>
      </c>
      <c r="E6912" s="146">
        <v>1</v>
      </c>
      <c r="F6912" s="25">
        <v>50.264499999999991</v>
      </c>
      <c r="G6912" s="25">
        <f t="shared" si="181"/>
        <v>50.264499999999991</v>
      </c>
      <c r="H6912" s="33">
        <f>SUM(G6912:G6912)</f>
        <v>50.264499999999991</v>
      </c>
      <c r="I6912" s="34"/>
      <c r="J6912" s="138">
        <v>0</v>
      </c>
    </row>
    <row r="6913" spans="1:10" ht="15.75" hidden="1" thickBot="1" x14ac:dyDescent="0.3">
      <c r="A6913" s="227"/>
      <c r="B6913" s="224"/>
      <c r="C6913" s="49"/>
      <c r="D6913" s="49"/>
      <c r="E6913" s="60"/>
      <c r="F6913" s="61" t="s">
        <v>521</v>
      </c>
      <c r="G6913" s="61" t="str">
        <f t="shared" si="181"/>
        <v/>
      </c>
      <c r="H6913" s="63"/>
      <c r="I6913" s="25"/>
      <c r="J6913" s="138">
        <v>0</v>
      </c>
    </row>
    <row r="6914" spans="1:10" ht="15.75" hidden="1" thickBot="1" x14ac:dyDescent="0.3">
      <c r="A6914" s="220" t="s">
        <v>2464</v>
      </c>
      <c r="B6914" s="222" t="e">
        <f>INDEX(Orçamentária!A:B,MATCH(Composições!A6914,Orçamentária!A:A,0),2)</f>
        <v>#N/A</v>
      </c>
      <c r="C6914" s="35"/>
      <c r="D6914" s="20" t="s">
        <v>20</v>
      </c>
      <c r="E6914" s="21"/>
      <c r="F6914" s="36" t="s">
        <v>521</v>
      </c>
      <c r="G6914" s="22" t="str">
        <f t="shared" ref="G6914:G6977" si="191">IF(ISNUMBER(F6914),E6914*F6914,"")</f>
        <v/>
      </c>
      <c r="H6914" s="23"/>
      <c r="I6914" s="24"/>
      <c r="J6914" s="138">
        <v>0</v>
      </c>
    </row>
    <row r="6915" spans="1:10" ht="15.75" hidden="1" thickBot="1" x14ac:dyDescent="0.3">
      <c r="A6915" s="221"/>
      <c r="B6915" s="223"/>
      <c r="C6915" s="26"/>
      <c r="D6915" s="26"/>
      <c r="E6915" s="27"/>
      <c r="F6915" s="37" t="s">
        <v>521</v>
      </c>
      <c r="G6915" s="25" t="str">
        <f t="shared" si="191"/>
        <v/>
      </c>
      <c r="H6915" s="29"/>
      <c r="I6915" s="25"/>
      <c r="J6915" s="138">
        <v>0</v>
      </c>
    </row>
    <row r="6916" spans="1:10" ht="15.75" hidden="1" thickBot="1" x14ac:dyDescent="0.3">
      <c r="A6916" s="221"/>
      <c r="B6916" s="223"/>
      <c r="C6916" s="159" t="s">
        <v>2640</v>
      </c>
      <c r="D6916" s="41" t="s">
        <v>20</v>
      </c>
      <c r="E6916" s="146">
        <v>1</v>
      </c>
      <c r="F6916" s="25">
        <v>169.2235</v>
      </c>
      <c r="G6916" s="25">
        <f t="shared" si="191"/>
        <v>169.2235</v>
      </c>
      <c r="H6916" s="33">
        <f>SUM(G6916:G6916)</f>
        <v>169.2235</v>
      </c>
      <c r="I6916" s="34"/>
      <c r="J6916" s="138">
        <v>0</v>
      </c>
    </row>
    <row r="6917" spans="1:10" ht="15.75" hidden="1" thickBot="1" x14ac:dyDescent="0.3">
      <c r="A6917" s="227"/>
      <c r="B6917" s="224"/>
      <c r="C6917" s="49"/>
      <c r="D6917" s="49"/>
      <c r="E6917" s="60"/>
      <c r="F6917" s="61" t="s">
        <v>521</v>
      </c>
      <c r="G6917" s="61" t="str">
        <f t="shared" si="191"/>
        <v/>
      </c>
      <c r="H6917" s="63"/>
      <c r="I6917" s="25"/>
      <c r="J6917" s="138">
        <v>0</v>
      </c>
    </row>
    <row r="6918" spans="1:10" ht="15.75" hidden="1" thickBot="1" x14ac:dyDescent="0.3">
      <c r="A6918" s="220" t="s">
        <v>2465</v>
      </c>
      <c r="B6918" s="222" t="e">
        <f>INDEX(Orçamentária!A:B,MATCH(Composições!A6918,Orçamentária!A:A,0),2)</f>
        <v>#N/A</v>
      </c>
      <c r="C6918" s="35"/>
      <c r="D6918" s="20" t="s">
        <v>20</v>
      </c>
      <c r="E6918" s="21"/>
      <c r="F6918" s="36" t="s">
        <v>521</v>
      </c>
      <c r="G6918" s="22" t="str">
        <f t="shared" si="191"/>
        <v/>
      </c>
      <c r="H6918" s="23"/>
      <c r="I6918" s="24"/>
      <c r="J6918" s="138">
        <v>0</v>
      </c>
    </row>
    <row r="6919" spans="1:10" ht="15.75" hidden="1" thickBot="1" x14ac:dyDescent="0.3">
      <c r="A6919" s="221"/>
      <c r="B6919" s="223"/>
      <c r="C6919" s="26"/>
      <c r="D6919" s="26"/>
      <c r="E6919" s="27"/>
      <c r="F6919" s="37" t="s">
        <v>521</v>
      </c>
      <c r="G6919" s="25" t="str">
        <f t="shared" si="191"/>
        <v/>
      </c>
      <c r="H6919" s="29"/>
      <c r="I6919" s="25"/>
      <c r="J6919" s="138">
        <v>0</v>
      </c>
    </row>
    <row r="6920" spans="1:10" ht="26.25" hidden="1" thickBot="1" x14ac:dyDescent="0.3">
      <c r="A6920" s="221"/>
      <c r="B6920" s="223"/>
      <c r="C6920" s="159" t="s">
        <v>1169</v>
      </c>
      <c r="D6920" s="41" t="s">
        <v>20</v>
      </c>
      <c r="E6920" s="146">
        <v>1</v>
      </c>
      <c r="F6920" s="25">
        <v>97.317999999999998</v>
      </c>
      <c r="G6920" s="25">
        <f t="shared" si="191"/>
        <v>97.317999999999998</v>
      </c>
      <c r="H6920" s="33">
        <f>SUM(G6920:G6920)</f>
        <v>97.317999999999998</v>
      </c>
      <c r="I6920" s="34"/>
      <c r="J6920" s="138">
        <v>0</v>
      </c>
    </row>
    <row r="6921" spans="1:10" ht="15.75" hidden="1" thickBot="1" x14ac:dyDescent="0.3">
      <c r="A6921" s="227"/>
      <c r="B6921" s="224"/>
      <c r="C6921" s="49"/>
      <c r="D6921" s="49"/>
      <c r="E6921" s="60"/>
      <c r="F6921" s="61" t="s">
        <v>521</v>
      </c>
      <c r="G6921" s="61" t="str">
        <f t="shared" si="191"/>
        <v/>
      </c>
      <c r="H6921" s="63"/>
      <c r="I6921" s="25"/>
      <c r="J6921" s="138">
        <v>0</v>
      </c>
    </row>
    <row r="6922" spans="1:10" ht="15.75" hidden="1" thickBot="1" x14ac:dyDescent="0.3">
      <c r="A6922" s="220" t="s">
        <v>2466</v>
      </c>
      <c r="B6922" s="222" t="e">
        <f>INDEX(Orçamentária!A:B,MATCH(Composições!A6922,Orçamentária!A:A,0),2)</f>
        <v>#N/A</v>
      </c>
      <c r="C6922" s="35"/>
      <c r="D6922" s="20" t="s">
        <v>20</v>
      </c>
      <c r="E6922" s="21"/>
      <c r="F6922" s="36" t="s">
        <v>521</v>
      </c>
      <c r="G6922" s="22" t="str">
        <f t="shared" si="191"/>
        <v/>
      </c>
      <c r="H6922" s="23"/>
      <c r="I6922" s="24"/>
      <c r="J6922" s="138">
        <v>0</v>
      </c>
    </row>
    <row r="6923" spans="1:10" ht="15.75" hidden="1" thickBot="1" x14ac:dyDescent="0.3">
      <c r="A6923" s="221"/>
      <c r="B6923" s="223"/>
      <c r="C6923" s="26"/>
      <c r="D6923" s="26"/>
      <c r="E6923" s="27"/>
      <c r="F6923" s="37" t="s">
        <v>521</v>
      </c>
      <c r="G6923" s="25" t="str">
        <f t="shared" si="191"/>
        <v/>
      </c>
      <c r="H6923" s="29"/>
      <c r="I6923" s="25"/>
      <c r="J6923" s="138">
        <v>0</v>
      </c>
    </row>
    <row r="6924" spans="1:10" ht="26.25" hidden="1" thickBot="1" x14ac:dyDescent="0.3">
      <c r="A6924" s="221"/>
      <c r="B6924" s="223"/>
      <c r="C6924" s="159" t="s">
        <v>2549</v>
      </c>
      <c r="D6924" s="41" t="s">
        <v>20</v>
      </c>
      <c r="E6924" s="146">
        <v>1</v>
      </c>
      <c r="F6924" s="25">
        <v>4.6360000000000001</v>
      </c>
      <c r="G6924" s="25">
        <f t="shared" si="191"/>
        <v>4.6360000000000001</v>
      </c>
      <c r="H6924" s="33">
        <f>SUM(G6924:G6924)</f>
        <v>4.6360000000000001</v>
      </c>
      <c r="I6924" s="34"/>
      <c r="J6924" s="138">
        <v>0</v>
      </c>
    </row>
    <row r="6925" spans="1:10" ht="15.75" hidden="1" thickBot="1" x14ac:dyDescent="0.3">
      <c r="A6925" s="227"/>
      <c r="B6925" s="224"/>
      <c r="C6925" s="49"/>
      <c r="D6925" s="49"/>
      <c r="E6925" s="60"/>
      <c r="F6925" s="61" t="s">
        <v>521</v>
      </c>
      <c r="G6925" s="61" t="str">
        <f t="shared" si="191"/>
        <v/>
      </c>
      <c r="H6925" s="63"/>
      <c r="I6925" s="25"/>
      <c r="J6925" s="138">
        <v>0</v>
      </c>
    </row>
    <row r="6926" spans="1:10" ht="15.75" hidden="1" thickBot="1" x14ac:dyDescent="0.3">
      <c r="A6926" s="220" t="s">
        <v>2467</v>
      </c>
      <c r="B6926" s="222" t="e">
        <f>INDEX(Orçamentária!A:B,MATCH(Composições!A6926,Orçamentária!A:A,0),2)</f>
        <v>#N/A</v>
      </c>
      <c r="C6926" s="35"/>
      <c r="D6926" s="20" t="s">
        <v>20</v>
      </c>
      <c r="E6926" s="21"/>
      <c r="F6926" s="36" t="s">
        <v>521</v>
      </c>
      <c r="G6926" s="22" t="str">
        <f t="shared" si="191"/>
        <v/>
      </c>
      <c r="H6926" s="23"/>
      <c r="I6926" s="24"/>
      <c r="J6926" s="138">
        <v>0</v>
      </c>
    </row>
    <row r="6927" spans="1:10" ht="15.75" hidden="1" thickBot="1" x14ac:dyDescent="0.3">
      <c r="A6927" s="221"/>
      <c r="B6927" s="223"/>
      <c r="C6927" s="26"/>
      <c r="D6927" s="26"/>
      <c r="E6927" s="27"/>
      <c r="F6927" s="37" t="s">
        <v>521</v>
      </c>
      <c r="G6927" s="25" t="str">
        <f t="shared" si="191"/>
        <v/>
      </c>
      <c r="H6927" s="29"/>
      <c r="I6927" s="25"/>
      <c r="J6927" s="138">
        <v>0</v>
      </c>
    </row>
    <row r="6928" spans="1:10" ht="26.25" hidden="1" thickBot="1" x14ac:dyDescent="0.3">
      <c r="A6928" s="221"/>
      <c r="B6928" s="223"/>
      <c r="C6928" s="159" t="s">
        <v>2553</v>
      </c>
      <c r="D6928" s="41" t="s">
        <v>20</v>
      </c>
      <c r="E6928" s="146">
        <v>1</v>
      </c>
      <c r="F6928" s="25">
        <v>296.20999999999998</v>
      </c>
      <c r="G6928" s="25">
        <f t="shared" si="191"/>
        <v>296.20999999999998</v>
      </c>
      <c r="H6928" s="33">
        <f>SUM(G6928:G6928)</f>
        <v>296.20999999999998</v>
      </c>
      <c r="I6928" s="34"/>
      <c r="J6928" s="138">
        <v>0</v>
      </c>
    </row>
    <row r="6929" spans="1:10" ht="15.75" hidden="1" thickBot="1" x14ac:dyDescent="0.3">
      <c r="A6929" s="227"/>
      <c r="B6929" s="224"/>
      <c r="C6929" s="49"/>
      <c r="D6929" s="49"/>
      <c r="E6929" s="60"/>
      <c r="F6929" s="61" t="s">
        <v>521</v>
      </c>
      <c r="G6929" s="61" t="str">
        <f t="shared" si="191"/>
        <v/>
      </c>
      <c r="H6929" s="63"/>
      <c r="I6929" s="25"/>
      <c r="J6929" s="138">
        <v>0</v>
      </c>
    </row>
    <row r="6930" spans="1:10" ht="15.75" hidden="1" thickBot="1" x14ac:dyDescent="0.3">
      <c r="A6930" s="220" t="s">
        <v>2468</v>
      </c>
      <c r="B6930" s="222" t="e">
        <f>INDEX(Orçamentária!A:B,MATCH(Composições!A6930,Orçamentária!A:A,0),2)</f>
        <v>#N/A</v>
      </c>
      <c r="C6930" s="35"/>
      <c r="D6930" s="20" t="s">
        <v>20</v>
      </c>
      <c r="E6930" s="21"/>
      <c r="F6930" s="36" t="s">
        <v>521</v>
      </c>
      <c r="G6930" s="22" t="str">
        <f t="shared" si="191"/>
        <v/>
      </c>
      <c r="H6930" s="23"/>
      <c r="I6930" s="24"/>
      <c r="J6930" s="138">
        <v>0</v>
      </c>
    </row>
    <row r="6931" spans="1:10" ht="15.75" hidden="1" thickBot="1" x14ac:dyDescent="0.3">
      <c r="A6931" s="221"/>
      <c r="B6931" s="223"/>
      <c r="C6931" s="26"/>
      <c r="D6931" s="26"/>
      <c r="E6931" s="27"/>
      <c r="F6931" s="37" t="s">
        <v>521</v>
      </c>
      <c r="G6931" s="25" t="str">
        <f t="shared" si="191"/>
        <v/>
      </c>
      <c r="H6931" s="29"/>
      <c r="I6931" s="25"/>
      <c r="J6931" s="138">
        <v>0</v>
      </c>
    </row>
    <row r="6932" spans="1:10" ht="26.25" hidden="1" thickBot="1" x14ac:dyDescent="0.3">
      <c r="A6932" s="221"/>
      <c r="B6932" s="223"/>
      <c r="C6932" s="159" t="s">
        <v>2550</v>
      </c>
      <c r="D6932" s="41" t="s">
        <v>20</v>
      </c>
      <c r="E6932" s="146">
        <v>1</v>
      </c>
      <c r="F6932" s="25">
        <v>14.572999999999999</v>
      </c>
      <c r="G6932" s="25">
        <f t="shared" si="191"/>
        <v>14.572999999999999</v>
      </c>
      <c r="H6932" s="33">
        <f>SUM(G6932:G6932)</f>
        <v>14.572999999999999</v>
      </c>
      <c r="I6932" s="34"/>
      <c r="J6932" s="138">
        <v>0</v>
      </c>
    </row>
    <row r="6933" spans="1:10" ht="15.75" hidden="1" thickBot="1" x14ac:dyDescent="0.3">
      <c r="A6933" s="227"/>
      <c r="B6933" s="224"/>
      <c r="C6933" s="49"/>
      <c r="D6933" s="49"/>
      <c r="E6933" s="60"/>
      <c r="F6933" s="61" t="s">
        <v>521</v>
      </c>
      <c r="G6933" s="61" t="str">
        <f t="shared" si="191"/>
        <v/>
      </c>
      <c r="H6933" s="63"/>
      <c r="I6933" s="25"/>
      <c r="J6933" s="138">
        <v>0</v>
      </c>
    </row>
    <row r="6934" spans="1:10" ht="15.75" hidden="1" thickBot="1" x14ac:dyDescent="0.3">
      <c r="A6934" s="220" t="s">
        <v>2469</v>
      </c>
      <c r="B6934" s="222" t="e">
        <f>INDEX(Orçamentária!A:B,MATCH(Composições!A6934,Orçamentária!A:A,0),2)</f>
        <v>#N/A</v>
      </c>
      <c r="C6934" s="35"/>
      <c r="D6934" s="20" t="s">
        <v>20</v>
      </c>
      <c r="E6934" s="21"/>
      <c r="F6934" s="36" t="s">
        <v>521</v>
      </c>
      <c r="G6934" s="22" t="str">
        <f t="shared" si="191"/>
        <v/>
      </c>
      <c r="H6934" s="23"/>
      <c r="I6934" s="24"/>
      <c r="J6934" s="138">
        <v>0</v>
      </c>
    </row>
    <row r="6935" spans="1:10" ht="15.75" hidden="1" thickBot="1" x14ac:dyDescent="0.3">
      <c r="A6935" s="221"/>
      <c r="B6935" s="223"/>
      <c r="C6935" s="26"/>
      <c r="D6935" s="26"/>
      <c r="E6935" s="27"/>
      <c r="F6935" s="37" t="s">
        <v>521</v>
      </c>
      <c r="G6935" s="25" t="str">
        <f t="shared" si="191"/>
        <v/>
      </c>
      <c r="H6935" s="29"/>
      <c r="I6935" s="25"/>
      <c r="J6935" s="138">
        <v>0</v>
      </c>
    </row>
    <row r="6936" spans="1:10" ht="39" hidden="1" thickBot="1" x14ac:dyDescent="0.3">
      <c r="A6936" s="221"/>
      <c r="B6936" s="223"/>
      <c r="C6936" s="159" t="s">
        <v>2556</v>
      </c>
      <c r="D6936" s="41" t="s">
        <v>20</v>
      </c>
      <c r="E6936" s="146">
        <v>1</v>
      </c>
      <c r="F6936" s="25">
        <v>266.53199999999998</v>
      </c>
      <c r="G6936" s="25">
        <f t="shared" si="191"/>
        <v>266.53199999999998</v>
      </c>
      <c r="H6936" s="33">
        <f>SUM(G6936:G6936)</f>
        <v>266.53199999999998</v>
      </c>
      <c r="I6936" s="34"/>
      <c r="J6936" s="138">
        <v>0</v>
      </c>
    </row>
    <row r="6937" spans="1:10" ht="15.75" hidden="1" thickBot="1" x14ac:dyDescent="0.3">
      <c r="A6937" s="227"/>
      <c r="B6937" s="224"/>
      <c r="C6937" s="49"/>
      <c r="D6937" s="49"/>
      <c r="E6937" s="60"/>
      <c r="F6937" s="61" t="s">
        <v>521</v>
      </c>
      <c r="G6937" s="61" t="str">
        <f t="shared" si="191"/>
        <v/>
      </c>
      <c r="H6937" s="63"/>
      <c r="I6937" s="25"/>
      <c r="J6937" s="138">
        <v>0</v>
      </c>
    </row>
    <row r="6938" spans="1:10" ht="15.75" hidden="1" thickBot="1" x14ac:dyDescent="0.3">
      <c r="A6938" s="220" t="s">
        <v>2470</v>
      </c>
      <c r="B6938" s="222" t="e">
        <f>INDEX(Orçamentária!A:B,MATCH(Composições!A6938,Orçamentária!A:A,0),2)</f>
        <v>#N/A</v>
      </c>
      <c r="C6938" s="35"/>
      <c r="D6938" s="20" t="s">
        <v>20</v>
      </c>
      <c r="E6938" s="21"/>
      <c r="F6938" s="36" t="s">
        <v>521</v>
      </c>
      <c r="G6938" s="22" t="str">
        <f t="shared" si="191"/>
        <v/>
      </c>
      <c r="H6938" s="23"/>
      <c r="I6938" s="24"/>
      <c r="J6938" s="138">
        <v>0</v>
      </c>
    </row>
    <row r="6939" spans="1:10" ht="15.75" hidden="1" thickBot="1" x14ac:dyDescent="0.3">
      <c r="A6939" s="221"/>
      <c r="B6939" s="223"/>
      <c r="C6939" s="26"/>
      <c r="D6939" s="26"/>
      <c r="E6939" s="27"/>
      <c r="F6939" s="37" t="s">
        <v>521</v>
      </c>
      <c r="G6939" s="25" t="str">
        <f t="shared" si="191"/>
        <v/>
      </c>
      <c r="H6939" s="29"/>
      <c r="I6939" s="25"/>
      <c r="J6939" s="138">
        <v>0</v>
      </c>
    </row>
    <row r="6940" spans="1:10" ht="39" hidden="1" thickBot="1" x14ac:dyDescent="0.3">
      <c r="A6940" s="221"/>
      <c r="B6940" s="223"/>
      <c r="C6940" s="159" t="s">
        <v>2557</v>
      </c>
      <c r="D6940" s="41" t="s">
        <v>20</v>
      </c>
      <c r="E6940" s="146">
        <v>1</v>
      </c>
      <c r="F6940" s="25">
        <v>4179.7815000000001</v>
      </c>
      <c r="G6940" s="25">
        <f t="shared" si="191"/>
        <v>4179.7815000000001</v>
      </c>
      <c r="H6940" s="33">
        <f>SUM(G6940:G6940)</f>
        <v>4179.7815000000001</v>
      </c>
      <c r="I6940" s="34"/>
      <c r="J6940" s="138">
        <v>0</v>
      </c>
    </row>
    <row r="6941" spans="1:10" ht="15.75" hidden="1" thickBot="1" x14ac:dyDescent="0.3">
      <c r="A6941" s="227"/>
      <c r="B6941" s="224"/>
      <c r="C6941" s="49"/>
      <c r="D6941" s="49"/>
      <c r="E6941" s="60"/>
      <c r="F6941" s="61" t="s">
        <v>521</v>
      </c>
      <c r="G6941" s="61" t="str">
        <f t="shared" si="191"/>
        <v/>
      </c>
      <c r="H6941" s="63"/>
      <c r="I6941" s="25"/>
      <c r="J6941" s="138">
        <v>0</v>
      </c>
    </row>
    <row r="6942" spans="1:10" ht="15.75" hidden="1" thickBot="1" x14ac:dyDescent="0.3">
      <c r="A6942" s="220" t="s">
        <v>2471</v>
      </c>
      <c r="B6942" s="222" t="e">
        <f>INDEX(Orçamentária!A:B,MATCH(Composições!A6942,Orçamentária!A:A,0),2)</f>
        <v>#N/A</v>
      </c>
      <c r="C6942" s="35"/>
      <c r="D6942" s="20" t="s">
        <v>20</v>
      </c>
      <c r="E6942" s="21"/>
      <c r="F6942" s="36" t="s">
        <v>521</v>
      </c>
      <c r="G6942" s="22" t="str">
        <f t="shared" si="191"/>
        <v/>
      </c>
      <c r="H6942" s="23"/>
      <c r="I6942" s="24"/>
      <c r="J6942" s="138">
        <v>0</v>
      </c>
    </row>
    <row r="6943" spans="1:10" ht="15.75" hidden="1" thickBot="1" x14ac:dyDescent="0.3">
      <c r="A6943" s="221"/>
      <c r="B6943" s="223"/>
      <c r="C6943" s="26"/>
      <c r="D6943" s="26"/>
      <c r="E6943" s="27"/>
      <c r="F6943" s="37" t="s">
        <v>521</v>
      </c>
      <c r="G6943" s="25" t="str">
        <f t="shared" si="191"/>
        <v/>
      </c>
      <c r="H6943" s="29"/>
      <c r="I6943" s="25"/>
      <c r="J6943" s="138">
        <v>0</v>
      </c>
    </row>
    <row r="6944" spans="1:10" ht="26.25" hidden="1" thickBot="1" x14ac:dyDescent="0.3">
      <c r="A6944" s="221"/>
      <c r="B6944" s="223"/>
      <c r="C6944" s="159" t="s">
        <v>2567</v>
      </c>
      <c r="D6944" s="41" t="s">
        <v>20</v>
      </c>
      <c r="E6944" s="146">
        <v>1</v>
      </c>
      <c r="F6944" s="25">
        <v>1.6909999999999998</v>
      </c>
      <c r="G6944" s="25">
        <f t="shared" si="191"/>
        <v>1.6909999999999998</v>
      </c>
      <c r="H6944" s="33">
        <f>SUM(G6944:G6944)</f>
        <v>1.6909999999999998</v>
      </c>
      <c r="I6944" s="34"/>
      <c r="J6944" s="138">
        <v>0</v>
      </c>
    </row>
    <row r="6945" spans="1:10" ht="15.75" hidden="1" thickBot="1" x14ac:dyDescent="0.3">
      <c r="A6945" s="227"/>
      <c r="B6945" s="224"/>
      <c r="C6945" s="49"/>
      <c r="D6945" s="49"/>
      <c r="E6945" s="60"/>
      <c r="F6945" s="61" t="s">
        <v>521</v>
      </c>
      <c r="G6945" s="61" t="str">
        <f t="shared" si="191"/>
        <v/>
      </c>
      <c r="H6945" s="63"/>
      <c r="I6945" s="25"/>
      <c r="J6945" s="138">
        <v>0</v>
      </c>
    </row>
    <row r="6946" spans="1:10" ht="15.75" hidden="1" thickBot="1" x14ac:dyDescent="0.3">
      <c r="A6946" s="220" t="s">
        <v>2472</v>
      </c>
      <c r="B6946" s="222" t="e">
        <f>INDEX(Orçamentária!A:B,MATCH(Composições!A6946,Orçamentária!A:A,0),2)</f>
        <v>#N/A</v>
      </c>
      <c r="C6946" s="35"/>
      <c r="D6946" s="20" t="s">
        <v>20</v>
      </c>
      <c r="E6946" s="21"/>
      <c r="F6946" s="36" t="s">
        <v>521</v>
      </c>
      <c r="G6946" s="22" t="str">
        <f t="shared" si="191"/>
        <v/>
      </c>
      <c r="H6946" s="23"/>
      <c r="I6946" s="24"/>
      <c r="J6946" s="138">
        <v>0</v>
      </c>
    </row>
    <row r="6947" spans="1:10" ht="15.75" hidden="1" thickBot="1" x14ac:dyDescent="0.3">
      <c r="A6947" s="221"/>
      <c r="B6947" s="223"/>
      <c r="C6947" s="26"/>
      <c r="D6947" s="26"/>
      <c r="E6947" s="27"/>
      <c r="F6947" s="37" t="s">
        <v>521</v>
      </c>
      <c r="G6947" s="25" t="str">
        <f t="shared" si="191"/>
        <v/>
      </c>
      <c r="H6947" s="29"/>
      <c r="I6947" s="25"/>
      <c r="J6947" s="138">
        <v>0</v>
      </c>
    </row>
    <row r="6948" spans="1:10" ht="15.75" hidden="1" thickBot="1" x14ac:dyDescent="0.3">
      <c r="A6948" s="221"/>
      <c r="B6948" s="223"/>
      <c r="C6948" s="159" t="s">
        <v>2619</v>
      </c>
      <c r="D6948" s="41" t="s">
        <v>20</v>
      </c>
      <c r="E6948" s="146">
        <v>1</v>
      </c>
      <c r="F6948" s="25">
        <v>108.05299999999998</v>
      </c>
      <c r="G6948" s="25">
        <f t="shared" si="191"/>
        <v>108.05299999999998</v>
      </c>
      <c r="H6948" s="33">
        <f>SUM(G6948:G6948)</f>
        <v>108.05299999999998</v>
      </c>
      <c r="I6948" s="34"/>
      <c r="J6948" s="138">
        <v>0</v>
      </c>
    </row>
    <row r="6949" spans="1:10" ht="15.75" hidden="1" thickBot="1" x14ac:dyDescent="0.3">
      <c r="A6949" s="227"/>
      <c r="B6949" s="224"/>
      <c r="C6949" s="49"/>
      <c r="D6949" s="49"/>
      <c r="E6949" s="60"/>
      <c r="F6949" s="61" t="s">
        <v>521</v>
      </c>
      <c r="G6949" s="61" t="str">
        <f t="shared" si="191"/>
        <v/>
      </c>
      <c r="H6949" s="63"/>
      <c r="I6949" s="25"/>
      <c r="J6949" s="138">
        <v>0</v>
      </c>
    </row>
    <row r="6950" spans="1:10" ht="15.75" hidden="1" thickBot="1" x14ac:dyDescent="0.3">
      <c r="A6950" s="220" t="s">
        <v>2473</v>
      </c>
      <c r="B6950" s="222" t="e">
        <f>INDEX(Orçamentária!A:B,MATCH(Composições!A6950,Orçamentária!A:A,0),2)</f>
        <v>#N/A</v>
      </c>
      <c r="C6950" s="35"/>
      <c r="D6950" s="20" t="s">
        <v>20</v>
      </c>
      <c r="E6950" s="21"/>
      <c r="F6950" s="36" t="s">
        <v>521</v>
      </c>
      <c r="G6950" s="22" t="str">
        <f t="shared" si="191"/>
        <v/>
      </c>
      <c r="H6950" s="23"/>
      <c r="I6950" s="24"/>
      <c r="J6950" s="138">
        <v>0</v>
      </c>
    </row>
    <row r="6951" spans="1:10" ht="15.75" hidden="1" thickBot="1" x14ac:dyDescent="0.3">
      <c r="A6951" s="221"/>
      <c r="B6951" s="223"/>
      <c r="C6951" s="26"/>
      <c r="D6951" s="26"/>
      <c r="E6951" s="27"/>
      <c r="F6951" s="37" t="s">
        <v>521</v>
      </c>
      <c r="G6951" s="25" t="str">
        <f t="shared" si="191"/>
        <v/>
      </c>
      <c r="H6951" s="29"/>
      <c r="I6951" s="25"/>
      <c r="J6951" s="138">
        <v>0</v>
      </c>
    </row>
    <row r="6952" spans="1:10" ht="15.75" hidden="1" thickBot="1" x14ac:dyDescent="0.3">
      <c r="A6952" s="221"/>
      <c r="B6952" s="223"/>
      <c r="C6952" s="159" t="s">
        <v>2568</v>
      </c>
      <c r="D6952" s="41" t="s">
        <v>20</v>
      </c>
      <c r="E6952" s="146">
        <v>1</v>
      </c>
      <c r="F6952" s="25">
        <v>474.04999999999995</v>
      </c>
      <c r="G6952" s="25">
        <f t="shared" si="191"/>
        <v>474.04999999999995</v>
      </c>
      <c r="H6952" s="33">
        <f>SUM(G6952:G6952)</f>
        <v>474.04999999999995</v>
      </c>
      <c r="I6952" s="34"/>
      <c r="J6952" s="138">
        <v>0</v>
      </c>
    </row>
    <row r="6953" spans="1:10" ht="15.75" hidden="1" thickBot="1" x14ac:dyDescent="0.3">
      <c r="A6953" s="227"/>
      <c r="B6953" s="224"/>
      <c r="C6953" s="49"/>
      <c r="D6953" s="49"/>
      <c r="E6953" s="60"/>
      <c r="F6953" s="61" t="s">
        <v>521</v>
      </c>
      <c r="G6953" s="61" t="str">
        <f t="shared" si="191"/>
        <v/>
      </c>
      <c r="H6953" s="63"/>
      <c r="I6953" s="25"/>
      <c r="J6953" s="138">
        <v>0</v>
      </c>
    </row>
    <row r="6954" spans="1:10" ht="15.75" hidden="1" thickBot="1" x14ac:dyDescent="0.3">
      <c r="A6954" s="220" t="s">
        <v>2474</v>
      </c>
      <c r="B6954" s="222" t="e">
        <f>INDEX(Orçamentária!A:B,MATCH(Composições!A6954,Orçamentária!A:A,0),2)</f>
        <v>#N/A</v>
      </c>
      <c r="C6954" s="35"/>
      <c r="D6954" s="20" t="s">
        <v>20</v>
      </c>
      <c r="E6954" s="21"/>
      <c r="F6954" s="36" t="s">
        <v>521</v>
      </c>
      <c r="G6954" s="22" t="str">
        <f t="shared" si="191"/>
        <v/>
      </c>
      <c r="H6954" s="23"/>
      <c r="I6954" s="24"/>
      <c r="J6954" s="138">
        <v>0</v>
      </c>
    </row>
    <row r="6955" spans="1:10" ht="15.75" hidden="1" thickBot="1" x14ac:dyDescent="0.3">
      <c r="A6955" s="221"/>
      <c r="B6955" s="223"/>
      <c r="C6955" s="26"/>
      <c r="D6955" s="26"/>
      <c r="E6955" s="27"/>
      <c r="F6955" s="37" t="s">
        <v>521</v>
      </c>
      <c r="G6955" s="25" t="str">
        <f t="shared" si="191"/>
        <v/>
      </c>
      <c r="H6955" s="29"/>
      <c r="I6955" s="25"/>
      <c r="J6955" s="138">
        <v>0</v>
      </c>
    </row>
    <row r="6956" spans="1:10" ht="26.25" hidden="1" thickBot="1" x14ac:dyDescent="0.3">
      <c r="A6956" s="221"/>
      <c r="B6956" s="223"/>
      <c r="C6956" s="159" t="s">
        <v>2573</v>
      </c>
      <c r="D6956" s="41" t="s">
        <v>20</v>
      </c>
      <c r="E6956" s="146">
        <v>1</v>
      </c>
      <c r="F6956" s="25">
        <v>5.4339999999999993</v>
      </c>
      <c r="G6956" s="25">
        <f t="shared" si="191"/>
        <v>5.4339999999999993</v>
      </c>
      <c r="H6956" s="33">
        <f>SUM(G6956:G6956)</f>
        <v>5.4339999999999993</v>
      </c>
      <c r="I6956" s="34"/>
      <c r="J6956" s="138">
        <v>0</v>
      </c>
    </row>
    <row r="6957" spans="1:10" ht="15.75" hidden="1" thickBot="1" x14ac:dyDescent="0.3">
      <c r="A6957" s="227"/>
      <c r="B6957" s="224"/>
      <c r="C6957" s="49"/>
      <c r="D6957" s="49"/>
      <c r="E6957" s="60"/>
      <c r="F6957" s="61" t="s">
        <v>521</v>
      </c>
      <c r="G6957" s="61" t="str">
        <f t="shared" si="191"/>
        <v/>
      </c>
      <c r="H6957" s="63"/>
      <c r="I6957" s="25"/>
      <c r="J6957" s="138">
        <v>0</v>
      </c>
    </row>
    <row r="6958" spans="1:10" ht="15.75" hidden="1" thickBot="1" x14ac:dyDescent="0.3">
      <c r="A6958" s="220" t="s">
        <v>2475</v>
      </c>
      <c r="B6958" s="222" t="e">
        <f>INDEX(Orçamentária!A:B,MATCH(Composições!A6958,Orçamentária!A:A,0),2)</f>
        <v>#N/A</v>
      </c>
      <c r="C6958" s="35"/>
      <c r="D6958" s="20" t="s">
        <v>20</v>
      </c>
      <c r="E6958" s="21"/>
      <c r="F6958" s="36" t="s">
        <v>521</v>
      </c>
      <c r="G6958" s="22" t="str">
        <f t="shared" si="191"/>
        <v/>
      </c>
      <c r="H6958" s="23"/>
      <c r="I6958" s="24"/>
      <c r="J6958" s="138">
        <v>0</v>
      </c>
    </row>
    <row r="6959" spans="1:10" ht="15.75" hidden="1" thickBot="1" x14ac:dyDescent="0.3">
      <c r="A6959" s="221"/>
      <c r="B6959" s="223"/>
      <c r="C6959" s="26"/>
      <c r="D6959" s="26"/>
      <c r="E6959" s="27"/>
      <c r="F6959" s="37" t="s">
        <v>521</v>
      </c>
      <c r="G6959" s="25" t="str">
        <f t="shared" si="191"/>
        <v/>
      </c>
      <c r="H6959" s="29"/>
      <c r="I6959" s="25"/>
      <c r="J6959" s="138">
        <v>0</v>
      </c>
    </row>
    <row r="6960" spans="1:10" ht="26.25" hidden="1" thickBot="1" x14ac:dyDescent="0.3">
      <c r="A6960" s="221"/>
      <c r="B6960" s="223"/>
      <c r="C6960" s="159" t="s">
        <v>2641</v>
      </c>
      <c r="D6960" s="41" t="s">
        <v>20</v>
      </c>
      <c r="E6960" s="146">
        <v>1</v>
      </c>
      <c r="F6960" s="25">
        <v>33.981500000000004</v>
      </c>
      <c r="G6960" s="25">
        <f t="shared" si="191"/>
        <v>33.981500000000004</v>
      </c>
      <c r="H6960" s="33">
        <f>SUM(G6960:G6960)</f>
        <v>33.981500000000004</v>
      </c>
      <c r="I6960" s="34"/>
      <c r="J6960" s="138">
        <v>0</v>
      </c>
    </row>
    <row r="6961" spans="1:10" ht="15.75" hidden="1" thickBot="1" x14ac:dyDescent="0.3">
      <c r="A6961" s="227"/>
      <c r="B6961" s="224"/>
      <c r="C6961" s="49"/>
      <c r="D6961" s="49"/>
      <c r="E6961" s="60"/>
      <c r="F6961" s="61" t="s">
        <v>521</v>
      </c>
      <c r="G6961" s="61" t="str">
        <f t="shared" si="191"/>
        <v/>
      </c>
      <c r="H6961" s="63"/>
      <c r="I6961" s="25"/>
      <c r="J6961" s="138">
        <v>0</v>
      </c>
    </row>
    <row r="6962" spans="1:10" ht="15.75" hidden="1" thickBot="1" x14ac:dyDescent="0.3">
      <c r="A6962" s="220" t="s">
        <v>2476</v>
      </c>
      <c r="B6962" s="222" t="e">
        <f>INDEX(Orçamentária!A:B,MATCH(Composições!A6962,Orçamentária!A:A,0),2)</f>
        <v>#N/A</v>
      </c>
      <c r="C6962" s="35"/>
      <c r="D6962" s="20" t="s">
        <v>20</v>
      </c>
      <c r="E6962" s="21"/>
      <c r="F6962" s="36" t="s">
        <v>521</v>
      </c>
      <c r="G6962" s="22" t="str">
        <f t="shared" si="191"/>
        <v/>
      </c>
      <c r="H6962" s="23"/>
      <c r="I6962" s="24"/>
      <c r="J6962" s="138">
        <v>0</v>
      </c>
    </row>
    <row r="6963" spans="1:10" ht="15.75" hidden="1" thickBot="1" x14ac:dyDescent="0.3">
      <c r="A6963" s="221"/>
      <c r="B6963" s="223"/>
      <c r="C6963" s="26"/>
      <c r="D6963" s="26"/>
      <c r="E6963" s="27"/>
      <c r="F6963" s="37" t="s">
        <v>521</v>
      </c>
      <c r="G6963" s="25" t="str">
        <f t="shared" si="191"/>
        <v/>
      </c>
      <c r="H6963" s="29"/>
      <c r="I6963" s="25"/>
      <c r="J6963" s="138">
        <v>0</v>
      </c>
    </row>
    <row r="6964" spans="1:10" ht="15.75" hidden="1" thickBot="1" x14ac:dyDescent="0.3">
      <c r="A6964" s="221"/>
      <c r="B6964" s="223"/>
      <c r="C6964" s="159" t="s">
        <v>2574</v>
      </c>
      <c r="D6964" s="41" t="s">
        <v>20</v>
      </c>
      <c r="E6964" s="146">
        <v>1</v>
      </c>
      <c r="F6964" s="25">
        <v>14.297499999999999</v>
      </c>
      <c r="G6964" s="25">
        <f t="shared" si="191"/>
        <v>14.297499999999999</v>
      </c>
      <c r="H6964" s="33">
        <f>SUM(G6964:G6964)</f>
        <v>14.297499999999999</v>
      </c>
      <c r="I6964" s="34"/>
      <c r="J6964" s="138">
        <v>0</v>
      </c>
    </row>
    <row r="6965" spans="1:10" ht="15.75" hidden="1" thickBot="1" x14ac:dyDescent="0.3">
      <c r="A6965" s="227"/>
      <c r="B6965" s="224"/>
      <c r="C6965" s="49"/>
      <c r="D6965" s="49"/>
      <c r="E6965" s="60"/>
      <c r="F6965" s="61" t="s">
        <v>521</v>
      </c>
      <c r="G6965" s="61" t="str">
        <f t="shared" si="191"/>
        <v/>
      </c>
      <c r="H6965" s="63"/>
      <c r="I6965" s="25"/>
      <c r="J6965" s="138">
        <v>0</v>
      </c>
    </row>
    <row r="6966" spans="1:10" ht="15.75" hidden="1" thickBot="1" x14ac:dyDescent="0.3">
      <c r="A6966" s="220" t="s">
        <v>2477</v>
      </c>
      <c r="B6966" s="222" t="e">
        <f>INDEX(Orçamentária!A:B,MATCH(Composições!A6966,Orçamentária!A:A,0),2)</f>
        <v>#N/A</v>
      </c>
      <c r="C6966" s="35"/>
      <c r="D6966" s="20" t="s">
        <v>20</v>
      </c>
      <c r="E6966" s="21"/>
      <c r="F6966" s="36" t="s">
        <v>521</v>
      </c>
      <c r="G6966" s="22" t="str">
        <f t="shared" si="191"/>
        <v/>
      </c>
      <c r="H6966" s="23"/>
      <c r="I6966" s="24"/>
      <c r="J6966" s="138">
        <v>0</v>
      </c>
    </row>
    <row r="6967" spans="1:10" ht="15.75" hidden="1" thickBot="1" x14ac:dyDescent="0.3">
      <c r="A6967" s="221"/>
      <c r="B6967" s="223"/>
      <c r="C6967" s="26"/>
      <c r="D6967" s="26"/>
      <c r="E6967" s="27"/>
      <c r="F6967" s="37" t="s">
        <v>521</v>
      </c>
      <c r="G6967" s="25" t="str">
        <f t="shared" si="191"/>
        <v/>
      </c>
      <c r="H6967" s="29"/>
      <c r="I6967" s="25"/>
      <c r="J6967" s="138">
        <v>0</v>
      </c>
    </row>
    <row r="6968" spans="1:10" ht="26.25" hidden="1" thickBot="1" x14ac:dyDescent="0.3">
      <c r="A6968" s="221"/>
      <c r="B6968" s="223"/>
      <c r="C6968" s="159" t="s">
        <v>2646</v>
      </c>
      <c r="D6968" s="41" t="s">
        <v>20</v>
      </c>
      <c r="E6968" s="146">
        <v>1</v>
      </c>
      <c r="F6968" s="25">
        <v>15.2095</v>
      </c>
      <c r="G6968" s="25">
        <f t="shared" si="191"/>
        <v>15.2095</v>
      </c>
      <c r="H6968" s="33">
        <f>SUM(G6968:G6968)</f>
        <v>15.2095</v>
      </c>
      <c r="I6968" s="34"/>
      <c r="J6968" s="138">
        <v>0</v>
      </c>
    </row>
    <row r="6969" spans="1:10" ht="15.75" hidden="1" thickBot="1" x14ac:dyDescent="0.3">
      <c r="A6969" s="227"/>
      <c r="B6969" s="224"/>
      <c r="C6969" s="49"/>
      <c r="D6969" s="49"/>
      <c r="E6969" s="60"/>
      <c r="F6969" s="61" t="s">
        <v>521</v>
      </c>
      <c r="G6969" s="61" t="str">
        <f t="shared" si="191"/>
        <v/>
      </c>
      <c r="H6969" s="63"/>
      <c r="I6969" s="25"/>
      <c r="J6969" s="138">
        <v>0</v>
      </c>
    </row>
    <row r="6970" spans="1:10" ht="15.75" hidden="1" thickBot="1" x14ac:dyDescent="0.3">
      <c r="A6970" s="220" t="s">
        <v>2478</v>
      </c>
      <c r="B6970" s="222" t="e">
        <f>INDEX(Orçamentária!A:B,MATCH(Composições!A6970,Orçamentária!A:A,0),2)</f>
        <v>#N/A</v>
      </c>
      <c r="C6970" s="35"/>
      <c r="D6970" s="20" t="s">
        <v>20</v>
      </c>
      <c r="E6970" s="21"/>
      <c r="F6970" s="36" t="s">
        <v>521</v>
      </c>
      <c r="G6970" s="22" t="str">
        <f t="shared" si="191"/>
        <v/>
      </c>
      <c r="H6970" s="23"/>
      <c r="I6970" s="24"/>
      <c r="J6970" s="138">
        <v>0</v>
      </c>
    </row>
    <row r="6971" spans="1:10" ht="15.75" hidden="1" thickBot="1" x14ac:dyDescent="0.3">
      <c r="A6971" s="221"/>
      <c r="B6971" s="223"/>
      <c r="C6971" s="26"/>
      <c r="D6971" s="26"/>
      <c r="E6971" s="27"/>
      <c r="F6971" s="37" t="s">
        <v>521</v>
      </c>
      <c r="G6971" s="25" t="str">
        <f t="shared" si="191"/>
        <v/>
      </c>
      <c r="H6971" s="29"/>
      <c r="I6971" s="25"/>
      <c r="J6971" s="138">
        <v>0</v>
      </c>
    </row>
    <row r="6972" spans="1:10" ht="26.25" hidden="1" thickBot="1" x14ac:dyDescent="0.3">
      <c r="A6972" s="221"/>
      <c r="B6972" s="223"/>
      <c r="C6972" s="159" t="s">
        <v>2579</v>
      </c>
      <c r="D6972" s="41" t="s">
        <v>20</v>
      </c>
      <c r="E6972" s="146">
        <v>1</v>
      </c>
      <c r="F6972" s="25">
        <v>17.755500000000001</v>
      </c>
      <c r="G6972" s="25">
        <f t="shared" si="191"/>
        <v>17.755500000000001</v>
      </c>
      <c r="H6972" s="33">
        <f>SUM(G6972:G6972)</f>
        <v>17.755500000000001</v>
      </c>
      <c r="I6972" s="34"/>
      <c r="J6972" s="138">
        <v>0</v>
      </c>
    </row>
    <row r="6973" spans="1:10" ht="15.75" hidden="1" thickBot="1" x14ac:dyDescent="0.3">
      <c r="A6973" s="227"/>
      <c r="B6973" s="224"/>
      <c r="C6973" s="49"/>
      <c r="D6973" s="49"/>
      <c r="E6973" s="60"/>
      <c r="F6973" s="61" t="s">
        <v>521</v>
      </c>
      <c r="G6973" s="61" t="str">
        <f t="shared" si="191"/>
        <v/>
      </c>
      <c r="H6973" s="63"/>
      <c r="I6973" s="25"/>
      <c r="J6973" s="138">
        <v>0</v>
      </c>
    </row>
    <row r="6974" spans="1:10" ht="15.75" hidden="1" thickBot="1" x14ac:dyDescent="0.3">
      <c r="A6974" s="220" t="s">
        <v>2479</v>
      </c>
      <c r="B6974" s="222" t="e">
        <f>INDEX(Orçamentária!A:B,MATCH(Composições!A6974,Orçamentária!A:A,0),2)</f>
        <v>#N/A</v>
      </c>
      <c r="C6974" s="35"/>
      <c r="D6974" s="20" t="s">
        <v>20</v>
      </c>
      <c r="E6974" s="21"/>
      <c r="F6974" s="36" t="s">
        <v>521</v>
      </c>
      <c r="G6974" s="22" t="str">
        <f t="shared" si="191"/>
        <v/>
      </c>
      <c r="H6974" s="23"/>
      <c r="I6974" s="24"/>
      <c r="J6974" s="138">
        <v>0</v>
      </c>
    </row>
    <row r="6975" spans="1:10" ht="15.75" hidden="1" thickBot="1" x14ac:dyDescent="0.3">
      <c r="A6975" s="221"/>
      <c r="B6975" s="223"/>
      <c r="C6975" s="26"/>
      <c r="D6975" s="26"/>
      <c r="E6975" s="27"/>
      <c r="F6975" s="37" t="s">
        <v>521</v>
      </c>
      <c r="G6975" s="25" t="str">
        <f t="shared" si="191"/>
        <v/>
      </c>
      <c r="H6975" s="29"/>
      <c r="I6975" s="25"/>
      <c r="J6975" s="138">
        <v>0</v>
      </c>
    </row>
    <row r="6976" spans="1:10" ht="26.25" hidden="1" thickBot="1" x14ac:dyDescent="0.3">
      <c r="A6976" s="221"/>
      <c r="B6976" s="223"/>
      <c r="C6976" s="159" t="s">
        <v>2584</v>
      </c>
      <c r="D6976" s="41" t="s">
        <v>20</v>
      </c>
      <c r="E6976" s="146">
        <v>1</v>
      </c>
      <c r="F6976" s="25">
        <v>131.63200000000001</v>
      </c>
      <c r="G6976" s="25">
        <f t="shared" si="191"/>
        <v>131.63200000000001</v>
      </c>
      <c r="H6976" s="33">
        <f>SUM(G6976:G6976)</f>
        <v>131.63200000000001</v>
      </c>
      <c r="I6976" s="34"/>
      <c r="J6976" s="138">
        <v>0</v>
      </c>
    </row>
    <row r="6977" spans="1:10" ht="15.75" hidden="1" thickBot="1" x14ac:dyDescent="0.3">
      <c r="A6977" s="227"/>
      <c r="B6977" s="224"/>
      <c r="C6977" s="49"/>
      <c r="D6977" s="49"/>
      <c r="E6977" s="60"/>
      <c r="F6977" s="61" t="s">
        <v>521</v>
      </c>
      <c r="G6977" s="61" t="str">
        <f t="shared" si="191"/>
        <v/>
      </c>
      <c r="H6977" s="63"/>
      <c r="I6977" s="25"/>
      <c r="J6977" s="138">
        <v>0</v>
      </c>
    </row>
    <row r="6978" spans="1:10" ht="15.75" hidden="1" thickBot="1" x14ac:dyDescent="0.3">
      <c r="A6978" s="220" t="s">
        <v>2480</v>
      </c>
      <c r="B6978" s="222" t="e">
        <f>INDEX(Orçamentária!A:B,MATCH(Composições!A6978,Orçamentária!A:A,0),2)</f>
        <v>#N/A</v>
      </c>
      <c r="C6978" s="35"/>
      <c r="D6978" s="20" t="s">
        <v>20</v>
      </c>
      <c r="E6978" s="21"/>
      <c r="F6978" s="36" t="s">
        <v>521</v>
      </c>
      <c r="G6978" s="22" t="str">
        <f t="shared" ref="G6978:G7041" si="192">IF(ISNUMBER(F6978),E6978*F6978,"")</f>
        <v/>
      </c>
      <c r="H6978" s="23"/>
      <c r="I6978" s="24"/>
      <c r="J6978" s="138">
        <v>0</v>
      </c>
    </row>
    <row r="6979" spans="1:10" ht="15.75" hidden="1" thickBot="1" x14ac:dyDescent="0.3">
      <c r="A6979" s="221"/>
      <c r="B6979" s="223"/>
      <c r="C6979" s="26"/>
      <c r="D6979" s="26"/>
      <c r="E6979" s="27"/>
      <c r="F6979" s="37" t="s">
        <v>521</v>
      </c>
      <c r="G6979" s="25" t="str">
        <f t="shared" si="192"/>
        <v/>
      </c>
      <c r="H6979" s="29"/>
      <c r="I6979" s="25"/>
      <c r="J6979" s="138">
        <v>0</v>
      </c>
    </row>
    <row r="6980" spans="1:10" ht="15.75" hidden="1" thickBot="1" x14ac:dyDescent="0.3">
      <c r="A6980" s="221"/>
      <c r="B6980" s="223"/>
      <c r="C6980" s="159" t="s">
        <v>2583</v>
      </c>
      <c r="D6980" s="41" t="s">
        <v>20</v>
      </c>
      <c r="E6980" s="146">
        <v>1</v>
      </c>
      <c r="F6980" s="25">
        <v>48.354999999999997</v>
      </c>
      <c r="G6980" s="25">
        <f t="shared" si="192"/>
        <v>48.354999999999997</v>
      </c>
      <c r="H6980" s="33">
        <f>SUM(G6980:G6980)</f>
        <v>48.354999999999997</v>
      </c>
      <c r="I6980" s="34"/>
      <c r="J6980" s="138">
        <v>0</v>
      </c>
    </row>
    <row r="6981" spans="1:10" ht="15.75" hidden="1" thickBot="1" x14ac:dyDescent="0.3">
      <c r="A6981" s="227"/>
      <c r="B6981" s="224"/>
      <c r="C6981" s="49"/>
      <c r="D6981" s="49"/>
      <c r="E6981" s="60"/>
      <c r="F6981" s="61" t="s">
        <v>521</v>
      </c>
      <c r="G6981" s="61" t="str">
        <f t="shared" si="192"/>
        <v/>
      </c>
      <c r="H6981" s="63"/>
      <c r="I6981" s="25"/>
      <c r="J6981" s="138">
        <v>0</v>
      </c>
    </row>
    <row r="6982" spans="1:10" ht="15.75" hidden="1" thickBot="1" x14ac:dyDescent="0.3">
      <c r="A6982" s="220" t="s">
        <v>2481</v>
      </c>
      <c r="B6982" s="222" t="e">
        <f>INDEX(Orçamentária!A:B,MATCH(Composições!A6982,Orçamentária!A:A,0),2)</f>
        <v>#N/A</v>
      </c>
      <c r="C6982" s="35"/>
      <c r="D6982" s="20" t="s">
        <v>20</v>
      </c>
      <c r="E6982" s="21"/>
      <c r="F6982" s="36" t="s">
        <v>521</v>
      </c>
      <c r="G6982" s="22" t="str">
        <f t="shared" si="192"/>
        <v/>
      </c>
      <c r="H6982" s="23"/>
      <c r="I6982" s="24"/>
      <c r="J6982" s="138">
        <v>0</v>
      </c>
    </row>
    <row r="6983" spans="1:10" ht="15.75" hidden="1" thickBot="1" x14ac:dyDescent="0.3">
      <c r="A6983" s="221"/>
      <c r="B6983" s="223"/>
      <c r="C6983" s="26"/>
      <c r="D6983" s="26"/>
      <c r="E6983" s="27"/>
      <c r="F6983" s="37" t="s">
        <v>521</v>
      </c>
      <c r="G6983" s="25" t="str">
        <f t="shared" si="192"/>
        <v/>
      </c>
      <c r="H6983" s="29"/>
      <c r="I6983" s="25"/>
      <c r="J6983" s="138">
        <v>0</v>
      </c>
    </row>
    <row r="6984" spans="1:10" ht="26.25" hidden="1" thickBot="1" x14ac:dyDescent="0.3">
      <c r="A6984" s="221"/>
      <c r="B6984" s="223"/>
      <c r="C6984" s="159" t="s">
        <v>2585</v>
      </c>
      <c r="D6984" s="41" t="s">
        <v>20</v>
      </c>
      <c r="E6984" s="146">
        <v>1</v>
      </c>
      <c r="F6984" s="25">
        <v>308.35099999999994</v>
      </c>
      <c r="G6984" s="25">
        <f t="shared" si="192"/>
        <v>308.35099999999994</v>
      </c>
      <c r="H6984" s="33">
        <f t="shared" ref="H6984" si="193">SUM(G6984:G6984)</f>
        <v>308.35099999999994</v>
      </c>
      <c r="I6984" s="34"/>
      <c r="J6984" s="138">
        <v>0</v>
      </c>
    </row>
    <row r="6985" spans="1:10" ht="15.75" hidden="1" thickBot="1" x14ac:dyDescent="0.3">
      <c r="A6985" s="227"/>
      <c r="B6985" s="224"/>
      <c r="C6985" s="49"/>
      <c r="D6985" s="49"/>
      <c r="E6985" s="60"/>
      <c r="F6985" s="61" t="s">
        <v>521</v>
      </c>
      <c r="G6985" s="61" t="str">
        <f t="shared" si="192"/>
        <v/>
      </c>
      <c r="H6985" s="63"/>
      <c r="I6985" s="25"/>
      <c r="J6985" s="138">
        <v>0</v>
      </c>
    </row>
    <row r="6986" spans="1:10" ht="15.75" hidden="1" thickBot="1" x14ac:dyDescent="0.3">
      <c r="A6986" s="220" t="s">
        <v>2482</v>
      </c>
      <c r="B6986" s="222" t="e">
        <f>INDEX(Orçamentária!A:B,MATCH(Composições!A6986,Orçamentária!A:A,0),2)</f>
        <v>#N/A</v>
      </c>
      <c r="C6986" s="35"/>
      <c r="D6986" s="20" t="s">
        <v>20</v>
      </c>
      <c r="E6986" s="21"/>
      <c r="F6986" s="36" t="s">
        <v>521</v>
      </c>
      <c r="G6986" s="22" t="str">
        <f t="shared" si="192"/>
        <v/>
      </c>
      <c r="H6986" s="23"/>
      <c r="I6986" s="24"/>
      <c r="J6986" s="138">
        <v>0</v>
      </c>
    </row>
    <row r="6987" spans="1:10" ht="15.75" hidden="1" thickBot="1" x14ac:dyDescent="0.3">
      <c r="A6987" s="221"/>
      <c r="B6987" s="223"/>
      <c r="C6987" s="26"/>
      <c r="D6987" s="26"/>
      <c r="E6987" s="27"/>
      <c r="F6987" s="37" t="s">
        <v>521</v>
      </c>
      <c r="G6987" s="25" t="str">
        <f t="shared" si="192"/>
        <v/>
      </c>
      <c r="H6987" s="29"/>
      <c r="I6987" s="25"/>
      <c r="J6987" s="138">
        <v>0</v>
      </c>
    </row>
    <row r="6988" spans="1:10" ht="26.25" hidden="1" thickBot="1" x14ac:dyDescent="0.3">
      <c r="A6988" s="221"/>
      <c r="B6988" s="223"/>
      <c r="C6988" s="159" t="s">
        <v>2582</v>
      </c>
      <c r="D6988" s="41" t="s">
        <v>20</v>
      </c>
      <c r="E6988" s="146">
        <v>1</v>
      </c>
      <c r="F6988" s="25">
        <v>62.206000000000003</v>
      </c>
      <c r="G6988" s="25">
        <f t="shared" si="192"/>
        <v>62.206000000000003</v>
      </c>
      <c r="H6988" s="33">
        <f t="shared" ref="H6988" si="194">SUM(G6988:G6988)</f>
        <v>62.206000000000003</v>
      </c>
      <c r="I6988" s="34"/>
      <c r="J6988" s="138">
        <v>0</v>
      </c>
    </row>
    <row r="6989" spans="1:10" ht="15.75" hidden="1" thickBot="1" x14ac:dyDescent="0.3">
      <c r="A6989" s="227"/>
      <c r="B6989" s="224"/>
      <c r="C6989" s="49"/>
      <c r="D6989" s="49"/>
      <c r="E6989" s="60"/>
      <c r="F6989" s="61" t="s">
        <v>521</v>
      </c>
      <c r="G6989" s="61" t="str">
        <f t="shared" si="192"/>
        <v/>
      </c>
      <c r="H6989" s="63"/>
      <c r="I6989" s="25"/>
      <c r="J6989" s="138">
        <v>0</v>
      </c>
    </row>
    <row r="6990" spans="1:10" ht="15.75" hidden="1" thickBot="1" x14ac:dyDescent="0.3">
      <c r="A6990" s="220" t="s">
        <v>2483</v>
      </c>
      <c r="B6990" s="222" t="e">
        <f>INDEX(Orçamentária!A:B,MATCH(Composições!A6990,Orçamentária!A:A,0),2)</f>
        <v>#N/A</v>
      </c>
      <c r="C6990" s="35"/>
      <c r="D6990" s="20" t="s">
        <v>20</v>
      </c>
      <c r="E6990" s="21"/>
      <c r="F6990" s="36" t="s">
        <v>521</v>
      </c>
      <c r="G6990" s="22" t="str">
        <f t="shared" si="192"/>
        <v/>
      </c>
      <c r="H6990" s="23"/>
      <c r="I6990" s="24"/>
      <c r="J6990" s="138">
        <v>0</v>
      </c>
    </row>
    <row r="6991" spans="1:10" ht="15.75" hidden="1" thickBot="1" x14ac:dyDescent="0.3">
      <c r="A6991" s="221"/>
      <c r="B6991" s="223"/>
      <c r="C6991" s="26"/>
      <c r="D6991" s="26"/>
      <c r="E6991" s="27"/>
      <c r="F6991" s="37" t="s">
        <v>521</v>
      </c>
      <c r="G6991" s="25" t="str">
        <f t="shared" si="192"/>
        <v/>
      </c>
      <c r="H6991" s="29"/>
      <c r="I6991" s="25"/>
      <c r="J6991" s="138">
        <v>0</v>
      </c>
    </row>
    <row r="6992" spans="1:10" ht="26.25" hidden="1" thickBot="1" x14ac:dyDescent="0.3">
      <c r="A6992" s="221"/>
      <c r="B6992" s="223"/>
      <c r="C6992" s="159" t="s">
        <v>2592</v>
      </c>
      <c r="D6992" s="41" t="s">
        <v>20</v>
      </c>
      <c r="E6992" s="146">
        <v>1</v>
      </c>
      <c r="F6992" s="25">
        <v>40.47</v>
      </c>
      <c r="G6992" s="25">
        <f t="shared" si="192"/>
        <v>40.47</v>
      </c>
      <c r="H6992" s="33">
        <f t="shared" ref="H6992" si="195">SUM(G6992:G6992)</f>
        <v>40.47</v>
      </c>
      <c r="I6992" s="34"/>
      <c r="J6992" s="138">
        <v>0</v>
      </c>
    </row>
    <row r="6993" spans="1:10" ht="15.75" hidden="1" thickBot="1" x14ac:dyDescent="0.3">
      <c r="A6993" s="227"/>
      <c r="B6993" s="224"/>
      <c r="C6993" s="49"/>
      <c r="D6993" s="49"/>
      <c r="E6993" s="60"/>
      <c r="F6993" s="61" t="s">
        <v>521</v>
      </c>
      <c r="G6993" s="61" t="str">
        <f t="shared" si="192"/>
        <v/>
      </c>
      <c r="H6993" s="63"/>
      <c r="I6993" s="25"/>
      <c r="J6993" s="138">
        <v>0</v>
      </c>
    </row>
    <row r="6994" spans="1:10" ht="15.75" hidden="1" thickBot="1" x14ac:dyDescent="0.3">
      <c r="A6994" s="220" t="s">
        <v>2484</v>
      </c>
      <c r="B6994" s="222" t="e">
        <f>INDEX(Orçamentária!A:B,MATCH(Composições!A6994,Orçamentária!A:A,0),2)</f>
        <v>#N/A</v>
      </c>
      <c r="C6994" s="35"/>
      <c r="D6994" s="20" t="s">
        <v>20</v>
      </c>
      <c r="E6994" s="21"/>
      <c r="F6994" s="36" t="s">
        <v>521</v>
      </c>
      <c r="G6994" s="22" t="str">
        <f t="shared" si="192"/>
        <v/>
      </c>
      <c r="H6994" s="23"/>
      <c r="I6994" s="24"/>
      <c r="J6994" s="138">
        <v>0</v>
      </c>
    </row>
    <row r="6995" spans="1:10" ht="15.75" hidden="1" thickBot="1" x14ac:dyDescent="0.3">
      <c r="A6995" s="221"/>
      <c r="B6995" s="223"/>
      <c r="C6995" s="26"/>
      <c r="D6995" s="26"/>
      <c r="E6995" s="27"/>
      <c r="F6995" s="37" t="s">
        <v>521</v>
      </c>
      <c r="G6995" s="25" t="str">
        <f t="shared" si="192"/>
        <v/>
      </c>
      <c r="H6995" s="29"/>
      <c r="I6995" s="25"/>
      <c r="J6995" s="138">
        <v>0</v>
      </c>
    </row>
    <row r="6996" spans="1:10" ht="26.25" hidden="1" thickBot="1" x14ac:dyDescent="0.3">
      <c r="A6996" s="221"/>
      <c r="B6996" s="223"/>
      <c r="C6996" s="159" t="s">
        <v>2552</v>
      </c>
      <c r="D6996" s="41" t="s">
        <v>20</v>
      </c>
      <c r="E6996" s="146">
        <v>1</v>
      </c>
      <c r="F6996" s="25">
        <v>40.108999999999995</v>
      </c>
      <c r="G6996" s="25">
        <f t="shared" si="192"/>
        <v>40.108999999999995</v>
      </c>
      <c r="H6996" s="33">
        <f t="shared" ref="H6996" si="196">SUM(G6996:G6996)</f>
        <v>40.108999999999995</v>
      </c>
      <c r="I6996" s="34"/>
      <c r="J6996" s="138">
        <v>0</v>
      </c>
    </row>
    <row r="6997" spans="1:10" ht="15.75" hidden="1" thickBot="1" x14ac:dyDescent="0.3">
      <c r="A6997" s="227"/>
      <c r="B6997" s="224"/>
      <c r="C6997" s="49"/>
      <c r="D6997" s="49"/>
      <c r="E6997" s="60"/>
      <c r="F6997" s="61" t="s">
        <v>521</v>
      </c>
      <c r="G6997" s="61" t="str">
        <f t="shared" si="192"/>
        <v/>
      </c>
      <c r="H6997" s="63"/>
      <c r="I6997" s="25"/>
      <c r="J6997" s="138">
        <v>0</v>
      </c>
    </row>
    <row r="6998" spans="1:10" ht="15.75" hidden="1" thickBot="1" x14ac:dyDescent="0.3">
      <c r="A6998" s="220" t="s">
        <v>2485</v>
      </c>
      <c r="B6998" s="222" t="e">
        <f>INDEX(Orçamentária!A:B,MATCH(Composições!A6998,Orçamentária!A:A,0),2)</f>
        <v>#N/A</v>
      </c>
      <c r="C6998" s="35"/>
      <c r="D6998" s="20" t="s">
        <v>20</v>
      </c>
      <c r="E6998" s="21"/>
      <c r="F6998" s="36" t="s">
        <v>521</v>
      </c>
      <c r="G6998" s="22" t="str">
        <f t="shared" si="192"/>
        <v/>
      </c>
      <c r="H6998" s="23"/>
      <c r="I6998" s="24"/>
      <c r="J6998" s="138">
        <v>0</v>
      </c>
    </row>
    <row r="6999" spans="1:10" ht="15.75" hidden="1" thickBot="1" x14ac:dyDescent="0.3">
      <c r="A6999" s="221"/>
      <c r="B6999" s="223"/>
      <c r="C6999" s="26"/>
      <c r="D6999" s="26"/>
      <c r="E6999" s="27"/>
      <c r="F6999" s="37" t="s">
        <v>521</v>
      </c>
      <c r="G6999" s="25" t="str">
        <f t="shared" si="192"/>
        <v/>
      </c>
      <c r="H6999" s="29"/>
      <c r="I6999" s="25"/>
      <c r="J6999" s="138">
        <v>0</v>
      </c>
    </row>
    <row r="7000" spans="1:10" ht="26.25" hidden="1" thickBot="1" x14ac:dyDescent="0.3">
      <c r="A7000" s="221"/>
      <c r="B7000" s="223"/>
      <c r="C7000" s="159" t="s">
        <v>2551</v>
      </c>
      <c r="D7000" s="41" t="s">
        <v>20</v>
      </c>
      <c r="E7000" s="146">
        <v>1</v>
      </c>
      <c r="F7000" s="25">
        <v>13.546999999999999</v>
      </c>
      <c r="G7000" s="25">
        <f t="shared" si="192"/>
        <v>13.546999999999999</v>
      </c>
      <c r="H7000" s="33">
        <f t="shared" ref="H7000" si="197">SUM(G7000:G7000)</f>
        <v>13.546999999999999</v>
      </c>
      <c r="I7000" s="34"/>
      <c r="J7000" s="138">
        <v>0</v>
      </c>
    </row>
    <row r="7001" spans="1:10" ht="15.75" hidden="1" thickBot="1" x14ac:dyDescent="0.3">
      <c r="A7001" s="227"/>
      <c r="B7001" s="224"/>
      <c r="C7001" s="49"/>
      <c r="D7001" s="49"/>
      <c r="E7001" s="60"/>
      <c r="F7001" s="61" t="s">
        <v>521</v>
      </c>
      <c r="G7001" s="61" t="str">
        <f t="shared" si="192"/>
        <v/>
      </c>
      <c r="H7001" s="63"/>
      <c r="I7001" s="25"/>
      <c r="J7001" s="138">
        <v>0</v>
      </c>
    </row>
    <row r="7002" spans="1:10" ht="15.75" hidden="1" thickBot="1" x14ac:dyDescent="0.3">
      <c r="A7002" s="220" t="s">
        <v>2486</v>
      </c>
      <c r="B7002" s="222" t="e">
        <f>INDEX(Orçamentária!A:B,MATCH(Composições!A7002,Orçamentária!A:A,0),2)</f>
        <v>#N/A</v>
      </c>
      <c r="C7002" s="35"/>
      <c r="D7002" s="20" t="s">
        <v>20</v>
      </c>
      <c r="E7002" s="21"/>
      <c r="F7002" s="36" t="s">
        <v>521</v>
      </c>
      <c r="G7002" s="22" t="str">
        <f t="shared" si="192"/>
        <v/>
      </c>
      <c r="H7002" s="23"/>
      <c r="I7002" s="24"/>
      <c r="J7002" s="138">
        <v>0</v>
      </c>
    </row>
    <row r="7003" spans="1:10" ht="15.75" hidden="1" thickBot="1" x14ac:dyDescent="0.3">
      <c r="A7003" s="221"/>
      <c r="B7003" s="223"/>
      <c r="C7003" s="26"/>
      <c r="D7003" s="26"/>
      <c r="E7003" s="27"/>
      <c r="F7003" s="37" t="s">
        <v>521</v>
      </c>
      <c r="G7003" s="25" t="str">
        <f t="shared" si="192"/>
        <v/>
      </c>
      <c r="H7003" s="29"/>
      <c r="I7003" s="25"/>
      <c r="J7003" s="138">
        <v>0</v>
      </c>
    </row>
    <row r="7004" spans="1:10" ht="15.75" hidden="1" thickBot="1" x14ac:dyDescent="0.3">
      <c r="A7004" s="221"/>
      <c r="B7004" s="223"/>
      <c r="C7004" s="159" t="s">
        <v>2595</v>
      </c>
      <c r="D7004" s="41" t="s">
        <v>20</v>
      </c>
      <c r="E7004" s="146">
        <v>1</v>
      </c>
      <c r="F7004" s="25">
        <v>7.9229999999999992</v>
      </c>
      <c r="G7004" s="25">
        <f t="shared" si="192"/>
        <v>7.9229999999999992</v>
      </c>
      <c r="H7004" s="33">
        <f t="shared" ref="H7004" si="198">SUM(G7004:G7004)</f>
        <v>7.9229999999999992</v>
      </c>
      <c r="I7004" s="34"/>
      <c r="J7004" s="138">
        <v>0</v>
      </c>
    </row>
    <row r="7005" spans="1:10" ht="15.75" hidden="1" thickBot="1" x14ac:dyDescent="0.3">
      <c r="A7005" s="227"/>
      <c r="B7005" s="224"/>
      <c r="C7005" s="49"/>
      <c r="D7005" s="49"/>
      <c r="E7005" s="60"/>
      <c r="F7005" s="61" t="s">
        <v>521</v>
      </c>
      <c r="G7005" s="61" t="str">
        <f t="shared" si="192"/>
        <v/>
      </c>
      <c r="H7005" s="63"/>
      <c r="I7005" s="25"/>
      <c r="J7005" s="138">
        <v>0</v>
      </c>
    </row>
    <row r="7006" spans="1:10" ht="15.75" hidden="1" thickBot="1" x14ac:dyDescent="0.3">
      <c r="A7006" s="220" t="s">
        <v>2487</v>
      </c>
      <c r="B7006" s="222" t="e">
        <f>INDEX(Orçamentária!A:B,MATCH(Composições!A7006,Orçamentária!A:A,0),2)</f>
        <v>#N/A</v>
      </c>
      <c r="C7006" s="35"/>
      <c r="D7006" s="20" t="s">
        <v>20</v>
      </c>
      <c r="E7006" s="21"/>
      <c r="F7006" s="36" t="s">
        <v>521</v>
      </c>
      <c r="G7006" s="22" t="str">
        <f t="shared" si="192"/>
        <v/>
      </c>
      <c r="H7006" s="23"/>
      <c r="I7006" s="24"/>
      <c r="J7006" s="138">
        <v>0</v>
      </c>
    </row>
    <row r="7007" spans="1:10" ht="15.75" hidden="1" thickBot="1" x14ac:dyDescent="0.3">
      <c r="A7007" s="221"/>
      <c r="B7007" s="223"/>
      <c r="C7007" s="26"/>
      <c r="D7007" s="26"/>
      <c r="E7007" s="27"/>
      <c r="F7007" s="37" t="s">
        <v>521</v>
      </c>
      <c r="G7007" s="25" t="str">
        <f t="shared" si="192"/>
        <v/>
      </c>
      <c r="H7007" s="29"/>
      <c r="I7007" s="25"/>
      <c r="J7007" s="138">
        <v>0</v>
      </c>
    </row>
    <row r="7008" spans="1:10" ht="26.25" hidden="1" thickBot="1" x14ac:dyDescent="0.3">
      <c r="A7008" s="221"/>
      <c r="B7008" s="223"/>
      <c r="C7008" s="159" t="s">
        <v>2600</v>
      </c>
      <c r="D7008" s="41" t="s">
        <v>20</v>
      </c>
      <c r="E7008" s="146">
        <v>1</v>
      </c>
      <c r="F7008" s="25">
        <v>34.731999999999999</v>
      </c>
      <c r="G7008" s="25">
        <f t="shared" si="192"/>
        <v>34.731999999999999</v>
      </c>
      <c r="H7008" s="33">
        <f t="shared" ref="H7008" si="199">SUM(G7008:G7008)</f>
        <v>34.731999999999999</v>
      </c>
      <c r="I7008" s="34"/>
      <c r="J7008" s="138">
        <v>0</v>
      </c>
    </row>
    <row r="7009" spans="1:10" ht="15.75" hidden="1" thickBot="1" x14ac:dyDescent="0.3">
      <c r="A7009" s="227"/>
      <c r="B7009" s="224"/>
      <c r="C7009" s="49"/>
      <c r="D7009" s="49"/>
      <c r="E7009" s="60"/>
      <c r="F7009" s="61" t="s">
        <v>521</v>
      </c>
      <c r="G7009" s="61" t="str">
        <f t="shared" si="192"/>
        <v/>
      </c>
      <c r="H7009" s="63"/>
      <c r="I7009" s="25"/>
      <c r="J7009" s="138">
        <v>0</v>
      </c>
    </row>
    <row r="7010" spans="1:10" ht="15.75" hidden="1" thickBot="1" x14ac:dyDescent="0.3">
      <c r="A7010" s="220" t="s">
        <v>2488</v>
      </c>
      <c r="B7010" s="222" t="e">
        <f>INDEX(Orçamentária!A:B,MATCH(Composições!A7010,Orçamentária!A:A,0),2)</f>
        <v>#N/A</v>
      </c>
      <c r="C7010" s="35"/>
      <c r="D7010" s="20" t="s">
        <v>20</v>
      </c>
      <c r="E7010" s="21"/>
      <c r="F7010" s="36" t="s">
        <v>521</v>
      </c>
      <c r="G7010" s="22" t="str">
        <f t="shared" si="192"/>
        <v/>
      </c>
      <c r="H7010" s="23"/>
      <c r="I7010" s="24"/>
      <c r="J7010" s="138">
        <v>0</v>
      </c>
    </row>
    <row r="7011" spans="1:10" ht="15.75" hidden="1" thickBot="1" x14ac:dyDescent="0.3">
      <c r="A7011" s="221"/>
      <c r="B7011" s="223"/>
      <c r="C7011" s="26"/>
      <c r="D7011" s="26"/>
      <c r="E7011" s="27"/>
      <c r="F7011" s="37" t="s">
        <v>521</v>
      </c>
      <c r="G7011" s="25" t="str">
        <f t="shared" si="192"/>
        <v/>
      </c>
      <c r="H7011" s="29"/>
      <c r="I7011" s="25"/>
      <c r="J7011" s="138">
        <v>0</v>
      </c>
    </row>
    <row r="7012" spans="1:10" ht="15.75" hidden="1" thickBot="1" x14ac:dyDescent="0.3">
      <c r="A7012" s="221"/>
      <c r="B7012" s="223"/>
      <c r="C7012" s="159" t="s">
        <v>2594</v>
      </c>
      <c r="D7012" s="41" t="s">
        <v>20</v>
      </c>
      <c r="E7012" s="146">
        <v>1</v>
      </c>
      <c r="F7012" s="25">
        <v>5.4719999999999995</v>
      </c>
      <c r="G7012" s="25">
        <f t="shared" si="192"/>
        <v>5.4719999999999995</v>
      </c>
      <c r="H7012" s="33">
        <f t="shared" ref="H7012" si="200">SUM(G7012:G7012)</f>
        <v>5.4719999999999995</v>
      </c>
      <c r="I7012" s="34"/>
      <c r="J7012" s="138">
        <v>0</v>
      </c>
    </row>
    <row r="7013" spans="1:10" ht="15.75" hidden="1" thickBot="1" x14ac:dyDescent="0.3">
      <c r="A7013" s="227"/>
      <c r="B7013" s="224"/>
      <c r="C7013" s="49"/>
      <c r="D7013" s="49"/>
      <c r="E7013" s="60"/>
      <c r="F7013" s="61" t="s">
        <v>521</v>
      </c>
      <c r="G7013" s="61" t="str">
        <f t="shared" si="192"/>
        <v/>
      </c>
      <c r="H7013" s="63"/>
      <c r="I7013" s="25"/>
      <c r="J7013" s="138">
        <v>0</v>
      </c>
    </row>
    <row r="7014" spans="1:10" ht="15.75" hidden="1" thickBot="1" x14ac:dyDescent="0.3">
      <c r="A7014" s="220" t="s">
        <v>2489</v>
      </c>
      <c r="B7014" s="222" t="e">
        <f>INDEX(Orçamentária!A:B,MATCH(Composições!A7014,Orçamentária!A:A,0),2)</f>
        <v>#N/A</v>
      </c>
      <c r="C7014" s="35"/>
      <c r="D7014" s="20" t="s">
        <v>20</v>
      </c>
      <c r="E7014" s="21"/>
      <c r="F7014" s="36" t="s">
        <v>521</v>
      </c>
      <c r="G7014" s="22" t="str">
        <f t="shared" si="192"/>
        <v/>
      </c>
      <c r="H7014" s="23"/>
      <c r="I7014" s="24"/>
      <c r="J7014" s="138">
        <v>0</v>
      </c>
    </row>
    <row r="7015" spans="1:10" ht="15.75" hidden="1" thickBot="1" x14ac:dyDescent="0.3">
      <c r="A7015" s="221"/>
      <c r="B7015" s="223"/>
      <c r="C7015" s="26"/>
      <c r="D7015" s="26"/>
      <c r="E7015" s="27"/>
      <c r="F7015" s="37" t="s">
        <v>521</v>
      </c>
      <c r="G7015" s="25" t="str">
        <f t="shared" si="192"/>
        <v/>
      </c>
      <c r="H7015" s="29"/>
      <c r="I7015" s="25"/>
      <c r="J7015" s="138">
        <v>0</v>
      </c>
    </row>
    <row r="7016" spans="1:10" ht="26.25" hidden="1" thickBot="1" x14ac:dyDescent="0.3">
      <c r="A7016" s="221"/>
      <c r="B7016" s="223"/>
      <c r="C7016" s="159" t="s">
        <v>2598</v>
      </c>
      <c r="D7016" s="41" t="s">
        <v>20</v>
      </c>
      <c r="E7016" s="146">
        <v>1</v>
      </c>
      <c r="F7016" s="25">
        <v>3.3914999999999997</v>
      </c>
      <c r="G7016" s="25">
        <f t="shared" si="192"/>
        <v>3.3914999999999997</v>
      </c>
      <c r="H7016" s="33">
        <f t="shared" ref="H7016" si="201">SUM(G7016:G7016)</f>
        <v>3.3914999999999997</v>
      </c>
      <c r="I7016" s="34"/>
      <c r="J7016" s="138">
        <v>0</v>
      </c>
    </row>
    <row r="7017" spans="1:10" ht="15.75" hidden="1" thickBot="1" x14ac:dyDescent="0.3">
      <c r="A7017" s="227"/>
      <c r="B7017" s="224"/>
      <c r="C7017" s="49"/>
      <c r="D7017" s="49"/>
      <c r="E7017" s="60"/>
      <c r="F7017" s="61" t="s">
        <v>521</v>
      </c>
      <c r="G7017" s="61" t="str">
        <f t="shared" si="192"/>
        <v/>
      </c>
      <c r="H7017" s="63"/>
      <c r="I7017" s="25"/>
      <c r="J7017" s="138">
        <v>0</v>
      </c>
    </row>
    <row r="7018" spans="1:10" ht="15.75" hidden="1" thickBot="1" x14ac:dyDescent="0.3">
      <c r="A7018" s="220" t="s">
        <v>2490</v>
      </c>
      <c r="B7018" s="222" t="e">
        <f>INDEX(Orçamentária!A:B,MATCH(Composições!A7018,Orçamentária!A:A,0),2)</f>
        <v>#N/A</v>
      </c>
      <c r="C7018" s="35"/>
      <c r="D7018" s="20" t="s">
        <v>20</v>
      </c>
      <c r="E7018" s="21"/>
      <c r="F7018" s="36" t="s">
        <v>521</v>
      </c>
      <c r="G7018" s="22" t="str">
        <f t="shared" si="192"/>
        <v/>
      </c>
      <c r="H7018" s="23"/>
      <c r="I7018" s="24"/>
      <c r="J7018" s="138">
        <v>0</v>
      </c>
    </row>
    <row r="7019" spans="1:10" ht="15.75" hidden="1" thickBot="1" x14ac:dyDescent="0.3">
      <c r="A7019" s="221"/>
      <c r="B7019" s="223"/>
      <c r="C7019" s="26"/>
      <c r="D7019" s="26"/>
      <c r="E7019" s="27"/>
      <c r="F7019" s="37" t="s">
        <v>521</v>
      </c>
      <c r="G7019" s="25" t="str">
        <f t="shared" si="192"/>
        <v/>
      </c>
      <c r="H7019" s="29"/>
      <c r="I7019" s="25"/>
      <c r="J7019" s="138">
        <v>0</v>
      </c>
    </row>
    <row r="7020" spans="1:10" ht="15.75" hidden="1" thickBot="1" x14ac:dyDescent="0.3">
      <c r="A7020" s="221"/>
      <c r="B7020" s="223"/>
      <c r="C7020" s="159" t="s">
        <v>2596</v>
      </c>
      <c r="D7020" s="41" t="s">
        <v>20</v>
      </c>
      <c r="E7020" s="146">
        <v>1</v>
      </c>
      <c r="F7020" s="25">
        <v>3.9234999999999998</v>
      </c>
      <c r="G7020" s="25">
        <f t="shared" si="192"/>
        <v>3.9234999999999998</v>
      </c>
      <c r="H7020" s="33">
        <f t="shared" ref="H7020" si="202">SUM(G7020:G7020)</f>
        <v>3.9234999999999998</v>
      </c>
      <c r="I7020" s="34"/>
      <c r="J7020" s="138">
        <v>0</v>
      </c>
    </row>
    <row r="7021" spans="1:10" ht="15.75" hidden="1" thickBot="1" x14ac:dyDescent="0.3">
      <c r="A7021" s="227"/>
      <c r="B7021" s="224"/>
      <c r="C7021" s="49"/>
      <c r="D7021" s="49"/>
      <c r="E7021" s="60"/>
      <c r="F7021" s="61" t="s">
        <v>521</v>
      </c>
      <c r="G7021" s="61" t="str">
        <f t="shared" si="192"/>
        <v/>
      </c>
      <c r="H7021" s="63"/>
      <c r="I7021" s="25"/>
      <c r="J7021" s="138">
        <v>0</v>
      </c>
    </row>
    <row r="7022" spans="1:10" ht="15.75" hidden="1" thickBot="1" x14ac:dyDescent="0.3">
      <c r="A7022" s="220" t="s">
        <v>2491</v>
      </c>
      <c r="B7022" s="222" t="e">
        <f>INDEX(Orçamentária!A:B,MATCH(Composições!A7022,Orçamentária!A:A,0),2)</f>
        <v>#N/A</v>
      </c>
      <c r="C7022" s="35"/>
      <c r="D7022" s="20" t="s">
        <v>20</v>
      </c>
      <c r="E7022" s="21"/>
      <c r="F7022" s="36" t="s">
        <v>521</v>
      </c>
      <c r="G7022" s="22" t="str">
        <f t="shared" si="192"/>
        <v/>
      </c>
      <c r="H7022" s="23"/>
      <c r="I7022" s="24"/>
      <c r="J7022" s="138">
        <v>0</v>
      </c>
    </row>
    <row r="7023" spans="1:10" ht="15.75" hidden="1" thickBot="1" x14ac:dyDescent="0.3">
      <c r="A7023" s="221"/>
      <c r="B7023" s="223"/>
      <c r="C7023" s="26"/>
      <c r="D7023" s="26"/>
      <c r="E7023" s="27"/>
      <c r="F7023" s="37" t="s">
        <v>521</v>
      </c>
      <c r="G7023" s="25" t="str">
        <f t="shared" si="192"/>
        <v/>
      </c>
      <c r="H7023" s="29"/>
      <c r="I7023" s="25"/>
      <c r="J7023" s="138">
        <v>0</v>
      </c>
    </row>
    <row r="7024" spans="1:10" ht="15.75" hidden="1" thickBot="1" x14ac:dyDescent="0.3">
      <c r="A7024" s="221"/>
      <c r="B7024" s="223"/>
      <c r="C7024" s="159" t="s">
        <v>2597</v>
      </c>
      <c r="D7024" s="41" t="s">
        <v>20</v>
      </c>
      <c r="E7024" s="146">
        <v>1</v>
      </c>
      <c r="F7024" s="25">
        <v>8.2840000000000007</v>
      </c>
      <c r="G7024" s="25">
        <f t="shared" si="192"/>
        <v>8.2840000000000007</v>
      </c>
      <c r="H7024" s="33">
        <f t="shared" ref="H7024" si="203">SUM(G7024:G7024)</f>
        <v>8.2840000000000007</v>
      </c>
      <c r="I7024" s="34"/>
      <c r="J7024" s="138">
        <v>0</v>
      </c>
    </row>
    <row r="7025" spans="1:10" ht="15.75" hidden="1" thickBot="1" x14ac:dyDescent="0.3">
      <c r="A7025" s="227"/>
      <c r="B7025" s="224"/>
      <c r="C7025" s="49"/>
      <c r="D7025" s="49"/>
      <c r="E7025" s="60"/>
      <c r="F7025" s="61" t="s">
        <v>521</v>
      </c>
      <c r="G7025" s="61" t="str">
        <f t="shared" si="192"/>
        <v/>
      </c>
      <c r="H7025" s="63"/>
      <c r="I7025" s="25"/>
      <c r="J7025" s="138">
        <v>0</v>
      </c>
    </row>
    <row r="7026" spans="1:10" ht="15.75" hidden="1" thickBot="1" x14ac:dyDescent="0.3">
      <c r="A7026" s="220" t="s">
        <v>2492</v>
      </c>
      <c r="B7026" s="222" t="e">
        <f>INDEX(Orçamentária!A:B,MATCH(Composições!A7026,Orçamentária!A:A,0),2)</f>
        <v>#N/A</v>
      </c>
      <c r="C7026" s="35"/>
      <c r="D7026" s="20" t="s">
        <v>20</v>
      </c>
      <c r="E7026" s="21"/>
      <c r="F7026" s="36" t="s">
        <v>521</v>
      </c>
      <c r="G7026" s="22" t="str">
        <f t="shared" si="192"/>
        <v/>
      </c>
      <c r="H7026" s="23"/>
      <c r="I7026" s="24"/>
      <c r="J7026" s="138">
        <v>0</v>
      </c>
    </row>
    <row r="7027" spans="1:10" ht="15.75" hidden="1" thickBot="1" x14ac:dyDescent="0.3">
      <c r="A7027" s="221"/>
      <c r="B7027" s="223"/>
      <c r="C7027" s="26"/>
      <c r="D7027" s="26"/>
      <c r="E7027" s="27"/>
      <c r="F7027" s="37" t="s">
        <v>521</v>
      </c>
      <c r="G7027" s="25" t="str">
        <f t="shared" si="192"/>
        <v/>
      </c>
      <c r="H7027" s="29"/>
      <c r="I7027" s="25"/>
      <c r="J7027" s="138">
        <v>0</v>
      </c>
    </row>
    <row r="7028" spans="1:10" ht="26.25" hidden="1" thickBot="1" x14ac:dyDescent="0.3">
      <c r="A7028" s="221"/>
      <c r="B7028" s="223"/>
      <c r="C7028" s="159" t="s">
        <v>2599</v>
      </c>
      <c r="D7028" s="41" t="s">
        <v>20</v>
      </c>
      <c r="E7028" s="146">
        <v>1</v>
      </c>
      <c r="F7028" s="25">
        <v>29.592499999999998</v>
      </c>
      <c r="G7028" s="25">
        <f t="shared" si="192"/>
        <v>29.592499999999998</v>
      </c>
      <c r="H7028" s="33">
        <f t="shared" ref="H7028" si="204">SUM(G7028:G7028)</f>
        <v>29.592499999999998</v>
      </c>
      <c r="I7028" s="34"/>
      <c r="J7028" s="138">
        <v>0</v>
      </c>
    </row>
    <row r="7029" spans="1:10" ht="15.75" hidden="1" thickBot="1" x14ac:dyDescent="0.3">
      <c r="A7029" s="227"/>
      <c r="B7029" s="224"/>
      <c r="C7029" s="49"/>
      <c r="D7029" s="49"/>
      <c r="E7029" s="60"/>
      <c r="F7029" s="61" t="s">
        <v>521</v>
      </c>
      <c r="G7029" s="61" t="str">
        <f t="shared" si="192"/>
        <v/>
      </c>
      <c r="H7029" s="63"/>
      <c r="I7029" s="25"/>
      <c r="J7029" s="138">
        <v>0</v>
      </c>
    </row>
    <row r="7030" spans="1:10" ht="15.75" hidden="1" thickBot="1" x14ac:dyDescent="0.3">
      <c r="A7030" s="220" t="s">
        <v>2493</v>
      </c>
      <c r="B7030" s="222" t="e">
        <f>INDEX(Orçamentária!A:B,MATCH(Composições!A7030,Orçamentária!A:A,0),2)</f>
        <v>#N/A</v>
      </c>
      <c r="C7030" s="35"/>
      <c r="D7030" s="20" t="s">
        <v>20</v>
      </c>
      <c r="E7030" s="21"/>
      <c r="F7030" s="36" t="s">
        <v>521</v>
      </c>
      <c r="G7030" s="22" t="str">
        <f t="shared" si="192"/>
        <v/>
      </c>
      <c r="H7030" s="23"/>
      <c r="I7030" s="24"/>
      <c r="J7030" s="138">
        <v>0</v>
      </c>
    </row>
    <row r="7031" spans="1:10" ht="15.75" hidden="1" thickBot="1" x14ac:dyDescent="0.3">
      <c r="A7031" s="221"/>
      <c r="B7031" s="223"/>
      <c r="C7031" s="26"/>
      <c r="D7031" s="26"/>
      <c r="E7031" s="27"/>
      <c r="F7031" s="37" t="s">
        <v>521</v>
      </c>
      <c r="G7031" s="25" t="str">
        <f t="shared" si="192"/>
        <v/>
      </c>
      <c r="H7031" s="29"/>
      <c r="I7031" s="25"/>
      <c r="J7031" s="138">
        <v>0</v>
      </c>
    </row>
    <row r="7032" spans="1:10" ht="26.25" hidden="1" thickBot="1" x14ac:dyDescent="0.3">
      <c r="A7032" s="221"/>
      <c r="B7032" s="223"/>
      <c r="C7032" s="159" t="s">
        <v>2652</v>
      </c>
      <c r="D7032" s="41" t="s">
        <v>20</v>
      </c>
      <c r="E7032" s="146">
        <v>1</v>
      </c>
      <c r="F7032" s="25">
        <v>36.594000000000001</v>
      </c>
      <c r="G7032" s="25">
        <f t="shared" si="192"/>
        <v>36.594000000000001</v>
      </c>
      <c r="H7032" s="33">
        <f t="shared" ref="H7032" si="205">SUM(G7032:G7032)</f>
        <v>36.594000000000001</v>
      </c>
      <c r="I7032" s="34"/>
      <c r="J7032" s="138">
        <v>0</v>
      </c>
    </row>
    <row r="7033" spans="1:10" ht="15.75" hidden="1" thickBot="1" x14ac:dyDescent="0.3">
      <c r="A7033" s="227"/>
      <c r="B7033" s="224"/>
      <c r="C7033" s="49"/>
      <c r="D7033" s="49"/>
      <c r="E7033" s="60"/>
      <c r="F7033" s="61" t="s">
        <v>521</v>
      </c>
      <c r="G7033" s="61" t="str">
        <f t="shared" si="192"/>
        <v/>
      </c>
      <c r="H7033" s="63"/>
      <c r="I7033" s="25"/>
      <c r="J7033" s="138">
        <v>0</v>
      </c>
    </row>
    <row r="7034" spans="1:10" ht="15.75" hidden="1" thickBot="1" x14ac:dyDescent="0.3">
      <c r="A7034" s="220" t="s">
        <v>2494</v>
      </c>
      <c r="B7034" s="222" t="e">
        <f>INDEX(Orçamentária!A:B,MATCH(Composições!A7034,Orçamentária!A:A,0),2)</f>
        <v>#N/A</v>
      </c>
      <c r="C7034" s="35"/>
      <c r="D7034" s="20" t="s">
        <v>93</v>
      </c>
      <c r="E7034" s="21"/>
      <c r="F7034" s="36" t="s">
        <v>521</v>
      </c>
      <c r="G7034" s="22" t="str">
        <f t="shared" si="192"/>
        <v/>
      </c>
      <c r="H7034" s="23"/>
      <c r="I7034" s="24"/>
      <c r="J7034" s="138">
        <v>0</v>
      </c>
    </row>
    <row r="7035" spans="1:10" ht="15.75" hidden="1" thickBot="1" x14ac:dyDescent="0.3">
      <c r="A7035" s="221"/>
      <c r="B7035" s="223"/>
      <c r="C7035" s="26"/>
      <c r="D7035" s="26"/>
      <c r="E7035" s="27"/>
      <c r="F7035" s="37" t="s">
        <v>521</v>
      </c>
      <c r="G7035" s="25" t="str">
        <f t="shared" si="192"/>
        <v/>
      </c>
      <c r="H7035" s="29"/>
      <c r="I7035" s="25"/>
      <c r="J7035" s="138">
        <v>0</v>
      </c>
    </row>
    <row r="7036" spans="1:10" ht="39" hidden="1" thickBot="1" x14ac:dyDescent="0.3">
      <c r="A7036" s="221"/>
      <c r="B7036" s="223"/>
      <c r="C7036" s="159" t="s">
        <v>1098</v>
      </c>
      <c r="D7036" s="41" t="s">
        <v>93</v>
      </c>
      <c r="E7036" s="146">
        <v>1</v>
      </c>
      <c r="F7036" s="25">
        <v>10.801499999999999</v>
      </c>
      <c r="G7036" s="25">
        <f t="shared" si="192"/>
        <v>10.801499999999999</v>
      </c>
      <c r="H7036" s="33">
        <f t="shared" ref="H7036" si="206">SUM(G7036:G7036)</f>
        <v>10.801499999999999</v>
      </c>
      <c r="I7036" s="34"/>
      <c r="J7036" s="138">
        <v>0</v>
      </c>
    </row>
    <row r="7037" spans="1:10" ht="15.75" hidden="1" thickBot="1" x14ac:dyDescent="0.3">
      <c r="A7037" s="227"/>
      <c r="B7037" s="224"/>
      <c r="C7037" s="49"/>
      <c r="D7037" s="49"/>
      <c r="E7037" s="60"/>
      <c r="F7037" s="61" t="s">
        <v>521</v>
      </c>
      <c r="G7037" s="61" t="str">
        <f t="shared" si="192"/>
        <v/>
      </c>
      <c r="H7037" s="63"/>
      <c r="I7037" s="25"/>
      <c r="J7037" s="138">
        <v>0</v>
      </c>
    </row>
    <row r="7038" spans="1:10" ht="15.75" hidden="1" thickBot="1" x14ac:dyDescent="0.3">
      <c r="A7038" s="220" t="s">
        <v>2495</v>
      </c>
      <c r="B7038" s="222" t="e">
        <f>INDEX(Orçamentária!A:B,MATCH(Composições!A7038,Orçamentária!A:A,0),2)</f>
        <v>#N/A</v>
      </c>
      <c r="C7038" s="35"/>
      <c r="D7038" s="20" t="s">
        <v>93</v>
      </c>
      <c r="E7038" s="21"/>
      <c r="F7038" s="36" t="s">
        <v>521</v>
      </c>
      <c r="G7038" s="22" t="str">
        <f t="shared" si="192"/>
        <v/>
      </c>
      <c r="H7038" s="23"/>
      <c r="I7038" s="24"/>
      <c r="J7038" s="138">
        <v>0</v>
      </c>
    </row>
    <row r="7039" spans="1:10" ht="15.75" hidden="1" thickBot="1" x14ac:dyDescent="0.3">
      <c r="A7039" s="221"/>
      <c r="B7039" s="223"/>
      <c r="C7039" s="26"/>
      <c r="D7039" s="26"/>
      <c r="E7039" s="27"/>
      <c r="F7039" s="37" t="s">
        <v>521</v>
      </c>
      <c r="G7039" s="25" t="str">
        <f t="shared" si="192"/>
        <v/>
      </c>
      <c r="H7039" s="29"/>
      <c r="I7039" s="25"/>
      <c r="J7039" s="138">
        <v>0</v>
      </c>
    </row>
    <row r="7040" spans="1:10" ht="26.25" hidden="1" thickBot="1" x14ac:dyDescent="0.3">
      <c r="A7040" s="221"/>
      <c r="B7040" s="223"/>
      <c r="C7040" s="159" t="s">
        <v>2578</v>
      </c>
      <c r="D7040" s="41" t="s">
        <v>93</v>
      </c>
      <c r="E7040" s="146">
        <v>1</v>
      </c>
      <c r="F7040" s="25">
        <v>13.470999999999998</v>
      </c>
      <c r="G7040" s="25">
        <f t="shared" si="192"/>
        <v>13.470999999999998</v>
      </c>
      <c r="H7040" s="33">
        <f t="shared" ref="H7040" si="207">SUM(G7040:G7040)</f>
        <v>13.470999999999998</v>
      </c>
      <c r="I7040" s="34"/>
      <c r="J7040" s="138">
        <v>0</v>
      </c>
    </row>
    <row r="7041" spans="1:10" ht="15.75" hidden="1" thickBot="1" x14ac:dyDescent="0.3">
      <c r="A7041" s="227"/>
      <c r="B7041" s="224"/>
      <c r="C7041" s="49"/>
      <c r="D7041" s="49"/>
      <c r="E7041" s="60"/>
      <c r="F7041" s="61" t="s">
        <v>521</v>
      </c>
      <c r="G7041" s="61" t="str">
        <f t="shared" si="192"/>
        <v/>
      </c>
      <c r="H7041" s="63"/>
      <c r="I7041" s="25"/>
      <c r="J7041" s="138">
        <v>0</v>
      </c>
    </row>
    <row r="7042" spans="1:10" ht="15.75" hidden="1" thickBot="1" x14ac:dyDescent="0.3">
      <c r="A7042" s="220" t="s">
        <v>2496</v>
      </c>
      <c r="B7042" s="222" t="e">
        <f>INDEX(Orçamentária!A:B,MATCH(Composições!A7042,Orçamentária!A:A,0),2)</f>
        <v>#N/A</v>
      </c>
      <c r="C7042" s="35"/>
      <c r="D7042" s="20" t="s">
        <v>20</v>
      </c>
      <c r="E7042" s="21"/>
      <c r="F7042" s="36" t="s">
        <v>521</v>
      </c>
      <c r="G7042" s="22" t="str">
        <f t="shared" ref="G7042:G7105" si="208">IF(ISNUMBER(F7042),E7042*F7042,"")</f>
        <v/>
      </c>
      <c r="H7042" s="23"/>
      <c r="I7042" s="24"/>
      <c r="J7042" s="138">
        <v>0</v>
      </c>
    </row>
    <row r="7043" spans="1:10" ht="15.75" hidden="1" thickBot="1" x14ac:dyDescent="0.3">
      <c r="A7043" s="221"/>
      <c r="B7043" s="223"/>
      <c r="C7043" s="26"/>
      <c r="D7043" s="26"/>
      <c r="E7043" s="27"/>
      <c r="F7043" s="37" t="s">
        <v>521</v>
      </c>
      <c r="G7043" s="25" t="str">
        <f t="shared" si="208"/>
        <v/>
      </c>
      <c r="H7043" s="29"/>
      <c r="I7043" s="25"/>
      <c r="J7043" s="138">
        <v>0</v>
      </c>
    </row>
    <row r="7044" spans="1:10" ht="26.25" hidden="1" thickBot="1" x14ac:dyDescent="0.3">
      <c r="A7044" s="221"/>
      <c r="B7044" s="223"/>
      <c r="C7044" s="159" t="s">
        <v>2604</v>
      </c>
      <c r="D7044" s="41" t="s">
        <v>20</v>
      </c>
      <c r="E7044" s="146">
        <v>1</v>
      </c>
      <c r="F7044" s="25">
        <v>27.939499999999999</v>
      </c>
      <c r="G7044" s="25">
        <f t="shared" si="208"/>
        <v>27.939499999999999</v>
      </c>
      <c r="H7044" s="33">
        <f t="shared" ref="H7044" si="209">SUM(G7044:G7044)</f>
        <v>27.939499999999999</v>
      </c>
      <c r="I7044" s="34"/>
      <c r="J7044" s="138">
        <v>0</v>
      </c>
    </row>
    <row r="7045" spans="1:10" ht="15.75" hidden="1" thickBot="1" x14ac:dyDescent="0.3">
      <c r="A7045" s="227"/>
      <c r="B7045" s="224"/>
      <c r="C7045" s="49"/>
      <c r="D7045" s="49"/>
      <c r="E7045" s="60"/>
      <c r="F7045" s="61" t="s">
        <v>521</v>
      </c>
      <c r="G7045" s="61" t="str">
        <f t="shared" si="208"/>
        <v/>
      </c>
      <c r="H7045" s="63"/>
      <c r="I7045" s="25"/>
      <c r="J7045" s="138">
        <v>0</v>
      </c>
    </row>
    <row r="7046" spans="1:10" ht="15.75" hidden="1" thickBot="1" x14ac:dyDescent="0.3">
      <c r="A7046" s="220" t="s">
        <v>2497</v>
      </c>
      <c r="B7046" s="222" t="e">
        <f>INDEX(Orçamentária!A:B,MATCH(Composições!A7046,Orçamentária!A:A,0),2)</f>
        <v>#N/A</v>
      </c>
      <c r="C7046" s="35"/>
      <c r="D7046" s="20" t="s">
        <v>20</v>
      </c>
      <c r="E7046" s="21"/>
      <c r="F7046" s="36" t="s">
        <v>521</v>
      </c>
      <c r="G7046" s="22" t="str">
        <f t="shared" si="208"/>
        <v/>
      </c>
      <c r="H7046" s="23"/>
      <c r="I7046" s="24"/>
      <c r="J7046" s="138">
        <v>0</v>
      </c>
    </row>
    <row r="7047" spans="1:10" ht="15.75" hidden="1" thickBot="1" x14ac:dyDescent="0.3">
      <c r="A7047" s="221"/>
      <c r="B7047" s="223"/>
      <c r="C7047" s="26"/>
      <c r="D7047" s="26"/>
      <c r="E7047" s="27"/>
      <c r="F7047" s="37" t="s">
        <v>521</v>
      </c>
      <c r="G7047" s="25" t="str">
        <f t="shared" si="208"/>
        <v/>
      </c>
      <c r="H7047" s="29"/>
      <c r="I7047" s="25"/>
      <c r="J7047" s="138">
        <v>0</v>
      </c>
    </row>
    <row r="7048" spans="1:10" ht="15.75" hidden="1" thickBot="1" x14ac:dyDescent="0.3">
      <c r="A7048" s="221"/>
      <c r="B7048" s="223"/>
      <c r="C7048" s="159" t="s">
        <v>2605</v>
      </c>
      <c r="D7048" s="41" t="s">
        <v>20</v>
      </c>
      <c r="E7048" s="146">
        <v>1</v>
      </c>
      <c r="F7048" s="25">
        <v>8.5975000000000001</v>
      </c>
      <c r="G7048" s="25">
        <f t="shared" si="208"/>
        <v>8.5975000000000001</v>
      </c>
      <c r="H7048" s="33">
        <f t="shared" ref="H7048" si="210">SUM(G7048:G7048)</f>
        <v>8.5975000000000001</v>
      </c>
      <c r="I7048" s="34"/>
      <c r="J7048" s="138">
        <v>0</v>
      </c>
    </row>
    <row r="7049" spans="1:10" ht="15.75" hidden="1" thickBot="1" x14ac:dyDescent="0.3">
      <c r="A7049" s="227"/>
      <c r="B7049" s="224"/>
      <c r="C7049" s="49"/>
      <c r="D7049" s="49"/>
      <c r="E7049" s="60"/>
      <c r="F7049" s="61" t="s">
        <v>521</v>
      </c>
      <c r="G7049" s="61" t="str">
        <f t="shared" si="208"/>
        <v/>
      </c>
      <c r="H7049" s="63"/>
      <c r="I7049" s="25"/>
      <c r="J7049" s="138">
        <v>0</v>
      </c>
    </row>
    <row r="7050" spans="1:10" ht="15.75" hidden="1" thickBot="1" x14ac:dyDescent="0.3">
      <c r="A7050" s="220" t="s">
        <v>2498</v>
      </c>
      <c r="B7050" s="222" t="e">
        <f>INDEX(Orçamentária!A:B,MATCH(Composições!A7050,Orçamentária!A:A,0),2)</f>
        <v>#N/A</v>
      </c>
      <c r="C7050" s="35"/>
      <c r="D7050" s="20" t="s">
        <v>20</v>
      </c>
      <c r="E7050" s="21"/>
      <c r="F7050" s="36" t="s">
        <v>521</v>
      </c>
      <c r="G7050" s="22" t="str">
        <f t="shared" si="208"/>
        <v/>
      </c>
      <c r="H7050" s="23"/>
      <c r="I7050" s="24"/>
      <c r="J7050" s="138">
        <v>0</v>
      </c>
    </row>
    <row r="7051" spans="1:10" ht="15.75" hidden="1" thickBot="1" x14ac:dyDescent="0.3">
      <c r="A7051" s="221"/>
      <c r="B7051" s="223"/>
      <c r="C7051" s="26"/>
      <c r="D7051" s="26"/>
      <c r="E7051" s="27"/>
      <c r="F7051" s="37" t="s">
        <v>521</v>
      </c>
      <c r="G7051" s="25" t="str">
        <f t="shared" si="208"/>
        <v/>
      </c>
      <c r="H7051" s="29"/>
      <c r="I7051" s="25"/>
      <c r="J7051" s="138">
        <v>0</v>
      </c>
    </row>
    <row r="7052" spans="1:10" ht="26.25" hidden="1" thickBot="1" x14ac:dyDescent="0.3">
      <c r="A7052" s="221"/>
      <c r="B7052" s="223"/>
      <c r="C7052" s="159" t="s">
        <v>1712</v>
      </c>
      <c r="D7052" s="41" t="s">
        <v>20</v>
      </c>
      <c r="E7052" s="146">
        <v>1</v>
      </c>
      <c r="F7052" s="25">
        <v>14.772500000000001</v>
      </c>
      <c r="G7052" s="25">
        <f t="shared" si="208"/>
        <v>14.772500000000001</v>
      </c>
      <c r="H7052" s="33">
        <f t="shared" ref="H7052" si="211">SUM(G7052:G7052)</f>
        <v>14.772500000000001</v>
      </c>
      <c r="I7052" s="34"/>
      <c r="J7052" s="138">
        <v>0</v>
      </c>
    </row>
    <row r="7053" spans="1:10" ht="15.75" hidden="1" thickBot="1" x14ac:dyDescent="0.3">
      <c r="A7053" s="227"/>
      <c r="B7053" s="224"/>
      <c r="C7053" s="49"/>
      <c r="D7053" s="49"/>
      <c r="E7053" s="60"/>
      <c r="F7053" s="61" t="s">
        <v>521</v>
      </c>
      <c r="G7053" s="61" t="str">
        <f t="shared" si="208"/>
        <v/>
      </c>
      <c r="H7053" s="63"/>
      <c r="I7053" s="25"/>
      <c r="J7053" s="138">
        <v>0</v>
      </c>
    </row>
    <row r="7054" spans="1:10" ht="15.75" hidden="1" thickBot="1" x14ac:dyDescent="0.3">
      <c r="A7054" s="220" t="s">
        <v>2499</v>
      </c>
      <c r="B7054" s="222" t="e">
        <f>INDEX(Orçamentária!A:B,MATCH(Composições!A7054,Orçamentária!A:A,0),2)</f>
        <v>#N/A</v>
      </c>
      <c r="C7054" s="35"/>
      <c r="D7054" s="20" t="s">
        <v>20</v>
      </c>
      <c r="E7054" s="21"/>
      <c r="F7054" s="36" t="s">
        <v>521</v>
      </c>
      <c r="G7054" s="22" t="str">
        <f t="shared" si="208"/>
        <v/>
      </c>
      <c r="H7054" s="23"/>
      <c r="I7054" s="24"/>
      <c r="J7054" s="138">
        <v>0</v>
      </c>
    </row>
    <row r="7055" spans="1:10" ht="15.75" hidden="1" thickBot="1" x14ac:dyDescent="0.3">
      <c r="A7055" s="221"/>
      <c r="B7055" s="223"/>
      <c r="C7055" s="26"/>
      <c r="D7055" s="26"/>
      <c r="E7055" s="27"/>
      <c r="F7055" s="37" t="s">
        <v>521</v>
      </c>
      <c r="G7055" s="25" t="str">
        <f t="shared" si="208"/>
        <v/>
      </c>
      <c r="H7055" s="29"/>
      <c r="I7055" s="25"/>
      <c r="J7055" s="138">
        <v>0</v>
      </c>
    </row>
    <row r="7056" spans="1:10" ht="26.25" hidden="1" thickBot="1" x14ac:dyDescent="0.3">
      <c r="A7056" s="221"/>
      <c r="B7056" s="223"/>
      <c r="C7056" s="159" t="s">
        <v>1711</v>
      </c>
      <c r="D7056" s="41" t="s">
        <v>20</v>
      </c>
      <c r="E7056" s="146">
        <v>1</v>
      </c>
      <c r="F7056" s="25">
        <v>10.1175</v>
      </c>
      <c r="G7056" s="25">
        <f t="shared" si="208"/>
        <v>10.1175</v>
      </c>
      <c r="H7056" s="33">
        <f t="shared" ref="H7056" si="212">SUM(G7056:G7056)</f>
        <v>10.1175</v>
      </c>
      <c r="I7056" s="34"/>
      <c r="J7056" s="138">
        <v>0</v>
      </c>
    </row>
    <row r="7057" spans="1:10" ht="15.75" hidden="1" thickBot="1" x14ac:dyDescent="0.3">
      <c r="A7057" s="227"/>
      <c r="B7057" s="224"/>
      <c r="C7057" s="49"/>
      <c r="D7057" s="49"/>
      <c r="E7057" s="60"/>
      <c r="F7057" s="61" t="s">
        <v>521</v>
      </c>
      <c r="G7057" s="61" t="str">
        <f t="shared" si="208"/>
        <v/>
      </c>
      <c r="H7057" s="63"/>
      <c r="I7057" s="25"/>
      <c r="J7057" s="138">
        <v>0</v>
      </c>
    </row>
    <row r="7058" spans="1:10" ht="15.75" hidden="1" thickBot="1" x14ac:dyDescent="0.3">
      <c r="A7058" s="220" t="s">
        <v>2500</v>
      </c>
      <c r="B7058" s="222" t="e">
        <f>INDEX(Orçamentária!A:B,MATCH(Composições!A7058,Orçamentária!A:A,0),2)</f>
        <v>#N/A</v>
      </c>
      <c r="C7058" s="35"/>
      <c r="D7058" s="20" t="s">
        <v>20</v>
      </c>
      <c r="E7058" s="21"/>
      <c r="F7058" s="36" t="s">
        <v>521</v>
      </c>
      <c r="G7058" s="22" t="str">
        <f t="shared" si="208"/>
        <v/>
      </c>
      <c r="H7058" s="23"/>
      <c r="I7058" s="24"/>
      <c r="J7058" s="138">
        <v>0</v>
      </c>
    </row>
    <row r="7059" spans="1:10" ht="15.75" hidden="1" thickBot="1" x14ac:dyDescent="0.3">
      <c r="A7059" s="221"/>
      <c r="B7059" s="223"/>
      <c r="C7059" s="26"/>
      <c r="D7059" s="26"/>
      <c r="E7059" s="27"/>
      <c r="F7059" s="37" t="s">
        <v>521</v>
      </c>
      <c r="G7059" s="25" t="str">
        <f t="shared" si="208"/>
        <v/>
      </c>
      <c r="H7059" s="29"/>
      <c r="I7059" s="25"/>
      <c r="J7059" s="138">
        <v>0</v>
      </c>
    </row>
    <row r="7060" spans="1:10" ht="26.25" hidden="1" thickBot="1" x14ac:dyDescent="0.3">
      <c r="A7060" s="221"/>
      <c r="B7060" s="223"/>
      <c r="C7060" s="159" t="s">
        <v>1713</v>
      </c>
      <c r="D7060" s="41" t="s">
        <v>20</v>
      </c>
      <c r="E7060" s="146">
        <v>1</v>
      </c>
      <c r="F7060" s="25">
        <v>22.486499999999999</v>
      </c>
      <c r="G7060" s="25">
        <f t="shared" si="208"/>
        <v>22.486499999999999</v>
      </c>
      <c r="H7060" s="33">
        <f t="shared" ref="H7060" si="213">SUM(G7060:G7060)</f>
        <v>22.486499999999999</v>
      </c>
      <c r="I7060" s="34"/>
      <c r="J7060" s="138">
        <v>0</v>
      </c>
    </row>
    <row r="7061" spans="1:10" ht="15.75" hidden="1" thickBot="1" x14ac:dyDescent="0.3">
      <c r="A7061" s="227"/>
      <c r="B7061" s="224"/>
      <c r="C7061" s="49"/>
      <c r="D7061" s="49"/>
      <c r="E7061" s="60"/>
      <c r="F7061" s="61" t="s">
        <v>521</v>
      </c>
      <c r="G7061" s="61" t="str">
        <f t="shared" si="208"/>
        <v/>
      </c>
      <c r="H7061" s="63"/>
      <c r="I7061" s="25"/>
      <c r="J7061" s="138">
        <v>0</v>
      </c>
    </row>
    <row r="7062" spans="1:10" ht="15.75" hidden="1" thickBot="1" x14ac:dyDescent="0.3">
      <c r="A7062" s="220" t="s">
        <v>2501</v>
      </c>
      <c r="B7062" s="222" t="e">
        <f>INDEX(Orçamentária!A:B,MATCH(Composições!A7062,Orçamentária!A:A,0),2)</f>
        <v>#N/A</v>
      </c>
      <c r="C7062" s="35"/>
      <c r="D7062" s="20" t="s">
        <v>20</v>
      </c>
      <c r="E7062" s="21"/>
      <c r="F7062" s="36" t="s">
        <v>521</v>
      </c>
      <c r="G7062" s="22" t="str">
        <f t="shared" si="208"/>
        <v/>
      </c>
      <c r="H7062" s="23"/>
      <c r="I7062" s="24"/>
      <c r="J7062" s="138">
        <v>0</v>
      </c>
    </row>
    <row r="7063" spans="1:10" ht="15.75" hidden="1" thickBot="1" x14ac:dyDescent="0.3">
      <c r="A7063" s="221"/>
      <c r="B7063" s="223"/>
      <c r="C7063" s="26"/>
      <c r="D7063" s="26"/>
      <c r="E7063" s="27"/>
      <c r="F7063" s="37" t="s">
        <v>521</v>
      </c>
      <c r="G7063" s="25" t="str">
        <f t="shared" si="208"/>
        <v/>
      </c>
      <c r="H7063" s="29"/>
      <c r="I7063" s="25"/>
      <c r="J7063" s="138">
        <v>0</v>
      </c>
    </row>
    <row r="7064" spans="1:10" ht="15.75" hidden="1" thickBot="1" x14ac:dyDescent="0.3">
      <c r="A7064" s="221"/>
      <c r="B7064" s="223"/>
      <c r="C7064" s="159" t="s">
        <v>2653</v>
      </c>
      <c r="D7064" s="41" t="s">
        <v>20</v>
      </c>
      <c r="E7064" s="146">
        <v>1</v>
      </c>
      <c r="F7064" s="25">
        <v>257.04149999999998</v>
      </c>
      <c r="G7064" s="25">
        <f t="shared" si="208"/>
        <v>257.04149999999998</v>
      </c>
      <c r="H7064" s="33">
        <f t="shared" ref="H7064" si="214">SUM(G7064:G7064)</f>
        <v>257.04149999999998</v>
      </c>
      <c r="I7064" s="34"/>
      <c r="J7064" s="138">
        <v>0</v>
      </c>
    </row>
    <row r="7065" spans="1:10" ht="15.75" hidden="1" thickBot="1" x14ac:dyDescent="0.3">
      <c r="A7065" s="227"/>
      <c r="B7065" s="224"/>
      <c r="C7065" s="49"/>
      <c r="D7065" s="49"/>
      <c r="E7065" s="60"/>
      <c r="F7065" s="61" t="s">
        <v>521</v>
      </c>
      <c r="G7065" s="61" t="str">
        <f t="shared" si="208"/>
        <v/>
      </c>
      <c r="H7065" s="63"/>
      <c r="I7065" s="25"/>
      <c r="J7065" s="138">
        <v>0</v>
      </c>
    </row>
    <row r="7066" spans="1:10" ht="15.75" hidden="1" thickBot="1" x14ac:dyDescent="0.3">
      <c r="A7066" s="220" t="s">
        <v>2502</v>
      </c>
      <c r="B7066" s="222" t="e">
        <f>INDEX(Orçamentária!A:B,MATCH(Composições!A7066,Orçamentária!A:A,0),2)</f>
        <v>#N/A</v>
      </c>
      <c r="C7066" s="35"/>
      <c r="D7066" s="20" t="s">
        <v>20</v>
      </c>
      <c r="E7066" s="21"/>
      <c r="F7066" s="36" t="s">
        <v>521</v>
      </c>
      <c r="G7066" s="22" t="str">
        <f t="shared" si="208"/>
        <v/>
      </c>
      <c r="H7066" s="23"/>
      <c r="I7066" s="24"/>
      <c r="J7066" s="138">
        <v>0</v>
      </c>
    </row>
    <row r="7067" spans="1:10" ht="15.75" hidden="1" thickBot="1" x14ac:dyDescent="0.3">
      <c r="A7067" s="221"/>
      <c r="B7067" s="223"/>
      <c r="C7067" s="26"/>
      <c r="D7067" s="26"/>
      <c r="E7067" s="27"/>
      <c r="F7067" s="37" t="s">
        <v>521</v>
      </c>
      <c r="G7067" s="25" t="str">
        <f t="shared" si="208"/>
        <v/>
      </c>
      <c r="H7067" s="29"/>
      <c r="I7067" s="25"/>
      <c r="J7067" s="138">
        <v>0</v>
      </c>
    </row>
    <row r="7068" spans="1:10" ht="15.75" hidden="1" thickBot="1" x14ac:dyDescent="0.3">
      <c r="A7068" s="221"/>
      <c r="B7068" s="223"/>
      <c r="C7068" s="159" t="s">
        <v>2654</v>
      </c>
      <c r="D7068" s="41" t="s">
        <v>20</v>
      </c>
      <c r="E7068" s="146">
        <v>1</v>
      </c>
      <c r="F7068" s="25">
        <v>137.96849999999998</v>
      </c>
      <c r="G7068" s="25">
        <f t="shared" si="208"/>
        <v>137.96849999999998</v>
      </c>
      <c r="H7068" s="33">
        <f t="shared" ref="H7068" si="215">SUM(G7068:G7068)</f>
        <v>137.96849999999998</v>
      </c>
      <c r="I7068" s="34"/>
      <c r="J7068" s="138">
        <v>0</v>
      </c>
    </row>
    <row r="7069" spans="1:10" ht="15.75" hidden="1" thickBot="1" x14ac:dyDescent="0.3">
      <c r="A7069" s="227"/>
      <c r="B7069" s="224"/>
      <c r="C7069" s="49"/>
      <c r="D7069" s="49"/>
      <c r="E7069" s="60"/>
      <c r="F7069" s="61" t="s">
        <v>521</v>
      </c>
      <c r="G7069" s="61" t="str">
        <f t="shared" si="208"/>
        <v/>
      </c>
      <c r="H7069" s="63"/>
      <c r="I7069" s="25"/>
      <c r="J7069" s="138">
        <v>0</v>
      </c>
    </row>
    <row r="7070" spans="1:10" ht="15.75" hidden="1" thickBot="1" x14ac:dyDescent="0.3">
      <c r="A7070" s="220" t="s">
        <v>2503</v>
      </c>
      <c r="B7070" s="222" t="e">
        <f>INDEX(Orçamentária!A:B,MATCH(Composições!A7070,Orçamentária!A:A,0),2)</f>
        <v>#N/A</v>
      </c>
      <c r="C7070" s="35"/>
      <c r="D7070" s="20" t="s">
        <v>20</v>
      </c>
      <c r="E7070" s="21"/>
      <c r="F7070" s="36" t="s">
        <v>521</v>
      </c>
      <c r="G7070" s="22" t="str">
        <f t="shared" si="208"/>
        <v/>
      </c>
      <c r="H7070" s="23"/>
      <c r="I7070" s="24"/>
      <c r="J7070" s="138">
        <v>0</v>
      </c>
    </row>
    <row r="7071" spans="1:10" ht="15.75" hidden="1" thickBot="1" x14ac:dyDescent="0.3">
      <c r="A7071" s="221"/>
      <c r="B7071" s="223"/>
      <c r="C7071" s="26"/>
      <c r="D7071" s="26"/>
      <c r="E7071" s="27"/>
      <c r="F7071" s="37" t="s">
        <v>521</v>
      </c>
      <c r="G7071" s="25" t="str">
        <f t="shared" si="208"/>
        <v/>
      </c>
      <c r="H7071" s="29"/>
      <c r="I7071" s="25"/>
      <c r="J7071" s="138">
        <v>0</v>
      </c>
    </row>
    <row r="7072" spans="1:10" ht="15.75" hidden="1" thickBot="1" x14ac:dyDescent="0.3">
      <c r="A7072" s="221"/>
      <c r="B7072" s="223"/>
      <c r="C7072" s="159" t="s">
        <v>2655</v>
      </c>
      <c r="D7072" s="41" t="s">
        <v>20</v>
      </c>
      <c r="E7072" s="146">
        <v>1</v>
      </c>
      <c r="F7072" s="25">
        <v>406.30549999999999</v>
      </c>
      <c r="G7072" s="25">
        <f t="shared" si="208"/>
        <v>406.30549999999999</v>
      </c>
      <c r="H7072" s="33">
        <f t="shared" ref="H7072" si="216">SUM(G7072:G7072)</f>
        <v>406.30549999999999</v>
      </c>
      <c r="I7072" s="34"/>
      <c r="J7072" s="138">
        <v>0</v>
      </c>
    </row>
    <row r="7073" spans="1:10" ht="15.75" hidden="1" thickBot="1" x14ac:dyDescent="0.3">
      <c r="A7073" s="227"/>
      <c r="B7073" s="224"/>
      <c r="C7073" s="49"/>
      <c r="D7073" s="49"/>
      <c r="E7073" s="60"/>
      <c r="F7073" s="61" t="s">
        <v>521</v>
      </c>
      <c r="G7073" s="61" t="str">
        <f t="shared" si="208"/>
        <v/>
      </c>
      <c r="H7073" s="63"/>
      <c r="I7073" s="25"/>
      <c r="J7073" s="138">
        <v>0</v>
      </c>
    </row>
    <row r="7074" spans="1:10" ht="15.75" hidden="1" thickBot="1" x14ac:dyDescent="0.3">
      <c r="A7074" s="220" t="s">
        <v>2504</v>
      </c>
      <c r="B7074" s="222" t="e">
        <f>INDEX(Orçamentária!A:B,MATCH(Composições!A7074,Orçamentária!A:A,0),2)</f>
        <v>#N/A</v>
      </c>
      <c r="C7074" s="35"/>
      <c r="D7074" s="20" t="s">
        <v>20</v>
      </c>
      <c r="E7074" s="21"/>
      <c r="F7074" s="36" t="s">
        <v>521</v>
      </c>
      <c r="G7074" s="22" t="str">
        <f t="shared" si="208"/>
        <v/>
      </c>
      <c r="H7074" s="23"/>
      <c r="I7074" s="24"/>
      <c r="J7074" s="138">
        <v>0</v>
      </c>
    </row>
    <row r="7075" spans="1:10" ht="15.75" hidden="1" thickBot="1" x14ac:dyDescent="0.3">
      <c r="A7075" s="221"/>
      <c r="B7075" s="223"/>
      <c r="C7075" s="26"/>
      <c r="D7075" s="26"/>
      <c r="E7075" s="27"/>
      <c r="F7075" s="37" t="s">
        <v>521</v>
      </c>
      <c r="G7075" s="25" t="str">
        <f t="shared" si="208"/>
        <v/>
      </c>
      <c r="H7075" s="29"/>
      <c r="I7075" s="25"/>
      <c r="J7075" s="138">
        <v>0</v>
      </c>
    </row>
    <row r="7076" spans="1:10" ht="26.25" hidden="1" thickBot="1" x14ac:dyDescent="0.3">
      <c r="A7076" s="221"/>
      <c r="B7076" s="223"/>
      <c r="C7076" s="159" t="s">
        <v>2601</v>
      </c>
      <c r="D7076" s="41" t="s">
        <v>20</v>
      </c>
      <c r="E7076" s="146">
        <v>1</v>
      </c>
      <c r="F7076" s="25">
        <v>40.612499999999997</v>
      </c>
      <c r="G7076" s="25">
        <f t="shared" si="208"/>
        <v>40.612499999999997</v>
      </c>
      <c r="H7076" s="33">
        <f t="shared" ref="H7076" si="217">SUM(G7076:G7076)</f>
        <v>40.612499999999997</v>
      </c>
      <c r="I7076" s="34"/>
      <c r="J7076" s="138">
        <v>0</v>
      </c>
    </row>
    <row r="7077" spans="1:10" ht="15.75" hidden="1" thickBot="1" x14ac:dyDescent="0.3">
      <c r="A7077" s="227"/>
      <c r="B7077" s="224"/>
      <c r="C7077" s="49"/>
      <c r="D7077" s="49"/>
      <c r="E7077" s="60"/>
      <c r="F7077" s="61" t="s">
        <v>521</v>
      </c>
      <c r="G7077" s="61" t="str">
        <f t="shared" si="208"/>
        <v/>
      </c>
      <c r="H7077" s="63"/>
      <c r="I7077" s="25"/>
      <c r="J7077" s="138">
        <v>0</v>
      </c>
    </row>
    <row r="7078" spans="1:10" ht="15.75" hidden="1" thickBot="1" x14ac:dyDescent="0.3">
      <c r="A7078" s="220" t="s">
        <v>2505</v>
      </c>
      <c r="B7078" s="222" t="e">
        <f>INDEX(Orçamentária!A:B,MATCH(Composições!A7078,Orçamentária!A:A,0),2)</f>
        <v>#N/A</v>
      </c>
      <c r="C7078" s="35"/>
      <c r="D7078" s="20" t="s">
        <v>20</v>
      </c>
      <c r="E7078" s="21"/>
      <c r="F7078" s="36" t="s">
        <v>521</v>
      </c>
      <c r="G7078" s="22" t="str">
        <f t="shared" si="208"/>
        <v/>
      </c>
      <c r="H7078" s="23"/>
      <c r="I7078" s="24"/>
      <c r="J7078" s="138">
        <v>0</v>
      </c>
    </row>
    <row r="7079" spans="1:10" ht="15.75" hidden="1" thickBot="1" x14ac:dyDescent="0.3">
      <c r="A7079" s="221"/>
      <c r="B7079" s="223"/>
      <c r="C7079" s="26"/>
      <c r="D7079" s="26"/>
      <c r="E7079" s="27"/>
      <c r="F7079" s="37" t="s">
        <v>521</v>
      </c>
      <c r="G7079" s="25" t="str">
        <f t="shared" si="208"/>
        <v/>
      </c>
      <c r="H7079" s="29"/>
      <c r="I7079" s="25"/>
      <c r="J7079" s="138">
        <v>0</v>
      </c>
    </row>
    <row r="7080" spans="1:10" ht="15.75" hidden="1" thickBot="1" x14ac:dyDescent="0.3">
      <c r="A7080" s="221"/>
      <c r="B7080" s="223"/>
      <c r="C7080" s="159" t="s">
        <v>2691</v>
      </c>
      <c r="D7080" s="41" t="s">
        <v>20</v>
      </c>
      <c r="E7080" s="146">
        <v>1</v>
      </c>
      <c r="F7080" s="25">
        <v>11.703999999999999</v>
      </c>
      <c r="G7080" s="25">
        <f t="shared" si="208"/>
        <v>11.703999999999999</v>
      </c>
      <c r="H7080" s="33">
        <f t="shared" ref="H7080:H7140" si="218">SUM(G7080:G7080)</f>
        <v>11.703999999999999</v>
      </c>
      <c r="I7080" s="34"/>
      <c r="J7080" s="138">
        <v>0</v>
      </c>
    </row>
    <row r="7081" spans="1:10" ht="15.75" hidden="1" thickBot="1" x14ac:dyDescent="0.3">
      <c r="A7081" s="227"/>
      <c r="B7081" s="224"/>
      <c r="C7081" s="49"/>
      <c r="D7081" s="49"/>
      <c r="E7081" s="60"/>
      <c r="F7081" s="61" t="s">
        <v>521</v>
      </c>
      <c r="G7081" s="61" t="str">
        <f t="shared" si="208"/>
        <v/>
      </c>
      <c r="H7081" s="63"/>
      <c r="I7081" s="25"/>
      <c r="J7081" s="138">
        <v>0</v>
      </c>
    </row>
    <row r="7082" spans="1:10" ht="15.75" hidden="1" thickBot="1" x14ac:dyDescent="0.3">
      <c r="A7082" s="220" t="s">
        <v>2506</v>
      </c>
      <c r="B7082" s="222" t="e">
        <f>INDEX(Orçamentária!A:B,MATCH(Composições!A7082,Orçamentária!A:A,0),2)</f>
        <v>#N/A</v>
      </c>
      <c r="C7082" s="35"/>
      <c r="D7082" s="20" t="s">
        <v>20</v>
      </c>
      <c r="E7082" s="21"/>
      <c r="F7082" s="36" t="s">
        <v>521</v>
      </c>
      <c r="G7082" s="22" t="str">
        <f t="shared" si="208"/>
        <v/>
      </c>
      <c r="H7082" s="23"/>
      <c r="I7082" s="24"/>
      <c r="J7082" s="138">
        <v>0</v>
      </c>
    </row>
    <row r="7083" spans="1:10" ht="15.75" hidden="1" thickBot="1" x14ac:dyDescent="0.3">
      <c r="A7083" s="221"/>
      <c r="B7083" s="223"/>
      <c r="C7083" s="26"/>
      <c r="D7083" s="26"/>
      <c r="E7083" s="27"/>
      <c r="F7083" s="37" t="s">
        <v>521</v>
      </c>
      <c r="G7083" s="25" t="str">
        <f t="shared" si="208"/>
        <v/>
      </c>
      <c r="H7083" s="29"/>
      <c r="I7083" s="25"/>
      <c r="J7083" s="138">
        <v>0</v>
      </c>
    </row>
    <row r="7084" spans="1:10" ht="15.75" hidden="1" thickBot="1" x14ac:dyDescent="0.3">
      <c r="A7084" s="221"/>
      <c r="B7084" s="223"/>
      <c r="C7084" s="159" t="s">
        <v>2692</v>
      </c>
      <c r="D7084" s="41" t="s">
        <v>20</v>
      </c>
      <c r="E7084" s="146">
        <v>1</v>
      </c>
      <c r="F7084" s="25">
        <v>18.515499999999999</v>
      </c>
      <c r="G7084" s="25">
        <f t="shared" si="208"/>
        <v>18.515499999999999</v>
      </c>
      <c r="H7084" s="33">
        <f t="shared" si="218"/>
        <v>18.515499999999999</v>
      </c>
      <c r="I7084" s="34"/>
      <c r="J7084" s="138">
        <v>0</v>
      </c>
    </row>
    <row r="7085" spans="1:10" ht="15.75" hidden="1" thickBot="1" x14ac:dyDescent="0.3">
      <c r="A7085" s="227"/>
      <c r="B7085" s="224"/>
      <c r="C7085" s="49"/>
      <c r="D7085" s="49"/>
      <c r="E7085" s="60"/>
      <c r="F7085" s="61" t="s">
        <v>521</v>
      </c>
      <c r="G7085" s="61" t="str">
        <f t="shared" si="208"/>
        <v/>
      </c>
      <c r="H7085" s="63"/>
      <c r="I7085" s="25"/>
      <c r="J7085" s="138">
        <v>0</v>
      </c>
    </row>
    <row r="7086" spans="1:10" ht="15.75" hidden="1" thickBot="1" x14ac:dyDescent="0.3">
      <c r="A7086" s="220" t="s">
        <v>2507</v>
      </c>
      <c r="B7086" s="222" t="e">
        <f>INDEX(Orçamentária!A:B,MATCH(Composições!A7086,Orçamentária!A:A,0),2)</f>
        <v>#N/A</v>
      </c>
      <c r="C7086" s="35"/>
      <c r="D7086" s="20" t="s">
        <v>20</v>
      </c>
      <c r="E7086" s="21"/>
      <c r="F7086" s="36" t="s">
        <v>521</v>
      </c>
      <c r="G7086" s="22" t="str">
        <f t="shared" si="208"/>
        <v/>
      </c>
      <c r="H7086" s="23"/>
      <c r="I7086" s="24"/>
      <c r="J7086" s="138">
        <v>0</v>
      </c>
    </row>
    <row r="7087" spans="1:10" ht="15.75" hidden="1" thickBot="1" x14ac:dyDescent="0.3">
      <c r="A7087" s="221"/>
      <c r="B7087" s="223"/>
      <c r="C7087" s="26"/>
      <c r="D7087" s="26"/>
      <c r="E7087" s="27"/>
      <c r="F7087" s="37" t="s">
        <v>521</v>
      </c>
      <c r="G7087" s="25" t="str">
        <f t="shared" si="208"/>
        <v/>
      </c>
      <c r="H7087" s="29"/>
      <c r="I7087" s="25"/>
      <c r="J7087" s="138">
        <v>0</v>
      </c>
    </row>
    <row r="7088" spans="1:10" ht="26.25" hidden="1" thickBot="1" x14ac:dyDescent="0.3">
      <c r="A7088" s="221"/>
      <c r="B7088" s="223"/>
      <c r="C7088" s="159" t="s">
        <v>2686</v>
      </c>
      <c r="D7088" s="41" t="s">
        <v>20</v>
      </c>
      <c r="E7088" s="146">
        <v>1</v>
      </c>
      <c r="F7088" s="25">
        <v>68.989000000000004</v>
      </c>
      <c r="G7088" s="25">
        <f t="shared" si="208"/>
        <v>68.989000000000004</v>
      </c>
      <c r="H7088" s="33">
        <f t="shared" si="218"/>
        <v>68.989000000000004</v>
      </c>
      <c r="I7088" s="34"/>
      <c r="J7088" s="138">
        <v>0</v>
      </c>
    </row>
    <row r="7089" spans="1:10" ht="15.75" hidden="1" thickBot="1" x14ac:dyDescent="0.3">
      <c r="A7089" s="227"/>
      <c r="B7089" s="224"/>
      <c r="C7089" s="49"/>
      <c r="D7089" s="49"/>
      <c r="E7089" s="60"/>
      <c r="F7089" s="61" t="s">
        <v>521</v>
      </c>
      <c r="G7089" s="61" t="str">
        <f t="shared" si="208"/>
        <v/>
      </c>
      <c r="H7089" s="63"/>
      <c r="I7089" s="25"/>
      <c r="J7089" s="138">
        <v>0</v>
      </c>
    </row>
    <row r="7090" spans="1:10" ht="15.75" hidden="1" thickBot="1" x14ac:dyDescent="0.3">
      <c r="A7090" s="220" t="s">
        <v>2508</v>
      </c>
      <c r="B7090" s="222" t="e">
        <f>INDEX(Orçamentária!A:B,MATCH(Composições!A7090,Orçamentária!A:A,0),2)</f>
        <v>#N/A</v>
      </c>
      <c r="C7090" s="35"/>
      <c r="D7090" s="20" t="s">
        <v>20</v>
      </c>
      <c r="E7090" s="21"/>
      <c r="F7090" s="36" t="s">
        <v>521</v>
      </c>
      <c r="G7090" s="22" t="str">
        <f t="shared" si="208"/>
        <v/>
      </c>
      <c r="H7090" s="23"/>
      <c r="I7090" s="24"/>
      <c r="J7090" s="138">
        <v>0</v>
      </c>
    </row>
    <row r="7091" spans="1:10" ht="15.75" hidden="1" thickBot="1" x14ac:dyDescent="0.3">
      <c r="A7091" s="221"/>
      <c r="B7091" s="223"/>
      <c r="C7091" s="26"/>
      <c r="D7091" s="26"/>
      <c r="E7091" s="27"/>
      <c r="F7091" s="37" t="s">
        <v>521</v>
      </c>
      <c r="G7091" s="25" t="str">
        <f t="shared" si="208"/>
        <v/>
      </c>
      <c r="H7091" s="29"/>
      <c r="I7091" s="25"/>
      <c r="J7091" s="138">
        <v>0</v>
      </c>
    </row>
    <row r="7092" spans="1:10" ht="26.25" hidden="1" thickBot="1" x14ac:dyDescent="0.3">
      <c r="A7092" s="221"/>
      <c r="B7092" s="223"/>
      <c r="C7092" s="159" t="s">
        <v>2685</v>
      </c>
      <c r="D7092" s="41" t="s">
        <v>20</v>
      </c>
      <c r="E7092" s="146">
        <v>1</v>
      </c>
      <c r="F7092" s="25">
        <v>92.482499999999987</v>
      </c>
      <c r="G7092" s="25">
        <f t="shared" si="208"/>
        <v>92.482499999999987</v>
      </c>
      <c r="H7092" s="33">
        <f t="shared" si="218"/>
        <v>92.482499999999987</v>
      </c>
      <c r="I7092" s="34"/>
      <c r="J7092" s="138">
        <v>0</v>
      </c>
    </row>
    <row r="7093" spans="1:10" ht="15.75" hidden="1" thickBot="1" x14ac:dyDescent="0.3">
      <c r="A7093" s="227"/>
      <c r="B7093" s="224"/>
      <c r="C7093" s="49"/>
      <c r="D7093" s="49"/>
      <c r="E7093" s="60"/>
      <c r="F7093" s="61" t="s">
        <v>521</v>
      </c>
      <c r="G7093" s="61" t="str">
        <f t="shared" si="208"/>
        <v/>
      </c>
      <c r="H7093" s="63"/>
      <c r="I7093" s="25"/>
      <c r="J7093" s="138">
        <v>0</v>
      </c>
    </row>
    <row r="7094" spans="1:10" ht="15.75" hidden="1" thickBot="1" x14ac:dyDescent="0.3">
      <c r="A7094" s="220" t="s">
        <v>2509</v>
      </c>
      <c r="B7094" s="222" t="e">
        <f>INDEX(Orçamentária!A:B,MATCH(Composições!A7094,Orçamentária!A:A,0),2)</f>
        <v>#N/A</v>
      </c>
      <c r="C7094" s="35"/>
      <c r="D7094" s="20" t="s">
        <v>20</v>
      </c>
      <c r="E7094" s="21"/>
      <c r="F7094" s="36" t="s">
        <v>521</v>
      </c>
      <c r="G7094" s="22" t="str">
        <f t="shared" si="208"/>
        <v/>
      </c>
      <c r="H7094" s="23"/>
      <c r="I7094" s="24"/>
      <c r="J7094" s="138">
        <v>0</v>
      </c>
    </row>
    <row r="7095" spans="1:10" ht="15.75" hidden="1" thickBot="1" x14ac:dyDescent="0.3">
      <c r="A7095" s="221"/>
      <c r="B7095" s="223"/>
      <c r="C7095" s="26"/>
      <c r="D7095" s="26"/>
      <c r="E7095" s="27"/>
      <c r="F7095" s="37" t="s">
        <v>521</v>
      </c>
      <c r="G7095" s="25" t="str">
        <f t="shared" si="208"/>
        <v/>
      </c>
      <c r="H7095" s="29"/>
      <c r="I7095" s="25"/>
      <c r="J7095" s="138">
        <v>0</v>
      </c>
    </row>
    <row r="7096" spans="1:10" ht="26.25" hidden="1" thickBot="1" x14ac:dyDescent="0.3">
      <c r="A7096" s="221"/>
      <c r="B7096" s="223"/>
      <c r="C7096" s="159" t="s">
        <v>2688</v>
      </c>
      <c r="D7096" s="41" t="s">
        <v>20</v>
      </c>
      <c r="E7096" s="146">
        <v>1</v>
      </c>
      <c r="F7096" s="25">
        <v>101.441</v>
      </c>
      <c r="G7096" s="25">
        <f t="shared" si="208"/>
        <v>101.441</v>
      </c>
      <c r="H7096" s="33">
        <f t="shared" si="218"/>
        <v>101.441</v>
      </c>
      <c r="I7096" s="34"/>
      <c r="J7096" s="138">
        <v>0</v>
      </c>
    </row>
    <row r="7097" spans="1:10" ht="15.75" hidden="1" thickBot="1" x14ac:dyDescent="0.3">
      <c r="A7097" s="227"/>
      <c r="B7097" s="224"/>
      <c r="C7097" s="49"/>
      <c r="D7097" s="49"/>
      <c r="E7097" s="60"/>
      <c r="F7097" s="61" t="s">
        <v>521</v>
      </c>
      <c r="G7097" s="61" t="str">
        <f t="shared" si="208"/>
        <v/>
      </c>
      <c r="H7097" s="63"/>
      <c r="I7097" s="25"/>
      <c r="J7097" s="138">
        <v>0</v>
      </c>
    </row>
    <row r="7098" spans="1:10" ht="15.75" hidden="1" thickBot="1" x14ac:dyDescent="0.3">
      <c r="A7098" s="220" t="s">
        <v>2510</v>
      </c>
      <c r="B7098" s="222" t="e">
        <f>INDEX(Orçamentária!A:B,MATCH(Composições!A7098,Orçamentária!A:A,0),2)</f>
        <v>#N/A</v>
      </c>
      <c r="C7098" s="35"/>
      <c r="D7098" s="20" t="s">
        <v>20</v>
      </c>
      <c r="E7098" s="21"/>
      <c r="F7098" s="36" t="s">
        <v>521</v>
      </c>
      <c r="G7098" s="22" t="str">
        <f t="shared" si="208"/>
        <v/>
      </c>
      <c r="H7098" s="23"/>
      <c r="I7098" s="24"/>
      <c r="J7098" s="138">
        <v>0</v>
      </c>
    </row>
    <row r="7099" spans="1:10" ht="15.75" hidden="1" thickBot="1" x14ac:dyDescent="0.3">
      <c r="A7099" s="221"/>
      <c r="B7099" s="223"/>
      <c r="C7099" s="26"/>
      <c r="D7099" s="26"/>
      <c r="E7099" s="27"/>
      <c r="F7099" s="37" t="s">
        <v>521</v>
      </c>
      <c r="G7099" s="25" t="str">
        <f t="shared" si="208"/>
        <v/>
      </c>
      <c r="H7099" s="29"/>
      <c r="I7099" s="25"/>
      <c r="J7099" s="138">
        <v>0</v>
      </c>
    </row>
    <row r="7100" spans="1:10" ht="26.25" hidden="1" thickBot="1" x14ac:dyDescent="0.3">
      <c r="A7100" s="221"/>
      <c r="B7100" s="223"/>
      <c r="C7100" s="159" t="s">
        <v>2689</v>
      </c>
      <c r="D7100" s="41" t="s">
        <v>20</v>
      </c>
      <c r="E7100" s="146">
        <v>1</v>
      </c>
      <c r="F7100" s="25">
        <v>260.01499999999999</v>
      </c>
      <c r="G7100" s="25">
        <f t="shared" si="208"/>
        <v>260.01499999999999</v>
      </c>
      <c r="H7100" s="33">
        <f t="shared" si="218"/>
        <v>260.01499999999999</v>
      </c>
      <c r="I7100" s="34"/>
      <c r="J7100" s="138">
        <v>0</v>
      </c>
    </row>
    <row r="7101" spans="1:10" ht="15.75" hidden="1" thickBot="1" x14ac:dyDescent="0.3">
      <c r="A7101" s="227"/>
      <c r="B7101" s="224"/>
      <c r="C7101" s="49"/>
      <c r="D7101" s="49"/>
      <c r="E7101" s="60"/>
      <c r="F7101" s="61" t="s">
        <v>521</v>
      </c>
      <c r="G7101" s="61" t="str">
        <f t="shared" si="208"/>
        <v/>
      </c>
      <c r="H7101" s="63"/>
      <c r="I7101" s="25"/>
      <c r="J7101" s="138">
        <v>0</v>
      </c>
    </row>
    <row r="7102" spans="1:10" ht="15.75" hidden="1" thickBot="1" x14ac:dyDescent="0.3">
      <c r="A7102" s="220" t="s">
        <v>2511</v>
      </c>
      <c r="B7102" s="222" t="e">
        <f>INDEX(Orçamentária!A:B,MATCH(Composições!A7102,Orçamentária!A:A,0),2)</f>
        <v>#N/A</v>
      </c>
      <c r="C7102" s="35"/>
      <c r="D7102" s="20" t="s">
        <v>20</v>
      </c>
      <c r="E7102" s="21"/>
      <c r="F7102" s="36" t="s">
        <v>521</v>
      </c>
      <c r="G7102" s="22" t="str">
        <f t="shared" si="208"/>
        <v/>
      </c>
      <c r="H7102" s="23"/>
      <c r="I7102" s="24"/>
      <c r="J7102" s="138">
        <v>0</v>
      </c>
    </row>
    <row r="7103" spans="1:10" ht="15.75" hidden="1" thickBot="1" x14ac:dyDescent="0.3">
      <c r="A7103" s="221"/>
      <c r="B7103" s="223"/>
      <c r="C7103" s="26"/>
      <c r="D7103" s="26"/>
      <c r="E7103" s="27"/>
      <c r="F7103" s="37" t="s">
        <v>521</v>
      </c>
      <c r="G7103" s="25" t="str">
        <f t="shared" si="208"/>
        <v/>
      </c>
      <c r="H7103" s="29"/>
      <c r="I7103" s="25"/>
      <c r="J7103" s="138">
        <v>0</v>
      </c>
    </row>
    <row r="7104" spans="1:10" ht="26.25" hidden="1" thickBot="1" x14ac:dyDescent="0.3">
      <c r="A7104" s="221"/>
      <c r="B7104" s="223"/>
      <c r="C7104" s="159" t="s">
        <v>2690</v>
      </c>
      <c r="D7104" s="41" t="s">
        <v>20</v>
      </c>
      <c r="E7104" s="146">
        <v>1</v>
      </c>
      <c r="F7104" s="25">
        <v>365.01850000000002</v>
      </c>
      <c r="G7104" s="25">
        <f t="shared" si="208"/>
        <v>365.01850000000002</v>
      </c>
      <c r="H7104" s="33">
        <f t="shared" si="218"/>
        <v>365.01850000000002</v>
      </c>
      <c r="I7104" s="34"/>
      <c r="J7104" s="138">
        <v>0</v>
      </c>
    </row>
    <row r="7105" spans="1:10" ht="15.75" hidden="1" thickBot="1" x14ac:dyDescent="0.3">
      <c r="A7105" s="227"/>
      <c r="B7105" s="224"/>
      <c r="C7105" s="49"/>
      <c r="D7105" s="49"/>
      <c r="E7105" s="60"/>
      <c r="F7105" s="61" t="s">
        <v>521</v>
      </c>
      <c r="G7105" s="61" t="str">
        <f t="shared" si="208"/>
        <v/>
      </c>
      <c r="H7105" s="63"/>
      <c r="I7105" s="25"/>
      <c r="J7105" s="138">
        <v>0</v>
      </c>
    </row>
    <row r="7106" spans="1:10" ht="15.75" hidden="1" thickBot="1" x14ac:dyDescent="0.3">
      <c r="A7106" s="220" t="s">
        <v>2512</v>
      </c>
      <c r="B7106" s="222" t="e">
        <f>INDEX(Orçamentária!A:B,MATCH(Composições!A7106,Orçamentária!A:A,0),2)</f>
        <v>#N/A</v>
      </c>
      <c r="C7106" s="35"/>
      <c r="D7106" s="20" t="s">
        <v>20</v>
      </c>
      <c r="E7106" s="21"/>
      <c r="F7106" s="36" t="s">
        <v>521</v>
      </c>
      <c r="G7106" s="22" t="str">
        <f t="shared" ref="G7106:G7169" si="219">IF(ISNUMBER(F7106),E7106*F7106,"")</f>
        <v/>
      </c>
      <c r="H7106" s="23"/>
      <c r="I7106" s="24"/>
      <c r="J7106" s="138">
        <v>0</v>
      </c>
    </row>
    <row r="7107" spans="1:10" ht="15.75" hidden="1" thickBot="1" x14ac:dyDescent="0.3">
      <c r="A7107" s="221"/>
      <c r="B7107" s="223"/>
      <c r="C7107" s="26"/>
      <c r="D7107" s="26"/>
      <c r="E7107" s="27"/>
      <c r="F7107" s="37" t="s">
        <v>521</v>
      </c>
      <c r="G7107" s="25" t="str">
        <f t="shared" si="219"/>
        <v/>
      </c>
      <c r="H7107" s="29"/>
      <c r="I7107" s="25"/>
      <c r="J7107" s="138">
        <v>0</v>
      </c>
    </row>
    <row r="7108" spans="1:10" ht="26.25" hidden="1" thickBot="1" x14ac:dyDescent="0.3">
      <c r="A7108" s="221"/>
      <c r="B7108" s="223"/>
      <c r="C7108" s="159" t="s">
        <v>1140</v>
      </c>
      <c r="D7108" s="41" t="s">
        <v>20</v>
      </c>
      <c r="E7108" s="146">
        <v>1</v>
      </c>
      <c r="F7108" s="25">
        <v>33.126499999999993</v>
      </c>
      <c r="G7108" s="25">
        <f t="shared" si="219"/>
        <v>33.126499999999993</v>
      </c>
      <c r="H7108" s="33">
        <f t="shared" si="218"/>
        <v>33.126499999999993</v>
      </c>
      <c r="I7108" s="34"/>
      <c r="J7108" s="138">
        <v>0</v>
      </c>
    </row>
    <row r="7109" spans="1:10" ht="15.75" hidden="1" thickBot="1" x14ac:dyDescent="0.3">
      <c r="A7109" s="227"/>
      <c r="B7109" s="224"/>
      <c r="C7109" s="49"/>
      <c r="D7109" s="49"/>
      <c r="E7109" s="60"/>
      <c r="F7109" s="61" t="s">
        <v>521</v>
      </c>
      <c r="G7109" s="61" t="str">
        <f t="shared" si="219"/>
        <v/>
      </c>
      <c r="H7109" s="63"/>
      <c r="I7109" s="25"/>
      <c r="J7109" s="138">
        <v>0</v>
      </c>
    </row>
    <row r="7110" spans="1:10" ht="15.75" hidden="1" thickBot="1" x14ac:dyDescent="0.3">
      <c r="A7110" s="220" t="s">
        <v>2513</v>
      </c>
      <c r="B7110" s="222" t="e">
        <f>INDEX(Orçamentária!A:B,MATCH(Composições!A7110,Orçamentária!A:A,0),2)</f>
        <v>#N/A</v>
      </c>
      <c r="C7110" s="35"/>
      <c r="D7110" s="20" t="s">
        <v>20</v>
      </c>
      <c r="E7110" s="21"/>
      <c r="F7110" s="36" t="s">
        <v>521</v>
      </c>
      <c r="G7110" s="22" t="str">
        <f t="shared" si="219"/>
        <v/>
      </c>
      <c r="H7110" s="23"/>
      <c r="I7110" s="24"/>
      <c r="J7110" s="138">
        <v>0</v>
      </c>
    </row>
    <row r="7111" spans="1:10" ht="15.75" hidden="1" thickBot="1" x14ac:dyDescent="0.3">
      <c r="A7111" s="221"/>
      <c r="B7111" s="223"/>
      <c r="C7111" s="26"/>
      <c r="D7111" s="26"/>
      <c r="E7111" s="27"/>
      <c r="F7111" s="37" t="s">
        <v>521</v>
      </c>
      <c r="G7111" s="25" t="str">
        <f t="shared" si="219"/>
        <v/>
      </c>
      <c r="H7111" s="29"/>
      <c r="I7111" s="25"/>
      <c r="J7111" s="138">
        <v>0</v>
      </c>
    </row>
    <row r="7112" spans="1:10" ht="26.25" hidden="1" thickBot="1" x14ac:dyDescent="0.3">
      <c r="A7112" s="221"/>
      <c r="B7112" s="223"/>
      <c r="C7112" s="159" t="s">
        <v>2687</v>
      </c>
      <c r="D7112" s="41" t="s">
        <v>20</v>
      </c>
      <c r="E7112" s="146">
        <v>1</v>
      </c>
      <c r="F7112" s="25">
        <v>167.83649999999997</v>
      </c>
      <c r="G7112" s="25">
        <f t="shared" si="219"/>
        <v>167.83649999999997</v>
      </c>
      <c r="H7112" s="33">
        <f t="shared" si="218"/>
        <v>167.83649999999997</v>
      </c>
      <c r="I7112" s="34"/>
      <c r="J7112" s="138">
        <v>0</v>
      </c>
    </row>
    <row r="7113" spans="1:10" ht="15.75" hidden="1" thickBot="1" x14ac:dyDescent="0.3">
      <c r="A7113" s="227"/>
      <c r="B7113" s="224"/>
      <c r="C7113" s="49"/>
      <c r="D7113" s="49"/>
      <c r="E7113" s="60"/>
      <c r="F7113" s="61" t="s">
        <v>521</v>
      </c>
      <c r="G7113" s="61" t="str">
        <f t="shared" si="219"/>
        <v/>
      </c>
      <c r="H7113" s="63"/>
      <c r="I7113" s="25"/>
      <c r="J7113" s="138">
        <v>0</v>
      </c>
    </row>
    <row r="7114" spans="1:10" ht="15.75" hidden="1" thickBot="1" x14ac:dyDescent="0.3">
      <c r="A7114" s="220" t="s">
        <v>2514</v>
      </c>
      <c r="B7114" s="222" t="e">
        <f>INDEX(Orçamentária!A:B,MATCH(Composições!A7114,Orçamentária!A:A,0),2)</f>
        <v>#N/A</v>
      </c>
      <c r="C7114" s="35"/>
      <c r="D7114" s="20" t="s">
        <v>20</v>
      </c>
      <c r="E7114" s="21"/>
      <c r="F7114" s="36" t="s">
        <v>521</v>
      </c>
      <c r="G7114" s="22" t="str">
        <f t="shared" si="219"/>
        <v/>
      </c>
      <c r="H7114" s="23"/>
      <c r="I7114" s="24"/>
      <c r="J7114" s="138">
        <v>0</v>
      </c>
    </row>
    <row r="7115" spans="1:10" ht="15.75" hidden="1" thickBot="1" x14ac:dyDescent="0.3">
      <c r="A7115" s="221"/>
      <c r="B7115" s="223"/>
      <c r="C7115" s="26"/>
      <c r="D7115" s="26"/>
      <c r="E7115" s="27"/>
      <c r="F7115" s="37" t="s">
        <v>521</v>
      </c>
      <c r="G7115" s="25" t="str">
        <f t="shared" si="219"/>
        <v/>
      </c>
      <c r="H7115" s="29"/>
      <c r="I7115" s="25"/>
      <c r="J7115" s="138">
        <v>0</v>
      </c>
    </row>
    <row r="7116" spans="1:10" ht="15.75" hidden="1" thickBot="1" x14ac:dyDescent="0.3">
      <c r="A7116" s="221"/>
      <c r="B7116" s="223"/>
      <c r="C7116" s="159" t="s">
        <v>2647</v>
      </c>
      <c r="D7116" s="41" t="s">
        <v>20</v>
      </c>
      <c r="E7116" s="146">
        <v>1</v>
      </c>
      <c r="F7116" s="25">
        <v>41.714499999999994</v>
      </c>
      <c r="G7116" s="25">
        <f t="shared" si="219"/>
        <v>41.714499999999994</v>
      </c>
      <c r="H7116" s="33">
        <f t="shared" si="218"/>
        <v>41.714499999999994</v>
      </c>
      <c r="I7116" s="34"/>
      <c r="J7116" s="138">
        <v>0</v>
      </c>
    </row>
    <row r="7117" spans="1:10" ht="15.75" hidden="1" thickBot="1" x14ac:dyDescent="0.3">
      <c r="A7117" s="227"/>
      <c r="B7117" s="224"/>
      <c r="C7117" s="49"/>
      <c r="D7117" s="49"/>
      <c r="E7117" s="60"/>
      <c r="F7117" s="61" t="s">
        <v>521</v>
      </c>
      <c r="G7117" s="61" t="str">
        <f t="shared" si="219"/>
        <v/>
      </c>
      <c r="H7117" s="63"/>
      <c r="I7117" s="25"/>
      <c r="J7117" s="138">
        <v>0</v>
      </c>
    </row>
    <row r="7118" spans="1:10" ht="15.75" hidden="1" thickBot="1" x14ac:dyDescent="0.3">
      <c r="A7118" s="220" t="s">
        <v>2515</v>
      </c>
      <c r="B7118" s="222" t="e">
        <f>INDEX(Orçamentária!A:B,MATCH(Composições!A7118,Orçamentária!A:A,0),2)</f>
        <v>#N/A</v>
      </c>
      <c r="C7118" s="35"/>
      <c r="D7118" s="20" t="s">
        <v>20</v>
      </c>
      <c r="E7118" s="21"/>
      <c r="F7118" s="36" t="s">
        <v>521</v>
      </c>
      <c r="G7118" s="22" t="str">
        <f t="shared" si="219"/>
        <v/>
      </c>
      <c r="H7118" s="23"/>
      <c r="I7118" s="24"/>
      <c r="J7118" s="138">
        <v>0</v>
      </c>
    </row>
    <row r="7119" spans="1:10" ht="15.75" hidden="1" thickBot="1" x14ac:dyDescent="0.3">
      <c r="A7119" s="221"/>
      <c r="B7119" s="223"/>
      <c r="C7119" s="26"/>
      <c r="D7119" s="26"/>
      <c r="E7119" s="27"/>
      <c r="F7119" s="37" t="s">
        <v>521</v>
      </c>
      <c r="G7119" s="25" t="str">
        <f t="shared" si="219"/>
        <v/>
      </c>
      <c r="H7119" s="29"/>
      <c r="I7119" s="25"/>
      <c r="J7119" s="138">
        <v>0</v>
      </c>
    </row>
    <row r="7120" spans="1:10" ht="15.75" hidden="1" thickBot="1" x14ac:dyDescent="0.3">
      <c r="A7120" s="221"/>
      <c r="B7120" s="223"/>
      <c r="C7120" s="159" t="s">
        <v>2648</v>
      </c>
      <c r="D7120" s="41" t="s">
        <v>20</v>
      </c>
      <c r="E7120" s="146">
        <v>1</v>
      </c>
      <c r="F7120" s="25">
        <v>9.386000000000001</v>
      </c>
      <c r="G7120" s="25">
        <f t="shared" si="219"/>
        <v>9.386000000000001</v>
      </c>
      <c r="H7120" s="33">
        <f t="shared" si="218"/>
        <v>9.386000000000001</v>
      </c>
      <c r="I7120" s="34"/>
      <c r="J7120" s="138">
        <v>0</v>
      </c>
    </row>
    <row r="7121" spans="1:10" ht="15.75" hidden="1" thickBot="1" x14ac:dyDescent="0.3">
      <c r="A7121" s="227"/>
      <c r="B7121" s="224"/>
      <c r="C7121" s="49"/>
      <c r="D7121" s="49"/>
      <c r="E7121" s="60"/>
      <c r="F7121" s="61" t="s">
        <v>521</v>
      </c>
      <c r="G7121" s="61" t="str">
        <f t="shared" si="219"/>
        <v/>
      </c>
      <c r="H7121" s="63"/>
      <c r="I7121" s="25"/>
      <c r="J7121" s="138">
        <v>0</v>
      </c>
    </row>
    <row r="7122" spans="1:10" ht="15.75" hidden="1" thickBot="1" x14ac:dyDescent="0.3">
      <c r="A7122" s="220" t="s">
        <v>2516</v>
      </c>
      <c r="B7122" s="222" t="e">
        <f>INDEX(Orçamentária!A:B,MATCH(Composições!A7122,Orçamentária!A:A,0),2)</f>
        <v>#N/A</v>
      </c>
      <c r="C7122" s="35"/>
      <c r="D7122" s="20" t="s">
        <v>20</v>
      </c>
      <c r="E7122" s="21"/>
      <c r="F7122" s="36" t="s">
        <v>521</v>
      </c>
      <c r="G7122" s="22" t="str">
        <f t="shared" si="219"/>
        <v/>
      </c>
      <c r="H7122" s="23"/>
      <c r="I7122" s="24"/>
      <c r="J7122" s="138">
        <v>0</v>
      </c>
    </row>
    <row r="7123" spans="1:10" ht="15.75" hidden="1" thickBot="1" x14ac:dyDescent="0.3">
      <c r="A7123" s="221"/>
      <c r="B7123" s="223"/>
      <c r="C7123" s="26"/>
      <c r="D7123" s="26"/>
      <c r="E7123" s="27"/>
      <c r="F7123" s="37" t="s">
        <v>521</v>
      </c>
      <c r="G7123" s="25" t="str">
        <f t="shared" si="219"/>
        <v/>
      </c>
      <c r="H7123" s="29"/>
      <c r="I7123" s="25"/>
      <c r="J7123" s="138">
        <v>0</v>
      </c>
    </row>
    <row r="7124" spans="1:10" ht="15.75" hidden="1" thickBot="1" x14ac:dyDescent="0.3">
      <c r="A7124" s="221"/>
      <c r="B7124" s="223"/>
      <c r="C7124" s="159" t="s">
        <v>2649</v>
      </c>
      <c r="D7124" s="41" t="s">
        <v>20</v>
      </c>
      <c r="E7124" s="146">
        <v>1</v>
      </c>
      <c r="F7124" s="25">
        <v>125.45699999999999</v>
      </c>
      <c r="G7124" s="25">
        <f t="shared" si="219"/>
        <v>125.45699999999999</v>
      </c>
      <c r="H7124" s="33">
        <f t="shared" si="218"/>
        <v>125.45699999999999</v>
      </c>
      <c r="I7124" s="34"/>
      <c r="J7124" s="138">
        <v>0</v>
      </c>
    </row>
    <row r="7125" spans="1:10" ht="15.75" hidden="1" thickBot="1" x14ac:dyDescent="0.3">
      <c r="A7125" s="227"/>
      <c r="B7125" s="224"/>
      <c r="C7125" s="49"/>
      <c r="D7125" s="49"/>
      <c r="E7125" s="60"/>
      <c r="F7125" s="61" t="s">
        <v>521</v>
      </c>
      <c r="G7125" s="61" t="str">
        <f t="shared" si="219"/>
        <v/>
      </c>
      <c r="H7125" s="63"/>
      <c r="I7125" s="25"/>
      <c r="J7125" s="138">
        <v>0</v>
      </c>
    </row>
    <row r="7126" spans="1:10" ht="15.75" hidden="1" thickBot="1" x14ac:dyDescent="0.3">
      <c r="A7126" s="220" t="s">
        <v>2517</v>
      </c>
      <c r="B7126" s="222" t="e">
        <f>INDEX(Orçamentária!A:B,MATCH(Composições!A7126,Orçamentária!A:A,0),2)</f>
        <v>#N/A</v>
      </c>
      <c r="C7126" s="35"/>
      <c r="D7126" s="20" t="s">
        <v>20</v>
      </c>
      <c r="E7126" s="21"/>
      <c r="F7126" s="36" t="s">
        <v>521</v>
      </c>
      <c r="G7126" s="22" t="str">
        <f t="shared" si="219"/>
        <v/>
      </c>
      <c r="H7126" s="23"/>
      <c r="I7126" s="24"/>
      <c r="J7126" s="138">
        <v>0</v>
      </c>
    </row>
    <row r="7127" spans="1:10" ht="15.75" hidden="1" thickBot="1" x14ac:dyDescent="0.3">
      <c r="A7127" s="221"/>
      <c r="B7127" s="223"/>
      <c r="C7127" s="26"/>
      <c r="D7127" s="26"/>
      <c r="E7127" s="27"/>
      <c r="F7127" s="37" t="s">
        <v>521</v>
      </c>
      <c r="G7127" s="25" t="str">
        <f t="shared" si="219"/>
        <v/>
      </c>
      <c r="H7127" s="29"/>
      <c r="I7127" s="25"/>
      <c r="J7127" s="138">
        <v>0</v>
      </c>
    </row>
    <row r="7128" spans="1:10" ht="15.75" hidden="1" thickBot="1" x14ac:dyDescent="0.3">
      <c r="A7128" s="221"/>
      <c r="B7128" s="223"/>
      <c r="C7128" s="159" t="s">
        <v>2650</v>
      </c>
      <c r="D7128" s="41" t="s">
        <v>20</v>
      </c>
      <c r="E7128" s="146">
        <v>1</v>
      </c>
      <c r="F7128" s="25">
        <v>66.072499999999991</v>
      </c>
      <c r="G7128" s="25">
        <f t="shared" si="219"/>
        <v>66.072499999999991</v>
      </c>
      <c r="H7128" s="33">
        <f t="shared" si="218"/>
        <v>66.072499999999991</v>
      </c>
      <c r="I7128" s="34"/>
      <c r="J7128" s="138">
        <v>0</v>
      </c>
    </row>
    <row r="7129" spans="1:10" ht="15.75" hidden="1" thickBot="1" x14ac:dyDescent="0.3">
      <c r="A7129" s="227"/>
      <c r="B7129" s="224"/>
      <c r="C7129" s="49"/>
      <c r="D7129" s="49"/>
      <c r="E7129" s="60"/>
      <c r="F7129" s="61" t="s">
        <v>521</v>
      </c>
      <c r="G7129" s="61" t="str">
        <f t="shared" si="219"/>
        <v/>
      </c>
      <c r="H7129" s="63"/>
      <c r="I7129" s="25"/>
      <c r="J7129" s="138">
        <v>0</v>
      </c>
    </row>
    <row r="7130" spans="1:10" ht="15.75" hidden="1" thickBot="1" x14ac:dyDescent="0.3">
      <c r="A7130" s="220" t="s">
        <v>2518</v>
      </c>
      <c r="B7130" s="222" t="e">
        <f>INDEX(Orçamentária!A:B,MATCH(Composições!A7130,Orçamentária!A:A,0),2)</f>
        <v>#N/A</v>
      </c>
      <c r="C7130" s="35"/>
      <c r="D7130" s="20" t="s">
        <v>20</v>
      </c>
      <c r="E7130" s="21"/>
      <c r="F7130" s="36" t="s">
        <v>521</v>
      </c>
      <c r="G7130" s="22" t="str">
        <f t="shared" si="219"/>
        <v/>
      </c>
      <c r="H7130" s="23"/>
      <c r="I7130" s="24"/>
      <c r="J7130" s="138">
        <v>0</v>
      </c>
    </row>
    <row r="7131" spans="1:10" ht="15.75" hidden="1" thickBot="1" x14ac:dyDescent="0.3">
      <c r="A7131" s="221"/>
      <c r="B7131" s="223"/>
      <c r="C7131" s="26"/>
      <c r="D7131" s="26"/>
      <c r="E7131" s="27"/>
      <c r="F7131" s="37" t="s">
        <v>521</v>
      </c>
      <c r="G7131" s="25" t="str">
        <f t="shared" si="219"/>
        <v/>
      </c>
      <c r="H7131" s="29"/>
      <c r="I7131" s="25"/>
      <c r="J7131" s="138">
        <v>0</v>
      </c>
    </row>
    <row r="7132" spans="1:10" ht="26.25" hidden="1" thickBot="1" x14ac:dyDescent="0.3">
      <c r="A7132" s="221"/>
      <c r="B7132" s="223"/>
      <c r="C7132" s="159" t="s">
        <v>2651</v>
      </c>
      <c r="D7132" s="41" t="s">
        <v>20</v>
      </c>
      <c r="E7132" s="146">
        <v>1</v>
      </c>
      <c r="F7132" s="25">
        <v>73.140499999999989</v>
      </c>
      <c r="G7132" s="25">
        <f t="shared" si="219"/>
        <v>73.140499999999989</v>
      </c>
      <c r="H7132" s="33">
        <f t="shared" si="218"/>
        <v>73.140499999999989</v>
      </c>
      <c r="I7132" s="34"/>
      <c r="J7132" s="138">
        <v>0</v>
      </c>
    </row>
    <row r="7133" spans="1:10" ht="15.75" hidden="1" thickBot="1" x14ac:dyDescent="0.3">
      <c r="A7133" s="227"/>
      <c r="B7133" s="224"/>
      <c r="C7133" s="49"/>
      <c r="D7133" s="49"/>
      <c r="E7133" s="60"/>
      <c r="F7133" s="61" t="s">
        <v>521</v>
      </c>
      <c r="G7133" s="61" t="str">
        <f t="shared" si="219"/>
        <v/>
      </c>
      <c r="H7133" s="63"/>
      <c r="I7133" s="25"/>
      <c r="J7133" s="138">
        <v>0</v>
      </c>
    </row>
    <row r="7134" spans="1:10" ht="15.75" hidden="1" thickBot="1" x14ac:dyDescent="0.3">
      <c r="A7134" s="220" t="s">
        <v>2519</v>
      </c>
      <c r="B7134" s="222" t="e">
        <f>INDEX(Orçamentária!A:B,MATCH(Composições!A7134,Orçamentária!A:A,0),2)</f>
        <v>#N/A</v>
      </c>
      <c r="C7134" s="35"/>
      <c r="D7134" s="20" t="s">
        <v>20</v>
      </c>
      <c r="E7134" s="21"/>
      <c r="F7134" s="36" t="s">
        <v>521</v>
      </c>
      <c r="G7134" s="22" t="str">
        <f t="shared" si="219"/>
        <v/>
      </c>
      <c r="H7134" s="23"/>
      <c r="I7134" s="24"/>
      <c r="J7134" s="138">
        <v>0</v>
      </c>
    </row>
    <row r="7135" spans="1:10" ht="15.75" hidden="1" thickBot="1" x14ac:dyDescent="0.3">
      <c r="A7135" s="221"/>
      <c r="B7135" s="223"/>
      <c r="C7135" s="26"/>
      <c r="D7135" s="26"/>
      <c r="E7135" s="27"/>
      <c r="F7135" s="37" t="s">
        <v>521</v>
      </c>
      <c r="G7135" s="25" t="str">
        <f t="shared" si="219"/>
        <v/>
      </c>
      <c r="H7135" s="29"/>
      <c r="I7135" s="25"/>
      <c r="J7135" s="138">
        <v>0</v>
      </c>
    </row>
    <row r="7136" spans="1:10" ht="26.25" hidden="1" thickBot="1" x14ac:dyDescent="0.3">
      <c r="A7136" s="221"/>
      <c r="B7136" s="223"/>
      <c r="C7136" s="159" t="s">
        <v>2644</v>
      </c>
      <c r="D7136" s="41" t="s">
        <v>20</v>
      </c>
      <c r="E7136" s="146">
        <v>1</v>
      </c>
      <c r="F7136" s="25">
        <v>4.5979999999999999</v>
      </c>
      <c r="G7136" s="25">
        <f t="shared" si="219"/>
        <v>4.5979999999999999</v>
      </c>
      <c r="H7136" s="33">
        <f t="shared" si="218"/>
        <v>4.5979999999999999</v>
      </c>
      <c r="I7136" s="34"/>
      <c r="J7136" s="138">
        <v>0</v>
      </c>
    </row>
    <row r="7137" spans="1:10" ht="15.75" hidden="1" thickBot="1" x14ac:dyDescent="0.3">
      <c r="A7137" s="227"/>
      <c r="B7137" s="224"/>
      <c r="C7137" s="49"/>
      <c r="D7137" s="49"/>
      <c r="E7137" s="60"/>
      <c r="F7137" s="61" t="s">
        <v>521</v>
      </c>
      <c r="G7137" s="61" t="str">
        <f t="shared" si="219"/>
        <v/>
      </c>
      <c r="H7137" s="63"/>
      <c r="I7137" s="25"/>
      <c r="J7137" s="138">
        <v>0</v>
      </c>
    </row>
    <row r="7138" spans="1:10" ht="15.75" hidden="1" thickBot="1" x14ac:dyDescent="0.3">
      <c r="A7138" s="220" t="s">
        <v>2520</v>
      </c>
      <c r="B7138" s="222" t="e">
        <f>INDEX(Orçamentária!A:B,MATCH(Composições!A7138,Orçamentária!A:A,0),2)</f>
        <v>#N/A</v>
      </c>
      <c r="C7138" s="35"/>
      <c r="D7138" s="20" t="s">
        <v>20</v>
      </c>
      <c r="E7138" s="21"/>
      <c r="F7138" s="36" t="s">
        <v>521</v>
      </c>
      <c r="G7138" s="22" t="str">
        <f t="shared" si="219"/>
        <v/>
      </c>
      <c r="H7138" s="23"/>
      <c r="I7138" s="24"/>
      <c r="J7138" s="138">
        <v>0</v>
      </c>
    </row>
    <row r="7139" spans="1:10" ht="15.75" hidden="1" thickBot="1" x14ac:dyDescent="0.3">
      <c r="A7139" s="221"/>
      <c r="B7139" s="223"/>
      <c r="C7139" s="26"/>
      <c r="D7139" s="26"/>
      <c r="E7139" s="27"/>
      <c r="F7139" s="37" t="s">
        <v>521</v>
      </c>
      <c r="G7139" s="25" t="str">
        <f t="shared" si="219"/>
        <v/>
      </c>
      <c r="H7139" s="29"/>
      <c r="I7139" s="25"/>
      <c r="J7139" s="138">
        <v>0</v>
      </c>
    </row>
    <row r="7140" spans="1:10" ht="26.25" hidden="1" thickBot="1" x14ac:dyDescent="0.3">
      <c r="A7140" s="221"/>
      <c r="B7140" s="223"/>
      <c r="C7140" s="159" t="s">
        <v>2645</v>
      </c>
      <c r="D7140" s="41" t="s">
        <v>20</v>
      </c>
      <c r="E7140" s="146">
        <v>1</v>
      </c>
      <c r="F7140" s="25">
        <v>8.4834999999999994</v>
      </c>
      <c r="G7140" s="25">
        <f t="shared" si="219"/>
        <v>8.4834999999999994</v>
      </c>
      <c r="H7140" s="33">
        <f t="shared" si="218"/>
        <v>8.4834999999999994</v>
      </c>
      <c r="I7140" s="34"/>
      <c r="J7140" s="138">
        <v>0</v>
      </c>
    </row>
    <row r="7141" spans="1:10" ht="15.75" hidden="1" thickBot="1" x14ac:dyDescent="0.3">
      <c r="A7141" s="227"/>
      <c r="B7141" s="224"/>
      <c r="C7141" s="49"/>
      <c r="D7141" s="49"/>
      <c r="E7141" s="60"/>
      <c r="F7141" s="61" t="s">
        <v>521</v>
      </c>
      <c r="G7141" s="61" t="str">
        <f t="shared" si="219"/>
        <v/>
      </c>
      <c r="H7141" s="63"/>
      <c r="I7141" s="25"/>
      <c r="J7141" s="138">
        <v>0</v>
      </c>
    </row>
    <row r="7142" spans="1:10" ht="15.75" hidden="1" thickBot="1" x14ac:dyDescent="0.3">
      <c r="A7142" s="220" t="s">
        <v>2521</v>
      </c>
      <c r="B7142" s="222" t="e">
        <f>INDEX(Orçamentária!A:B,MATCH(Composições!A7142,Orçamentária!A:A,0),2)</f>
        <v>#N/A</v>
      </c>
      <c r="C7142" s="35"/>
      <c r="D7142" s="20" t="s">
        <v>20</v>
      </c>
      <c r="E7142" s="21"/>
      <c r="F7142" s="36" t="s">
        <v>521</v>
      </c>
      <c r="G7142" s="22" t="str">
        <f t="shared" si="219"/>
        <v/>
      </c>
      <c r="H7142" s="23"/>
      <c r="I7142" s="24"/>
      <c r="J7142" s="138">
        <v>0</v>
      </c>
    </row>
    <row r="7143" spans="1:10" ht="15.75" hidden="1" thickBot="1" x14ac:dyDescent="0.3">
      <c r="A7143" s="221"/>
      <c r="B7143" s="223"/>
      <c r="C7143" s="26"/>
      <c r="D7143" s="26"/>
      <c r="E7143" s="27"/>
      <c r="F7143" s="37" t="s">
        <v>521</v>
      </c>
      <c r="G7143" s="25" t="str">
        <f t="shared" si="219"/>
        <v/>
      </c>
      <c r="H7143" s="29"/>
      <c r="I7143" s="25"/>
      <c r="J7143" s="138">
        <v>0</v>
      </c>
    </row>
    <row r="7144" spans="1:10" ht="15.75" hidden="1" thickBot="1" x14ac:dyDescent="0.3">
      <c r="A7144" s="221"/>
      <c r="B7144" s="223"/>
      <c r="C7144" s="159" t="s">
        <v>2602</v>
      </c>
      <c r="D7144" s="41" t="s">
        <v>20</v>
      </c>
      <c r="E7144" s="146">
        <v>1</v>
      </c>
      <c r="F7144" s="25">
        <v>2.1849999999999996</v>
      </c>
      <c r="G7144" s="25">
        <f t="shared" si="219"/>
        <v>2.1849999999999996</v>
      </c>
      <c r="H7144" s="33">
        <f t="shared" ref="H7144:H7240" si="220">SUM(G7144:G7144)</f>
        <v>2.1849999999999996</v>
      </c>
      <c r="I7144" s="34"/>
      <c r="J7144" s="138">
        <v>0</v>
      </c>
    </row>
    <row r="7145" spans="1:10" ht="15.75" hidden="1" thickBot="1" x14ac:dyDescent="0.3">
      <c r="A7145" s="227"/>
      <c r="B7145" s="224"/>
      <c r="C7145" s="49"/>
      <c r="D7145" s="49"/>
      <c r="E7145" s="60"/>
      <c r="F7145" s="61" t="s">
        <v>521</v>
      </c>
      <c r="G7145" s="61" t="str">
        <f t="shared" si="219"/>
        <v/>
      </c>
      <c r="H7145" s="63"/>
      <c r="I7145" s="25"/>
      <c r="J7145" s="138">
        <v>0</v>
      </c>
    </row>
    <row r="7146" spans="1:10" ht="15.75" hidden="1" thickBot="1" x14ac:dyDescent="0.3">
      <c r="A7146" s="220" t="s">
        <v>2522</v>
      </c>
      <c r="B7146" s="222" t="e">
        <f>INDEX(Orçamentária!A:B,MATCH(Composições!A7146,Orçamentária!A:A,0),2)</f>
        <v>#N/A</v>
      </c>
      <c r="C7146" s="35"/>
      <c r="D7146" s="20" t="s">
        <v>20</v>
      </c>
      <c r="E7146" s="21"/>
      <c r="F7146" s="36" t="s">
        <v>521</v>
      </c>
      <c r="G7146" s="22" t="str">
        <f t="shared" si="219"/>
        <v/>
      </c>
      <c r="H7146" s="23"/>
      <c r="I7146" s="24"/>
      <c r="J7146" s="138">
        <v>0</v>
      </c>
    </row>
    <row r="7147" spans="1:10" ht="15.75" hidden="1" thickBot="1" x14ac:dyDescent="0.3">
      <c r="A7147" s="221"/>
      <c r="B7147" s="223"/>
      <c r="C7147" s="26"/>
      <c r="D7147" s="26"/>
      <c r="E7147" s="27"/>
      <c r="F7147" s="37" t="s">
        <v>521</v>
      </c>
      <c r="G7147" s="25" t="str">
        <f t="shared" si="219"/>
        <v/>
      </c>
      <c r="H7147" s="29"/>
      <c r="I7147" s="25"/>
      <c r="J7147" s="138">
        <v>0</v>
      </c>
    </row>
    <row r="7148" spans="1:10" ht="15.75" hidden="1" thickBot="1" x14ac:dyDescent="0.3">
      <c r="A7148" s="221"/>
      <c r="B7148" s="223"/>
      <c r="C7148" s="159" t="s">
        <v>2603</v>
      </c>
      <c r="D7148" s="41" t="s">
        <v>20</v>
      </c>
      <c r="E7148" s="146">
        <v>1</v>
      </c>
      <c r="F7148" s="25">
        <v>4.4364999999999997</v>
      </c>
      <c r="G7148" s="25">
        <f t="shared" si="219"/>
        <v>4.4364999999999997</v>
      </c>
      <c r="H7148" s="33">
        <f t="shared" si="220"/>
        <v>4.4364999999999997</v>
      </c>
      <c r="I7148" s="34"/>
      <c r="J7148" s="138">
        <v>0</v>
      </c>
    </row>
    <row r="7149" spans="1:10" ht="15.75" hidden="1" thickBot="1" x14ac:dyDescent="0.3">
      <c r="A7149" s="227"/>
      <c r="B7149" s="224"/>
      <c r="C7149" s="49"/>
      <c r="D7149" s="49"/>
      <c r="E7149" s="60"/>
      <c r="F7149" s="61" t="s">
        <v>521</v>
      </c>
      <c r="G7149" s="61" t="str">
        <f t="shared" si="219"/>
        <v/>
      </c>
      <c r="H7149" s="63"/>
      <c r="I7149" s="25"/>
      <c r="J7149" s="138">
        <v>0</v>
      </c>
    </row>
    <row r="7150" spans="1:10" ht="15.75" hidden="1" thickBot="1" x14ac:dyDescent="0.3">
      <c r="A7150" s="220" t="s">
        <v>2523</v>
      </c>
      <c r="B7150" s="222" t="e">
        <f>INDEX(Orçamentária!A:B,MATCH(Composições!A7150,Orçamentária!A:A,0),2)</f>
        <v>#N/A</v>
      </c>
      <c r="C7150" s="35"/>
      <c r="D7150" s="20" t="s">
        <v>20</v>
      </c>
      <c r="E7150" s="21"/>
      <c r="F7150" s="36" t="s">
        <v>521</v>
      </c>
      <c r="G7150" s="22" t="str">
        <f t="shared" si="219"/>
        <v/>
      </c>
      <c r="H7150" s="23"/>
      <c r="I7150" s="24"/>
      <c r="J7150" s="138">
        <v>0</v>
      </c>
    </row>
    <row r="7151" spans="1:10" ht="15.75" hidden="1" thickBot="1" x14ac:dyDescent="0.3">
      <c r="A7151" s="221"/>
      <c r="B7151" s="223"/>
      <c r="C7151" s="26"/>
      <c r="D7151" s="26"/>
      <c r="E7151" s="27"/>
      <c r="F7151" s="37" t="s">
        <v>521</v>
      </c>
      <c r="G7151" s="25" t="str">
        <f t="shared" si="219"/>
        <v/>
      </c>
      <c r="H7151" s="29"/>
      <c r="I7151" s="25"/>
      <c r="J7151" s="138">
        <v>0</v>
      </c>
    </row>
    <row r="7152" spans="1:10" ht="15.75" hidden="1" thickBot="1" x14ac:dyDescent="0.3">
      <c r="A7152" s="221"/>
      <c r="B7152" s="223"/>
      <c r="C7152" s="159" t="s">
        <v>2732</v>
      </c>
      <c r="D7152" s="41" t="s">
        <v>20</v>
      </c>
      <c r="E7152" s="146">
        <v>1</v>
      </c>
      <c r="F7152" s="25">
        <v>8.9014999999999986</v>
      </c>
      <c r="G7152" s="25">
        <f t="shared" si="219"/>
        <v>8.9014999999999986</v>
      </c>
      <c r="H7152" s="33">
        <f t="shared" si="220"/>
        <v>8.9014999999999986</v>
      </c>
      <c r="I7152" s="34"/>
      <c r="J7152" s="138">
        <v>0</v>
      </c>
    </row>
    <row r="7153" spans="1:10" ht="15.75" hidden="1" thickBot="1" x14ac:dyDescent="0.3">
      <c r="A7153" s="227"/>
      <c r="B7153" s="224"/>
      <c r="C7153" s="49"/>
      <c r="D7153" s="49"/>
      <c r="E7153" s="60"/>
      <c r="F7153" s="61" t="s">
        <v>521</v>
      </c>
      <c r="G7153" s="61" t="str">
        <f t="shared" si="219"/>
        <v/>
      </c>
      <c r="H7153" s="63"/>
      <c r="I7153" s="25"/>
      <c r="J7153" s="138">
        <v>0</v>
      </c>
    </row>
    <row r="7154" spans="1:10" ht="15.75" hidden="1" thickBot="1" x14ac:dyDescent="0.3">
      <c r="A7154" s="220" t="s">
        <v>2524</v>
      </c>
      <c r="B7154" s="222" t="e">
        <f>INDEX(Orçamentária!A:B,MATCH(Composições!A7154,Orçamentária!A:A,0),2)</f>
        <v>#N/A</v>
      </c>
      <c r="C7154" s="35"/>
      <c r="D7154" s="20" t="s">
        <v>20</v>
      </c>
      <c r="E7154" s="21"/>
      <c r="F7154" s="36" t="s">
        <v>521</v>
      </c>
      <c r="G7154" s="22" t="str">
        <f t="shared" si="219"/>
        <v/>
      </c>
      <c r="H7154" s="23"/>
      <c r="I7154" s="24"/>
      <c r="J7154" s="138">
        <v>0</v>
      </c>
    </row>
    <row r="7155" spans="1:10" ht="15.75" hidden="1" thickBot="1" x14ac:dyDescent="0.3">
      <c r="A7155" s="221"/>
      <c r="B7155" s="223"/>
      <c r="C7155" s="26"/>
      <c r="D7155" s="26"/>
      <c r="E7155" s="27"/>
      <c r="F7155" s="37" t="s">
        <v>521</v>
      </c>
      <c r="G7155" s="25" t="str">
        <f t="shared" si="219"/>
        <v/>
      </c>
      <c r="H7155" s="29"/>
      <c r="I7155" s="25"/>
      <c r="J7155" s="138">
        <v>0</v>
      </c>
    </row>
    <row r="7156" spans="1:10" ht="15.75" hidden="1" thickBot="1" x14ac:dyDescent="0.3">
      <c r="A7156" s="221"/>
      <c r="B7156" s="223"/>
      <c r="C7156" s="159" t="s">
        <v>2733</v>
      </c>
      <c r="D7156" s="41" t="s">
        <v>20</v>
      </c>
      <c r="E7156" s="146">
        <v>1</v>
      </c>
      <c r="F7156" s="25">
        <v>17.964500000000001</v>
      </c>
      <c r="G7156" s="25">
        <f t="shared" si="219"/>
        <v>17.964500000000001</v>
      </c>
      <c r="H7156" s="33">
        <f t="shared" si="220"/>
        <v>17.964500000000001</v>
      </c>
      <c r="I7156" s="34"/>
      <c r="J7156" s="138">
        <v>0</v>
      </c>
    </row>
    <row r="7157" spans="1:10" ht="15.75" hidden="1" thickBot="1" x14ac:dyDescent="0.3">
      <c r="A7157" s="227"/>
      <c r="B7157" s="224"/>
      <c r="C7157" s="49"/>
      <c r="D7157" s="49"/>
      <c r="E7157" s="60"/>
      <c r="F7157" s="61" t="s">
        <v>521</v>
      </c>
      <c r="G7157" s="61" t="str">
        <f t="shared" si="219"/>
        <v/>
      </c>
      <c r="H7157" s="63"/>
      <c r="I7157" s="25"/>
      <c r="J7157" s="138">
        <v>0</v>
      </c>
    </row>
    <row r="7158" spans="1:10" ht="15.75" hidden="1" thickBot="1" x14ac:dyDescent="0.3">
      <c r="A7158" s="220" t="s">
        <v>2525</v>
      </c>
      <c r="B7158" s="222" t="e">
        <f>INDEX(Orçamentária!A:B,MATCH(Composições!A7158,Orçamentária!A:A,0),2)</f>
        <v>#N/A</v>
      </c>
      <c r="C7158" s="35"/>
      <c r="D7158" s="20" t="s">
        <v>20</v>
      </c>
      <c r="E7158" s="21"/>
      <c r="F7158" s="36" t="s">
        <v>521</v>
      </c>
      <c r="G7158" s="22" t="str">
        <f t="shared" si="219"/>
        <v/>
      </c>
      <c r="H7158" s="23"/>
      <c r="I7158" s="24"/>
      <c r="J7158" s="138">
        <v>0</v>
      </c>
    </row>
    <row r="7159" spans="1:10" ht="15.75" hidden="1" thickBot="1" x14ac:dyDescent="0.3">
      <c r="A7159" s="221"/>
      <c r="B7159" s="223"/>
      <c r="C7159" s="26"/>
      <c r="D7159" s="26"/>
      <c r="E7159" s="27"/>
      <c r="F7159" s="37" t="s">
        <v>521</v>
      </c>
      <c r="G7159" s="25" t="str">
        <f t="shared" si="219"/>
        <v/>
      </c>
      <c r="H7159" s="29"/>
      <c r="I7159" s="25"/>
      <c r="J7159" s="138">
        <v>0</v>
      </c>
    </row>
    <row r="7160" spans="1:10" ht="15.75" hidden="1" thickBot="1" x14ac:dyDescent="0.3">
      <c r="A7160" s="221"/>
      <c r="B7160" s="223"/>
      <c r="C7160" s="159" t="s">
        <v>2606</v>
      </c>
      <c r="D7160" s="41" t="s">
        <v>20</v>
      </c>
      <c r="E7160" s="146">
        <v>1</v>
      </c>
      <c r="F7160" s="25">
        <v>14.554</v>
      </c>
      <c r="G7160" s="25">
        <f t="shared" si="219"/>
        <v>14.554</v>
      </c>
      <c r="H7160" s="33">
        <f t="shared" si="220"/>
        <v>14.554</v>
      </c>
      <c r="I7160" s="34"/>
      <c r="J7160" s="138">
        <v>0</v>
      </c>
    </row>
    <row r="7161" spans="1:10" ht="15.75" hidden="1" thickBot="1" x14ac:dyDescent="0.3">
      <c r="A7161" s="227"/>
      <c r="B7161" s="224"/>
      <c r="C7161" s="49"/>
      <c r="D7161" s="49"/>
      <c r="E7161" s="60"/>
      <c r="F7161" s="61" t="s">
        <v>521</v>
      </c>
      <c r="G7161" s="61" t="str">
        <f t="shared" si="219"/>
        <v/>
      </c>
      <c r="H7161" s="63"/>
      <c r="I7161" s="25"/>
      <c r="J7161" s="138">
        <v>0</v>
      </c>
    </row>
    <row r="7162" spans="1:10" ht="15.75" hidden="1" thickBot="1" x14ac:dyDescent="0.3">
      <c r="A7162" s="220" t="s">
        <v>2526</v>
      </c>
      <c r="B7162" s="222" t="e">
        <f>INDEX(Orçamentária!A:B,MATCH(Composições!A7162,Orçamentária!A:A,0),2)</f>
        <v>#N/A</v>
      </c>
      <c r="C7162" s="35"/>
      <c r="D7162" s="20" t="s">
        <v>20</v>
      </c>
      <c r="E7162" s="21"/>
      <c r="F7162" s="36" t="s">
        <v>521</v>
      </c>
      <c r="G7162" s="22" t="str">
        <f t="shared" si="219"/>
        <v/>
      </c>
      <c r="H7162" s="23"/>
      <c r="I7162" s="24"/>
      <c r="J7162" s="138">
        <v>0</v>
      </c>
    </row>
    <row r="7163" spans="1:10" ht="15.75" hidden="1" thickBot="1" x14ac:dyDescent="0.3">
      <c r="A7163" s="221"/>
      <c r="B7163" s="223"/>
      <c r="C7163" s="26"/>
      <c r="D7163" s="26"/>
      <c r="E7163" s="27"/>
      <c r="F7163" s="37" t="s">
        <v>521</v>
      </c>
      <c r="G7163" s="25" t="str">
        <f t="shared" si="219"/>
        <v/>
      </c>
      <c r="H7163" s="29"/>
      <c r="I7163" s="25"/>
      <c r="J7163" s="138">
        <v>0</v>
      </c>
    </row>
    <row r="7164" spans="1:10" ht="15.75" hidden="1" thickBot="1" x14ac:dyDescent="0.3">
      <c r="A7164" s="221"/>
      <c r="B7164" s="223"/>
      <c r="C7164" s="159" t="s">
        <v>2734</v>
      </c>
      <c r="D7164" s="41" t="s">
        <v>20</v>
      </c>
      <c r="E7164" s="146">
        <v>1</v>
      </c>
      <c r="F7164" s="25">
        <v>94.287499999999994</v>
      </c>
      <c r="G7164" s="25">
        <f t="shared" si="219"/>
        <v>94.287499999999994</v>
      </c>
      <c r="H7164" s="33">
        <f t="shared" si="220"/>
        <v>94.287499999999994</v>
      </c>
      <c r="I7164" s="34"/>
      <c r="J7164" s="138">
        <v>0</v>
      </c>
    </row>
    <row r="7165" spans="1:10" ht="15.75" hidden="1" thickBot="1" x14ac:dyDescent="0.3">
      <c r="A7165" s="227"/>
      <c r="B7165" s="224"/>
      <c r="C7165" s="49"/>
      <c r="D7165" s="49"/>
      <c r="E7165" s="60"/>
      <c r="F7165" s="61" t="s">
        <v>521</v>
      </c>
      <c r="G7165" s="61" t="str">
        <f t="shared" si="219"/>
        <v/>
      </c>
      <c r="H7165" s="63"/>
      <c r="I7165" s="25"/>
      <c r="J7165" s="138">
        <v>0</v>
      </c>
    </row>
    <row r="7166" spans="1:10" ht="15.75" hidden="1" thickBot="1" x14ac:dyDescent="0.3">
      <c r="A7166" s="220" t="s">
        <v>2527</v>
      </c>
      <c r="B7166" s="222" t="e">
        <f>INDEX(Orçamentária!A:B,MATCH(Composições!A7166,Orçamentária!A:A,0),2)</f>
        <v>#N/A</v>
      </c>
      <c r="C7166" s="35"/>
      <c r="D7166" s="20" t="s">
        <v>20</v>
      </c>
      <c r="E7166" s="21"/>
      <c r="F7166" s="36" t="s">
        <v>521</v>
      </c>
      <c r="G7166" s="22" t="str">
        <f t="shared" si="219"/>
        <v/>
      </c>
      <c r="H7166" s="23"/>
      <c r="I7166" s="24"/>
      <c r="J7166" s="138">
        <v>0</v>
      </c>
    </row>
    <row r="7167" spans="1:10" ht="15.75" hidden="1" thickBot="1" x14ac:dyDescent="0.3">
      <c r="A7167" s="221"/>
      <c r="B7167" s="223"/>
      <c r="C7167" s="26"/>
      <c r="D7167" s="26"/>
      <c r="E7167" s="27"/>
      <c r="F7167" s="37" t="s">
        <v>521</v>
      </c>
      <c r="G7167" s="25" t="str">
        <f t="shared" si="219"/>
        <v/>
      </c>
      <c r="H7167" s="29"/>
      <c r="I7167" s="25"/>
      <c r="J7167" s="138">
        <v>0</v>
      </c>
    </row>
    <row r="7168" spans="1:10" ht="15.75" hidden="1" thickBot="1" x14ac:dyDescent="0.3">
      <c r="A7168" s="221"/>
      <c r="B7168" s="223"/>
      <c r="C7168" s="159" t="s">
        <v>2735</v>
      </c>
      <c r="D7168" s="41" t="s">
        <v>20</v>
      </c>
      <c r="E7168" s="146">
        <v>1</v>
      </c>
      <c r="F7168" s="25">
        <v>292.5335</v>
      </c>
      <c r="G7168" s="25">
        <f t="shared" si="219"/>
        <v>292.5335</v>
      </c>
      <c r="H7168" s="33">
        <f t="shared" si="220"/>
        <v>292.5335</v>
      </c>
      <c r="I7168" s="34"/>
      <c r="J7168" s="138">
        <v>0</v>
      </c>
    </row>
    <row r="7169" spans="1:10" ht="15.75" hidden="1" thickBot="1" x14ac:dyDescent="0.3">
      <c r="A7169" s="227"/>
      <c r="B7169" s="224"/>
      <c r="C7169" s="49"/>
      <c r="D7169" s="49"/>
      <c r="E7169" s="60"/>
      <c r="F7169" s="61" t="s">
        <v>521</v>
      </c>
      <c r="G7169" s="61" t="str">
        <f t="shared" si="219"/>
        <v/>
      </c>
      <c r="H7169" s="63"/>
      <c r="I7169" s="25"/>
      <c r="J7169" s="138">
        <v>0</v>
      </c>
    </row>
    <row r="7170" spans="1:10" ht="15.75" hidden="1" thickBot="1" x14ac:dyDescent="0.3">
      <c r="A7170" s="220" t="s">
        <v>2528</v>
      </c>
      <c r="B7170" s="222" t="e">
        <f>INDEX(Orçamentária!A:B,MATCH(Composições!A7170,Orçamentária!A:A,0),2)</f>
        <v>#N/A</v>
      </c>
      <c r="C7170" s="35"/>
      <c r="D7170" s="20" t="s">
        <v>1503</v>
      </c>
      <c r="E7170" s="21"/>
      <c r="F7170" s="36" t="s">
        <v>521</v>
      </c>
      <c r="G7170" s="22" t="str">
        <f t="shared" ref="G7170:G7233" si="221">IF(ISNUMBER(F7170),E7170*F7170,"")</f>
        <v/>
      </c>
      <c r="H7170" s="23"/>
      <c r="I7170" s="24"/>
      <c r="J7170" s="138">
        <v>0</v>
      </c>
    </row>
    <row r="7171" spans="1:10" ht="15.75" hidden="1" thickBot="1" x14ac:dyDescent="0.3">
      <c r="A7171" s="221"/>
      <c r="B7171" s="223"/>
      <c r="C7171" s="26"/>
      <c r="D7171" s="26"/>
      <c r="E7171" s="27"/>
      <c r="F7171" s="37" t="s">
        <v>521</v>
      </c>
      <c r="G7171" s="28" t="str">
        <f t="shared" si="221"/>
        <v/>
      </c>
      <c r="H7171" s="29"/>
      <c r="I7171" s="25"/>
      <c r="J7171" s="138">
        <v>0</v>
      </c>
    </row>
    <row r="7172" spans="1:10" ht="26.25" hidden="1" thickBot="1" x14ac:dyDescent="0.3">
      <c r="A7172" s="221"/>
      <c r="B7172" s="223"/>
      <c r="C7172" s="30" t="s">
        <v>779</v>
      </c>
      <c r="D7172" s="41" t="s">
        <v>12</v>
      </c>
      <c r="E7172" s="146">
        <f>ROUND(220/(1+110.14%),4)</f>
        <v>104.6921</v>
      </c>
      <c r="F7172" s="25">
        <v>99.17049999999999</v>
      </c>
      <c r="G7172" s="28">
        <f t="shared" si="221"/>
        <v>10382.367903049999</v>
      </c>
      <c r="H7172" s="33">
        <f>SUM(G7172:G7172)</f>
        <v>10382.367903049999</v>
      </c>
      <c r="I7172" s="34"/>
      <c r="J7172" s="138">
        <v>0</v>
      </c>
    </row>
    <row r="7173" spans="1:10" ht="15.75" hidden="1" thickBot="1" x14ac:dyDescent="0.3">
      <c r="A7173" s="221"/>
      <c r="B7173" s="223"/>
      <c r="C7173" s="30"/>
      <c r="D7173" s="41"/>
      <c r="E7173" s="31"/>
      <c r="F7173" s="25" t="s">
        <v>521</v>
      </c>
      <c r="G7173" s="28" t="str">
        <f t="shared" si="221"/>
        <v/>
      </c>
      <c r="H7173" s="29"/>
      <c r="I7173" s="34"/>
      <c r="J7173" s="138">
        <v>0</v>
      </c>
    </row>
    <row r="7174" spans="1:10" ht="26.25" hidden="1" thickBot="1" x14ac:dyDescent="0.3">
      <c r="A7174" s="221"/>
      <c r="B7174" s="223"/>
      <c r="C7174" s="42" t="s">
        <v>780</v>
      </c>
      <c r="D7174" s="41"/>
      <c r="E7174" s="31"/>
      <c r="F7174" s="25" t="s">
        <v>521</v>
      </c>
      <c r="G7174" s="28" t="str">
        <f t="shared" si="221"/>
        <v/>
      </c>
      <c r="H7174" s="29"/>
      <c r="I7174" s="34"/>
      <c r="J7174" s="138">
        <v>0</v>
      </c>
    </row>
    <row r="7175" spans="1:10" ht="15.75" hidden="1" thickBot="1" x14ac:dyDescent="0.3">
      <c r="A7175" s="227"/>
      <c r="B7175" s="224"/>
      <c r="C7175" s="30"/>
      <c r="D7175" s="30"/>
      <c r="E7175" s="31"/>
      <c r="F7175" s="25" t="s">
        <v>521</v>
      </c>
      <c r="G7175" s="28" t="str">
        <f t="shared" si="221"/>
        <v/>
      </c>
      <c r="H7175" s="29"/>
      <c r="I7175" s="25"/>
      <c r="J7175" s="138">
        <v>0</v>
      </c>
    </row>
    <row r="7176" spans="1:10" ht="15.75" hidden="1" thickBot="1" x14ac:dyDescent="0.3">
      <c r="A7176" s="220" t="s">
        <v>2529</v>
      </c>
      <c r="B7176" s="222" t="e">
        <f>INDEX(Orçamentária!A:B,MATCH(Composições!A7176,Orçamentária!A:A,0),2)</f>
        <v>#N/A</v>
      </c>
      <c r="C7176" s="35"/>
      <c r="D7176" s="20" t="s">
        <v>1503</v>
      </c>
      <c r="E7176" s="21"/>
      <c r="F7176" s="36" t="s">
        <v>521</v>
      </c>
      <c r="G7176" s="22" t="str">
        <f t="shared" si="221"/>
        <v/>
      </c>
      <c r="H7176" s="23"/>
      <c r="I7176" s="24"/>
      <c r="J7176" s="138">
        <v>0</v>
      </c>
    </row>
    <row r="7177" spans="1:10" ht="15.75" hidden="1" thickBot="1" x14ac:dyDescent="0.3">
      <c r="A7177" s="221"/>
      <c r="B7177" s="223"/>
      <c r="C7177" s="26"/>
      <c r="D7177" s="26"/>
      <c r="E7177" s="27"/>
      <c r="F7177" s="37" t="s">
        <v>521</v>
      </c>
      <c r="G7177" s="28" t="str">
        <f t="shared" si="221"/>
        <v/>
      </c>
      <c r="H7177" s="29"/>
      <c r="I7177" s="25"/>
      <c r="J7177" s="138">
        <v>0</v>
      </c>
    </row>
    <row r="7178" spans="1:10" ht="26.25" hidden="1" thickBot="1" x14ac:dyDescent="0.3">
      <c r="A7178" s="221"/>
      <c r="B7178" s="223"/>
      <c r="C7178" s="30" t="s">
        <v>779</v>
      </c>
      <c r="D7178" s="41" t="s">
        <v>12</v>
      </c>
      <c r="E7178" s="146">
        <f>ROUND(220/(1+110.14%),4)</f>
        <v>104.6921</v>
      </c>
      <c r="F7178" s="25">
        <v>99.17049999999999</v>
      </c>
      <c r="G7178" s="28">
        <f t="shared" si="221"/>
        <v>10382.367903049999</v>
      </c>
      <c r="H7178" s="33">
        <f>SUM(G7178:G7178)</f>
        <v>10382.367903049999</v>
      </c>
      <c r="I7178" s="34"/>
      <c r="J7178" s="138">
        <v>0</v>
      </c>
    </row>
    <row r="7179" spans="1:10" ht="15.75" hidden="1" thickBot="1" x14ac:dyDescent="0.3">
      <c r="A7179" s="221"/>
      <c r="B7179" s="223"/>
      <c r="C7179" s="30"/>
      <c r="D7179" s="41"/>
      <c r="E7179" s="31"/>
      <c r="F7179" s="25" t="s">
        <v>521</v>
      </c>
      <c r="G7179" s="28" t="str">
        <f t="shared" si="221"/>
        <v/>
      </c>
      <c r="H7179" s="29"/>
      <c r="I7179" s="34"/>
      <c r="J7179" s="138">
        <v>0</v>
      </c>
    </row>
    <row r="7180" spans="1:10" ht="26.25" hidden="1" thickBot="1" x14ac:dyDescent="0.3">
      <c r="A7180" s="221"/>
      <c r="B7180" s="223"/>
      <c r="C7180" s="42" t="s">
        <v>780</v>
      </c>
      <c r="D7180" s="41"/>
      <c r="E7180" s="31"/>
      <c r="F7180" s="25" t="s">
        <v>521</v>
      </c>
      <c r="G7180" s="28" t="str">
        <f t="shared" si="221"/>
        <v/>
      </c>
      <c r="H7180" s="29"/>
      <c r="I7180" s="34"/>
      <c r="J7180" s="138">
        <v>0</v>
      </c>
    </row>
    <row r="7181" spans="1:10" ht="15.75" hidden="1" thickBot="1" x14ac:dyDescent="0.3">
      <c r="A7181" s="227"/>
      <c r="B7181" s="224"/>
      <c r="C7181" s="30"/>
      <c r="D7181" s="30"/>
      <c r="E7181" s="31"/>
      <c r="F7181" s="25" t="s">
        <v>521</v>
      </c>
      <c r="G7181" s="28" t="str">
        <f t="shared" si="221"/>
        <v/>
      </c>
      <c r="H7181" s="29"/>
      <c r="I7181" s="25"/>
      <c r="J7181" s="138">
        <v>0</v>
      </c>
    </row>
    <row r="7182" spans="1:10" ht="15.75" hidden="1" thickBot="1" x14ac:dyDescent="0.3">
      <c r="A7182" s="220" t="s">
        <v>2530</v>
      </c>
      <c r="B7182" s="222" t="e">
        <f>INDEX(Orçamentária!A:B,MATCH(Composições!A7182,Orçamentária!A:A,0),2)</f>
        <v>#N/A</v>
      </c>
      <c r="C7182" s="35"/>
      <c r="D7182" s="20" t="s">
        <v>1503</v>
      </c>
      <c r="E7182" s="21"/>
      <c r="F7182" s="36" t="s">
        <v>521</v>
      </c>
      <c r="G7182" s="22" t="str">
        <f t="shared" si="221"/>
        <v/>
      </c>
      <c r="H7182" s="23"/>
      <c r="I7182" s="24"/>
      <c r="J7182" s="138">
        <v>0</v>
      </c>
    </row>
    <row r="7183" spans="1:10" ht="15.75" hidden="1" thickBot="1" x14ac:dyDescent="0.3">
      <c r="A7183" s="221"/>
      <c r="B7183" s="223"/>
      <c r="C7183" s="26"/>
      <c r="D7183" s="26"/>
      <c r="E7183" s="27"/>
      <c r="F7183" s="37" t="s">
        <v>521</v>
      </c>
      <c r="G7183" s="28" t="str">
        <f t="shared" si="221"/>
        <v/>
      </c>
      <c r="H7183" s="29"/>
      <c r="I7183" s="25"/>
      <c r="J7183" s="138">
        <v>0</v>
      </c>
    </row>
    <row r="7184" spans="1:10" ht="15.75" hidden="1" thickBot="1" x14ac:dyDescent="0.3">
      <c r="A7184" s="221"/>
      <c r="B7184" s="223"/>
      <c r="C7184" s="30" t="s">
        <v>1612</v>
      </c>
      <c r="D7184" s="41" t="s">
        <v>12</v>
      </c>
      <c r="E7184" s="146">
        <f>ROUND(220/(1+110.14%),4)</f>
        <v>104.6921</v>
      </c>
      <c r="F7184" s="25">
        <v>20.273</v>
      </c>
      <c r="G7184" s="28">
        <f t="shared" si="221"/>
        <v>2122.4229433</v>
      </c>
      <c r="H7184" s="33">
        <f>SUM(G7184:G7184)</f>
        <v>2122.4229433</v>
      </c>
      <c r="I7184" s="34"/>
      <c r="J7184" s="138">
        <v>0</v>
      </c>
    </row>
    <row r="7185" spans="1:10" ht="15.75" hidden="1" thickBot="1" x14ac:dyDescent="0.3">
      <c r="A7185" s="221"/>
      <c r="B7185" s="223"/>
      <c r="C7185" s="30"/>
      <c r="D7185" s="41"/>
      <c r="E7185" s="31"/>
      <c r="F7185" s="25" t="s">
        <v>521</v>
      </c>
      <c r="G7185" s="28" t="str">
        <f t="shared" si="221"/>
        <v/>
      </c>
      <c r="H7185" s="29"/>
      <c r="I7185" s="34"/>
      <c r="J7185" s="138">
        <v>0</v>
      </c>
    </row>
    <row r="7186" spans="1:10" ht="26.25" hidden="1" thickBot="1" x14ac:dyDescent="0.3">
      <c r="A7186" s="221"/>
      <c r="B7186" s="223"/>
      <c r="C7186" s="42" t="s">
        <v>780</v>
      </c>
      <c r="D7186" s="41"/>
      <c r="E7186" s="31"/>
      <c r="F7186" s="25" t="s">
        <v>521</v>
      </c>
      <c r="G7186" s="28" t="str">
        <f t="shared" si="221"/>
        <v/>
      </c>
      <c r="H7186" s="29"/>
      <c r="I7186" s="34"/>
      <c r="J7186" s="138">
        <v>0</v>
      </c>
    </row>
    <row r="7187" spans="1:10" ht="15.75" hidden="1" thickBot="1" x14ac:dyDescent="0.3">
      <c r="A7187" s="227"/>
      <c r="B7187" s="224"/>
      <c r="C7187" s="30"/>
      <c r="D7187" s="30"/>
      <c r="E7187" s="31"/>
      <c r="F7187" s="25" t="s">
        <v>521</v>
      </c>
      <c r="G7187" s="28" t="str">
        <f t="shared" si="221"/>
        <v/>
      </c>
      <c r="H7187" s="29"/>
      <c r="I7187" s="25"/>
      <c r="J7187" s="138">
        <v>0</v>
      </c>
    </row>
    <row r="7188" spans="1:10" ht="15.75" hidden="1" thickBot="1" x14ac:dyDescent="0.3">
      <c r="A7188" s="220" t="s">
        <v>2531</v>
      </c>
      <c r="B7188" s="222" t="e">
        <f>INDEX(Orçamentária!A:B,MATCH(Composições!A7188,Orçamentária!A:A,0),2)</f>
        <v>#N/A</v>
      </c>
      <c r="C7188" s="35"/>
      <c r="D7188" s="20" t="s">
        <v>1503</v>
      </c>
      <c r="E7188" s="21"/>
      <c r="F7188" s="36" t="s">
        <v>521</v>
      </c>
      <c r="G7188" s="22" t="str">
        <f t="shared" si="221"/>
        <v/>
      </c>
      <c r="H7188" s="23"/>
      <c r="I7188" s="24"/>
      <c r="J7188" s="138">
        <v>0</v>
      </c>
    </row>
    <row r="7189" spans="1:10" ht="15.75" hidden="1" thickBot="1" x14ac:dyDescent="0.3">
      <c r="A7189" s="221"/>
      <c r="B7189" s="223"/>
      <c r="C7189" s="26"/>
      <c r="D7189" s="26"/>
      <c r="E7189" s="27"/>
      <c r="F7189" s="37" t="s">
        <v>521</v>
      </c>
      <c r="G7189" s="28" t="str">
        <f t="shared" si="221"/>
        <v/>
      </c>
      <c r="H7189" s="29"/>
      <c r="I7189" s="25"/>
      <c r="J7189" s="138">
        <v>0</v>
      </c>
    </row>
    <row r="7190" spans="1:10" ht="26.25" hidden="1" thickBot="1" x14ac:dyDescent="0.3">
      <c r="A7190" s="221"/>
      <c r="B7190" s="223"/>
      <c r="C7190" s="30" t="s">
        <v>950</v>
      </c>
      <c r="D7190" s="41" t="s">
        <v>12</v>
      </c>
      <c r="E7190" s="146">
        <f>ROUND(220/(1+110.14%),4)</f>
        <v>104.6921</v>
      </c>
      <c r="F7190" s="25">
        <v>24.300999999999998</v>
      </c>
      <c r="G7190" s="28">
        <f t="shared" si="221"/>
        <v>2544.1227220999999</v>
      </c>
      <c r="H7190" s="33">
        <f>SUM(G7190:G7190)</f>
        <v>2544.1227220999999</v>
      </c>
      <c r="I7190" s="34"/>
      <c r="J7190" s="138">
        <v>0</v>
      </c>
    </row>
    <row r="7191" spans="1:10" ht="15.75" hidden="1" thickBot="1" x14ac:dyDescent="0.3">
      <c r="A7191" s="221"/>
      <c r="B7191" s="223"/>
      <c r="C7191" s="30"/>
      <c r="D7191" s="41"/>
      <c r="E7191" s="31"/>
      <c r="F7191" s="25" t="s">
        <v>521</v>
      </c>
      <c r="G7191" s="28" t="str">
        <f t="shared" si="221"/>
        <v/>
      </c>
      <c r="H7191" s="29"/>
      <c r="I7191" s="34"/>
      <c r="J7191" s="138">
        <v>0</v>
      </c>
    </row>
    <row r="7192" spans="1:10" ht="26.25" hidden="1" thickBot="1" x14ac:dyDescent="0.3">
      <c r="A7192" s="221"/>
      <c r="B7192" s="223"/>
      <c r="C7192" s="42" t="s">
        <v>780</v>
      </c>
      <c r="D7192" s="41"/>
      <c r="E7192" s="31"/>
      <c r="F7192" s="25" t="s">
        <v>521</v>
      </c>
      <c r="G7192" s="28" t="str">
        <f t="shared" si="221"/>
        <v/>
      </c>
      <c r="H7192" s="29"/>
      <c r="I7192" s="34"/>
      <c r="J7192" s="138">
        <v>0</v>
      </c>
    </row>
    <row r="7193" spans="1:10" ht="15.75" hidden="1" thickBot="1" x14ac:dyDescent="0.3">
      <c r="A7193" s="227"/>
      <c r="B7193" s="224"/>
      <c r="C7193" s="30"/>
      <c r="D7193" s="30"/>
      <c r="E7193" s="31"/>
      <c r="F7193" s="25" t="s">
        <v>521</v>
      </c>
      <c r="G7193" s="28" t="str">
        <f t="shared" si="221"/>
        <v/>
      </c>
      <c r="H7193" s="29"/>
      <c r="I7193" s="25"/>
      <c r="J7193" s="138">
        <v>0</v>
      </c>
    </row>
    <row r="7194" spans="1:10" ht="15.75" hidden="1" thickBot="1" x14ac:dyDescent="0.3">
      <c r="A7194" s="220" t="s">
        <v>2532</v>
      </c>
      <c r="B7194" s="222" t="e">
        <f>INDEX(Orçamentária!A:B,MATCH(Composições!A7194,Orçamentária!A:A,0),2)</f>
        <v>#N/A</v>
      </c>
      <c r="C7194" s="35"/>
      <c r="D7194" s="20" t="s">
        <v>1503</v>
      </c>
      <c r="E7194" s="21"/>
      <c r="F7194" s="36" t="s">
        <v>521</v>
      </c>
      <c r="G7194" s="22" t="str">
        <f t="shared" si="221"/>
        <v/>
      </c>
      <c r="H7194" s="23"/>
      <c r="I7194" s="24"/>
      <c r="J7194" s="138">
        <v>0</v>
      </c>
    </row>
    <row r="7195" spans="1:10" ht="15.75" hidden="1" thickBot="1" x14ac:dyDescent="0.3">
      <c r="A7195" s="221"/>
      <c r="B7195" s="223"/>
      <c r="C7195" s="26"/>
      <c r="D7195" s="26"/>
      <c r="E7195" s="27"/>
      <c r="F7195" s="37" t="s">
        <v>521</v>
      </c>
      <c r="G7195" s="28" t="str">
        <f t="shared" si="221"/>
        <v/>
      </c>
      <c r="H7195" s="29"/>
      <c r="I7195" s="25"/>
      <c r="J7195" s="138">
        <v>0</v>
      </c>
    </row>
    <row r="7196" spans="1:10" ht="15.75" hidden="1" thickBot="1" x14ac:dyDescent="0.3">
      <c r="A7196" s="221"/>
      <c r="B7196" s="223"/>
      <c r="C7196" s="30" t="s">
        <v>2593</v>
      </c>
      <c r="D7196" s="41" t="s">
        <v>12</v>
      </c>
      <c r="E7196" s="146">
        <f>ROUND(220/(1+110.14%),4)</f>
        <v>104.6921</v>
      </c>
      <c r="F7196" s="25">
        <v>13.87</v>
      </c>
      <c r="G7196" s="28">
        <f t="shared" si="221"/>
        <v>1452.0794269999999</v>
      </c>
      <c r="H7196" s="33">
        <f>SUM(G7196:G7196)</f>
        <v>1452.0794269999999</v>
      </c>
      <c r="I7196" s="34"/>
      <c r="J7196" s="138">
        <v>0</v>
      </c>
    </row>
    <row r="7197" spans="1:10" ht="15.75" hidden="1" thickBot="1" x14ac:dyDescent="0.3">
      <c r="A7197" s="221"/>
      <c r="B7197" s="223"/>
      <c r="C7197" s="30"/>
      <c r="D7197" s="41"/>
      <c r="E7197" s="31"/>
      <c r="F7197" s="25" t="s">
        <v>521</v>
      </c>
      <c r="G7197" s="28" t="str">
        <f t="shared" si="221"/>
        <v/>
      </c>
      <c r="H7197" s="29"/>
      <c r="I7197" s="34"/>
      <c r="J7197" s="138">
        <v>0</v>
      </c>
    </row>
    <row r="7198" spans="1:10" ht="26.25" hidden="1" thickBot="1" x14ac:dyDescent="0.3">
      <c r="A7198" s="221"/>
      <c r="B7198" s="223"/>
      <c r="C7198" s="42" t="s">
        <v>780</v>
      </c>
      <c r="D7198" s="41"/>
      <c r="E7198" s="31"/>
      <c r="F7198" s="25" t="s">
        <v>521</v>
      </c>
      <c r="G7198" s="28" t="str">
        <f t="shared" si="221"/>
        <v/>
      </c>
      <c r="H7198" s="29"/>
      <c r="I7198" s="34"/>
      <c r="J7198" s="138">
        <v>0</v>
      </c>
    </row>
    <row r="7199" spans="1:10" ht="15.75" hidden="1" thickBot="1" x14ac:dyDescent="0.3">
      <c r="A7199" s="227"/>
      <c r="B7199" s="224"/>
      <c r="C7199" s="30"/>
      <c r="D7199" s="30"/>
      <c r="E7199" s="31"/>
      <c r="F7199" s="25" t="s">
        <v>521</v>
      </c>
      <c r="G7199" s="28" t="str">
        <f t="shared" si="221"/>
        <v/>
      </c>
      <c r="H7199" s="29"/>
      <c r="I7199" s="25"/>
      <c r="J7199" s="138">
        <v>0</v>
      </c>
    </row>
    <row r="7200" spans="1:10" ht="15.75" hidden="1" thickBot="1" x14ac:dyDescent="0.3">
      <c r="A7200" s="220" t="s">
        <v>2533</v>
      </c>
      <c r="B7200" s="222" t="e">
        <f>INDEX(Orçamentária!A:B,MATCH(Composições!A7200,Orçamentária!A:A,0),2)</f>
        <v>#N/A</v>
      </c>
      <c r="C7200" s="35"/>
      <c r="D7200" s="20" t="s">
        <v>1503</v>
      </c>
      <c r="E7200" s="21"/>
      <c r="F7200" s="36" t="s">
        <v>521</v>
      </c>
      <c r="G7200" s="22" t="str">
        <f t="shared" si="221"/>
        <v/>
      </c>
      <c r="H7200" s="23"/>
      <c r="I7200" s="24"/>
      <c r="J7200" s="138">
        <v>0</v>
      </c>
    </row>
    <row r="7201" spans="1:10" ht="15.75" hidden="1" thickBot="1" x14ac:dyDescent="0.3">
      <c r="A7201" s="221"/>
      <c r="B7201" s="223"/>
      <c r="C7201" s="152"/>
      <c r="D7201" s="26"/>
      <c r="E7201" s="27"/>
      <c r="F7201" s="37" t="s">
        <v>521</v>
      </c>
      <c r="G7201" s="28" t="str">
        <f t="shared" si="221"/>
        <v/>
      </c>
      <c r="H7201" s="29"/>
      <c r="I7201" s="25"/>
      <c r="J7201" s="138">
        <v>0</v>
      </c>
    </row>
    <row r="7202" spans="1:10" ht="26.25" hidden="1" thickBot="1" x14ac:dyDescent="0.3">
      <c r="A7202" s="221"/>
      <c r="B7202" s="223"/>
      <c r="C7202" s="30" t="s">
        <v>950</v>
      </c>
      <c r="D7202" s="41" t="s">
        <v>12</v>
      </c>
      <c r="E7202" s="146">
        <f>ROUND(220/(1+110.14%),4)</f>
        <v>104.6921</v>
      </c>
      <c r="F7202" s="25">
        <v>24.300999999999998</v>
      </c>
      <c r="G7202" s="28">
        <f t="shared" si="221"/>
        <v>2544.1227220999999</v>
      </c>
      <c r="H7202" s="33">
        <f>SUM(G7202:G7202)</f>
        <v>2544.1227220999999</v>
      </c>
      <c r="I7202" s="34"/>
      <c r="J7202" s="138">
        <v>0</v>
      </c>
    </row>
    <row r="7203" spans="1:10" ht="15.75" hidden="1" thickBot="1" x14ac:dyDescent="0.3">
      <c r="A7203" s="221"/>
      <c r="B7203" s="223"/>
      <c r="C7203" s="152"/>
      <c r="D7203" s="41"/>
      <c r="E7203" s="31"/>
      <c r="F7203" s="25" t="s">
        <v>521</v>
      </c>
      <c r="G7203" s="28" t="str">
        <f t="shared" si="221"/>
        <v/>
      </c>
      <c r="H7203" s="29"/>
      <c r="I7203" s="34"/>
      <c r="J7203" s="138">
        <v>0</v>
      </c>
    </row>
    <row r="7204" spans="1:10" ht="26.25" hidden="1" thickBot="1" x14ac:dyDescent="0.3">
      <c r="A7204" s="221"/>
      <c r="B7204" s="223"/>
      <c r="C7204" s="42" t="s">
        <v>780</v>
      </c>
      <c r="D7204" s="41"/>
      <c r="E7204" s="31"/>
      <c r="F7204" s="25" t="s">
        <v>521</v>
      </c>
      <c r="G7204" s="28" t="str">
        <f t="shared" si="221"/>
        <v/>
      </c>
      <c r="H7204" s="29"/>
      <c r="I7204" s="34"/>
      <c r="J7204" s="138">
        <v>0</v>
      </c>
    </row>
    <row r="7205" spans="1:10" ht="15.75" hidden="1" thickBot="1" x14ac:dyDescent="0.3">
      <c r="A7205" s="227"/>
      <c r="B7205" s="224"/>
      <c r="C7205" s="49"/>
      <c r="D7205" s="30"/>
      <c r="E7205" s="31"/>
      <c r="F7205" s="25" t="s">
        <v>521</v>
      </c>
      <c r="G7205" s="28" t="str">
        <f t="shared" si="221"/>
        <v/>
      </c>
      <c r="H7205" s="29"/>
      <c r="I7205" s="25"/>
      <c r="J7205" s="138">
        <v>0</v>
      </c>
    </row>
    <row r="7206" spans="1:10" ht="15.75" hidden="1" thickBot="1" x14ac:dyDescent="0.3">
      <c r="A7206" s="220" t="s">
        <v>2534</v>
      </c>
      <c r="B7206" s="222" t="e">
        <f>INDEX(Orçamentária!A:B,MATCH(Composições!A7206,Orçamentária!A:A,0),2)</f>
        <v>#N/A</v>
      </c>
      <c r="C7206" s="35"/>
      <c r="D7206" s="20" t="s">
        <v>1503</v>
      </c>
      <c r="E7206" s="21"/>
      <c r="F7206" s="36" t="s">
        <v>521</v>
      </c>
      <c r="G7206" s="22" t="str">
        <f t="shared" si="221"/>
        <v/>
      </c>
      <c r="H7206" s="23"/>
      <c r="I7206" s="24"/>
      <c r="J7206" s="138">
        <v>0</v>
      </c>
    </row>
    <row r="7207" spans="1:10" ht="15.75" hidden="1" thickBot="1" x14ac:dyDescent="0.3">
      <c r="A7207" s="221"/>
      <c r="B7207" s="223"/>
      <c r="C7207" s="152"/>
      <c r="D7207" s="26"/>
      <c r="E7207" s="27"/>
      <c r="F7207" s="37" t="s">
        <v>521</v>
      </c>
      <c r="G7207" s="28" t="str">
        <f t="shared" si="221"/>
        <v/>
      </c>
      <c r="H7207" s="29"/>
      <c r="I7207" s="25"/>
      <c r="J7207" s="138">
        <v>0</v>
      </c>
    </row>
    <row r="7208" spans="1:10" ht="26.25" hidden="1" thickBot="1" x14ac:dyDescent="0.3">
      <c r="A7208" s="221"/>
      <c r="B7208" s="223"/>
      <c r="C7208" s="30" t="s">
        <v>950</v>
      </c>
      <c r="D7208" s="41" t="s">
        <v>12</v>
      </c>
      <c r="E7208" s="146">
        <f>ROUND(220/(1+110.14%),4)</f>
        <v>104.6921</v>
      </c>
      <c r="F7208" s="25">
        <v>24.300999999999998</v>
      </c>
      <c r="G7208" s="28">
        <f t="shared" si="221"/>
        <v>2544.1227220999999</v>
      </c>
      <c r="H7208" s="33">
        <f>SUM(G7208:G7208)</f>
        <v>2544.1227220999999</v>
      </c>
      <c r="I7208" s="34"/>
      <c r="J7208" s="138">
        <v>0</v>
      </c>
    </row>
    <row r="7209" spans="1:10" ht="15.75" hidden="1" thickBot="1" x14ac:dyDescent="0.3">
      <c r="A7209" s="221"/>
      <c r="B7209" s="223"/>
      <c r="C7209" s="152"/>
      <c r="D7209" s="41"/>
      <c r="E7209" s="31"/>
      <c r="F7209" s="25" t="s">
        <v>521</v>
      </c>
      <c r="G7209" s="28" t="str">
        <f t="shared" si="221"/>
        <v/>
      </c>
      <c r="H7209" s="29"/>
      <c r="I7209" s="34"/>
      <c r="J7209" s="138">
        <v>0</v>
      </c>
    </row>
    <row r="7210" spans="1:10" ht="26.25" hidden="1" thickBot="1" x14ac:dyDescent="0.3">
      <c r="A7210" s="221"/>
      <c r="B7210" s="223"/>
      <c r="C7210" s="42" t="s">
        <v>780</v>
      </c>
      <c r="D7210" s="41"/>
      <c r="E7210" s="31"/>
      <c r="F7210" s="25" t="s">
        <v>521</v>
      </c>
      <c r="G7210" s="28" t="str">
        <f t="shared" si="221"/>
        <v/>
      </c>
      <c r="H7210" s="29"/>
      <c r="I7210" s="34"/>
      <c r="J7210" s="138">
        <v>0</v>
      </c>
    </row>
    <row r="7211" spans="1:10" ht="15.75" hidden="1" thickBot="1" x14ac:dyDescent="0.3">
      <c r="A7211" s="227"/>
      <c r="B7211" s="224"/>
      <c r="C7211" s="49"/>
      <c r="D7211" s="30"/>
      <c r="E7211" s="31"/>
      <c r="F7211" s="25" t="s">
        <v>521</v>
      </c>
      <c r="G7211" s="28" t="str">
        <f t="shared" si="221"/>
        <v/>
      </c>
      <c r="H7211" s="29"/>
      <c r="I7211" s="25"/>
      <c r="J7211" s="138">
        <v>0</v>
      </c>
    </row>
    <row r="7212" spans="1:10" ht="15.75" hidden="1" thickBot="1" x14ac:dyDescent="0.3">
      <c r="A7212" s="220" t="s">
        <v>2535</v>
      </c>
      <c r="B7212" s="222" t="e">
        <f>INDEX(Orçamentária!A:B,MATCH(Composições!A7212,Orçamentária!A:A,0),2)</f>
        <v>#N/A</v>
      </c>
      <c r="C7212" s="35"/>
      <c r="D7212" s="20" t="s">
        <v>1503</v>
      </c>
      <c r="E7212" s="21"/>
      <c r="F7212" s="36" t="s">
        <v>521</v>
      </c>
      <c r="G7212" s="22" t="str">
        <f t="shared" si="221"/>
        <v/>
      </c>
      <c r="H7212" s="23"/>
      <c r="I7212" s="24"/>
      <c r="J7212" s="138">
        <v>0</v>
      </c>
    </row>
    <row r="7213" spans="1:10" ht="15.75" hidden="1" thickBot="1" x14ac:dyDescent="0.3">
      <c r="A7213" s="221"/>
      <c r="B7213" s="223"/>
      <c r="C7213" s="152"/>
      <c r="D7213" s="26"/>
      <c r="E7213" s="27"/>
      <c r="F7213" s="37" t="s">
        <v>521</v>
      </c>
      <c r="G7213" s="28" t="str">
        <f t="shared" si="221"/>
        <v/>
      </c>
      <c r="H7213" s="29"/>
      <c r="I7213" s="25"/>
      <c r="J7213" s="138">
        <v>0</v>
      </c>
    </row>
    <row r="7214" spans="1:10" ht="26.25" hidden="1" thickBot="1" x14ac:dyDescent="0.3">
      <c r="A7214" s="221"/>
      <c r="B7214" s="223"/>
      <c r="C7214" s="30" t="s">
        <v>949</v>
      </c>
      <c r="D7214" s="41" t="s">
        <v>12</v>
      </c>
      <c r="E7214" s="146">
        <f>ROUND(220/(1+110.14%),4)</f>
        <v>104.6921</v>
      </c>
      <c r="F7214" s="25">
        <v>19.094999999999999</v>
      </c>
      <c r="G7214" s="28">
        <f t="shared" si="221"/>
        <v>1999.0956494999998</v>
      </c>
      <c r="H7214" s="33">
        <f>SUM(G7214:G7214)</f>
        <v>1999.0956494999998</v>
      </c>
      <c r="I7214" s="34"/>
      <c r="J7214" s="138">
        <v>0</v>
      </c>
    </row>
    <row r="7215" spans="1:10" ht="15.75" hidden="1" thickBot="1" x14ac:dyDescent="0.3">
      <c r="A7215" s="221"/>
      <c r="B7215" s="223"/>
      <c r="C7215" s="152"/>
      <c r="D7215" s="41"/>
      <c r="E7215" s="31"/>
      <c r="F7215" s="25" t="s">
        <v>521</v>
      </c>
      <c r="G7215" s="28" t="str">
        <f t="shared" si="221"/>
        <v/>
      </c>
      <c r="H7215" s="29"/>
      <c r="I7215" s="34"/>
      <c r="J7215" s="138">
        <v>0</v>
      </c>
    </row>
    <row r="7216" spans="1:10" ht="26.25" hidden="1" thickBot="1" x14ac:dyDescent="0.3">
      <c r="A7216" s="221"/>
      <c r="B7216" s="223"/>
      <c r="C7216" s="42" t="s">
        <v>780</v>
      </c>
      <c r="D7216" s="41"/>
      <c r="E7216" s="31"/>
      <c r="F7216" s="25" t="s">
        <v>521</v>
      </c>
      <c r="G7216" s="28" t="str">
        <f t="shared" si="221"/>
        <v/>
      </c>
      <c r="H7216" s="29"/>
      <c r="I7216" s="34"/>
      <c r="J7216" s="138">
        <v>0</v>
      </c>
    </row>
    <row r="7217" spans="1:10" ht="15.75" hidden="1" thickBot="1" x14ac:dyDescent="0.3">
      <c r="A7217" s="227"/>
      <c r="B7217" s="224"/>
      <c r="C7217" s="49"/>
      <c r="D7217" s="30"/>
      <c r="E7217" s="31"/>
      <c r="F7217" s="25" t="s">
        <v>521</v>
      </c>
      <c r="G7217" s="28" t="str">
        <f t="shared" si="221"/>
        <v/>
      </c>
      <c r="H7217" s="29"/>
      <c r="I7217" s="25"/>
      <c r="J7217" s="138">
        <v>0</v>
      </c>
    </row>
    <row r="7218" spans="1:10" ht="15.75" hidden="1" thickBot="1" x14ac:dyDescent="0.3">
      <c r="A7218" s="220" t="s">
        <v>2536</v>
      </c>
      <c r="B7218" s="222" t="e">
        <f>INDEX(Orçamentária!A:B,MATCH(Composições!A7218,Orçamentária!A:A,0),2)</f>
        <v>#N/A</v>
      </c>
      <c r="C7218" s="35"/>
      <c r="D7218" s="20" t="s">
        <v>1503</v>
      </c>
      <c r="E7218" s="21"/>
      <c r="F7218" s="36" t="s">
        <v>521</v>
      </c>
      <c r="G7218" s="22" t="str">
        <f t="shared" si="221"/>
        <v/>
      </c>
      <c r="H7218" s="23"/>
      <c r="I7218" s="24"/>
      <c r="J7218" s="138">
        <v>0</v>
      </c>
    </row>
    <row r="7219" spans="1:10" ht="15.75" hidden="1" thickBot="1" x14ac:dyDescent="0.3">
      <c r="A7219" s="221"/>
      <c r="B7219" s="223"/>
      <c r="C7219" s="152"/>
      <c r="D7219" s="26"/>
      <c r="E7219" s="27"/>
      <c r="F7219" s="37" t="s">
        <v>521</v>
      </c>
      <c r="G7219" s="28" t="str">
        <f t="shared" si="221"/>
        <v/>
      </c>
      <c r="H7219" s="29"/>
      <c r="I7219" s="25"/>
      <c r="J7219" s="138">
        <v>0</v>
      </c>
    </row>
    <row r="7220" spans="1:10" ht="26.25" hidden="1" thickBot="1" x14ac:dyDescent="0.3">
      <c r="A7220" s="221"/>
      <c r="B7220" s="223"/>
      <c r="C7220" s="30" t="s">
        <v>949</v>
      </c>
      <c r="D7220" s="41" t="s">
        <v>12</v>
      </c>
      <c r="E7220" s="146">
        <f>ROUND(220/(1+110.14%),4)</f>
        <v>104.6921</v>
      </c>
      <c r="F7220" s="25">
        <v>19.094999999999999</v>
      </c>
      <c r="G7220" s="28">
        <f t="shared" si="221"/>
        <v>1999.0956494999998</v>
      </c>
      <c r="H7220" s="33">
        <f>SUM(G7220:G7220)</f>
        <v>1999.0956494999998</v>
      </c>
      <c r="I7220" s="34"/>
      <c r="J7220" s="138">
        <v>0</v>
      </c>
    </row>
    <row r="7221" spans="1:10" ht="15.75" hidden="1" thickBot="1" x14ac:dyDescent="0.3">
      <c r="A7221" s="221"/>
      <c r="B7221" s="223"/>
      <c r="C7221" s="152"/>
      <c r="D7221" s="41"/>
      <c r="E7221" s="31"/>
      <c r="F7221" s="25" t="s">
        <v>521</v>
      </c>
      <c r="G7221" s="28" t="str">
        <f t="shared" si="221"/>
        <v/>
      </c>
      <c r="H7221" s="29"/>
      <c r="I7221" s="34"/>
      <c r="J7221" s="138">
        <v>0</v>
      </c>
    </row>
    <row r="7222" spans="1:10" ht="26.25" hidden="1" thickBot="1" x14ac:dyDescent="0.3">
      <c r="A7222" s="221"/>
      <c r="B7222" s="223"/>
      <c r="C7222" s="42" t="s">
        <v>780</v>
      </c>
      <c r="D7222" s="41"/>
      <c r="E7222" s="31"/>
      <c r="F7222" s="25" t="s">
        <v>521</v>
      </c>
      <c r="G7222" s="28" t="str">
        <f t="shared" si="221"/>
        <v/>
      </c>
      <c r="H7222" s="29"/>
      <c r="I7222" s="34"/>
      <c r="J7222" s="138">
        <v>0</v>
      </c>
    </row>
    <row r="7223" spans="1:10" ht="15.75" hidden="1" thickBot="1" x14ac:dyDescent="0.3">
      <c r="A7223" s="227"/>
      <c r="B7223" s="224"/>
      <c r="C7223" s="49"/>
      <c r="D7223" s="30"/>
      <c r="E7223" s="31"/>
      <c r="F7223" s="25" t="s">
        <v>521</v>
      </c>
      <c r="G7223" s="28" t="str">
        <f t="shared" si="221"/>
        <v/>
      </c>
      <c r="H7223" s="29"/>
      <c r="I7223" s="25"/>
      <c r="J7223" s="138">
        <v>0</v>
      </c>
    </row>
    <row r="7224" spans="1:10" ht="15.75" hidden="1" thickBot="1" x14ac:dyDescent="0.3">
      <c r="A7224" s="220" t="s">
        <v>2537</v>
      </c>
      <c r="B7224" s="222" t="e">
        <f>INDEX(Orçamentária!A:B,MATCH(Composições!A7224,Orçamentária!A:A,0),2)</f>
        <v>#N/A</v>
      </c>
      <c r="C7224" s="35"/>
      <c r="D7224" s="20" t="s">
        <v>1503</v>
      </c>
      <c r="E7224" s="21"/>
      <c r="F7224" s="36" t="s">
        <v>521</v>
      </c>
      <c r="G7224" s="22" t="str">
        <f t="shared" si="221"/>
        <v/>
      </c>
      <c r="H7224" s="23"/>
      <c r="I7224" s="24"/>
      <c r="J7224" s="138">
        <v>0</v>
      </c>
    </row>
    <row r="7225" spans="1:10" ht="15.75" hidden="1" thickBot="1" x14ac:dyDescent="0.3">
      <c r="A7225" s="221"/>
      <c r="B7225" s="223"/>
      <c r="C7225" s="152"/>
      <c r="D7225" s="26"/>
      <c r="E7225" s="27"/>
      <c r="F7225" s="37" t="s">
        <v>521</v>
      </c>
      <c r="G7225" s="28" t="str">
        <f t="shared" si="221"/>
        <v/>
      </c>
      <c r="H7225" s="29"/>
      <c r="I7225" s="25"/>
      <c r="J7225" s="138">
        <v>0</v>
      </c>
    </row>
    <row r="7226" spans="1:10" ht="26.25" hidden="1" thickBot="1" x14ac:dyDescent="0.3">
      <c r="A7226" s="221"/>
      <c r="B7226" s="223"/>
      <c r="C7226" s="30" t="s">
        <v>949</v>
      </c>
      <c r="D7226" s="41" t="s">
        <v>12</v>
      </c>
      <c r="E7226" s="146">
        <f>ROUND(220/(1+110.14%),4)</f>
        <v>104.6921</v>
      </c>
      <c r="F7226" s="25">
        <v>19.094999999999999</v>
      </c>
      <c r="G7226" s="28">
        <f t="shared" si="221"/>
        <v>1999.0956494999998</v>
      </c>
      <c r="H7226" s="33">
        <f>SUM(G7226:G7226)</f>
        <v>1999.0956494999998</v>
      </c>
      <c r="I7226" s="34"/>
      <c r="J7226" s="138">
        <v>0</v>
      </c>
    </row>
    <row r="7227" spans="1:10" ht="15.75" hidden="1" thickBot="1" x14ac:dyDescent="0.3">
      <c r="A7227" s="221"/>
      <c r="B7227" s="223"/>
      <c r="C7227" s="152"/>
      <c r="D7227" s="41"/>
      <c r="E7227" s="31"/>
      <c r="F7227" s="25" t="s">
        <v>521</v>
      </c>
      <c r="G7227" s="28" t="str">
        <f t="shared" si="221"/>
        <v/>
      </c>
      <c r="H7227" s="29"/>
      <c r="I7227" s="34"/>
      <c r="J7227" s="138">
        <v>0</v>
      </c>
    </row>
    <row r="7228" spans="1:10" ht="26.25" hidden="1" thickBot="1" x14ac:dyDescent="0.3">
      <c r="A7228" s="221"/>
      <c r="B7228" s="223"/>
      <c r="C7228" s="42" t="s">
        <v>780</v>
      </c>
      <c r="D7228" s="41"/>
      <c r="E7228" s="31"/>
      <c r="F7228" s="25" t="s">
        <v>521</v>
      </c>
      <c r="G7228" s="28" t="str">
        <f t="shared" si="221"/>
        <v/>
      </c>
      <c r="H7228" s="29"/>
      <c r="I7228" s="34"/>
      <c r="J7228" s="138">
        <v>0</v>
      </c>
    </row>
    <row r="7229" spans="1:10" ht="15.75" hidden="1" thickBot="1" x14ac:dyDescent="0.3">
      <c r="A7229" s="227"/>
      <c r="B7229" s="224"/>
      <c r="C7229" s="49"/>
      <c r="D7229" s="30"/>
      <c r="E7229" s="31"/>
      <c r="F7229" s="25" t="s">
        <v>521</v>
      </c>
      <c r="G7229" s="28" t="str">
        <f t="shared" si="221"/>
        <v/>
      </c>
      <c r="H7229" s="29"/>
      <c r="I7229" s="25"/>
      <c r="J7229" s="138">
        <v>0</v>
      </c>
    </row>
    <row r="7230" spans="1:10" ht="15.75" hidden="1" thickBot="1" x14ac:dyDescent="0.3">
      <c r="A7230" s="220" t="s">
        <v>2538</v>
      </c>
      <c r="B7230" s="222" t="e">
        <f>INDEX(Orçamentária!A:B,MATCH(Composições!A7230,Orçamentária!A:A,0),2)</f>
        <v>#N/A</v>
      </c>
      <c r="C7230" s="35"/>
      <c r="D7230" s="20" t="s">
        <v>20</v>
      </c>
      <c r="E7230" s="21"/>
      <c r="F7230" s="36" t="s">
        <v>521</v>
      </c>
      <c r="G7230" s="22" t="str">
        <f t="shared" si="221"/>
        <v/>
      </c>
      <c r="H7230" s="23"/>
      <c r="I7230" s="24"/>
      <c r="J7230" s="138">
        <v>0</v>
      </c>
    </row>
    <row r="7231" spans="1:10" ht="15.75" hidden="1" thickBot="1" x14ac:dyDescent="0.3">
      <c r="A7231" s="221"/>
      <c r="B7231" s="223"/>
      <c r="C7231" s="26"/>
      <c r="D7231" s="26"/>
      <c r="E7231" s="27"/>
      <c r="F7231" s="37" t="s">
        <v>521</v>
      </c>
      <c r="G7231" s="25" t="str">
        <f t="shared" si="221"/>
        <v/>
      </c>
      <c r="H7231" s="29"/>
      <c r="I7231" s="25"/>
      <c r="J7231" s="138">
        <v>0</v>
      </c>
    </row>
    <row r="7232" spans="1:10" ht="39" hidden="1" thickBot="1" x14ac:dyDescent="0.3">
      <c r="A7232" s="221"/>
      <c r="B7232" s="223"/>
      <c r="C7232" s="159" t="s">
        <v>2608</v>
      </c>
      <c r="D7232" s="41" t="s">
        <v>20</v>
      </c>
      <c r="E7232" s="146">
        <v>1</v>
      </c>
      <c r="F7232" s="25">
        <v>631.76900000000001</v>
      </c>
      <c r="G7232" s="25">
        <f t="shared" si="221"/>
        <v>631.76900000000001</v>
      </c>
      <c r="H7232" s="33">
        <f t="shared" si="220"/>
        <v>631.76900000000001</v>
      </c>
      <c r="I7232" s="34"/>
      <c r="J7232" s="138">
        <v>0</v>
      </c>
    </row>
    <row r="7233" spans="1:10" ht="15.75" hidden="1" thickBot="1" x14ac:dyDescent="0.3">
      <c r="A7233" s="227"/>
      <c r="B7233" s="224"/>
      <c r="C7233" s="49"/>
      <c r="D7233" s="49"/>
      <c r="E7233" s="60"/>
      <c r="F7233" s="61" t="s">
        <v>521</v>
      </c>
      <c r="G7233" s="61" t="str">
        <f t="shared" si="221"/>
        <v/>
      </c>
      <c r="H7233" s="63"/>
      <c r="I7233" s="25"/>
      <c r="J7233" s="138">
        <v>0</v>
      </c>
    </row>
    <row r="7234" spans="1:10" ht="15.75" hidden="1" thickBot="1" x14ac:dyDescent="0.3">
      <c r="A7234" s="220" t="s">
        <v>2539</v>
      </c>
      <c r="B7234" s="222" t="e">
        <f>INDEX(Orçamentária!A:B,MATCH(Composições!A7234,Orçamentária!A:A,0),2)</f>
        <v>#N/A</v>
      </c>
      <c r="C7234" s="35"/>
      <c r="D7234" s="20" t="s">
        <v>20</v>
      </c>
      <c r="E7234" s="21"/>
      <c r="F7234" s="36" t="s">
        <v>521</v>
      </c>
      <c r="G7234" s="22" t="str">
        <f t="shared" ref="G7234:G7297" si="222">IF(ISNUMBER(F7234),E7234*F7234,"")</f>
        <v/>
      </c>
      <c r="H7234" s="23"/>
      <c r="I7234" s="24"/>
      <c r="J7234" s="138">
        <v>0</v>
      </c>
    </row>
    <row r="7235" spans="1:10" ht="15.75" hidden="1" thickBot="1" x14ac:dyDescent="0.3">
      <c r="A7235" s="221"/>
      <c r="B7235" s="223"/>
      <c r="C7235" s="26"/>
      <c r="D7235" s="26"/>
      <c r="E7235" s="27"/>
      <c r="F7235" s="37" t="s">
        <v>521</v>
      </c>
      <c r="G7235" s="25" t="str">
        <f t="shared" si="222"/>
        <v/>
      </c>
      <c r="H7235" s="29"/>
      <c r="I7235" s="25"/>
      <c r="J7235" s="138">
        <v>0</v>
      </c>
    </row>
    <row r="7236" spans="1:10" ht="26.25" hidden="1" thickBot="1" x14ac:dyDescent="0.3">
      <c r="A7236" s="221"/>
      <c r="B7236" s="223"/>
      <c r="C7236" s="159" t="s">
        <v>2610</v>
      </c>
      <c r="D7236" s="41" t="s">
        <v>20</v>
      </c>
      <c r="E7236" s="146">
        <v>1</v>
      </c>
      <c r="F7236" s="25">
        <v>161.44299999999998</v>
      </c>
      <c r="G7236" s="25">
        <f t="shared" si="222"/>
        <v>161.44299999999998</v>
      </c>
      <c r="H7236" s="33">
        <f t="shared" si="220"/>
        <v>161.44299999999998</v>
      </c>
      <c r="I7236" s="34"/>
      <c r="J7236" s="138">
        <v>0</v>
      </c>
    </row>
    <row r="7237" spans="1:10" ht="15.75" hidden="1" thickBot="1" x14ac:dyDescent="0.3">
      <c r="A7237" s="227"/>
      <c r="B7237" s="224"/>
      <c r="C7237" s="49"/>
      <c r="D7237" s="49"/>
      <c r="E7237" s="60"/>
      <c r="F7237" s="61" t="s">
        <v>521</v>
      </c>
      <c r="G7237" s="61" t="str">
        <f t="shared" si="222"/>
        <v/>
      </c>
      <c r="H7237" s="63"/>
      <c r="I7237" s="25"/>
      <c r="J7237" s="138">
        <v>0</v>
      </c>
    </row>
    <row r="7238" spans="1:10" ht="15.75" hidden="1" thickBot="1" x14ac:dyDescent="0.3">
      <c r="A7238" s="220" t="s">
        <v>2540</v>
      </c>
      <c r="B7238" s="222" t="e">
        <f>INDEX(Orçamentária!A:B,MATCH(Composições!A7238,Orçamentária!A:A,0),2)</f>
        <v>#N/A</v>
      </c>
      <c r="C7238" s="35"/>
      <c r="D7238" s="20" t="s">
        <v>20</v>
      </c>
      <c r="E7238" s="21"/>
      <c r="F7238" s="36" t="s">
        <v>521</v>
      </c>
      <c r="G7238" s="22" t="str">
        <f t="shared" si="222"/>
        <v/>
      </c>
      <c r="H7238" s="23"/>
      <c r="I7238" s="24"/>
      <c r="J7238" s="138">
        <v>0</v>
      </c>
    </row>
    <row r="7239" spans="1:10" ht="15.75" hidden="1" thickBot="1" x14ac:dyDescent="0.3">
      <c r="A7239" s="221"/>
      <c r="B7239" s="223"/>
      <c r="C7239" s="26"/>
      <c r="D7239" s="26"/>
      <c r="E7239" s="27"/>
      <c r="F7239" s="37" t="s">
        <v>521</v>
      </c>
      <c r="G7239" s="25" t="str">
        <f t="shared" si="222"/>
        <v/>
      </c>
      <c r="H7239" s="29"/>
      <c r="I7239" s="25"/>
      <c r="J7239" s="138">
        <v>0</v>
      </c>
    </row>
    <row r="7240" spans="1:10" ht="26.25" hidden="1" thickBot="1" x14ac:dyDescent="0.3">
      <c r="A7240" s="221"/>
      <c r="B7240" s="223"/>
      <c r="C7240" s="159" t="s">
        <v>2566</v>
      </c>
      <c r="D7240" s="41" t="s">
        <v>20</v>
      </c>
      <c r="E7240" s="146">
        <v>1</v>
      </c>
      <c r="F7240" s="25">
        <v>64.115499999999997</v>
      </c>
      <c r="G7240" s="25">
        <f t="shared" si="222"/>
        <v>64.115499999999997</v>
      </c>
      <c r="H7240" s="33">
        <f t="shared" si="220"/>
        <v>64.115499999999997</v>
      </c>
      <c r="I7240" s="34"/>
      <c r="J7240" s="138">
        <v>0</v>
      </c>
    </row>
    <row r="7241" spans="1:10" ht="15.75" hidden="1" thickBot="1" x14ac:dyDescent="0.3">
      <c r="A7241" s="227"/>
      <c r="B7241" s="224"/>
      <c r="C7241" s="49"/>
      <c r="D7241" s="49"/>
      <c r="E7241" s="60"/>
      <c r="F7241" s="61" t="s">
        <v>521</v>
      </c>
      <c r="G7241" s="61" t="str">
        <f t="shared" si="222"/>
        <v/>
      </c>
      <c r="H7241" s="63"/>
      <c r="I7241" s="25"/>
      <c r="J7241" s="138">
        <v>0</v>
      </c>
    </row>
    <row r="7242" spans="1:10" ht="15.75" hidden="1" thickBot="1" x14ac:dyDescent="0.3">
      <c r="A7242" s="220" t="s">
        <v>2541</v>
      </c>
      <c r="B7242" s="222" t="e">
        <f>INDEX(Orçamentária!A:B,MATCH(Composições!A7242,Orçamentária!A:A,0),2)</f>
        <v>#N/A</v>
      </c>
      <c r="C7242" s="35"/>
      <c r="D7242" s="20" t="s">
        <v>93</v>
      </c>
      <c r="E7242" s="21"/>
      <c r="F7242" s="36" t="s">
        <v>521</v>
      </c>
      <c r="G7242" s="22" t="str">
        <f t="shared" si="222"/>
        <v/>
      </c>
      <c r="H7242" s="23"/>
      <c r="I7242" s="24"/>
      <c r="J7242" s="138">
        <v>0</v>
      </c>
    </row>
    <row r="7243" spans="1:10" ht="15.75" hidden="1" thickBot="1" x14ac:dyDescent="0.3">
      <c r="A7243" s="221"/>
      <c r="B7243" s="223"/>
      <c r="C7243" s="26"/>
      <c r="D7243" s="26"/>
      <c r="E7243" s="27"/>
      <c r="F7243" s="37" t="s">
        <v>521</v>
      </c>
      <c r="G7243" s="25" t="str">
        <f t="shared" si="222"/>
        <v/>
      </c>
      <c r="H7243" s="29"/>
      <c r="I7243" s="25"/>
      <c r="J7243" s="138">
        <v>0</v>
      </c>
    </row>
    <row r="7244" spans="1:10" ht="26.25" hidden="1" thickBot="1" x14ac:dyDescent="0.3">
      <c r="A7244" s="221"/>
      <c r="B7244" s="223"/>
      <c r="C7244" s="159" t="s">
        <v>2736</v>
      </c>
      <c r="D7244" s="41" t="s">
        <v>93</v>
      </c>
      <c r="E7244" s="146">
        <v>1</v>
      </c>
      <c r="F7244" s="25">
        <v>65.207999999999998</v>
      </c>
      <c r="G7244" s="25">
        <f t="shared" si="222"/>
        <v>65.207999999999998</v>
      </c>
      <c r="H7244" s="33">
        <f t="shared" ref="H7244" si="223">SUM(G7244:G7244)</f>
        <v>65.207999999999998</v>
      </c>
      <c r="I7244" s="34"/>
      <c r="J7244" s="138">
        <v>0</v>
      </c>
    </row>
    <row r="7245" spans="1:10" ht="15.75" hidden="1" thickBot="1" x14ac:dyDescent="0.3">
      <c r="A7245" s="227"/>
      <c r="B7245" s="224"/>
      <c r="C7245" s="49"/>
      <c r="D7245" s="49"/>
      <c r="E7245" s="60"/>
      <c r="F7245" s="61" t="s">
        <v>521</v>
      </c>
      <c r="G7245" s="61" t="str">
        <f t="shared" si="222"/>
        <v/>
      </c>
      <c r="H7245" s="63"/>
      <c r="I7245" s="25"/>
      <c r="J7245" s="138">
        <v>0</v>
      </c>
    </row>
    <row r="7246" spans="1:10" ht="15.75" hidden="1" thickBot="1" x14ac:dyDescent="0.3">
      <c r="A7246" s="220" t="s">
        <v>2542</v>
      </c>
      <c r="B7246" s="222" t="e">
        <f>INDEX(Orçamentária!A:B,MATCH(Composições!A7246,Orçamentária!A:A,0),2)</f>
        <v>#N/A</v>
      </c>
      <c r="C7246" s="35"/>
      <c r="D7246" s="20" t="s">
        <v>20</v>
      </c>
      <c r="E7246" s="21"/>
      <c r="F7246" s="36" t="s">
        <v>521</v>
      </c>
      <c r="G7246" s="22" t="str">
        <f t="shared" si="222"/>
        <v/>
      </c>
      <c r="H7246" s="23"/>
      <c r="I7246" s="24"/>
      <c r="J7246" s="138">
        <v>0</v>
      </c>
    </row>
    <row r="7247" spans="1:10" ht="15.75" hidden="1" thickBot="1" x14ac:dyDescent="0.3">
      <c r="A7247" s="221"/>
      <c r="B7247" s="223"/>
      <c r="C7247" s="26"/>
      <c r="D7247" s="26"/>
      <c r="E7247" s="27"/>
      <c r="F7247" s="37" t="s">
        <v>521</v>
      </c>
      <c r="G7247" s="25" t="str">
        <f t="shared" si="222"/>
        <v/>
      </c>
      <c r="H7247" s="29"/>
      <c r="I7247" s="25"/>
      <c r="J7247" s="138">
        <v>0</v>
      </c>
    </row>
    <row r="7248" spans="1:10" ht="15.75" hidden="1" thickBot="1" x14ac:dyDescent="0.3">
      <c r="A7248" s="221"/>
      <c r="B7248" s="223"/>
      <c r="C7248" s="30" t="s">
        <v>52</v>
      </c>
      <c r="D7248" s="41" t="s">
        <v>12</v>
      </c>
      <c r="E7248" s="31">
        <v>3.5</v>
      </c>
      <c r="F7248" s="25">
        <v>21.184999999999999</v>
      </c>
      <c r="G7248" s="28">
        <f t="shared" si="222"/>
        <v>74.147499999999994</v>
      </c>
      <c r="H7248" s="33">
        <f>SUM(G7248:G7250)</f>
        <v>166.61574999999999</v>
      </c>
      <c r="I7248" s="34"/>
      <c r="J7248" s="138">
        <v>0</v>
      </c>
    </row>
    <row r="7249" spans="1:10" ht="26.25" hidden="1" thickBot="1" x14ac:dyDescent="0.3">
      <c r="A7249" s="221"/>
      <c r="B7249" s="223"/>
      <c r="C7249" s="30" t="s">
        <v>568</v>
      </c>
      <c r="D7249" s="41" t="s">
        <v>12</v>
      </c>
      <c r="E7249" s="31">
        <v>3.5</v>
      </c>
      <c r="F7249" s="25">
        <v>26.419499999999999</v>
      </c>
      <c r="G7249" s="28">
        <f t="shared" si="222"/>
        <v>92.468249999999998</v>
      </c>
      <c r="H7249" s="29"/>
      <c r="I7249" s="25"/>
      <c r="J7249" s="138">
        <v>0</v>
      </c>
    </row>
    <row r="7250" spans="1:10" ht="15.75" hidden="1" thickBot="1" x14ac:dyDescent="0.3">
      <c r="A7250" s="221"/>
      <c r="B7250" s="223"/>
      <c r="C7250" s="30" t="s">
        <v>2737</v>
      </c>
      <c r="D7250" s="30" t="s">
        <v>144</v>
      </c>
      <c r="E7250" s="31">
        <v>1</v>
      </c>
      <c r="F7250" s="28" t="s">
        <v>521</v>
      </c>
      <c r="G7250" s="28" t="str">
        <f t="shared" si="222"/>
        <v/>
      </c>
      <c r="H7250" s="29"/>
      <c r="I7250" s="25"/>
      <c r="J7250" s="138">
        <v>0</v>
      </c>
    </row>
    <row r="7251" spans="1:10" ht="15.75" hidden="1" thickBot="1" x14ac:dyDescent="0.3">
      <c r="A7251" s="227"/>
      <c r="B7251" s="224"/>
      <c r="C7251" s="30"/>
      <c r="D7251" s="30"/>
      <c r="E7251" s="31"/>
      <c r="F7251" s="25" t="s">
        <v>521</v>
      </c>
      <c r="G7251" s="25" t="str">
        <f t="shared" si="222"/>
        <v/>
      </c>
      <c r="H7251" s="29"/>
      <c r="I7251" s="25"/>
      <c r="J7251" s="138">
        <v>0</v>
      </c>
    </row>
    <row r="7252" spans="1:10" ht="15.75" hidden="1" thickBot="1" x14ac:dyDescent="0.3">
      <c r="A7252" s="220" t="s">
        <v>2543</v>
      </c>
      <c r="B7252" s="222" t="e">
        <f>INDEX(Orçamentária!A:B,MATCH(Composições!A7252,Orçamentária!A:A,0),2)</f>
        <v>#N/A</v>
      </c>
      <c r="C7252" s="35"/>
      <c r="D7252" s="20" t="s">
        <v>20</v>
      </c>
      <c r="E7252" s="21"/>
      <c r="F7252" s="43" t="s">
        <v>521</v>
      </c>
      <c r="G7252" s="22" t="str">
        <f t="shared" si="222"/>
        <v/>
      </c>
      <c r="H7252" s="23"/>
      <c r="I7252" s="24"/>
      <c r="J7252" s="138">
        <v>0</v>
      </c>
    </row>
    <row r="7253" spans="1:10" ht="15.75" hidden="1" thickBot="1" x14ac:dyDescent="0.3">
      <c r="A7253" s="225"/>
      <c r="B7253" s="223"/>
      <c r="C7253" s="152"/>
      <c r="D7253" s="26"/>
      <c r="E7253" s="153"/>
      <c r="F7253" s="48" t="s">
        <v>521</v>
      </c>
      <c r="G7253" s="48" t="str">
        <f t="shared" si="222"/>
        <v/>
      </c>
      <c r="H7253" s="67"/>
      <c r="I7253" s="68"/>
      <c r="J7253" s="138">
        <v>0</v>
      </c>
    </row>
    <row r="7254" spans="1:10" ht="39" hidden="1" thickBot="1" x14ac:dyDescent="0.3">
      <c r="A7254" s="225"/>
      <c r="B7254" s="223"/>
      <c r="C7254" s="30" t="s">
        <v>1600</v>
      </c>
      <c r="D7254" s="41" t="s">
        <v>120</v>
      </c>
      <c r="E7254" s="31">
        <v>1.9199999999999998E-2</v>
      </c>
      <c r="F7254" s="25">
        <v>785.34832377599992</v>
      </c>
      <c r="G7254" s="48">
        <f t="shared" si="222"/>
        <v>15.078687816499198</v>
      </c>
      <c r="H7254" s="33">
        <f>SUM(G7254:G7256)</f>
        <v>43.3131913164992</v>
      </c>
      <c r="I7254" s="34"/>
      <c r="J7254" s="138">
        <v>0</v>
      </c>
    </row>
    <row r="7255" spans="1:10" ht="15.75" hidden="1" thickBot="1" x14ac:dyDescent="0.3">
      <c r="A7255" s="225"/>
      <c r="B7255" s="223"/>
      <c r="C7255" s="30" t="s">
        <v>74</v>
      </c>
      <c r="D7255" s="41" t="s">
        <v>12</v>
      </c>
      <c r="E7255" s="31">
        <v>0.63370000000000004</v>
      </c>
      <c r="F7255" s="25">
        <v>19.4085</v>
      </c>
      <c r="G7255" s="48">
        <f t="shared" si="222"/>
        <v>12.299166450000001</v>
      </c>
      <c r="H7255" s="38"/>
      <c r="I7255" s="34"/>
      <c r="J7255" s="138">
        <v>0</v>
      </c>
    </row>
    <row r="7256" spans="1:10" ht="15.75" hidden="1" thickBot="1" x14ac:dyDescent="0.3">
      <c r="A7256" s="225"/>
      <c r="B7256" s="223"/>
      <c r="C7256" s="30" t="s">
        <v>30</v>
      </c>
      <c r="D7256" s="41" t="s">
        <v>12</v>
      </c>
      <c r="E7256" s="31">
        <v>0.63370000000000004</v>
      </c>
      <c r="F7256" s="25">
        <v>25.146499999999996</v>
      </c>
      <c r="G7256" s="48">
        <f t="shared" si="222"/>
        <v>15.935337049999999</v>
      </c>
      <c r="H7256" s="38"/>
      <c r="I7256" s="34"/>
      <c r="J7256" s="138">
        <v>0</v>
      </c>
    </row>
    <row r="7257" spans="1:10" ht="15.75" hidden="1" thickBot="1" x14ac:dyDescent="0.3">
      <c r="A7257" s="226"/>
      <c r="B7257" s="224"/>
      <c r="C7257" s="30"/>
      <c r="D7257" s="30"/>
      <c r="E7257" s="146"/>
      <c r="F7257" s="25" t="s">
        <v>521</v>
      </c>
      <c r="G7257" s="48"/>
      <c r="H7257" s="38"/>
      <c r="I7257" s="34"/>
      <c r="J7257" s="138">
        <v>0</v>
      </c>
    </row>
    <row r="7258" spans="1:10" ht="15.75" hidden="1" thickBot="1" x14ac:dyDescent="0.3">
      <c r="A7258" s="163" t="s">
        <v>2544</v>
      </c>
      <c r="B7258" s="173" t="e">
        <f>INDEX(Orçamentária!A:B,MATCH(Composições!A7258,Orçamentária!A:A,0),2)</f>
        <v>#N/A</v>
      </c>
      <c r="C7258" s="35"/>
      <c r="D7258" s="20" t="s">
        <v>20</v>
      </c>
      <c r="E7258" s="21"/>
      <c r="F7258" s="43" t="s">
        <v>521</v>
      </c>
      <c r="G7258" s="22" t="str">
        <f t="shared" ref="G7258:G7321" si="224">IF(ISNUMBER(F7258),E7258*F7258,"")</f>
        <v/>
      </c>
      <c r="H7258" s="23"/>
      <c r="I7258" s="24"/>
      <c r="J7258" s="138">
        <v>0</v>
      </c>
    </row>
    <row r="7259" spans="1:10" ht="15.75" hidden="1" thickBot="1" x14ac:dyDescent="0.3">
      <c r="A7259" s="164"/>
      <c r="B7259" s="174"/>
      <c r="C7259" s="152"/>
      <c r="D7259" s="26"/>
      <c r="E7259" s="153"/>
      <c r="F7259" s="48" t="s">
        <v>521</v>
      </c>
      <c r="G7259" s="48" t="str">
        <f t="shared" si="224"/>
        <v/>
      </c>
      <c r="H7259" s="67"/>
      <c r="I7259" s="68"/>
      <c r="J7259" s="138">
        <v>0</v>
      </c>
    </row>
    <row r="7260" spans="1:10" ht="26.25" hidden="1" thickBot="1" x14ac:dyDescent="0.3">
      <c r="A7260" s="164"/>
      <c r="B7260" s="174"/>
      <c r="C7260" s="30" t="s">
        <v>1645</v>
      </c>
      <c r="D7260" s="30" t="s">
        <v>20</v>
      </c>
      <c r="E7260" s="146">
        <v>1</v>
      </c>
      <c r="F7260" s="25">
        <v>119.26300000000001</v>
      </c>
      <c r="G7260" s="48">
        <f t="shared" si="224"/>
        <v>119.26300000000001</v>
      </c>
      <c r="H7260" s="33">
        <f>SUM(G7260:G7263)</f>
        <v>142.8966155</v>
      </c>
      <c r="I7260" s="34"/>
      <c r="J7260" s="138">
        <v>0</v>
      </c>
    </row>
    <row r="7261" spans="1:10" ht="39" hidden="1" thickBot="1" x14ac:dyDescent="0.3">
      <c r="A7261" s="164"/>
      <c r="B7261" s="174"/>
      <c r="C7261" s="30" t="s">
        <v>1622</v>
      </c>
      <c r="D7261" s="30" t="s">
        <v>20</v>
      </c>
      <c r="E7261" s="31">
        <v>2</v>
      </c>
      <c r="F7261" s="28">
        <v>0.40849999999999997</v>
      </c>
      <c r="G7261" s="28">
        <f t="shared" si="224"/>
        <v>0.81699999999999995</v>
      </c>
      <c r="H7261" s="29"/>
      <c r="I7261" s="25"/>
      <c r="J7261" s="138">
        <v>0</v>
      </c>
    </row>
    <row r="7262" spans="1:10" ht="15.75" hidden="1" thickBot="1" x14ac:dyDescent="0.3">
      <c r="A7262" s="164"/>
      <c r="B7262" s="174"/>
      <c r="C7262" s="30" t="s">
        <v>1156</v>
      </c>
      <c r="D7262" s="30" t="s">
        <v>702</v>
      </c>
      <c r="E7262" s="31">
        <v>0.5121</v>
      </c>
      <c r="F7262" s="25">
        <v>19.4085</v>
      </c>
      <c r="G7262" s="48">
        <f t="shared" si="224"/>
        <v>9.9390928499999998</v>
      </c>
      <c r="H7262" s="38"/>
      <c r="I7262" s="34"/>
      <c r="J7262" s="138">
        <v>0</v>
      </c>
    </row>
    <row r="7263" spans="1:10" ht="15.75" hidden="1" thickBot="1" x14ac:dyDescent="0.3">
      <c r="A7263" s="164"/>
      <c r="B7263" s="174"/>
      <c r="C7263" s="30" t="s">
        <v>1157</v>
      </c>
      <c r="D7263" s="30" t="s">
        <v>702</v>
      </c>
      <c r="E7263" s="31">
        <v>0.5121</v>
      </c>
      <c r="F7263" s="25">
        <v>25.146499999999996</v>
      </c>
      <c r="G7263" s="48">
        <f t="shared" si="224"/>
        <v>12.877522649999998</v>
      </c>
      <c r="H7263" s="38"/>
      <c r="I7263" s="34"/>
      <c r="J7263" s="138">
        <v>0</v>
      </c>
    </row>
    <row r="7264" spans="1:10" ht="15.75" hidden="1" thickBot="1" x14ac:dyDescent="0.3">
      <c r="A7264" s="165"/>
      <c r="B7264" s="175"/>
      <c r="C7264" s="49"/>
      <c r="D7264" s="148"/>
      <c r="E7264" s="60"/>
      <c r="F7264" s="70" t="s">
        <v>521</v>
      </c>
      <c r="G7264" s="70" t="str">
        <f t="shared" si="224"/>
        <v/>
      </c>
      <c r="H7264" s="71"/>
      <c r="I7264" s="68"/>
      <c r="J7264" s="138">
        <v>0</v>
      </c>
    </row>
    <row r="7265" spans="1:10" ht="15.75" hidden="1" thickBot="1" x14ac:dyDescent="0.3">
      <c r="A7265" s="220" t="s">
        <v>2545</v>
      </c>
      <c r="B7265" s="222" t="e">
        <f>INDEX(Orçamentária!A:B,MATCH(Composições!A7265,Orçamentária!A:A,0),2)</f>
        <v>#N/A</v>
      </c>
      <c r="C7265" s="35"/>
      <c r="D7265" s="20" t="s">
        <v>2739</v>
      </c>
      <c r="E7265" s="21"/>
      <c r="F7265" s="36" t="s">
        <v>521</v>
      </c>
      <c r="G7265" s="22" t="str">
        <f t="shared" si="224"/>
        <v/>
      </c>
      <c r="H7265" s="23"/>
      <c r="I7265" s="24"/>
      <c r="J7265" s="138">
        <v>0</v>
      </c>
    </row>
    <row r="7266" spans="1:10" ht="15.75" hidden="1" thickBot="1" x14ac:dyDescent="0.3">
      <c r="A7266" s="221"/>
      <c r="B7266" s="223"/>
      <c r="C7266" s="143"/>
      <c r="D7266" s="26"/>
      <c r="E7266" s="27"/>
      <c r="F7266" s="37" t="s">
        <v>521</v>
      </c>
      <c r="G7266" s="25" t="str">
        <f t="shared" si="224"/>
        <v/>
      </c>
      <c r="H7266" s="29"/>
      <c r="I7266" s="25"/>
      <c r="J7266" s="138">
        <v>0</v>
      </c>
    </row>
    <row r="7267" spans="1:10" ht="15.75" hidden="1" thickBot="1" x14ac:dyDescent="0.3">
      <c r="A7267" s="221"/>
      <c r="B7267" s="223"/>
      <c r="C7267" s="30" t="s">
        <v>2786</v>
      </c>
      <c r="D7267" s="30" t="s">
        <v>102</v>
      </c>
      <c r="E7267" s="31">
        <v>0.91</v>
      </c>
      <c r="F7267" s="25" t="s">
        <v>521</v>
      </c>
      <c r="G7267" s="25" t="str">
        <f t="shared" si="224"/>
        <v/>
      </c>
      <c r="H7267" s="33">
        <f>SUM(G7267:G7268)</f>
        <v>0</v>
      </c>
      <c r="I7267" s="34"/>
      <c r="J7267" s="138">
        <v>0</v>
      </c>
    </row>
    <row r="7268" spans="1:10" ht="15.75" hidden="1" thickBot="1" x14ac:dyDescent="0.3">
      <c r="A7268" s="221"/>
      <c r="B7268" s="223"/>
      <c r="C7268" s="30" t="s">
        <v>2738</v>
      </c>
      <c r="D7268" s="30" t="s">
        <v>102</v>
      </c>
      <c r="E7268" s="31">
        <v>0.09</v>
      </c>
      <c r="F7268" s="25" t="s">
        <v>521</v>
      </c>
      <c r="G7268" s="25" t="str">
        <f t="shared" si="224"/>
        <v/>
      </c>
      <c r="H7268" s="29"/>
      <c r="I7268" s="34"/>
      <c r="J7268" s="138">
        <v>0</v>
      </c>
    </row>
    <row r="7269" spans="1:10" ht="15.75" hidden="1" thickBot="1" x14ac:dyDescent="0.3">
      <c r="A7269" s="227"/>
      <c r="B7269" s="224"/>
      <c r="C7269" s="30"/>
      <c r="D7269" s="49"/>
      <c r="E7269" s="60"/>
      <c r="F7269" s="61" t="s">
        <v>521</v>
      </c>
      <c r="G7269" s="61" t="str">
        <f t="shared" si="224"/>
        <v/>
      </c>
      <c r="H7269" s="63"/>
      <c r="I7269" s="25"/>
      <c r="J7269" s="138">
        <v>0</v>
      </c>
    </row>
    <row r="7270" spans="1:10" ht="15.75" hidden="1" thickBot="1" x14ac:dyDescent="0.3">
      <c r="A7270" s="220" t="s">
        <v>2546</v>
      </c>
      <c r="B7270" s="222" t="e">
        <f>INDEX(Orçamentária!A:B,MATCH(Composições!A7270,Orçamentária!A:A,0),2)</f>
        <v>#N/A</v>
      </c>
      <c r="C7270" s="35"/>
      <c r="D7270" s="20" t="s">
        <v>2739</v>
      </c>
      <c r="E7270" s="21"/>
      <c r="F7270" s="36" t="s">
        <v>521</v>
      </c>
      <c r="G7270" s="22" t="str">
        <f t="shared" si="224"/>
        <v/>
      </c>
      <c r="H7270" s="23"/>
      <c r="I7270" s="24"/>
      <c r="J7270" s="138">
        <v>0</v>
      </c>
    </row>
    <row r="7271" spans="1:10" ht="15.75" hidden="1" thickBot="1" x14ac:dyDescent="0.3">
      <c r="A7271" s="221"/>
      <c r="B7271" s="223"/>
      <c r="C7271" s="26"/>
      <c r="D7271" s="26"/>
      <c r="E7271" s="27"/>
      <c r="F7271" s="37" t="s">
        <v>521</v>
      </c>
      <c r="G7271" s="25" t="str">
        <f t="shared" si="224"/>
        <v/>
      </c>
      <c r="H7271" s="29"/>
      <c r="I7271" s="25"/>
      <c r="J7271" s="138">
        <v>0</v>
      </c>
    </row>
    <row r="7272" spans="1:10" ht="15.75" hidden="1" thickBot="1" x14ac:dyDescent="0.3">
      <c r="A7272" s="221"/>
      <c r="B7272" s="223"/>
      <c r="C7272" s="30" t="s">
        <v>2786</v>
      </c>
      <c r="D7272" s="30" t="s">
        <v>102</v>
      </c>
      <c r="E7272" s="31">
        <v>0.96</v>
      </c>
      <c r="F7272" s="25" t="s">
        <v>521</v>
      </c>
      <c r="G7272" s="25" t="str">
        <f t="shared" si="224"/>
        <v/>
      </c>
      <c r="H7272" s="33">
        <f>SUM(G7272:G7273)</f>
        <v>0</v>
      </c>
      <c r="I7272" s="34"/>
      <c r="J7272" s="138">
        <v>0</v>
      </c>
    </row>
    <row r="7273" spans="1:10" ht="15.75" hidden="1" thickBot="1" x14ac:dyDescent="0.3">
      <c r="A7273" s="221"/>
      <c r="B7273" s="223"/>
      <c r="C7273" s="30" t="s">
        <v>2740</v>
      </c>
      <c r="D7273" s="30" t="s">
        <v>102</v>
      </c>
      <c r="E7273" s="31">
        <v>0.04</v>
      </c>
      <c r="F7273" s="25" t="s">
        <v>521</v>
      </c>
      <c r="G7273" s="25" t="str">
        <f t="shared" si="224"/>
        <v/>
      </c>
      <c r="H7273" s="29"/>
      <c r="I7273" s="34"/>
      <c r="J7273" s="138">
        <v>0</v>
      </c>
    </row>
    <row r="7274" spans="1:10" ht="15.75" hidden="1" thickBot="1" x14ac:dyDescent="0.3">
      <c r="A7274" s="227"/>
      <c r="B7274" s="224"/>
      <c r="C7274" s="30"/>
      <c r="D7274" s="49"/>
      <c r="E7274" s="60"/>
      <c r="F7274" s="61" t="s">
        <v>521</v>
      </c>
      <c r="G7274" s="61" t="str">
        <f t="shared" si="224"/>
        <v/>
      </c>
      <c r="H7274" s="63"/>
      <c r="I7274" s="25"/>
      <c r="J7274" s="138">
        <v>0</v>
      </c>
    </row>
    <row r="7275" spans="1:10" ht="15.75" hidden="1" thickBot="1" x14ac:dyDescent="0.3">
      <c r="A7275" s="220" t="s">
        <v>2547</v>
      </c>
      <c r="B7275" s="222" t="e">
        <f>INDEX(Orçamentária!A:B,MATCH(Composições!A7275,Orçamentária!A:A,0),2)</f>
        <v>#N/A</v>
      </c>
      <c r="C7275" s="35"/>
      <c r="D7275" s="20" t="s">
        <v>2739</v>
      </c>
      <c r="E7275" s="21"/>
      <c r="F7275" s="36" t="s">
        <v>521</v>
      </c>
      <c r="G7275" s="22" t="str">
        <f t="shared" si="224"/>
        <v/>
      </c>
      <c r="H7275" s="23"/>
      <c r="I7275" s="24"/>
      <c r="J7275" s="138">
        <v>0</v>
      </c>
    </row>
    <row r="7276" spans="1:10" ht="15.75" hidden="1" thickBot="1" x14ac:dyDescent="0.3">
      <c r="A7276" s="221"/>
      <c r="B7276" s="223"/>
      <c r="C7276" s="143"/>
      <c r="D7276" s="26"/>
      <c r="E7276" s="27"/>
      <c r="F7276" s="37" t="s">
        <v>521</v>
      </c>
      <c r="G7276" s="28" t="str">
        <f t="shared" si="224"/>
        <v/>
      </c>
      <c r="H7276" s="29"/>
      <c r="I7276" s="25"/>
      <c r="J7276" s="138">
        <v>0</v>
      </c>
    </row>
    <row r="7277" spans="1:10" ht="15.75" hidden="1" thickBot="1" x14ac:dyDescent="0.3">
      <c r="A7277" s="221"/>
      <c r="B7277" s="223"/>
      <c r="C7277" s="145" t="s">
        <v>2786</v>
      </c>
      <c r="D7277" s="30" t="s">
        <v>102</v>
      </c>
      <c r="E7277" s="146">
        <v>0.5</v>
      </c>
      <c r="F7277" s="25" t="s">
        <v>521</v>
      </c>
      <c r="G7277" s="28" t="str">
        <f t="shared" si="224"/>
        <v/>
      </c>
      <c r="H7277" s="33">
        <f>SUM(G7277:G7278)</f>
        <v>0</v>
      </c>
      <c r="I7277" s="34"/>
      <c r="J7277" s="138">
        <v>0</v>
      </c>
    </row>
    <row r="7278" spans="1:10" ht="15.75" hidden="1" thickBot="1" x14ac:dyDescent="0.3">
      <c r="A7278" s="221"/>
      <c r="B7278" s="223"/>
      <c r="C7278" s="145" t="s">
        <v>2741</v>
      </c>
      <c r="D7278" s="30" t="s">
        <v>102</v>
      </c>
      <c r="E7278" s="146">
        <v>0.5</v>
      </c>
      <c r="F7278" s="25" t="s">
        <v>521</v>
      </c>
      <c r="G7278" s="25" t="str">
        <f t="shared" si="224"/>
        <v/>
      </c>
      <c r="H7278" s="29"/>
      <c r="I7278" s="34"/>
      <c r="J7278" s="138">
        <v>0</v>
      </c>
    </row>
    <row r="7279" spans="1:10" ht="15.75" hidden="1" thickBot="1" x14ac:dyDescent="0.3">
      <c r="A7279" s="227"/>
      <c r="B7279" s="224"/>
      <c r="C7279" s="49"/>
      <c r="D7279" s="30"/>
      <c r="E7279" s="31"/>
      <c r="F7279" s="25" t="s">
        <v>521</v>
      </c>
      <c r="G7279" s="28" t="str">
        <f t="shared" si="224"/>
        <v/>
      </c>
      <c r="H7279" s="29"/>
      <c r="I7279" s="25"/>
      <c r="J7279" s="138">
        <v>0</v>
      </c>
    </row>
    <row r="7280" spans="1:10" ht="15.75" hidden="1" thickBot="1" x14ac:dyDescent="0.3">
      <c r="A7280" s="220" t="s">
        <v>2742</v>
      </c>
      <c r="B7280" s="222" t="e">
        <f>INDEX(Orçamentária!A:B,MATCH(Composições!A7280,Orçamentária!A:A,0),2)</f>
        <v>#N/A</v>
      </c>
      <c r="C7280" s="35"/>
      <c r="D7280" s="20" t="s">
        <v>20</v>
      </c>
      <c r="E7280" s="21"/>
      <c r="F7280" s="36" t="s">
        <v>521</v>
      </c>
      <c r="G7280" s="22" t="str">
        <f t="shared" si="224"/>
        <v/>
      </c>
      <c r="H7280" s="23"/>
      <c r="I7280" s="24"/>
      <c r="J7280" s="138">
        <v>0</v>
      </c>
    </row>
    <row r="7281" spans="1:10" ht="15.75" hidden="1" thickBot="1" x14ac:dyDescent="0.3">
      <c r="A7281" s="221"/>
      <c r="B7281" s="223"/>
      <c r="C7281" s="143"/>
      <c r="D7281" s="26"/>
      <c r="E7281" s="27"/>
      <c r="F7281" s="37" t="s">
        <v>521</v>
      </c>
      <c r="G7281" s="25" t="str">
        <f t="shared" si="224"/>
        <v/>
      </c>
      <c r="H7281" s="29"/>
      <c r="I7281" s="25"/>
      <c r="J7281" s="138">
        <v>0</v>
      </c>
    </row>
    <row r="7282" spans="1:10" ht="26.25" hidden="1" thickBot="1" x14ac:dyDescent="0.3">
      <c r="A7282" s="221"/>
      <c r="B7282" s="223"/>
      <c r="C7282" s="145" t="s">
        <v>2580</v>
      </c>
      <c r="D7282" s="30" t="s">
        <v>20</v>
      </c>
      <c r="E7282" s="146">
        <v>1</v>
      </c>
      <c r="F7282" s="25">
        <v>40.403500000000001</v>
      </c>
      <c r="G7282" s="25">
        <f t="shared" si="224"/>
        <v>40.403500000000001</v>
      </c>
      <c r="H7282" s="33">
        <f t="shared" ref="H7282" si="225">SUM(G7282:G7282)</f>
        <v>40.403500000000001</v>
      </c>
      <c r="I7282" s="34"/>
      <c r="J7282" s="138">
        <v>0</v>
      </c>
    </row>
    <row r="7283" spans="1:10" ht="15.75" hidden="1" thickBot="1" x14ac:dyDescent="0.3">
      <c r="A7283" s="227"/>
      <c r="B7283" s="224"/>
      <c r="C7283" s="49"/>
      <c r="D7283" s="49"/>
      <c r="E7283" s="60"/>
      <c r="F7283" s="61" t="s">
        <v>521</v>
      </c>
      <c r="G7283" s="61" t="str">
        <f t="shared" si="224"/>
        <v/>
      </c>
      <c r="H7283" s="63"/>
      <c r="I7283" s="25"/>
      <c r="J7283" s="138">
        <v>0</v>
      </c>
    </row>
    <row r="7284" spans="1:10" ht="15.75" hidden="1" thickBot="1" x14ac:dyDescent="0.3">
      <c r="A7284" s="220" t="s">
        <v>2743</v>
      </c>
      <c r="B7284" s="222" t="e">
        <f>INDEX(Orçamentária!A:B,MATCH(Composições!A7284,Orçamentária!A:A,0),2)</f>
        <v>#N/A</v>
      </c>
      <c r="C7284" s="35"/>
      <c r="D7284" s="20" t="s">
        <v>20</v>
      </c>
      <c r="E7284" s="21"/>
      <c r="F7284" s="36" t="s">
        <v>521</v>
      </c>
      <c r="G7284" s="22" t="str">
        <f t="shared" si="224"/>
        <v/>
      </c>
      <c r="H7284" s="23"/>
      <c r="I7284" s="24"/>
      <c r="J7284" s="138">
        <v>0</v>
      </c>
    </row>
    <row r="7285" spans="1:10" ht="15.75" hidden="1" thickBot="1" x14ac:dyDescent="0.3">
      <c r="A7285" s="221"/>
      <c r="B7285" s="223"/>
      <c r="C7285" s="143"/>
      <c r="D7285" s="26"/>
      <c r="E7285" s="27"/>
      <c r="F7285" s="37" t="s">
        <v>521</v>
      </c>
      <c r="G7285" s="25" t="str">
        <f t="shared" si="224"/>
        <v/>
      </c>
      <c r="H7285" s="29"/>
      <c r="I7285" s="25"/>
      <c r="J7285" s="138">
        <v>0</v>
      </c>
    </row>
    <row r="7286" spans="1:10" ht="26.25" hidden="1" thickBot="1" x14ac:dyDescent="0.3">
      <c r="A7286" s="221"/>
      <c r="B7286" s="223"/>
      <c r="C7286" s="145" t="s">
        <v>2686</v>
      </c>
      <c r="D7286" s="30" t="s">
        <v>20</v>
      </c>
      <c r="E7286" s="146">
        <v>1</v>
      </c>
      <c r="F7286" s="25">
        <v>68.989000000000004</v>
      </c>
      <c r="G7286" s="25">
        <f t="shared" si="224"/>
        <v>68.989000000000004</v>
      </c>
      <c r="H7286" s="33">
        <f t="shared" ref="H7286" si="226">SUM(G7286:G7286)</f>
        <v>68.989000000000004</v>
      </c>
      <c r="I7286" s="34"/>
      <c r="J7286" s="138">
        <v>0</v>
      </c>
    </row>
    <row r="7287" spans="1:10" ht="15.75" hidden="1" thickBot="1" x14ac:dyDescent="0.3">
      <c r="A7287" s="227"/>
      <c r="B7287" s="224"/>
      <c r="C7287" s="49"/>
      <c r="D7287" s="49"/>
      <c r="E7287" s="60"/>
      <c r="F7287" s="61" t="s">
        <v>521</v>
      </c>
      <c r="G7287" s="61" t="str">
        <f t="shared" si="224"/>
        <v/>
      </c>
      <c r="H7287" s="63"/>
      <c r="I7287" s="25"/>
      <c r="J7287" s="138">
        <v>0</v>
      </c>
    </row>
    <row r="7288" spans="1:10" ht="15.75" hidden="1" thickBot="1" x14ac:dyDescent="0.3">
      <c r="A7288" s="220" t="s">
        <v>2744</v>
      </c>
      <c r="B7288" s="222" t="e">
        <f>INDEX(Orçamentária!A:B,MATCH(Composições!A7288,Orçamentária!A:A,0),2)</f>
        <v>#N/A</v>
      </c>
      <c r="C7288" s="35"/>
      <c r="D7288" s="20" t="s">
        <v>93</v>
      </c>
      <c r="E7288" s="21"/>
      <c r="F7288" s="36" t="s">
        <v>521</v>
      </c>
      <c r="G7288" s="22" t="str">
        <f t="shared" si="224"/>
        <v/>
      </c>
      <c r="H7288" s="23"/>
      <c r="I7288" s="24"/>
      <c r="J7288" s="138">
        <v>0</v>
      </c>
    </row>
    <row r="7289" spans="1:10" ht="15.75" hidden="1" thickBot="1" x14ac:dyDescent="0.3">
      <c r="A7289" s="221"/>
      <c r="B7289" s="223"/>
      <c r="C7289" s="143"/>
      <c r="D7289" s="26"/>
      <c r="E7289" s="27"/>
      <c r="F7289" s="37" t="s">
        <v>521</v>
      </c>
      <c r="G7289" s="28" t="str">
        <f t="shared" si="224"/>
        <v/>
      </c>
      <c r="H7289" s="29"/>
      <c r="I7289" s="25"/>
      <c r="J7289" s="138">
        <v>0</v>
      </c>
    </row>
    <row r="7290" spans="1:10" ht="26.25" hidden="1" thickBot="1" x14ac:dyDescent="0.3">
      <c r="A7290" s="221"/>
      <c r="B7290" s="223"/>
      <c r="C7290" s="145" t="s">
        <v>2736</v>
      </c>
      <c r="D7290" s="30" t="s">
        <v>93</v>
      </c>
      <c r="E7290" s="31">
        <v>1</v>
      </c>
      <c r="F7290" s="25">
        <v>65.207999999999998</v>
      </c>
      <c r="G7290" s="28">
        <f t="shared" si="224"/>
        <v>65.207999999999998</v>
      </c>
      <c r="H7290" s="33">
        <f>SUM(G7290:G7290)</f>
        <v>65.207999999999998</v>
      </c>
      <c r="I7290" s="34"/>
      <c r="J7290" s="138">
        <v>0</v>
      </c>
    </row>
    <row r="7291" spans="1:10" ht="15.75" hidden="1" thickBot="1" x14ac:dyDescent="0.3">
      <c r="A7291" s="227"/>
      <c r="B7291" s="224"/>
      <c r="C7291" s="49"/>
      <c r="D7291" s="30"/>
      <c r="E7291" s="31"/>
      <c r="F7291" s="25" t="s">
        <v>521</v>
      </c>
      <c r="G7291" s="28" t="str">
        <f t="shared" si="224"/>
        <v/>
      </c>
      <c r="H7291" s="29"/>
      <c r="I7291" s="25"/>
      <c r="J7291" s="138">
        <v>0</v>
      </c>
    </row>
    <row r="7292" spans="1:10" ht="15.75" hidden="1" thickBot="1" x14ac:dyDescent="0.3">
      <c r="A7292" s="220" t="s">
        <v>2745</v>
      </c>
      <c r="B7292" s="222" t="e">
        <f>INDEX(Orçamentária!A:B,MATCH(Composições!A7292,Orçamentária!A:A,0),2)</f>
        <v>#N/A</v>
      </c>
      <c r="C7292" s="35"/>
      <c r="D7292" s="20" t="s">
        <v>20</v>
      </c>
      <c r="E7292" s="21"/>
      <c r="F7292" s="36" t="s">
        <v>521</v>
      </c>
      <c r="G7292" s="22" t="str">
        <f t="shared" si="224"/>
        <v/>
      </c>
      <c r="H7292" s="23"/>
      <c r="I7292" s="24"/>
      <c r="J7292" s="138">
        <v>0</v>
      </c>
    </row>
    <row r="7293" spans="1:10" ht="15.75" hidden="1" thickBot="1" x14ac:dyDescent="0.3">
      <c r="A7293" s="221"/>
      <c r="B7293" s="223"/>
      <c r="C7293" s="26"/>
      <c r="D7293" s="26"/>
      <c r="E7293" s="27"/>
      <c r="F7293" s="37" t="s">
        <v>521</v>
      </c>
      <c r="G7293" s="25" t="str">
        <f t="shared" si="224"/>
        <v/>
      </c>
      <c r="H7293" s="29"/>
      <c r="I7293" s="25"/>
      <c r="J7293" s="138">
        <v>0</v>
      </c>
    </row>
    <row r="7294" spans="1:10" ht="26.25" hidden="1" thickBot="1" x14ac:dyDescent="0.3">
      <c r="A7294" s="221"/>
      <c r="B7294" s="223"/>
      <c r="C7294" s="159" t="s">
        <v>2561</v>
      </c>
      <c r="D7294" s="30" t="s">
        <v>20</v>
      </c>
      <c r="E7294" s="146">
        <v>1</v>
      </c>
      <c r="F7294" s="25">
        <v>5.3389999999999995</v>
      </c>
      <c r="G7294" s="25">
        <f t="shared" si="224"/>
        <v>5.3389999999999995</v>
      </c>
      <c r="H7294" s="33">
        <f t="shared" ref="H7294" si="227">SUM(G7294:G7294)</f>
        <v>5.3389999999999995</v>
      </c>
      <c r="I7294" s="34"/>
      <c r="J7294" s="138">
        <v>0</v>
      </c>
    </row>
    <row r="7295" spans="1:10" ht="15.75" hidden="1" thickBot="1" x14ac:dyDescent="0.3">
      <c r="A7295" s="227"/>
      <c r="B7295" s="224"/>
      <c r="C7295" s="49"/>
      <c r="D7295" s="49"/>
      <c r="E7295" s="60"/>
      <c r="F7295" s="61" t="s">
        <v>521</v>
      </c>
      <c r="G7295" s="61" t="str">
        <f t="shared" si="224"/>
        <v/>
      </c>
      <c r="H7295" s="63"/>
      <c r="I7295" s="25"/>
      <c r="J7295" s="138">
        <v>0</v>
      </c>
    </row>
    <row r="7296" spans="1:10" ht="15.75" hidden="1" thickBot="1" x14ac:dyDescent="0.3">
      <c r="A7296" s="220" t="s">
        <v>2746</v>
      </c>
      <c r="B7296" s="222" t="e">
        <f>INDEX(Orçamentária!A:B,MATCH(Composições!A7296,Orçamentária!A:A,0),2)</f>
        <v>#N/A</v>
      </c>
      <c r="C7296" s="35"/>
      <c r="D7296" s="20" t="s">
        <v>20</v>
      </c>
      <c r="E7296" s="21"/>
      <c r="F7296" s="36" t="s">
        <v>521</v>
      </c>
      <c r="G7296" s="22" t="str">
        <f t="shared" si="224"/>
        <v/>
      </c>
      <c r="H7296" s="23"/>
      <c r="I7296" s="24"/>
      <c r="J7296" s="138">
        <v>0</v>
      </c>
    </row>
    <row r="7297" spans="1:10" ht="15.75" hidden="1" thickBot="1" x14ac:dyDescent="0.3">
      <c r="A7297" s="221"/>
      <c r="B7297" s="223"/>
      <c r="C7297" s="26"/>
      <c r="D7297" s="26"/>
      <c r="E7297" s="27"/>
      <c r="F7297" s="37" t="s">
        <v>521</v>
      </c>
      <c r="G7297" s="25" t="str">
        <f t="shared" si="224"/>
        <v/>
      </c>
      <c r="H7297" s="29"/>
      <c r="I7297" s="25"/>
      <c r="J7297" s="138">
        <v>0</v>
      </c>
    </row>
    <row r="7298" spans="1:10" ht="15.75" hidden="1" thickBot="1" x14ac:dyDescent="0.3">
      <c r="A7298" s="221"/>
      <c r="B7298" s="223"/>
      <c r="C7298" s="159" t="s">
        <v>2754</v>
      </c>
      <c r="D7298" s="30" t="s">
        <v>20</v>
      </c>
      <c r="E7298" s="146">
        <v>1</v>
      </c>
      <c r="F7298" s="25">
        <v>0</v>
      </c>
      <c r="G7298" s="25">
        <f t="shared" si="224"/>
        <v>0</v>
      </c>
      <c r="H7298" s="33">
        <f t="shared" ref="H7298" si="228">SUM(G7298:G7298)</f>
        <v>0</v>
      </c>
      <c r="I7298" s="34"/>
      <c r="J7298" s="138">
        <v>0</v>
      </c>
    </row>
    <row r="7299" spans="1:10" ht="15.75" hidden="1" thickBot="1" x14ac:dyDescent="0.3">
      <c r="A7299" s="227"/>
      <c r="B7299" s="224"/>
      <c r="C7299" s="49"/>
      <c r="D7299" s="49"/>
      <c r="E7299" s="60"/>
      <c r="F7299" s="61" t="s">
        <v>521</v>
      </c>
      <c r="G7299" s="61" t="str">
        <f t="shared" si="224"/>
        <v/>
      </c>
      <c r="H7299" s="63"/>
      <c r="I7299" s="25"/>
      <c r="J7299" s="138">
        <v>0</v>
      </c>
    </row>
    <row r="7300" spans="1:10" ht="15.75" hidden="1" thickBot="1" x14ac:dyDescent="0.3">
      <c r="A7300" s="220" t="s">
        <v>2747</v>
      </c>
      <c r="B7300" s="222" t="e">
        <f>INDEX(Orçamentária!A:B,MATCH(Composições!A7300,Orçamentária!A:A,0),2)</f>
        <v>#N/A</v>
      </c>
      <c r="C7300" s="35"/>
      <c r="D7300" s="20" t="s">
        <v>20</v>
      </c>
      <c r="E7300" s="21"/>
      <c r="F7300" s="36" t="s">
        <v>521</v>
      </c>
      <c r="G7300" s="22" t="str">
        <f t="shared" si="224"/>
        <v/>
      </c>
      <c r="H7300" s="23"/>
      <c r="I7300" s="24"/>
      <c r="J7300" s="138">
        <v>0</v>
      </c>
    </row>
    <row r="7301" spans="1:10" ht="15.75" hidden="1" thickBot="1" x14ac:dyDescent="0.3">
      <c r="A7301" s="221"/>
      <c r="B7301" s="223"/>
      <c r="C7301" s="26"/>
      <c r="D7301" s="26"/>
      <c r="E7301" s="27"/>
      <c r="F7301" s="37" t="s">
        <v>521</v>
      </c>
      <c r="G7301" s="28" t="str">
        <f t="shared" si="224"/>
        <v/>
      </c>
      <c r="H7301" s="29"/>
      <c r="I7301" s="25"/>
      <c r="J7301" s="138">
        <v>0</v>
      </c>
    </row>
    <row r="7302" spans="1:10" ht="26.25" hidden="1" thickBot="1" x14ac:dyDescent="0.3">
      <c r="A7302" s="221"/>
      <c r="B7302" s="223"/>
      <c r="C7302" s="30" t="s">
        <v>2612</v>
      </c>
      <c r="D7302" s="30" t="s">
        <v>20</v>
      </c>
      <c r="E7302" s="31">
        <v>1</v>
      </c>
      <c r="F7302" s="25">
        <v>1.6054999999999999</v>
      </c>
      <c r="G7302" s="28">
        <f t="shared" si="224"/>
        <v>1.6054999999999999</v>
      </c>
      <c r="H7302" s="33">
        <f>SUM(G7302:G7302)</f>
        <v>1.6054999999999999</v>
      </c>
      <c r="I7302" s="34"/>
      <c r="J7302" s="138">
        <v>0</v>
      </c>
    </row>
    <row r="7303" spans="1:10" ht="15.75" hidden="1" thickBot="1" x14ac:dyDescent="0.3">
      <c r="A7303" s="227"/>
      <c r="B7303" s="224"/>
      <c r="C7303" s="30"/>
      <c r="D7303" s="30"/>
      <c r="E7303" s="31"/>
      <c r="F7303" s="25" t="s">
        <v>521</v>
      </c>
      <c r="G7303" s="28" t="str">
        <f t="shared" si="224"/>
        <v/>
      </c>
      <c r="H7303" s="29"/>
      <c r="I7303" s="25"/>
      <c r="J7303" s="138">
        <v>0</v>
      </c>
    </row>
    <row r="7304" spans="1:10" ht="15.75" hidden="1" thickBot="1" x14ac:dyDescent="0.3">
      <c r="A7304" s="220" t="s">
        <v>2748</v>
      </c>
      <c r="B7304" s="222" t="e">
        <f>INDEX(Orçamentária!A:B,MATCH(Composições!A7304,Orçamentária!A:A,0),2)</f>
        <v>#N/A</v>
      </c>
      <c r="C7304" s="35"/>
      <c r="D7304" s="20" t="s">
        <v>2752</v>
      </c>
      <c r="E7304" s="21"/>
      <c r="F7304" s="36" t="s">
        <v>521</v>
      </c>
      <c r="G7304" s="22" t="str">
        <f t="shared" si="224"/>
        <v/>
      </c>
      <c r="H7304" s="23"/>
      <c r="I7304" s="24"/>
      <c r="J7304" s="138">
        <v>0</v>
      </c>
    </row>
    <row r="7305" spans="1:10" ht="15.75" hidden="1" thickBot="1" x14ac:dyDescent="0.3">
      <c r="A7305" s="221"/>
      <c r="B7305" s="223"/>
      <c r="C7305" s="26"/>
      <c r="D7305" s="26"/>
      <c r="E7305" s="27"/>
      <c r="F7305" s="37" t="s">
        <v>521</v>
      </c>
      <c r="G7305" s="28" t="str">
        <f t="shared" si="224"/>
        <v/>
      </c>
      <c r="H7305" s="29"/>
      <c r="I7305" s="25"/>
      <c r="J7305" s="138">
        <v>0</v>
      </c>
    </row>
    <row r="7306" spans="1:10" ht="15.75" hidden="1" thickBot="1" x14ac:dyDescent="0.3">
      <c r="A7306" s="221"/>
      <c r="B7306" s="223"/>
      <c r="C7306" s="30" t="s">
        <v>931</v>
      </c>
      <c r="D7306" s="30" t="s">
        <v>42</v>
      </c>
      <c r="E7306" s="31">
        <v>25</v>
      </c>
      <c r="F7306" s="25">
        <v>1.7384999999999999</v>
      </c>
      <c r="G7306" s="28">
        <f t="shared" si="224"/>
        <v>43.462499999999999</v>
      </c>
      <c r="H7306" s="33">
        <f>SUM(G7306:G7306)</f>
        <v>43.462499999999999</v>
      </c>
      <c r="I7306" s="34"/>
      <c r="J7306" s="138">
        <v>0</v>
      </c>
    </row>
    <row r="7307" spans="1:10" ht="15.75" hidden="1" thickBot="1" x14ac:dyDescent="0.3">
      <c r="A7307" s="227"/>
      <c r="B7307" s="224"/>
      <c r="C7307" s="30"/>
      <c r="D7307" s="30"/>
      <c r="E7307" s="31"/>
      <c r="F7307" s="25" t="s">
        <v>521</v>
      </c>
      <c r="G7307" s="28" t="str">
        <f t="shared" si="224"/>
        <v/>
      </c>
      <c r="H7307" s="29"/>
      <c r="I7307" s="25"/>
      <c r="J7307" s="138">
        <v>0</v>
      </c>
    </row>
    <row r="7308" spans="1:10" ht="15.75" hidden="1" thickBot="1" x14ac:dyDescent="0.3">
      <c r="A7308" s="220" t="s">
        <v>2749</v>
      </c>
      <c r="B7308" s="222" t="e">
        <f>INDEX(Orçamentária!A:B,MATCH(Composições!A7308,Orçamentária!A:A,0),2)</f>
        <v>#N/A</v>
      </c>
      <c r="C7308" s="35"/>
      <c r="D7308" s="20" t="s">
        <v>95</v>
      </c>
      <c r="E7308" s="21"/>
      <c r="F7308" s="36" t="s">
        <v>521</v>
      </c>
      <c r="G7308" s="22" t="str">
        <f t="shared" si="224"/>
        <v/>
      </c>
      <c r="H7308" s="23"/>
      <c r="I7308" s="24"/>
      <c r="J7308" s="138">
        <v>0</v>
      </c>
    </row>
    <row r="7309" spans="1:10" ht="15.75" hidden="1" thickBot="1" x14ac:dyDescent="0.3">
      <c r="A7309" s="221"/>
      <c r="B7309" s="223"/>
      <c r="C7309" s="26"/>
      <c r="D7309" s="26"/>
      <c r="E7309" s="27"/>
      <c r="F7309" s="37" t="s">
        <v>521</v>
      </c>
      <c r="G7309" s="28" t="str">
        <f t="shared" si="224"/>
        <v/>
      </c>
      <c r="H7309" s="29"/>
      <c r="I7309" s="25"/>
      <c r="J7309" s="138">
        <v>0</v>
      </c>
    </row>
    <row r="7310" spans="1:10" ht="26.25" hidden="1" thickBot="1" x14ac:dyDescent="0.3">
      <c r="A7310" s="221"/>
      <c r="B7310" s="223"/>
      <c r="C7310" s="30" t="s">
        <v>2656</v>
      </c>
      <c r="D7310" s="30" t="s">
        <v>95</v>
      </c>
      <c r="E7310" s="31">
        <v>1</v>
      </c>
      <c r="F7310" s="25">
        <v>22.828499999999998</v>
      </c>
      <c r="G7310" s="28">
        <f t="shared" si="224"/>
        <v>22.828499999999998</v>
      </c>
      <c r="H7310" s="33">
        <f>SUM(G7310:G7310)</f>
        <v>22.828499999999998</v>
      </c>
      <c r="I7310" s="34"/>
      <c r="J7310" s="138">
        <v>0</v>
      </c>
    </row>
    <row r="7311" spans="1:10" ht="15.75" hidden="1" thickBot="1" x14ac:dyDescent="0.3">
      <c r="A7311" s="227"/>
      <c r="B7311" s="224"/>
      <c r="C7311" s="30"/>
      <c r="D7311" s="30"/>
      <c r="E7311" s="31"/>
      <c r="F7311" s="25" t="s">
        <v>521</v>
      </c>
      <c r="G7311" s="28" t="str">
        <f t="shared" si="224"/>
        <v/>
      </c>
      <c r="H7311" s="29"/>
      <c r="I7311" s="25"/>
      <c r="J7311" s="138">
        <v>0</v>
      </c>
    </row>
    <row r="7312" spans="1:10" ht="15.75" hidden="1" thickBot="1" x14ac:dyDescent="0.3">
      <c r="A7312" s="220" t="s">
        <v>2750</v>
      </c>
      <c r="B7312" s="222" t="e">
        <f>INDEX(Orçamentária!A:B,MATCH(Composições!A7312,Orçamentária!A:A,0),2)</f>
        <v>#N/A</v>
      </c>
      <c r="C7312" s="35"/>
      <c r="D7312" s="20" t="s">
        <v>93</v>
      </c>
      <c r="E7312" s="21"/>
      <c r="F7312" s="36" t="s">
        <v>521</v>
      </c>
      <c r="G7312" s="22" t="str">
        <f t="shared" si="224"/>
        <v/>
      </c>
      <c r="H7312" s="23"/>
      <c r="I7312" s="24"/>
      <c r="J7312" s="138">
        <v>0</v>
      </c>
    </row>
    <row r="7313" spans="1:10" ht="15.75" hidden="1" thickBot="1" x14ac:dyDescent="0.3">
      <c r="A7313" s="221"/>
      <c r="B7313" s="223"/>
      <c r="C7313" s="26"/>
      <c r="D7313" s="26"/>
      <c r="E7313" s="27"/>
      <c r="F7313" s="37" t="s">
        <v>521</v>
      </c>
      <c r="G7313" s="28" t="str">
        <f t="shared" si="224"/>
        <v/>
      </c>
      <c r="H7313" s="29"/>
      <c r="I7313" s="25"/>
      <c r="J7313" s="138">
        <v>0</v>
      </c>
    </row>
    <row r="7314" spans="1:10" ht="15.75" hidden="1" thickBot="1" x14ac:dyDescent="0.3">
      <c r="A7314" s="221"/>
      <c r="B7314" s="223"/>
      <c r="C7314" s="30" t="s">
        <v>1442</v>
      </c>
      <c r="D7314" s="30" t="s">
        <v>42</v>
      </c>
      <c r="E7314" s="31">
        <v>0.109</v>
      </c>
      <c r="F7314" s="25">
        <v>9.5</v>
      </c>
      <c r="G7314" s="28">
        <f t="shared" si="224"/>
        <v>1.0355000000000001</v>
      </c>
      <c r="H7314" s="33">
        <f>SUM(G7314:G7314)</f>
        <v>1.0355000000000001</v>
      </c>
      <c r="I7314" s="34"/>
      <c r="J7314" s="138">
        <v>0</v>
      </c>
    </row>
    <row r="7315" spans="1:10" ht="15.75" hidden="1" thickBot="1" x14ac:dyDescent="0.3">
      <c r="A7315" s="227"/>
      <c r="B7315" s="224"/>
      <c r="C7315" s="30"/>
      <c r="D7315" s="30"/>
      <c r="E7315" s="31"/>
      <c r="F7315" s="25" t="s">
        <v>521</v>
      </c>
      <c r="G7315" s="28" t="str">
        <f t="shared" si="224"/>
        <v/>
      </c>
      <c r="H7315" s="29"/>
      <c r="I7315" s="25"/>
      <c r="J7315" s="138">
        <v>0</v>
      </c>
    </row>
    <row r="7316" spans="1:10" ht="15.75" hidden="1" thickBot="1" x14ac:dyDescent="0.3">
      <c r="A7316" s="220" t="s">
        <v>2751</v>
      </c>
      <c r="B7316" s="222" t="e">
        <f>INDEX(Orçamentária!A:B,MATCH(Composições!A7316,Orçamentária!A:A,0),2)</f>
        <v>#N/A</v>
      </c>
      <c r="C7316" s="35"/>
      <c r="D7316" s="20" t="s">
        <v>2753</v>
      </c>
      <c r="E7316" s="21"/>
      <c r="F7316" s="36" t="s">
        <v>521</v>
      </c>
      <c r="G7316" s="22" t="str">
        <f t="shared" si="224"/>
        <v/>
      </c>
      <c r="H7316" s="23"/>
      <c r="I7316" s="24"/>
      <c r="J7316" s="138">
        <v>0</v>
      </c>
    </row>
    <row r="7317" spans="1:10" ht="15.75" hidden="1" thickBot="1" x14ac:dyDescent="0.3">
      <c r="A7317" s="221"/>
      <c r="B7317" s="223"/>
      <c r="C7317" s="26"/>
      <c r="D7317" s="26"/>
      <c r="E7317" s="27"/>
      <c r="F7317" s="37" t="s">
        <v>521</v>
      </c>
      <c r="G7317" s="28" t="str">
        <f t="shared" si="224"/>
        <v/>
      </c>
      <c r="H7317" s="29"/>
      <c r="I7317" s="25"/>
      <c r="J7317" s="138">
        <v>0</v>
      </c>
    </row>
    <row r="7318" spans="1:10" ht="15.75" hidden="1" thickBot="1" x14ac:dyDescent="0.3">
      <c r="A7318" s="221"/>
      <c r="B7318" s="223"/>
      <c r="C7318" s="30" t="s">
        <v>2755</v>
      </c>
      <c r="D7318" s="30" t="s">
        <v>109</v>
      </c>
      <c r="E7318" s="31">
        <v>0.1</v>
      </c>
      <c r="F7318" s="25">
        <v>0</v>
      </c>
      <c r="G7318" s="28">
        <f t="shared" si="224"/>
        <v>0</v>
      </c>
      <c r="H7318" s="33">
        <f>SUM(G7318:G7318)</f>
        <v>0</v>
      </c>
      <c r="I7318" s="34"/>
      <c r="J7318" s="138">
        <v>0</v>
      </c>
    </row>
    <row r="7319" spans="1:10" ht="15.75" hidden="1" thickBot="1" x14ac:dyDescent="0.3">
      <c r="A7319" s="227"/>
      <c r="B7319" s="224"/>
      <c r="C7319" s="49"/>
      <c r="D7319" s="49"/>
      <c r="E7319" s="60"/>
      <c r="F7319" s="61" t="s">
        <v>521</v>
      </c>
      <c r="G7319" s="62" t="str">
        <f t="shared" si="224"/>
        <v/>
      </c>
      <c r="H7319" s="63"/>
      <c r="I7319" s="25"/>
      <c r="J7319" s="138">
        <v>0</v>
      </c>
    </row>
    <row r="7320" spans="1:10" ht="15.75" hidden="1" thickBot="1" x14ac:dyDescent="0.3">
      <c r="A7320" s="220" t="s">
        <v>2758</v>
      </c>
      <c r="B7320" s="222" t="e">
        <f>INDEX(Orçamentária!A:B,MATCH(Composições!A7320,Orçamentária!A:A,0),2)</f>
        <v>#N/A</v>
      </c>
      <c r="C7320" s="35"/>
      <c r="D7320" s="20" t="s">
        <v>20</v>
      </c>
      <c r="E7320" s="21"/>
      <c r="F7320" s="36" t="s">
        <v>521</v>
      </c>
      <c r="G7320" s="22" t="str">
        <f t="shared" si="224"/>
        <v/>
      </c>
      <c r="H7320" s="23"/>
      <c r="I7320" s="24"/>
      <c r="J7320" s="138">
        <v>0</v>
      </c>
    </row>
    <row r="7321" spans="1:10" ht="15.75" hidden="1" thickBot="1" x14ac:dyDescent="0.3">
      <c r="A7321" s="221"/>
      <c r="B7321" s="223"/>
      <c r="C7321" s="26"/>
      <c r="D7321" s="26"/>
      <c r="E7321" s="27"/>
      <c r="F7321" s="37" t="s">
        <v>521</v>
      </c>
      <c r="G7321" s="28" t="str">
        <f t="shared" si="224"/>
        <v/>
      </c>
      <c r="H7321" s="29"/>
      <c r="I7321" s="25"/>
      <c r="J7321" s="138">
        <v>0</v>
      </c>
    </row>
    <row r="7322" spans="1:10" ht="15.75" hidden="1" thickBot="1" x14ac:dyDescent="0.3">
      <c r="A7322" s="221"/>
      <c r="B7322" s="223"/>
      <c r="C7322" s="30" t="s">
        <v>2783</v>
      </c>
      <c r="D7322" s="30" t="s">
        <v>20</v>
      </c>
      <c r="E7322" s="31">
        <v>1</v>
      </c>
      <c r="F7322" s="25">
        <v>0</v>
      </c>
      <c r="G7322" s="28">
        <f t="shared" ref="G7322:G7385" si="229">IF(ISNUMBER(F7322),E7322*F7322,"")</f>
        <v>0</v>
      </c>
      <c r="H7322" s="33">
        <f>SUM(G7322:G7322)</f>
        <v>0</v>
      </c>
      <c r="I7322" s="34"/>
      <c r="J7322" s="138">
        <v>0</v>
      </c>
    </row>
    <row r="7323" spans="1:10" ht="15.75" hidden="1" thickBot="1" x14ac:dyDescent="0.3">
      <c r="A7323" s="227"/>
      <c r="B7323" s="224"/>
      <c r="C7323" s="49"/>
      <c r="D7323" s="49"/>
      <c r="E7323" s="60"/>
      <c r="F7323" s="61" t="s">
        <v>521</v>
      </c>
      <c r="G7323" s="62" t="str">
        <f t="shared" si="229"/>
        <v/>
      </c>
      <c r="H7323" s="63"/>
      <c r="I7323" s="25"/>
      <c r="J7323" s="138">
        <v>0</v>
      </c>
    </row>
    <row r="7324" spans="1:10" ht="15.75" hidden="1" thickBot="1" x14ac:dyDescent="0.3">
      <c r="A7324" s="220" t="s">
        <v>2759</v>
      </c>
      <c r="B7324" s="222" t="e">
        <f>INDEX(Orçamentária!A:B,MATCH(Composições!A7324,Orçamentária!A:A,0),2)</f>
        <v>#N/A</v>
      </c>
      <c r="C7324" s="35"/>
      <c r="D7324" s="20" t="s">
        <v>20</v>
      </c>
      <c r="E7324" s="21"/>
      <c r="F7324" s="36" t="s">
        <v>521</v>
      </c>
      <c r="G7324" s="22" t="str">
        <f t="shared" si="229"/>
        <v/>
      </c>
      <c r="H7324" s="23"/>
      <c r="I7324" s="24"/>
      <c r="J7324" s="138">
        <v>0</v>
      </c>
    </row>
    <row r="7325" spans="1:10" ht="15.75" hidden="1" thickBot="1" x14ac:dyDescent="0.3">
      <c r="A7325" s="221"/>
      <c r="B7325" s="223"/>
      <c r="C7325" s="26"/>
      <c r="D7325" s="26"/>
      <c r="E7325" s="27"/>
      <c r="F7325" s="37" t="s">
        <v>521</v>
      </c>
      <c r="G7325" s="28" t="str">
        <f t="shared" si="229"/>
        <v/>
      </c>
      <c r="H7325" s="29"/>
      <c r="I7325" s="25"/>
      <c r="J7325" s="138">
        <v>0</v>
      </c>
    </row>
    <row r="7326" spans="1:10" ht="15.75" hidden="1" thickBot="1" x14ac:dyDescent="0.3">
      <c r="A7326" s="221"/>
      <c r="B7326" s="223"/>
      <c r="C7326" s="30" t="s">
        <v>2784</v>
      </c>
      <c r="D7326" s="30" t="s">
        <v>20</v>
      </c>
      <c r="E7326" s="31">
        <v>1</v>
      </c>
      <c r="F7326" s="25">
        <v>0</v>
      </c>
      <c r="G7326" s="28">
        <f t="shared" si="229"/>
        <v>0</v>
      </c>
      <c r="H7326" s="33">
        <f>SUM(G7326:G7326)</f>
        <v>0</v>
      </c>
      <c r="I7326" s="34"/>
      <c r="J7326" s="138">
        <v>0</v>
      </c>
    </row>
    <row r="7327" spans="1:10" ht="15.75" hidden="1" thickBot="1" x14ac:dyDescent="0.3">
      <c r="A7327" s="227"/>
      <c r="B7327" s="224"/>
      <c r="C7327" s="49"/>
      <c r="D7327" s="49"/>
      <c r="E7327" s="60"/>
      <c r="F7327" s="61" t="s">
        <v>521</v>
      </c>
      <c r="G7327" s="62" t="str">
        <f t="shared" si="229"/>
        <v/>
      </c>
      <c r="H7327" s="63"/>
      <c r="I7327" s="25"/>
      <c r="J7327" s="138">
        <v>0</v>
      </c>
    </row>
    <row r="7328" spans="1:10" ht="15.75" hidden="1" thickBot="1" x14ac:dyDescent="0.3">
      <c r="A7328" s="220" t="s">
        <v>2760</v>
      </c>
      <c r="B7328" s="222" t="e">
        <f>INDEX(Orçamentária!A:B,MATCH(Composições!A7328,Orçamentária!A:A,0),2)</f>
        <v>#N/A</v>
      </c>
      <c r="C7328" s="35"/>
      <c r="D7328" s="20" t="s">
        <v>20</v>
      </c>
      <c r="E7328" s="21"/>
      <c r="F7328" s="36" t="s">
        <v>521</v>
      </c>
      <c r="G7328" s="22" t="str">
        <f t="shared" si="229"/>
        <v/>
      </c>
      <c r="H7328" s="23"/>
      <c r="I7328" s="24"/>
      <c r="J7328" s="138">
        <v>0</v>
      </c>
    </row>
    <row r="7329" spans="1:10" ht="15.75" hidden="1" thickBot="1" x14ac:dyDescent="0.3">
      <c r="A7329" s="221"/>
      <c r="B7329" s="223"/>
      <c r="C7329" s="26"/>
      <c r="D7329" s="26"/>
      <c r="E7329" s="27"/>
      <c r="F7329" s="37" t="s">
        <v>521</v>
      </c>
      <c r="G7329" s="28" t="str">
        <f t="shared" si="229"/>
        <v/>
      </c>
      <c r="H7329" s="29"/>
      <c r="I7329" s="25"/>
      <c r="J7329" s="138">
        <v>0</v>
      </c>
    </row>
    <row r="7330" spans="1:10" ht="15.75" hidden="1" thickBot="1" x14ac:dyDescent="0.3">
      <c r="A7330" s="221"/>
      <c r="B7330" s="223"/>
      <c r="C7330" s="30" t="s">
        <v>2785</v>
      </c>
      <c r="D7330" s="30" t="s">
        <v>20</v>
      </c>
      <c r="E7330" s="31">
        <v>1</v>
      </c>
      <c r="F7330" s="25">
        <v>0</v>
      </c>
      <c r="G7330" s="28">
        <f t="shared" si="229"/>
        <v>0</v>
      </c>
      <c r="H7330" s="33">
        <f>SUM(G7330:G7330)</f>
        <v>0</v>
      </c>
      <c r="I7330" s="34"/>
      <c r="J7330" s="138">
        <v>0</v>
      </c>
    </row>
    <row r="7331" spans="1:10" ht="15.75" hidden="1" thickBot="1" x14ac:dyDescent="0.3">
      <c r="A7331" s="227"/>
      <c r="B7331" s="224"/>
      <c r="C7331" s="49"/>
      <c r="D7331" s="49"/>
      <c r="E7331" s="60"/>
      <c r="F7331" s="61" t="s">
        <v>521</v>
      </c>
      <c r="G7331" s="62" t="str">
        <f t="shared" si="229"/>
        <v/>
      </c>
      <c r="H7331" s="63"/>
      <c r="I7331" s="25"/>
      <c r="J7331" s="138">
        <v>0</v>
      </c>
    </row>
    <row r="7332" spans="1:10" ht="15.75" hidden="1" thickBot="1" x14ac:dyDescent="0.3">
      <c r="A7332" s="220" t="s">
        <v>2761</v>
      </c>
      <c r="B7332" s="222" t="e">
        <f>INDEX(Orçamentária!A:B,MATCH(Composições!A7332,Orçamentária!A:A,0),2)</f>
        <v>#N/A</v>
      </c>
      <c r="C7332" s="35"/>
      <c r="D7332" s="20" t="s">
        <v>93</v>
      </c>
      <c r="E7332" s="21"/>
      <c r="F7332" s="36" t="s">
        <v>521</v>
      </c>
      <c r="G7332" s="22" t="str">
        <f t="shared" si="229"/>
        <v/>
      </c>
      <c r="H7332" s="23"/>
      <c r="I7332" s="24"/>
      <c r="J7332" s="138">
        <v>0</v>
      </c>
    </row>
    <row r="7333" spans="1:10" ht="15.75" hidden="1" thickBot="1" x14ac:dyDescent="0.3">
      <c r="A7333" s="221"/>
      <c r="B7333" s="223"/>
      <c r="C7333" s="26"/>
      <c r="D7333" s="26"/>
      <c r="E7333" s="27"/>
      <c r="F7333" s="37" t="s">
        <v>521</v>
      </c>
      <c r="G7333" s="28" t="str">
        <f t="shared" si="229"/>
        <v/>
      </c>
      <c r="H7333" s="29"/>
      <c r="I7333" s="25"/>
      <c r="J7333" s="138">
        <v>0</v>
      </c>
    </row>
    <row r="7334" spans="1:10" ht="26.25" hidden="1" thickBot="1" x14ac:dyDescent="0.3">
      <c r="A7334" s="221"/>
      <c r="B7334" s="223"/>
      <c r="C7334" s="30" t="s">
        <v>1758</v>
      </c>
      <c r="D7334" s="30" t="s">
        <v>93</v>
      </c>
      <c r="E7334" s="31">
        <v>1</v>
      </c>
      <c r="F7334" s="25">
        <v>18.068999999999999</v>
      </c>
      <c r="G7334" s="28">
        <f t="shared" si="229"/>
        <v>18.068999999999999</v>
      </c>
      <c r="H7334" s="33">
        <f>SUM(G7334:G7334)</f>
        <v>18.068999999999999</v>
      </c>
      <c r="I7334" s="34"/>
      <c r="J7334" s="138">
        <v>0</v>
      </c>
    </row>
    <row r="7335" spans="1:10" ht="15.75" hidden="1" thickBot="1" x14ac:dyDescent="0.3">
      <c r="A7335" s="227"/>
      <c r="B7335" s="224"/>
      <c r="C7335" s="49"/>
      <c r="D7335" s="49"/>
      <c r="E7335" s="60"/>
      <c r="F7335" s="61" t="s">
        <v>521</v>
      </c>
      <c r="G7335" s="62" t="str">
        <f t="shared" si="229"/>
        <v/>
      </c>
      <c r="H7335" s="63"/>
      <c r="I7335" s="25"/>
      <c r="J7335" s="138">
        <v>0</v>
      </c>
    </row>
    <row r="7336" spans="1:10" ht="15.75" hidden="1" thickBot="1" x14ac:dyDescent="0.3">
      <c r="A7336" s="220" t="s">
        <v>2762</v>
      </c>
      <c r="B7336" s="222" t="e">
        <f>INDEX(Orçamentária!A:B,MATCH(Composições!A7336,Orçamentária!A:A,0),2)</f>
        <v>#N/A</v>
      </c>
      <c r="C7336" s="35"/>
      <c r="D7336" s="20" t="s">
        <v>93</v>
      </c>
      <c r="E7336" s="21"/>
      <c r="F7336" s="36" t="s">
        <v>521</v>
      </c>
      <c r="G7336" s="22" t="str">
        <f t="shared" si="229"/>
        <v/>
      </c>
      <c r="H7336" s="23"/>
      <c r="I7336" s="24"/>
      <c r="J7336" s="138">
        <v>0</v>
      </c>
    </row>
    <row r="7337" spans="1:10" ht="15.75" hidden="1" thickBot="1" x14ac:dyDescent="0.3">
      <c r="A7337" s="221"/>
      <c r="B7337" s="223"/>
      <c r="C7337" s="26"/>
      <c r="D7337" s="26"/>
      <c r="E7337" s="27"/>
      <c r="F7337" s="37" t="s">
        <v>521</v>
      </c>
      <c r="G7337" s="28" t="str">
        <f t="shared" si="229"/>
        <v/>
      </c>
      <c r="H7337" s="29"/>
      <c r="I7337" s="25"/>
      <c r="J7337" s="138">
        <v>0</v>
      </c>
    </row>
    <row r="7338" spans="1:10" ht="26.25" hidden="1" thickBot="1" x14ac:dyDescent="0.3">
      <c r="A7338" s="221"/>
      <c r="B7338" s="223"/>
      <c r="C7338" s="30" t="s">
        <v>1757</v>
      </c>
      <c r="D7338" s="30" t="s">
        <v>93</v>
      </c>
      <c r="E7338" s="31">
        <v>1</v>
      </c>
      <c r="F7338" s="25">
        <v>25.023</v>
      </c>
      <c r="G7338" s="28">
        <f t="shared" si="229"/>
        <v>25.023</v>
      </c>
      <c r="H7338" s="33">
        <f>SUM(G7338:G7338)</f>
        <v>25.023</v>
      </c>
      <c r="I7338" s="34"/>
      <c r="J7338" s="138">
        <v>0</v>
      </c>
    </row>
    <row r="7339" spans="1:10" ht="15.75" hidden="1" thickBot="1" x14ac:dyDescent="0.3">
      <c r="A7339" s="227"/>
      <c r="B7339" s="224"/>
      <c r="C7339" s="49"/>
      <c r="D7339" s="49"/>
      <c r="E7339" s="60"/>
      <c r="F7339" s="61" t="s">
        <v>521</v>
      </c>
      <c r="G7339" s="62" t="str">
        <f t="shared" si="229"/>
        <v/>
      </c>
      <c r="H7339" s="63"/>
      <c r="I7339" s="25"/>
      <c r="J7339" s="138">
        <v>0</v>
      </c>
    </row>
    <row r="7340" spans="1:10" ht="15.75" hidden="1" thickBot="1" x14ac:dyDescent="0.3">
      <c r="A7340" s="220" t="s">
        <v>2763</v>
      </c>
      <c r="B7340" s="222" t="e">
        <f>INDEX(Orçamentária!A:B,MATCH(Composições!A7340,Orçamentária!A:A,0),2)</f>
        <v>#N/A</v>
      </c>
      <c r="C7340" s="35"/>
      <c r="D7340" s="20" t="s">
        <v>95</v>
      </c>
      <c r="E7340" s="21"/>
      <c r="F7340" s="43" t="s">
        <v>521</v>
      </c>
      <c r="G7340" s="22" t="str">
        <f t="shared" si="229"/>
        <v/>
      </c>
      <c r="H7340" s="23"/>
      <c r="I7340" s="24"/>
      <c r="J7340" s="138">
        <v>0</v>
      </c>
    </row>
    <row r="7341" spans="1:10" ht="15.75" hidden="1" thickBot="1" x14ac:dyDescent="0.3">
      <c r="A7341" s="225"/>
      <c r="B7341" s="223"/>
      <c r="C7341" s="152"/>
      <c r="D7341" s="26"/>
      <c r="E7341" s="153"/>
      <c r="F7341" s="48" t="s">
        <v>521</v>
      </c>
      <c r="G7341" s="48" t="str">
        <f t="shared" si="229"/>
        <v/>
      </c>
      <c r="H7341" s="67"/>
      <c r="I7341" s="68"/>
      <c r="J7341" s="138">
        <v>0</v>
      </c>
    </row>
    <row r="7342" spans="1:10" ht="39" hidden="1" thickBot="1" x14ac:dyDescent="0.3">
      <c r="A7342" s="225"/>
      <c r="B7342" s="223"/>
      <c r="C7342" s="30" t="s">
        <v>2802</v>
      </c>
      <c r="D7342" s="30" t="s">
        <v>988</v>
      </c>
      <c r="E7342" s="146">
        <v>1.1599999999999999</v>
      </c>
      <c r="F7342" s="25">
        <v>179.36949999999999</v>
      </c>
      <c r="G7342" s="48">
        <f t="shared" si="229"/>
        <v>208.06861999999998</v>
      </c>
      <c r="H7342" s="33">
        <f>SUM(G7342:G7345)</f>
        <v>270.16261499999996</v>
      </c>
      <c r="I7342" s="34"/>
      <c r="J7342" s="138">
        <v>0</v>
      </c>
    </row>
    <row r="7343" spans="1:10" ht="15.75" hidden="1" thickBot="1" x14ac:dyDescent="0.3">
      <c r="A7343" s="225"/>
      <c r="B7343" s="223"/>
      <c r="C7343" s="30" t="s">
        <v>1809</v>
      </c>
      <c r="D7343" s="30" t="s">
        <v>897</v>
      </c>
      <c r="E7343" s="31">
        <v>9.84</v>
      </c>
      <c r="F7343" s="28">
        <v>1.843</v>
      </c>
      <c r="G7343" s="28">
        <f t="shared" si="229"/>
        <v>18.135120000000001</v>
      </c>
      <c r="H7343" s="29"/>
      <c r="I7343" s="25"/>
      <c r="J7343" s="138">
        <v>0</v>
      </c>
    </row>
    <row r="7344" spans="1:10" ht="15.75" hidden="1" thickBot="1" x14ac:dyDescent="0.3">
      <c r="A7344" s="225"/>
      <c r="B7344" s="223"/>
      <c r="C7344" s="30" t="s">
        <v>1221</v>
      </c>
      <c r="D7344" s="30" t="s">
        <v>702</v>
      </c>
      <c r="E7344" s="31">
        <v>1.29</v>
      </c>
      <c r="F7344" s="25">
        <v>24.795000000000002</v>
      </c>
      <c r="G7344" s="48">
        <f t="shared" si="229"/>
        <v>31.985550000000003</v>
      </c>
      <c r="H7344" s="38"/>
      <c r="I7344" s="34"/>
      <c r="J7344" s="138">
        <v>0</v>
      </c>
    </row>
    <row r="7345" spans="1:10" ht="15.75" hidden="1" thickBot="1" x14ac:dyDescent="0.3">
      <c r="A7345" s="225"/>
      <c r="B7345" s="223"/>
      <c r="C7345" s="30" t="s">
        <v>703</v>
      </c>
      <c r="D7345" s="30" t="s">
        <v>702</v>
      </c>
      <c r="E7345" s="31">
        <v>0.65</v>
      </c>
      <c r="F7345" s="25">
        <v>18.420500000000001</v>
      </c>
      <c r="G7345" s="48">
        <f t="shared" si="229"/>
        <v>11.973325000000001</v>
      </c>
      <c r="H7345" s="38"/>
      <c r="I7345" s="34"/>
      <c r="J7345" s="138">
        <v>0</v>
      </c>
    </row>
    <row r="7346" spans="1:10" ht="15.75" hidden="1" thickBot="1" x14ac:dyDescent="0.3">
      <c r="A7346" s="226"/>
      <c r="B7346" s="224"/>
      <c r="C7346" s="49"/>
      <c r="D7346" s="148"/>
      <c r="E7346" s="60"/>
      <c r="F7346" s="70" t="s">
        <v>521</v>
      </c>
      <c r="G7346" s="70" t="str">
        <f t="shared" si="229"/>
        <v/>
      </c>
      <c r="H7346" s="71"/>
      <c r="I7346" s="68"/>
      <c r="J7346" s="138">
        <v>0</v>
      </c>
    </row>
    <row r="7347" spans="1:10" ht="15.75" thickBot="1" x14ac:dyDescent="0.3">
      <c r="A7347" s="220" t="s">
        <v>2764</v>
      </c>
      <c r="B7347" s="222" t="str">
        <f>INDEX(Orçamentária!A:B,MATCH(Composições!A7347,Orçamentária!A:A,0),2)</f>
        <v>Eletroduto PEAD 4”(100mm) – fornecimento e instalação</v>
      </c>
      <c r="C7347" s="35"/>
      <c r="D7347" s="20" t="s">
        <v>93</v>
      </c>
      <c r="E7347" s="21"/>
      <c r="F7347" s="43" t="s">
        <v>521</v>
      </c>
      <c r="G7347" s="22" t="str">
        <f t="shared" si="229"/>
        <v/>
      </c>
      <c r="H7347" s="23"/>
      <c r="I7347" s="24"/>
      <c r="J7347" s="138">
        <v>55</v>
      </c>
    </row>
    <row r="7348" spans="1:10" x14ac:dyDescent="0.25">
      <c r="A7348" s="225"/>
      <c r="B7348" s="223"/>
      <c r="C7348" s="152"/>
      <c r="D7348" s="26"/>
      <c r="E7348" s="153"/>
      <c r="F7348" s="48" t="s">
        <v>521</v>
      </c>
      <c r="G7348" s="48" t="str">
        <f t="shared" si="229"/>
        <v/>
      </c>
      <c r="H7348" s="67"/>
      <c r="I7348" s="68"/>
      <c r="J7348" s="138">
        <v>55</v>
      </c>
    </row>
    <row r="7349" spans="1:10" ht="38.25" x14ac:dyDescent="0.25">
      <c r="A7349" s="225"/>
      <c r="B7349" s="223"/>
      <c r="C7349" s="30" t="s">
        <v>2790</v>
      </c>
      <c r="D7349" s="30" t="s">
        <v>479</v>
      </c>
      <c r="E7349" s="146">
        <v>1.1000000000000001</v>
      </c>
      <c r="F7349" s="25">
        <v>11.903499999999999</v>
      </c>
      <c r="G7349" s="48">
        <f t="shared" si="229"/>
        <v>13.09385</v>
      </c>
      <c r="H7349" s="33">
        <f>SUM(G7349:G7351)</f>
        <v>20.761765499999999</v>
      </c>
      <c r="I7349" s="34"/>
      <c r="J7349" s="138">
        <v>55</v>
      </c>
    </row>
    <row r="7350" spans="1:10" x14ac:dyDescent="0.25">
      <c r="A7350" s="225"/>
      <c r="B7350" s="223"/>
      <c r="C7350" s="30" t="s">
        <v>1156</v>
      </c>
      <c r="D7350" s="30" t="s">
        <v>702</v>
      </c>
      <c r="E7350" s="31">
        <v>0.1721</v>
      </c>
      <c r="F7350" s="28">
        <v>19.4085</v>
      </c>
      <c r="G7350" s="28">
        <f t="shared" si="229"/>
        <v>3.3402028500000003</v>
      </c>
      <c r="H7350" s="29"/>
      <c r="I7350" s="25"/>
      <c r="J7350" s="138">
        <v>55</v>
      </c>
    </row>
    <row r="7351" spans="1:10" x14ac:dyDescent="0.25">
      <c r="A7351" s="225"/>
      <c r="B7351" s="223"/>
      <c r="C7351" s="30" t="s">
        <v>1157</v>
      </c>
      <c r="D7351" s="30" t="s">
        <v>702</v>
      </c>
      <c r="E7351" s="31">
        <v>0.1721</v>
      </c>
      <c r="F7351" s="25">
        <v>25.146499999999996</v>
      </c>
      <c r="G7351" s="48">
        <f t="shared" si="229"/>
        <v>4.3277126499999996</v>
      </c>
      <c r="H7351" s="38"/>
      <c r="I7351" s="34"/>
      <c r="J7351" s="138">
        <v>55</v>
      </c>
    </row>
    <row r="7352" spans="1:10" ht="15.75" thickBot="1" x14ac:dyDescent="0.3">
      <c r="A7352" s="226"/>
      <c r="B7352" s="224"/>
      <c r="C7352" s="49"/>
      <c r="D7352" s="148"/>
      <c r="E7352" s="60"/>
      <c r="F7352" s="70" t="s">
        <v>521</v>
      </c>
      <c r="G7352" s="70" t="str">
        <f t="shared" si="229"/>
        <v/>
      </c>
      <c r="H7352" s="71"/>
      <c r="I7352" s="68"/>
      <c r="J7352" s="138">
        <v>55</v>
      </c>
    </row>
    <row r="7353" spans="1:10" ht="15.75" thickBot="1" x14ac:dyDescent="0.3">
      <c r="A7353" s="220" t="s">
        <v>2765</v>
      </c>
      <c r="B7353" s="222" t="str">
        <f>INDEX(Orçamentária!A:B,MATCH(Composições!A7353,Orçamentária!A:A,0),2)</f>
        <v>Poste de Concreto Circular L=12m - Fornecimento e instalacao</v>
      </c>
      <c r="C7353" s="35"/>
      <c r="D7353" s="20" t="s">
        <v>20</v>
      </c>
      <c r="E7353" s="21"/>
      <c r="F7353" s="43" t="s">
        <v>521</v>
      </c>
      <c r="G7353" s="22" t="str">
        <f t="shared" si="229"/>
        <v/>
      </c>
      <c r="H7353" s="23"/>
      <c r="I7353" s="24"/>
      <c r="J7353" s="138">
        <v>101</v>
      </c>
    </row>
    <row r="7354" spans="1:10" x14ac:dyDescent="0.25">
      <c r="A7354" s="225"/>
      <c r="B7354" s="223"/>
      <c r="C7354" s="152"/>
      <c r="D7354" s="26"/>
      <c r="E7354" s="153"/>
      <c r="F7354" s="48" t="s">
        <v>521</v>
      </c>
      <c r="G7354" s="48" t="str">
        <f t="shared" si="229"/>
        <v/>
      </c>
      <c r="H7354" s="67"/>
      <c r="I7354" s="68"/>
      <c r="J7354" s="138">
        <v>101</v>
      </c>
    </row>
    <row r="7355" spans="1:10" x14ac:dyDescent="0.25">
      <c r="A7355" s="225"/>
      <c r="B7355" s="223"/>
      <c r="C7355" s="30" t="s">
        <v>1625</v>
      </c>
      <c r="D7355" s="30" t="s">
        <v>479</v>
      </c>
      <c r="E7355" s="146">
        <v>9</v>
      </c>
      <c r="F7355" s="25">
        <v>30.789499999999997</v>
      </c>
      <c r="G7355" s="48">
        <f t="shared" si="229"/>
        <v>277.10549999999995</v>
      </c>
      <c r="H7355" s="33">
        <f>SUM(G7355:G7359)</f>
        <v>2316.4880914999999</v>
      </c>
      <c r="I7355" s="34"/>
      <c r="J7355" s="138">
        <v>101</v>
      </c>
    </row>
    <row r="7356" spans="1:10" ht="51" x14ac:dyDescent="0.25">
      <c r="A7356" s="225"/>
      <c r="B7356" s="223"/>
      <c r="C7356" s="30" t="s">
        <v>1568</v>
      </c>
      <c r="D7356" s="30" t="s">
        <v>938</v>
      </c>
      <c r="E7356" s="31">
        <v>7.6999999999999999E-2</v>
      </c>
      <c r="F7356" s="28">
        <v>274.60699999999997</v>
      </c>
      <c r="G7356" s="28">
        <f t="shared" si="229"/>
        <v>21.144738999999998</v>
      </c>
      <c r="H7356" s="29"/>
      <c r="I7356" s="25"/>
      <c r="J7356" s="138">
        <v>101</v>
      </c>
    </row>
    <row r="7357" spans="1:10" x14ac:dyDescent="0.25">
      <c r="A7357" s="225"/>
      <c r="B7357" s="223"/>
      <c r="C7357" s="30" t="s">
        <v>1156</v>
      </c>
      <c r="D7357" s="30" t="s">
        <v>702</v>
      </c>
      <c r="E7357" s="31">
        <v>1.2330000000000001</v>
      </c>
      <c r="F7357" s="25">
        <v>19.4085</v>
      </c>
      <c r="G7357" s="48">
        <f t="shared" si="229"/>
        <v>23.930680500000001</v>
      </c>
      <c r="H7357" s="38"/>
      <c r="I7357" s="34"/>
      <c r="J7357" s="138">
        <v>101</v>
      </c>
    </row>
    <row r="7358" spans="1:10" x14ac:dyDescent="0.25">
      <c r="A7358" s="225"/>
      <c r="B7358" s="223"/>
      <c r="C7358" s="30" t="s">
        <v>1157</v>
      </c>
      <c r="D7358" s="30" t="s">
        <v>702</v>
      </c>
      <c r="E7358" s="31">
        <v>4.008</v>
      </c>
      <c r="F7358" s="25">
        <v>25.146499999999996</v>
      </c>
      <c r="G7358" s="48">
        <f t="shared" si="229"/>
        <v>100.78717199999998</v>
      </c>
      <c r="H7358" s="38"/>
      <c r="I7358" s="34"/>
      <c r="J7358" s="138">
        <v>101</v>
      </c>
    </row>
    <row r="7359" spans="1:10" ht="25.5" x14ac:dyDescent="0.25">
      <c r="A7359" s="225"/>
      <c r="B7359" s="223"/>
      <c r="C7359" s="30" t="s">
        <v>2841</v>
      </c>
      <c r="D7359" s="30" t="s">
        <v>20</v>
      </c>
      <c r="E7359" s="31">
        <v>1</v>
      </c>
      <c r="F7359" s="25">
        <v>1893.52</v>
      </c>
      <c r="G7359" s="48">
        <f t="shared" si="229"/>
        <v>1893.52</v>
      </c>
      <c r="H7359" s="38"/>
      <c r="I7359" s="34"/>
      <c r="J7359" s="138">
        <v>101</v>
      </c>
    </row>
    <row r="7360" spans="1:10" ht="15.75" thickBot="1" x14ac:dyDescent="0.3">
      <c r="A7360" s="226"/>
      <c r="B7360" s="224"/>
      <c r="C7360" s="49"/>
      <c r="D7360" s="148"/>
      <c r="E7360" s="60"/>
      <c r="F7360" s="70" t="s">
        <v>521</v>
      </c>
      <c r="G7360" s="70" t="str">
        <f t="shared" si="229"/>
        <v/>
      </c>
      <c r="H7360" s="71"/>
      <c r="I7360" s="68"/>
      <c r="J7360" s="138">
        <v>101</v>
      </c>
    </row>
    <row r="7361" spans="1:10" ht="15.75" thickBot="1" x14ac:dyDescent="0.3">
      <c r="A7361" s="220" t="s">
        <v>2766</v>
      </c>
      <c r="B7361" s="222" t="str">
        <f>INDEX(Orçamentária!A:B,MATCH(Composições!A7361,Orçamentária!A:A,0),2)</f>
        <v>Poste de Concreto Circular L=9m - Fornecimento e instalacao</v>
      </c>
      <c r="C7361" s="35"/>
      <c r="D7361" s="20" t="s">
        <v>20</v>
      </c>
      <c r="E7361" s="21"/>
      <c r="F7361" s="43" t="s">
        <v>521</v>
      </c>
      <c r="G7361" s="22" t="str">
        <f t="shared" si="229"/>
        <v/>
      </c>
      <c r="H7361" s="23"/>
      <c r="I7361" s="24"/>
      <c r="J7361" s="138">
        <v>24</v>
      </c>
    </row>
    <row r="7362" spans="1:10" x14ac:dyDescent="0.25">
      <c r="A7362" s="225"/>
      <c r="B7362" s="223"/>
      <c r="C7362" s="152"/>
      <c r="D7362" s="26"/>
      <c r="E7362" s="153"/>
      <c r="F7362" s="48" t="s">
        <v>521</v>
      </c>
      <c r="G7362" s="48" t="str">
        <f t="shared" si="229"/>
        <v/>
      </c>
      <c r="H7362" s="67"/>
      <c r="I7362" s="68"/>
      <c r="J7362" s="138">
        <v>24</v>
      </c>
    </row>
    <row r="7363" spans="1:10" x14ac:dyDescent="0.25">
      <c r="A7363" s="225"/>
      <c r="B7363" s="223"/>
      <c r="C7363" s="30" t="s">
        <v>1625</v>
      </c>
      <c r="D7363" s="30" t="s">
        <v>479</v>
      </c>
      <c r="E7363" s="146">
        <v>12</v>
      </c>
      <c r="F7363" s="25">
        <v>30.789499999999997</v>
      </c>
      <c r="G7363" s="48">
        <f t="shared" si="229"/>
        <v>369.47399999999993</v>
      </c>
      <c r="H7363" s="33">
        <f>SUM(G7363:G7367)</f>
        <v>1946.0974185</v>
      </c>
      <c r="I7363" s="34"/>
      <c r="J7363" s="138">
        <v>24</v>
      </c>
    </row>
    <row r="7364" spans="1:10" ht="51" x14ac:dyDescent="0.25">
      <c r="A7364" s="225"/>
      <c r="B7364" s="223"/>
      <c r="C7364" s="30" t="s">
        <v>1568</v>
      </c>
      <c r="D7364" s="30" t="s">
        <v>938</v>
      </c>
      <c r="E7364" s="31">
        <v>9.9000000000000005E-2</v>
      </c>
      <c r="F7364" s="28">
        <v>274.60699999999997</v>
      </c>
      <c r="G7364" s="28">
        <f t="shared" si="229"/>
        <v>27.186093</v>
      </c>
      <c r="H7364" s="29"/>
      <c r="I7364" s="25"/>
      <c r="J7364" s="138">
        <v>24</v>
      </c>
    </row>
    <row r="7365" spans="1:10" x14ac:dyDescent="0.25">
      <c r="A7365" s="225"/>
      <c r="B7365" s="223"/>
      <c r="C7365" s="30" t="s">
        <v>1156</v>
      </c>
      <c r="D7365" s="30" t="s">
        <v>702</v>
      </c>
      <c r="E7365" s="31">
        <v>2.234</v>
      </c>
      <c r="F7365" s="25">
        <v>19.4085</v>
      </c>
      <c r="G7365" s="48">
        <f t="shared" si="229"/>
        <v>43.358589000000002</v>
      </c>
      <c r="H7365" s="38"/>
      <c r="I7365" s="34"/>
      <c r="J7365" s="138">
        <v>24</v>
      </c>
    </row>
    <row r="7366" spans="1:10" x14ac:dyDescent="0.25">
      <c r="A7366" s="225"/>
      <c r="B7366" s="223"/>
      <c r="C7366" s="30" t="s">
        <v>1157</v>
      </c>
      <c r="D7366" s="30" t="s">
        <v>702</v>
      </c>
      <c r="E7366" s="31">
        <v>7.2610000000000001</v>
      </c>
      <c r="F7366" s="25">
        <v>25.146499999999996</v>
      </c>
      <c r="G7366" s="48">
        <f t="shared" si="229"/>
        <v>182.58873649999998</v>
      </c>
      <c r="H7366" s="38"/>
      <c r="I7366" s="34"/>
      <c r="J7366" s="138">
        <v>24</v>
      </c>
    </row>
    <row r="7367" spans="1:10" ht="25.5" x14ac:dyDescent="0.25">
      <c r="A7367" s="225"/>
      <c r="B7367" s="223"/>
      <c r="C7367" s="30" t="s">
        <v>2793</v>
      </c>
      <c r="D7367" s="30" t="s">
        <v>20</v>
      </c>
      <c r="E7367" s="31">
        <v>1</v>
      </c>
      <c r="F7367" s="25">
        <v>1323.49</v>
      </c>
      <c r="G7367" s="48">
        <f t="shared" si="229"/>
        <v>1323.49</v>
      </c>
      <c r="H7367" s="38"/>
      <c r="I7367" s="34"/>
      <c r="J7367" s="138">
        <v>24</v>
      </c>
    </row>
    <row r="7368" spans="1:10" ht="15.75" thickBot="1" x14ac:dyDescent="0.3">
      <c r="A7368" s="226"/>
      <c r="B7368" s="224"/>
      <c r="C7368" s="49"/>
      <c r="D7368" s="148"/>
      <c r="E7368" s="60"/>
      <c r="F7368" s="70" t="s">
        <v>521</v>
      </c>
      <c r="G7368" s="70" t="str">
        <f t="shared" si="229"/>
        <v/>
      </c>
      <c r="H7368" s="71"/>
      <c r="I7368" s="68"/>
      <c r="J7368" s="138">
        <v>24</v>
      </c>
    </row>
    <row r="7369" spans="1:10" ht="15.75" thickBot="1" x14ac:dyDescent="0.3">
      <c r="A7369" s="220" t="s">
        <v>2767</v>
      </c>
      <c r="B7369" s="222" t="str">
        <f>INDEX(Orçamentária!A:B,MATCH(Composições!A7369,Orçamentária!A:A,0),2)</f>
        <v>Suporte para luminária de poste triplo</v>
      </c>
      <c r="C7369" s="35"/>
      <c r="D7369" s="20" t="s">
        <v>20</v>
      </c>
      <c r="E7369" s="21"/>
      <c r="F7369" s="43" t="s">
        <v>521</v>
      </c>
      <c r="G7369" s="22" t="str">
        <f t="shared" si="229"/>
        <v/>
      </c>
      <c r="H7369" s="23"/>
      <c r="I7369" s="24"/>
      <c r="J7369" s="138">
        <v>4</v>
      </c>
    </row>
    <row r="7370" spans="1:10" x14ac:dyDescent="0.25">
      <c r="A7370" s="225"/>
      <c r="B7370" s="223"/>
      <c r="C7370" s="152"/>
      <c r="D7370" s="26"/>
      <c r="E7370" s="153"/>
      <c r="F7370" s="48" t="s">
        <v>521</v>
      </c>
      <c r="G7370" s="48" t="str">
        <f t="shared" si="229"/>
        <v/>
      </c>
      <c r="H7370" s="67"/>
      <c r="I7370" s="68"/>
      <c r="J7370" s="138">
        <v>4</v>
      </c>
    </row>
    <row r="7371" spans="1:10" ht="25.5" x14ac:dyDescent="0.25">
      <c r="A7371" s="225"/>
      <c r="B7371" s="223"/>
      <c r="C7371" s="30" t="s">
        <v>2809</v>
      </c>
      <c r="D7371" s="30" t="s">
        <v>20</v>
      </c>
      <c r="E7371" s="31">
        <v>1</v>
      </c>
      <c r="F7371" s="25">
        <v>125.67549999999999</v>
      </c>
      <c r="G7371" s="48">
        <f t="shared" si="229"/>
        <v>125.67549999999999</v>
      </c>
      <c r="H7371" s="33">
        <f>SUM(G7371:G7373)</f>
        <v>136.81424999999996</v>
      </c>
      <c r="I7371" s="34"/>
      <c r="J7371" s="138">
        <v>4</v>
      </c>
    </row>
    <row r="7372" spans="1:10" x14ac:dyDescent="0.25">
      <c r="A7372" s="225"/>
      <c r="B7372" s="223"/>
      <c r="C7372" s="30" t="s">
        <v>1156</v>
      </c>
      <c r="D7372" s="30" t="s">
        <v>702</v>
      </c>
      <c r="E7372" s="31">
        <v>0.25</v>
      </c>
      <c r="F7372" s="28">
        <v>19.4085</v>
      </c>
      <c r="G7372" s="28">
        <f t="shared" si="229"/>
        <v>4.852125</v>
      </c>
      <c r="H7372" s="29"/>
      <c r="I7372" s="25"/>
      <c r="J7372" s="138">
        <v>4</v>
      </c>
    </row>
    <row r="7373" spans="1:10" x14ac:dyDescent="0.25">
      <c r="A7373" s="225"/>
      <c r="B7373" s="223"/>
      <c r="C7373" s="30" t="s">
        <v>1157</v>
      </c>
      <c r="D7373" s="30" t="s">
        <v>702</v>
      </c>
      <c r="E7373" s="31">
        <v>0.25</v>
      </c>
      <c r="F7373" s="25">
        <v>25.146499999999996</v>
      </c>
      <c r="G7373" s="48">
        <f t="shared" si="229"/>
        <v>6.286624999999999</v>
      </c>
      <c r="H7373" s="38"/>
      <c r="I7373" s="34"/>
      <c r="J7373" s="138">
        <v>4</v>
      </c>
    </row>
    <row r="7374" spans="1:10" ht="15.75" thickBot="1" x14ac:dyDescent="0.3">
      <c r="A7374" s="226"/>
      <c r="B7374" s="224"/>
      <c r="C7374" s="49"/>
      <c r="D7374" s="148"/>
      <c r="E7374" s="60"/>
      <c r="F7374" s="70" t="s">
        <v>521</v>
      </c>
      <c r="G7374" s="70" t="str">
        <f t="shared" si="229"/>
        <v/>
      </c>
      <c r="H7374" s="71"/>
      <c r="I7374" s="68"/>
      <c r="J7374" s="138">
        <v>4</v>
      </c>
    </row>
    <row r="7375" spans="1:10" ht="15.75" thickBot="1" x14ac:dyDescent="0.3">
      <c r="A7375" s="220" t="s">
        <v>2768</v>
      </c>
      <c r="B7375" s="222" t="str">
        <f>INDEX(Orçamentária!A:B,MATCH(Composições!A7375,Orçamentária!A:A,0),2)</f>
        <v>Remoção de poste de iluminação</v>
      </c>
      <c r="C7375" s="35"/>
      <c r="D7375" s="20" t="s">
        <v>20</v>
      </c>
      <c r="E7375" s="21"/>
      <c r="F7375" s="43" t="s">
        <v>521</v>
      </c>
      <c r="G7375" s="22" t="str">
        <f t="shared" si="229"/>
        <v/>
      </c>
      <c r="H7375" s="23"/>
      <c r="I7375" s="24"/>
      <c r="J7375" s="138">
        <v>124</v>
      </c>
    </row>
    <row r="7376" spans="1:10" x14ac:dyDescent="0.25">
      <c r="A7376" s="225"/>
      <c r="B7376" s="223"/>
      <c r="C7376" s="152"/>
      <c r="D7376" s="26"/>
      <c r="E7376" s="153"/>
      <c r="F7376" s="48" t="s">
        <v>521</v>
      </c>
      <c r="G7376" s="48" t="str">
        <f t="shared" si="229"/>
        <v/>
      </c>
      <c r="H7376" s="67"/>
      <c r="I7376" s="68"/>
      <c r="J7376" s="138">
        <v>124</v>
      </c>
    </row>
    <row r="7377" spans="1:10" x14ac:dyDescent="0.25">
      <c r="A7377" s="225"/>
      <c r="B7377" s="223"/>
      <c r="C7377" s="30" t="s">
        <v>1156</v>
      </c>
      <c r="D7377" s="30" t="s">
        <v>702</v>
      </c>
      <c r="E7377" s="31">
        <v>5</v>
      </c>
      <c r="F7377" s="28">
        <v>19.4085</v>
      </c>
      <c r="G7377" s="48">
        <f t="shared" si="229"/>
        <v>97.042500000000004</v>
      </c>
      <c r="H7377" s="33">
        <f>SUM(G7377:G7378)</f>
        <v>222.77499999999998</v>
      </c>
      <c r="I7377" s="34"/>
      <c r="J7377" s="138">
        <v>124</v>
      </c>
    </row>
    <row r="7378" spans="1:10" x14ac:dyDescent="0.25">
      <c r="A7378" s="225"/>
      <c r="B7378" s="223"/>
      <c r="C7378" s="30" t="s">
        <v>1157</v>
      </c>
      <c r="D7378" s="30" t="s">
        <v>702</v>
      </c>
      <c r="E7378" s="31">
        <v>5</v>
      </c>
      <c r="F7378" s="25">
        <v>25.146499999999996</v>
      </c>
      <c r="G7378" s="28">
        <f t="shared" si="229"/>
        <v>125.73249999999999</v>
      </c>
      <c r="H7378" s="29"/>
      <c r="I7378" s="25"/>
      <c r="J7378" s="138">
        <v>124</v>
      </c>
    </row>
    <row r="7379" spans="1:10" ht="15.75" thickBot="1" x14ac:dyDescent="0.3">
      <c r="A7379" s="226"/>
      <c r="B7379" s="224"/>
      <c r="C7379" s="49"/>
      <c r="D7379" s="148"/>
      <c r="E7379" s="60"/>
      <c r="F7379" s="70" t="s">
        <v>521</v>
      </c>
      <c r="G7379" s="70" t="str">
        <f t="shared" si="229"/>
        <v/>
      </c>
      <c r="H7379" s="71"/>
      <c r="I7379" s="68"/>
      <c r="J7379" s="138">
        <v>124</v>
      </c>
    </row>
    <row r="7380" spans="1:10" ht="15.75" thickBot="1" x14ac:dyDescent="0.3">
      <c r="A7380" s="220" t="s">
        <v>2769</v>
      </c>
      <c r="B7380" s="222" t="str">
        <f>INDEX(Orçamentária!A:B,MATCH(Composições!A7380,Orçamentária!A:A,0),2)</f>
        <v>Remoção de braço de iluminação</v>
      </c>
      <c r="C7380" s="35"/>
      <c r="D7380" s="20" t="s">
        <v>20</v>
      </c>
      <c r="E7380" s="21"/>
      <c r="F7380" s="43" t="s">
        <v>521</v>
      </c>
      <c r="G7380" s="22" t="str">
        <f t="shared" si="229"/>
        <v/>
      </c>
      <c r="H7380" s="23"/>
      <c r="I7380" s="24"/>
      <c r="J7380" s="138">
        <v>35</v>
      </c>
    </row>
    <row r="7381" spans="1:10" x14ac:dyDescent="0.25">
      <c r="A7381" s="225"/>
      <c r="B7381" s="223"/>
      <c r="C7381" s="152"/>
      <c r="D7381" s="26"/>
      <c r="E7381" s="153"/>
      <c r="F7381" s="48" t="s">
        <v>521</v>
      </c>
      <c r="G7381" s="48" t="str">
        <f t="shared" si="229"/>
        <v/>
      </c>
      <c r="H7381" s="67"/>
      <c r="I7381" s="68"/>
      <c r="J7381" s="138">
        <v>35</v>
      </c>
    </row>
    <row r="7382" spans="1:10" x14ac:dyDescent="0.25">
      <c r="A7382" s="225"/>
      <c r="B7382" s="223"/>
      <c r="C7382" s="30" t="s">
        <v>1156</v>
      </c>
      <c r="D7382" s="30" t="s">
        <v>702</v>
      </c>
      <c r="E7382" s="31">
        <v>0.8</v>
      </c>
      <c r="F7382" s="28">
        <v>19.4085</v>
      </c>
      <c r="G7382" s="48">
        <f t="shared" si="229"/>
        <v>15.526800000000001</v>
      </c>
      <c r="H7382" s="33">
        <f>SUM(G7382:G7383)</f>
        <v>35.643999999999998</v>
      </c>
      <c r="I7382" s="34"/>
      <c r="J7382" s="138">
        <v>35</v>
      </c>
    </row>
    <row r="7383" spans="1:10" x14ac:dyDescent="0.25">
      <c r="A7383" s="225"/>
      <c r="B7383" s="223"/>
      <c r="C7383" s="30" t="s">
        <v>1157</v>
      </c>
      <c r="D7383" s="30" t="s">
        <v>702</v>
      </c>
      <c r="E7383" s="31">
        <v>0.8</v>
      </c>
      <c r="F7383" s="25">
        <v>25.146499999999996</v>
      </c>
      <c r="G7383" s="28">
        <f t="shared" si="229"/>
        <v>20.117199999999997</v>
      </c>
      <c r="H7383" s="29"/>
      <c r="I7383" s="25"/>
      <c r="J7383" s="138">
        <v>35</v>
      </c>
    </row>
    <row r="7384" spans="1:10" ht="15.75" thickBot="1" x14ac:dyDescent="0.3">
      <c r="A7384" s="226"/>
      <c r="B7384" s="224"/>
      <c r="C7384" s="49"/>
      <c r="D7384" s="148"/>
      <c r="E7384" s="60"/>
      <c r="F7384" s="70" t="s">
        <v>521</v>
      </c>
      <c r="G7384" s="70" t="str">
        <f t="shared" si="229"/>
        <v/>
      </c>
      <c r="H7384" s="71"/>
      <c r="I7384" s="68"/>
      <c r="J7384" s="138">
        <v>35</v>
      </c>
    </row>
    <row r="7385" spans="1:10" ht="15.75" thickBot="1" x14ac:dyDescent="0.3">
      <c r="A7385" s="220" t="s">
        <v>2770</v>
      </c>
      <c r="B7385" s="222" t="str">
        <f>INDEX(Orçamentária!A:B,MATCH(Composições!A7385,Orçamentária!A:A,0),2)</f>
        <v>Cabo 3x10mm²</v>
      </c>
      <c r="C7385" s="35"/>
      <c r="D7385" s="20" t="s">
        <v>93</v>
      </c>
      <c r="E7385" s="21"/>
      <c r="F7385" s="36" t="s">
        <v>521</v>
      </c>
      <c r="G7385" s="22" t="str">
        <f t="shared" si="229"/>
        <v/>
      </c>
      <c r="H7385" s="23"/>
      <c r="I7385" s="24"/>
      <c r="J7385" s="138">
        <v>1289</v>
      </c>
    </row>
    <row r="7386" spans="1:10" x14ac:dyDescent="0.25">
      <c r="A7386" s="221"/>
      <c r="B7386" s="223"/>
      <c r="C7386" s="26"/>
      <c r="D7386" s="26"/>
      <c r="E7386" s="27"/>
      <c r="F7386" s="37" t="s">
        <v>521</v>
      </c>
      <c r="G7386" s="25" t="str">
        <f t="shared" ref="G7386:G7449" si="230">IF(ISNUMBER(F7386),E7386*F7386,"")</f>
        <v/>
      </c>
      <c r="H7386" s="29"/>
      <c r="I7386" s="25"/>
      <c r="J7386" s="138">
        <v>1289</v>
      </c>
    </row>
    <row r="7387" spans="1:10" x14ac:dyDescent="0.25">
      <c r="A7387" s="221"/>
      <c r="B7387" s="223"/>
      <c r="C7387" s="30" t="s">
        <v>74</v>
      </c>
      <c r="D7387" s="30" t="s">
        <v>12</v>
      </c>
      <c r="E7387" s="31">
        <v>6.08E-2</v>
      </c>
      <c r="F7387" s="25">
        <v>19.4085</v>
      </c>
      <c r="G7387" s="28">
        <f t="shared" si="230"/>
        <v>1.1800368000000001</v>
      </c>
      <c r="H7387" s="33">
        <f>SUM(G7387:G7390)</f>
        <v>34.992601000000001</v>
      </c>
      <c r="I7387" s="34"/>
      <c r="J7387" s="138">
        <v>1289</v>
      </c>
    </row>
    <row r="7388" spans="1:10" x14ac:dyDescent="0.25">
      <c r="A7388" s="221"/>
      <c r="B7388" s="223"/>
      <c r="C7388" s="30" t="s">
        <v>30</v>
      </c>
      <c r="D7388" s="30" t="s">
        <v>12</v>
      </c>
      <c r="E7388" s="31">
        <v>6.08E-2</v>
      </c>
      <c r="F7388" s="25">
        <v>25.146499999999996</v>
      </c>
      <c r="G7388" s="28">
        <f t="shared" si="230"/>
        <v>1.5289071999999997</v>
      </c>
      <c r="H7388" s="29"/>
      <c r="I7388" s="25"/>
      <c r="J7388" s="138">
        <v>1289</v>
      </c>
    </row>
    <row r="7389" spans="1:10" ht="25.5" x14ac:dyDescent="0.25">
      <c r="A7389" s="221"/>
      <c r="B7389" s="223"/>
      <c r="C7389" s="30" t="s">
        <v>2810</v>
      </c>
      <c r="D7389" s="30" t="s">
        <v>93</v>
      </c>
      <c r="E7389" s="31">
        <v>1.0149999999999999</v>
      </c>
      <c r="F7389" s="28">
        <v>31.77</v>
      </c>
      <c r="G7389" s="28">
        <f t="shared" si="230"/>
        <v>32.246549999999999</v>
      </c>
      <c r="H7389" s="29"/>
      <c r="I7389" s="25"/>
      <c r="J7389" s="138">
        <v>1289</v>
      </c>
    </row>
    <row r="7390" spans="1:10" x14ac:dyDescent="0.25">
      <c r="A7390" s="221"/>
      <c r="B7390" s="223"/>
      <c r="C7390" s="30" t="s">
        <v>553</v>
      </c>
      <c r="D7390" s="30" t="s">
        <v>20</v>
      </c>
      <c r="E7390" s="31">
        <v>8.9999999999999993E-3</v>
      </c>
      <c r="F7390" s="28">
        <v>4.1229999999999993</v>
      </c>
      <c r="G7390" s="28">
        <f t="shared" si="230"/>
        <v>3.7106999999999994E-2</v>
      </c>
      <c r="H7390" s="29"/>
      <c r="I7390" s="25"/>
      <c r="J7390" s="138">
        <v>1289</v>
      </c>
    </row>
    <row r="7391" spans="1:10" ht="15.75" thickBot="1" x14ac:dyDescent="0.3">
      <c r="A7391" s="227"/>
      <c r="B7391" s="224"/>
      <c r="C7391" s="30"/>
      <c r="D7391" s="30"/>
      <c r="E7391" s="31"/>
      <c r="F7391" s="25" t="s">
        <v>521</v>
      </c>
      <c r="G7391" s="25" t="str">
        <f t="shared" si="230"/>
        <v/>
      </c>
      <c r="H7391" s="29"/>
      <c r="I7391" s="25"/>
      <c r="J7391" s="138">
        <v>1289</v>
      </c>
    </row>
    <row r="7392" spans="1:10" ht="15.75" thickBot="1" x14ac:dyDescent="0.3">
      <c r="A7392" s="220" t="s">
        <v>2771</v>
      </c>
      <c r="B7392" s="222" t="str">
        <f>INDEX(Orçamentária!A:B,MATCH(Composições!A7392,Orçamentária!A:A,0),2)</f>
        <v>Fornecimento e instalação de quadro elétrico tipo PTTA/TTA para uso ao tempo</v>
      </c>
      <c r="C7392" s="35"/>
      <c r="D7392" s="20" t="s">
        <v>20</v>
      </c>
      <c r="E7392" s="21"/>
      <c r="F7392" s="36" t="s">
        <v>521</v>
      </c>
      <c r="G7392" s="22" t="str">
        <f t="shared" si="230"/>
        <v/>
      </c>
      <c r="H7392" s="23"/>
      <c r="I7392" s="24"/>
      <c r="J7392" s="138">
        <v>8</v>
      </c>
    </row>
    <row r="7393" spans="1:10" x14ac:dyDescent="0.25">
      <c r="A7393" s="221"/>
      <c r="B7393" s="223"/>
      <c r="C7393" s="26"/>
      <c r="D7393" s="26"/>
      <c r="E7393" s="27"/>
      <c r="F7393" s="37" t="s">
        <v>521</v>
      </c>
      <c r="G7393" s="25" t="str">
        <f t="shared" si="230"/>
        <v/>
      </c>
      <c r="H7393" s="29"/>
      <c r="I7393" s="25"/>
      <c r="J7393" s="138">
        <v>8</v>
      </c>
    </row>
    <row r="7394" spans="1:10" ht="38.25" x14ac:dyDescent="0.25">
      <c r="A7394" s="221"/>
      <c r="B7394" s="223"/>
      <c r="C7394" s="30" t="s">
        <v>2813</v>
      </c>
      <c r="D7394" s="41" t="s">
        <v>20</v>
      </c>
      <c r="E7394" s="31">
        <v>1</v>
      </c>
      <c r="F7394" s="28">
        <v>4350</v>
      </c>
      <c r="G7394" s="25">
        <f t="shared" si="230"/>
        <v>4350</v>
      </c>
      <c r="H7394" s="33">
        <f>SUM(G7394:G7397)</f>
        <v>4393.3131913164989</v>
      </c>
      <c r="I7394" s="34"/>
      <c r="J7394" s="138">
        <v>8</v>
      </c>
    </row>
    <row r="7395" spans="1:10" ht="38.25" x14ac:dyDescent="0.25">
      <c r="A7395" s="221"/>
      <c r="B7395" s="223"/>
      <c r="C7395" s="30" t="s">
        <v>1600</v>
      </c>
      <c r="D7395" s="41" t="s">
        <v>120</v>
      </c>
      <c r="E7395" s="31">
        <v>1.9199999999999998E-2</v>
      </c>
      <c r="F7395" s="25">
        <v>785.34832377599992</v>
      </c>
      <c r="G7395" s="25">
        <f t="shared" si="230"/>
        <v>15.078687816499198</v>
      </c>
      <c r="H7395" s="29"/>
      <c r="I7395" s="25"/>
      <c r="J7395" s="138">
        <v>8</v>
      </c>
    </row>
    <row r="7396" spans="1:10" x14ac:dyDescent="0.25">
      <c r="A7396" s="221"/>
      <c r="B7396" s="223"/>
      <c r="C7396" s="30" t="s">
        <v>74</v>
      </c>
      <c r="D7396" s="41" t="s">
        <v>12</v>
      </c>
      <c r="E7396" s="31">
        <v>0.63370000000000004</v>
      </c>
      <c r="F7396" s="25">
        <v>19.4085</v>
      </c>
      <c r="G7396" s="25">
        <f t="shared" si="230"/>
        <v>12.299166450000001</v>
      </c>
      <c r="H7396" s="29"/>
      <c r="I7396" s="25"/>
      <c r="J7396" s="138">
        <v>8</v>
      </c>
    </row>
    <row r="7397" spans="1:10" x14ac:dyDescent="0.25">
      <c r="A7397" s="221"/>
      <c r="B7397" s="223"/>
      <c r="C7397" s="30" t="s">
        <v>30</v>
      </c>
      <c r="D7397" s="41" t="s">
        <v>12</v>
      </c>
      <c r="E7397" s="31">
        <v>0.63370000000000004</v>
      </c>
      <c r="F7397" s="25">
        <v>25.146499999999996</v>
      </c>
      <c r="G7397" s="28">
        <f t="shared" si="230"/>
        <v>15.935337049999999</v>
      </c>
      <c r="H7397" s="29"/>
      <c r="I7397" s="25"/>
      <c r="J7397" s="138">
        <v>8</v>
      </c>
    </row>
    <row r="7398" spans="1:10" ht="15.75" thickBot="1" x14ac:dyDescent="0.3">
      <c r="A7398" s="221"/>
      <c r="B7398" s="224"/>
      <c r="C7398" s="30"/>
      <c r="D7398" s="30"/>
      <c r="E7398" s="31"/>
      <c r="F7398" s="25" t="s">
        <v>521</v>
      </c>
      <c r="G7398" s="25" t="str">
        <f t="shared" si="230"/>
        <v/>
      </c>
      <c r="H7398" s="29"/>
      <c r="I7398" s="25"/>
      <c r="J7398" s="138">
        <v>8</v>
      </c>
    </row>
    <row r="7399" spans="1:10" ht="15.75" thickBot="1" x14ac:dyDescent="0.3">
      <c r="A7399" s="220" t="s">
        <v>2772</v>
      </c>
      <c r="B7399" s="222" t="str">
        <f>INDEX(Orçamentária!A:B,MATCH(Composições!A7399,Orçamentária!A:A,0),2)</f>
        <v>Luminária LED para poste 230W</v>
      </c>
      <c r="C7399" s="35"/>
      <c r="D7399" s="20" t="s">
        <v>20</v>
      </c>
      <c r="E7399" s="21"/>
      <c r="F7399" s="36" t="s">
        <v>521</v>
      </c>
      <c r="G7399" s="22" t="str">
        <f t="shared" si="230"/>
        <v/>
      </c>
      <c r="H7399" s="23"/>
      <c r="I7399" s="24"/>
      <c r="J7399" s="138">
        <v>444</v>
      </c>
    </row>
    <row r="7400" spans="1:10" x14ac:dyDescent="0.25">
      <c r="A7400" s="221"/>
      <c r="B7400" s="223"/>
      <c r="C7400" s="26"/>
      <c r="D7400" s="26"/>
      <c r="E7400" s="27"/>
      <c r="F7400" s="37" t="s">
        <v>521</v>
      </c>
      <c r="G7400" s="25" t="str">
        <f t="shared" si="230"/>
        <v/>
      </c>
      <c r="H7400" s="29"/>
      <c r="I7400" s="25"/>
      <c r="J7400" s="138">
        <v>444</v>
      </c>
    </row>
    <row r="7401" spans="1:10" ht="51" x14ac:dyDescent="0.25">
      <c r="A7401" s="221"/>
      <c r="B7401" s="223"/>
      <c r="C7401" s="30" t="s">
        <v>1568</v>
      </c>
      <c r="D7401" s="41" t="s">
        <v>938</v>
      </c>
      <c r="E7401" s="31">
        <v>0.23880000000000001</v>
      </c>
      <c r="F7401" s="28">
        <v>274.60699999999997</v>
      </c>
      <c r="G7401" s="25">
        <f t="shared" si="230"/>
        <v>65.576151600000003</v>
      </c>
      <c r="H7401" s="33">
        <f>SUM(G7401:G7405)</f>
        <v>875.8099191</v>
      </c>
      <c r="I7401" s="34"/>
      <c r="J7401" s="138">
        <v>444</v>
      </c>
    </row>
    <row r="7402" spans="1:10" ht="25.5" x14ac:dyDescent="0.25">
      <c r="A7402" s="221"/>
      <c r="B7402" s="223"/>
      <c r="C7402" s="30" t="s">
        <v>1692</v>
      </c>
      <c r="D7402" s="41" t="s">
        <v>279</v>
      </c>
      <c r="E7402" s="31">
        <v>1.4E-2</v>
      </c>
      <c r="F7402" s="25">
        <v>4.1229999999999993</v>
      </c>
      <c r="G7402" s="25">
        <f t="shared" si="230"/>
        <v>5.7721999999999989E-2</v>
      </c>
      <c r="H7402" s="29"/>
      <c r="I7402" s="25"/>
      <c r="J7402" s="138">
        <v>444</v>
      </c>
    </row>
    <row r="7403" spans="1:10" ht="25.5" x14ac:dyDescent="0.25">
      <c r="A7403" s="221"/>
      <c r="B7403" s="223"/>
      <c r="C7403" s="30" t="s">
        <v>2792</v>
      </c>
      <c r="D7403" s="41" t="s">
        <v>279</v>
      </c>
      <c r="E7403" s="31">
        <v>1</v>
      </c>
      <c r="F7403" s="25">
        <v>799.5675</v>
      </c>
      <c r="G7403" s="25">
        <f t="shared" si="230"/>
        <v>799.5675</v>
      </c>
      <c r="H7403" s="29"/>
      <c r="I7403" s="25"/>
      <c r="J7403" s="138">
        <v>444</v>
      </c>
    </row>
    <row r="7404" spans="1:10" x14ac:dyDescent="0.25">
      <c r="A7404" s="221"/>
      <c r="B7404" s="223"/>
      <c r="C7404" s="30" t="s">
        <v>1156</v>
      </c>
      <c r="D7404" s="41" t="s">
        <v>702</v>
      </c>
      <c r="E7404" s="31">
        <v>0.23810000000000001</v>
      </c>
      <c r="F7404" s="25">
        <v>19.4085</v>
      </c>
      <c r="G7404" s="25">
        <f t="shared" si="230"/>
        <v>4.6211638500000003</v>
      </c>
      <c r="H7404" s="29"/>
      <c r="I7404" s="25"/>
      <c r="J7404" s="138">
        <v>444</v>
      </c>
    </row>
    <row r="7405" spans="1:10" x14ac:dyDescent="0.25">
      <c r="A7405" s="221"/>
      <c r="B7405" s="223"/>
      <c r="C7405" s="30" t="s">
        <v>1157</v>
      </c>
      <c r="D7405" s="41" t="s">
        <v>702</v>
      </c>
      <c r="E7405" s="31">
        <v>0.23810000000000001</v>
      </c>
      <c r="F7405" s="25">
        <v>25.146499999999996</v>
      </c>
      <c r="G7405" s="28">
        <f t="shared" si="230"/>
        <v>5.9873816499999988</v>
      </c>
      <c r="H7405" s="29"/>
      <c r="I7405" s="25"/>
      <c r="J7405" s="138">
        <v>444</v>
      </c>
    </row>
    <row r="7406" spans="1:10" ht="15.75" thickBot="1" x14ac:dyDescent="0.3">
      <c r="A7406" s="221"/>
      <c r="B7406" s="224"/>
      <c r="C7406" s="30"/>
      <c r="D7406" s="30"/>
      <c r="E7406" s="31"/>
      <c r="F7406" s="25" t="s">
        <v>521</v>
      </c>
      <c r="G7406" s="25" t="str">
        <f t="shared" si="230"/>
        <v/>
      </c>
      <c r="H7406" s="29"/>
      <c r="I7406" s="25"/>
      <c r="J7406" s="138">
        <v>444</v>
      </c>
    </row>
    <row r="7407" spans="1:10" ht="15.75" thickBot="1" x14ac:dyDescent="0.3">
      <c r="A7407" s="220" t="s">
        <v>2773</v>
      </c>
      <c r="B7407" s="222" t="str">
        <f>INDEX(Orçamentária!A:B,MATCH(Composições!A7407,Orçamentária!A:A,0),2)</f>
        <v>Eletroduto PEAD 1 1/2”(40mm) – fornecimento e instalação</v>
      </c>
      <c r="C7407" s="35"/>
      <c r="D7407" s="20" t="s">
        <v>93</v>
      </c>
      <c r="E7407" s="21"/>
      <c r="F7407" s="43" t="s">
        <v>521</v>
      </c>
      <c r="G7407" s="22" t="str">
        <f t="shared" si="230"/>
        <v/>
      </c>
      <c r="H7407" s="23"/>
      <c r="I7407" s="24"/>
      <c r="J7407" s="138">
        <v>3400</v>
      </c>
    </row>
    <row r="7408" spans="1:10" x14ac:dyDescent="0.25">
      <c r="A7408" s="225"/>
      <c r="B7408" s="223"/>
      <c r="C7408" s="152"/>
      <c r="D7408" s="26"/>
      <c r="E7408" s="153"/>
      <c r="F7408" s="48" t="s">
        <v>521</v>
      </c>
      <c r="G7408" s="48" t="str">
        <f t="shared" si="230"/>
        <v/>
      </c>
      <c r="H7408" s="67"/>
      <c r="I7408" s="68"/>
      <c r="J7408" s="138">
        <v>3400</v>
      </c>
    </row>
    <row r="7409" spans="1:10" ht="38.25" x14ac:dyDescent="0.25">
      <c r="A7409" s="225"/>
      <c r="B7409" s="223"/>
      <c r="C7409" s="30" t="s">
        <v>2789</v>
      </c>
      <c r="D7409" s="30" t="s">
        <v>479</v>
      </c>
      <c r="E7409" s="146">
        <v>1.1000000000000001</v>
      </c>
      <c r="F7409" s="25">
        <v>4.2464999999999993</v>
      </c>
      <c r="G7409" s="48">
        <f t="shared" si="230"/>
        <v>4.6711499999999999</v>
      </c>
      <c r="H7409" s="33">
        <f>SUM(G7409:G7411)</f>
        <v>7.6652459999999998</v>
      </c>
      <c r="I7409" s="34"/>
      <c r="J7409" s="138">
        <v>3400</v>
      </c>
    </row>
    <row r="7410" spans="1:10" x14ac:dyDescent="0.25">
      <c r="A7410" s="225"/>
      <c r="B7410" s="223"/>
      <c r="C7410" s="30" t="s">
        <v>1156</v>
      </c>
      <c r="D7410" s="30" t="s">
        <v>702</v>
      </c>
      <c r="E7410" s="31">
        <v>6.7199999999999996E-2</v>
      </c>
      <c r="F7410" s="28">
        <v>19.4085</v>
      </c>
      <c r="G7410" s="28">
        <f t="shared" si="230"/>
        <v>1.3042511999999999</v>
      </c>
      <c r="H7410" s="29"/>
      <c r="I7410" s="25"/>
      <c r="J7410" s="138">
        <v>3400</v>
      </c>
    </row>
    <row r="7411" spans="1:10" x14ac:dyDescent="0.25">
      <c r="A7411" s="225"/>
      <c r="B7411" s="223"/>
      <c r="C7411" s="30" t="s">
        <v>1157</v>
      </c>
      <c r="D7411" s="30" t="s">
        <v>702</v>
      </c>
      <c r="E7411" s="31">
        <v>6.7199999999999996E-2</v>
      </c>
      <c r="F7411" s="25">
        <v>25.146499999999996</v>
      </c>
      <c r="G7411" s="48">
        <f t="shared" si="230"/>
        <v>1.6898447999999997</v>
      </c>
      <c r="H7411" s="38"/>
      <c r="I7411" s="34"/>
      <c r="J7411" s="138">
        <v>3400</v>
      </c>
    </row>
    <row r="7412" spans="1:10" ht="15.75" thickBot="1" x14ac:dyDescent="0.3">
      <c r="A7412" s="226"/>
      <c r="B7412" s="224"/>
      <c r="C7412" s="49"/>
      <c r="D7412" s="148"/>
      <c r="E7412" s="60"/>
      <c r="F7412" s="70" t="s">
        <v>521</v>
      </c>
      <c r="G7412" s="70" t="str">
        <f t="shared" si="230"/>
        <v/>
      </c>
      <c r="H7412" s="71"/>
      <c r="I7412" s="68"/>
      <c r="J7412" s="138">
        <v>3400</v>
      </c>
    </row>
    <row r="7413" spans="1:10" ht="15.75" thickBot="1" x14ac:dyDescent="0.3">
      <c r="A7413" s="220" t="s">
        <v>2774</v>
      </c>
      <c r="B7413" s="222" t="str">
        <f>INDEX(Orçamentária!A:B,MATCH(Composições!A7413,Orçamentária!A:A,0),2)</f>
        <v>Cabo 3x6mm²</v>
      </c>
      <c r="C7413" s="35"/>
      <c r="D7413" s="20" t="s">
        <v>93</v>
      </c>
      <c r="E7413" s="21"/>
      <c r="F7413" s="36" t="s">
        <v>521</v>
      </c>
      <c r="G7413" s="22" t="str">
        <f t="shared" si="230"/>
        <v/>
      </c>
      <c r="H7413" s="23"/>
      <c r="I7413" s="24"/>
      <c r="J7413" s="138">
        <v>7347</v>
      </c>
    </row>
    <row r="7414" spans="1:10" x14ac:dyDescent="0.25">
      <c r="A7414" s="221"/>
      <c r="B7414" s="223"/>
      <c r="C7414" s="26"/>
      <c r="D7414" s="26"/>
      <c r="E7414" s="27"/>
      <c r="F7414" s="37" t="s">
        <v>521</v>
      </c>
      <c r="G7414" s="25" t="str">
        <f t="shared" si="230"/>
        <v/>
      </c>
      <c r="H7414" s="29"/>
      <c r="I7414" s="25"/>
      <c r="J7414" s="138">
        <v>7347</v>
      </c>
    </row>
    <row r="7415" spans="1:10" x14ac:dyDescent="0.25">
      <c r="A7415" s="221"/>
      <c r="B7415" s="223"/>
      <c r="C7415" s="30" t="s">
        <v>74</v>
      </c>
      <c r="D7415" s="30" t="s">
        <v>12</v>
      </c>
      <c r="E7415" s="31">
        <v>1.2999999999999999E-2</v>
      </c>
      <c r="F7415" s="25">
        <v>19.4085</v>
      </c>
      <c r="G7415" s="28">
        <f t="shared" si="230"/>
        <v>0.25231049999999999</v>
      </c>
      <c r="H7415" s="33">
        <f>SUM(G7415:G7418)</f>
        <v>20.153984999999999</v>
      </c>
      <c r="I7415" s="34"/>
      <c r="J7415" s="138">
        <v>7347</v>
      </c>
    </row>
    <row r="7416" spans="1:10" x14ac:dyDescent="0.25">
      <c r="A7416" s="221"/>
      <c r="B7416" s="223"/>
      <c r="C7416" s="30" t="s">
        <v>30</v>
      </c>
      <c r="D7416" s="30" t="s">
        <v>12</v>
      </c>
      <c r="E7416" s="31">
        <v>1.2999999999999999E-2</v>
      </c>
      <c r="F7416" s="25">
        <v>25.146499999999996</v>
      </c>
      <c r="G7416" s="28">
        <f t="shared" si="230"/>
        <v>0.32690449999999993</v>
      </c>
      <c r="H7416" s="29"/>
      <c r="I7416" s="25"/>
      <c r="J7416" s="138">
        <v>7347</v>
      </c>
    </row>
    <row r="7417" spans="1:10" ht="25.5" x14ac:dyDescent="0.25">
      <c r="A7417" s="221"/>
      <c r="B7417" s="223"/>
      <c r="C7417" s="30" t="s">
        <v>2819</v>
      </c>
      <c r="D7417" s="30" t="s">
        <v>93</v>
      </c>
      <c r="E7417" s="31">
        <v>1.0269999999999999</v>
      </c>
      <c r="F7417" s="28">
        <v>19.02</v>
      </c>
      <c r="G7417" s="28">
        <f t="shared" si="230"/>
        <v>19.533539999999999</v>
      </c>
      <c r="H7417" s="29"/>
      <c r="I7417" s="25"/>
      <c r="J7417" s="138">
        <v>7347</v>
      </c>
    </row>
    <row r="7418" spans="1:10" x14ac:dyDescent="0.25">
      <c r="A7418" s="221"/>
      <c r="B7418" s="223"/>
      <c r="C7418" s="30" t="s">
        <v>553</v>
      </c>
      <c r="D7418" s="30" t="s">
        <v>20</v>
      </c>
      <c r="E7418" s="31">
        <v>0.01</v>
      </c>
      <c r="F7418" s="28">
        <v>4.1229999999999993</v>
      </c>
      <c r="G7418" s="28">
        <f t="shared" si="230"/>
        <v>4.1229999999999996E-2</v>
      </c>
      <c r="H7418" s="29"/>
      <c r="I7418" s="25"/>
      <c r="J7418" s="138">
        <v>7347</v>
      </c>
    </row>
    <row r="7419" spans="1:10" ht="15.75" thickBot="1" x14ac:dyDescent="0.3">
      <c r="A7419" s="227"/>
      <c r="B7419" s="224"/>
      <c r="C7419" s="30"/>
      <c r="D7419" s="30"/>
      <c r="E7419" s="31"/>
      <c r="F7419" s="25" t="s">
        <v>521</v>
      </c>
      <c r="G7419" s="25" t="str">
        <f t="shared" si="230"/>
        <v/>
      </c>
      <c r="H7419" s="29"/>
      <c r="I7419" s="25"/>
      <c r="J7419" s="138">
        <v>7347</v>
      </c>
    </row>
    <row r="7420" spans="1:10" ht="15.75" thickBot="1" x14ac:dyDescent="0.3">
      <c r="A7420" s="220" t="s">
        <v>2775</v>
      </c>
      <c r="B7420" s="222" t="str">
        <f>INDEX(Orçamentária!A:B,MATCH(Composições!A7420,Orçamentária!A:A,0),2)</f>
        <v>Eletroduto de aço galvanizado a fogo de 1”</v>
      </c>
      <c r="C7420" s="35"/>
      <c r="D7420" s="20" t="s">
        <v>93</v>
      </c>
      <c r="E7420" s="21"/>
      <c r="F7420" s="36" t="s">
        <v>521</v>
      </c>
      <c r="G7420" s="22" t="str">
        <f t="shared" si="230"/>
        <v/>
      </c>
      <c r="H7420" s="23"/>
      <c r="I7420" s="24"/>
      <c r="J7420" s="138">
        <v>722</v>
      </c>
    </row>
    <row r="7421" spans="1:10" x14ac:dyDescent="0.25">
      <c r="A7421" s="221"/>
      <c r="B7421" s="223"/>
      <c r="C7421" s="26"/>
      <c r="D7421" s="26"/>
      <c r="E7421" s="27"/>
      <c r="F7421" s="37" t="s">
        <v>521</v>
      </c>
      <c r="G7421" s="25" t="str">
        <f t="shared" si="230"/>
        <v/>
      </c>
      <c r="H7421" s="29"/>
      <c r="I7421" s="25"/>
      <c r="J7421" s="138">
        <v>722</v>
      </c>
    </row>
    <row r="7422" spans="1:10" x14ac:dyDescent="0.25">
      <c r="A7422" s="221"/>
      <c r="B7422" s="223"/>
      <c r="C7422" s="30" t="s">
        <v>2811</v>
      </c>
      <c r="D7422" s="30" t="s">
        <v>93</v>
      </c>
      <c r="E7422" s="31">
        <v>1.05</v>
      </c>
      <c r="F7422" s="25">
        <v>33.658499999999997</v>
      </c>
      <c r="G7422" s="28">
        <f t="shared" si="230"/>
        <v>35.341425000000001</v>
      </c>
      <c r="H7422" s="33">
        <f>SUM(G7422:G7424)</f>
        <v>57.618925000000004</v>
      </c>
      <c r="I7422" s="34"/>
      <c r="J7422" s="138">
        <v>722</v>
      </c>
    </row>
    <row r="7423" spans="1:10" x14ac:dyDescent="0.25">
      <c r="A7423" s="221"/>
      <c r="B7423" s="223"/>
      <c r="C7423" s="30" t="s">
        <v>1156</v>
      </c>
      <c r="D7423" s="30" t="s">
        <v>702</v>
      </c>
      <c r="E7423" s="31">
        <v>0.5</v>
      </c>
      <c r="F7423" s="25">
        <v>19.4085</v>
      </c>
      <c r="G7423" s="28">
        <f t="shared" si="230"/>
        <v>9.70425</v>
      </c>
      <c r="H7423" s="29"/>
      <c r="I7423" s="25"/>
      <c r="J7423" s="138">
        <v>722</v>
      </c>
    </row>
    <row r="7424" spans="1:10" x14ac:dyDescent="0.25">
      <c r="A7424" s="221"/>
      <c r="B7424" s="223"/>
      <c r="C7424" s="30" t="s">
        <v>1157</v>
      </c>
      <c r="D7424" s="30" t="s">
        <v>702</v>
      </c>
      <c r="E7424" s="31">
        <v>0.5</v>
      </c>
      <c r="F7424" s="25">
        <v>25.146499999999996</v>
      </c>
      <c r="G7424" s="28">
        <f t="shared" si="230"/>
        <v>12.573249999999998</v>
      </c>
      <c r="H7424" s="29"/>
      <c r="I7424" s="25"/>
      <c r="J7424" s="138">
        <v>722</v>
      </c>
    </row>
    <row r="7425" spans="1:10" ht="15.75" thickBot="1" x14ac:dyDescent="0.3">
      <c r="A7425" s="227"/>
      <c r="B7425" s="224"/>
      <c r="C7425" s="30"/>
      <c r="D7425" s="30"/>
      <c r="E7425" s="31"/>
      <c r="F7425" s="25" t="s">
        <v>521</v>
      </c>
      <c r="G7425" s="25" t="str">
        <f t="shared" si="230"/>
        <v/>
      </c>
      <c r="H7425" s="29"/>
      <c r="I7425" s="25"/>
      <c r="J7425" s="138">
        <v>722</v>
      </c>
    </row>
    <row r="7426" spans="1:10" ht="15.75" thickBot="1" x14ac:dyDescent="0.3">
      <c r="A7426" s="220" t="s">
        <v>2776</v>
      </c>
      <c r="B7426" s="222" t="str">
        <f>INDEX(Orçamentária!A:B,MATCH(Composições!A7426,Orçamentária!A:A,0),2)</f>
        <v>Eletroduto de aço galvanizado de 1 1/2” – fornecimento e instalação</v>
      </c>
      <c r="C7426" s="35"/>
      <c r="D7426" s="20" t="s">
        <v>93</v>
      </c>
      <c r="E7426" s="21"/>
      <c r="F7426" s="36" t="s">
        <v>521</v>
      </c>
      <c r="G7426" s="22" t="str">
        <f t="shared" si="230"/>
        <v/>
      </c>
      <c r="H7426" s="23"/>
      <c r="I7426" s="24"/>
      <c r="J7426" s="138">
        <v>142</v>
      </c>
    </row>
    <row r="7427" spans="1:10" x14ac:dyDescent="0.25">
      <c r="A7427" s="221"/>
      <c r="B7427" s="223"/>
      <c r="C7427" s="26"/>
      <c r="D7427" s="26"/>
      <c r="E7427" s="27"/>
      <c r="F7427" s="37" t="s">
        <v>521</v>
      </c>
      <c r="G7427" s="25" t="str">
        <f t="shared" si="230"/>
        <v/>
      </c>
      <c r="H7427" s="29"/>
      <c r="I7427" s="25"/>
      <c r="J7427" s="138">
        <v>142</v>
      </c>
    </row>
    <row r="7428" spans="1:10" x14ac:dyDescent="0.25">
      <c r="A7428" s="221"/>
      <c r="B7428" s="223"/>
      <c r="C7428" s="30" t="s">
        <v>2812</v>
      </c>
      <c r="D7428" s="30" t="s">
        <v>93</v>
      </c>
      <c r="E7428" s="31">
        <v>1.05</v>
      </c>
      <c r="F7428" s="25">
        <v>66.433500000000009</v>
      </c>
      <c r="G7428" s="28">
        <f t="shared" si="230"/>
        <v>69.755175000000008</v>
      </c>
      <c r="H7428" s="33">
        <f>SUM(G7428:G7430)</f>
        <v>103.171425</v>
      </c>
      <c r="I7428" s="34"/>
      <c r="J7428" s="138">
        <v>142</v>
      </c>
    </row>
    <row r="7429" spans="1:10" x14ac:dyDescent="0.25">
      <c r="A7429" s="221"/>
      <c r="B7429" s="223"/>
      <c r="C7429" s="30" t="s">
        <v>30</v>
      </c>
      <c r="D7429" s="30" t="s">
        <v>12</v>
      </c>
      <c r="E7429" s="31">
        <v>0.75</v>
      </c>
      <c r="F7429" s="25">
        <v>25.146499999999996</v>
      </c>
      <c r="G7429" s="28">
        <f t="shared" si="230"/>
        <v>18.859874999999995</v>
      </c>
      <c r="H7429" s="29"/>
      <c r="I7429" s="25"/>
      <c r="J7429" s="138">
        <v>142</v>
      </c>
    </row>
    <row r="7430" spans="1:10" x14ac:dyDescent="0.25">
      <c r="A7430" s="221"/>
      <c r="B7430" s="223"/>
      <c r="C7430" s="30" t="s">
        <v>74</v>
      </c>
      <c r="D7430" s="30" t="s">
        <v>12</v>
      </c>
      <c r="E7430" s="31">
        <v>0.75</v>
      </c>
      <c r="F7430" s="25">
        <v>19.4085</v>
      </c>
      <c r="G7430" s="28">
        <f t="shared" si="230"/>
        <v>14.556374999999999</v>
      </c>
      <c r="H7430" s="29"/>
      <c r="I7430" s="25"/>
      <c r="J7430" s="138">
        <v>142</v>
      </c>
    </row>
    <row r="7431" spans="1:10" ht="15.75" thickBot="1" x14ac:dyDescent="0.3">
      <c r="A7431" s="227"/>
      <c r="B7431" s="224"/>
      <c r="C7431" s="30"/>
      <c r="D7431" s="30"/>
      <c r="E7431" s="31"/>
      <c r="F7431" s="25" t="s">
        <v>521</v>
      </c>
      <c r="G7431" s="25" t="str">
        <f t="shared" si="230"/>
        <v/>
      </c>
      <c r="H7431" s="29"/>
      <c r="I7431" s="25"/>
      <c r="J7431" s="138">
        <v>142</v>
      </c>
    </row>
    <row r="7432" spans="1:10" ht="15.75" thickBot="1" x14ac:dyDescent="0.3">
      <c r="A7432" s="220" t="s">
        <v>2777</v>
      </c>
      <c r="B7432" s="222" t="str">
        <f>INDEX(Orçamentária!A:B,MATCH(Composições!A7432,Orçamentária!A:A,0),2)</f>
        <v>Eletroduto de aço galvanizado a fogo de 2”</v>
      </c>
      <c r="C7432" s="35"/>
      <c r="D7432" s="20" t="s">
        <v>93</v>
      </c>
      <c r="E7432" s="21"/>
      <c r="F7432" s="36" t="s">
        <v>521</v>
      </c>
      <c r="G7432" s="22" t="str">
        <f t="shared" si="230"/>
        <v/>
      </c>
      <c r="H7432" s="23"/>
      <c r="I7432" s="24"/>
      <c r="J7432" s="138">
        <v>21</v>
      </c>
    </row>
    <row r="7433" spans="1:10" x14ac:dyDescent="0.25">
      <c r="A7433" s="221"/>
      <c r="B7433" s="223"/>
      <c r="C7433" s="26"/>
      <c r="D7433" s="26"/>
      <c r="E7433" s="27"/>
      <c r="F7433" s="37" t="s">
        <v>521</v>
      </c>
      <c r="G7433" s="25" t="str">
        <f t="shared" si="230"/>
        <v/>
      </c>
      <c r="H7433" s="29"/>
      <c r="I7433" s="25"/>
      <c r="J7433" s="138">
        <v>21</v>
      </c>
    </row>
    <row r="7434" spans="1:10" x14ac:dyDescent="0.25">
      <c r="A7434" s="221"/>
      <c r="B7434" s="223"/>
      <c r="C7434" s="30" t="s">
        <v>2818</v>
      </c>
      <c r="D7434" s="30" t="s">
        <v>93</v>
      </c>
      <c r="E7434" s="31">
        <v>1.05</v>
      </c>
      <c r="F7434" s="25">
        <v>84.597499999999997</v>
      </c>
      <c r="G7434" s="28">
        <f t="shared" si="230"/>
        <v>88.827375000000004</v>
      </c>
      <c r="H7434" s="33">
        <f>SUM(G7434:G7436)</f>
        <v>122.24362500000001</v>
      </c>
      <c r="I7434" s="34"/>
      <c r="J7434" s="138">
        <v>21</v>
      </c>
    </row>
    <row r="7435" spans="1:10" x14ac:dyDescent="0.25">
      <c r="A7435" s="221"/>
      <c r="B7435" s="223"/>
      <c r="C7435" s="30" t="s">
        <v>30</v>
      </c>
      <c r="D7435" s="30" t="s">
        <v>12</v>
      </c>
      <c r="E7435" s="31">
        <v>0.75</v>
      </c>
      <c r="F7435" s="25">
        <v>25.146499999999996</v>
      </c>
      <c r="G7435" s="28">
        <f t="shared" si="230"/>
        <v>18.859874999999995</v>
      </c>
      <c r="H7435" s="29"/>
      <c r="I7435" s="25"/>
      <c r="J7435" s="138">
        <v>21</v>
      </c>
    </row>
    <row r="7436" spans="1:10" x14ac:dyDescent="0.25">
      <c r="A7436" s="221"/>
      <c r="B7436" s="223"/>
      <c r="C7436" s="30" t="s">
        <v>74</v>
      </c>
      <c r="D7436" s="30" t="s">
        <v>12</v>
      </c>
      <c r="E7436" s="31">
        <v>0.75</v>
      </c>
      <c r="F7436" s="25">
        <v>19.4085</v>
      </c>
      <c r="G7436" s="28">
        <f t="shared" si="230"/>
        <v>14.556374999999999</v>
      </c>
      <c r="H7436" s="29"/>
      <c r="I7436" s="25"/>
      <c r="J7436" s="138">
        <v>21</v>
      </c>
    </row>
    <row r="7437" spans="1:10" ht="15.75" thickBot="1" x14ac:dyDescent="0.3">
      <c r="A7437" s="227"/>
      <c r="B7437" s="224"/>
      <c r="C7437" s="30"/>
      <c r="D7437" s="30"/>
      <c r="E7437" s="31"/>
      <c r="F7437" s="25" t="s">
        <v>521</v>
      </c>
      <c r="G7437" s="25" t="str">
        <f t="shared" si="230"/>
        <v/>
      </c>
      <c r="H7437" s="29"/>
      <c r="I7437" s="25"/>
      <c r="J7437" s="138">
        <v>21</v>
      </c>
    </row>
    <row r="7438" spans="1:10" ht="15.75" thickBot="1" x14ac:dyDescent="0.3">
      <c r="A7438" s="220" t="s">
        <v>2778</v>
      </c>
      <c r="B7438" s="222" t="str">
        <f>INDEX(Orçamentária!A:B,MATCH(Composições!A7438,Orçamentária!A:A,0),2)</f>
        <v>Eletroduto de aço galvanizado a fogo de 3”</v>
      </c>
      <c r="C7438" s="35"/>
      <c r="D7438" s="20" t="s">
        <v>93</v>
      </c>
      <c r="E7438" s="21"/>
      <c r="F7438" s="36" t="s">
        <v>521</v>
      </c>
      <c r="G7438" s="22" t="str">
        <f t="shared" si="230"/>
        <v/>
      </c>
      <c r="H7438" s="23"/>
      <c r="I7438" s="24"/>
      <c r="J7438" s="138">
        <v>53</v>
      </c>
    </row>
    <row r="7439" spans="1:10" x14ac:dyDescent="0.25">
      <c r="A7439" s="221"/>
      <c r="B7439" s="223"/>
      <c r="C7439" s="26"/>
      <c r="D7439" s="26"/>
      <c r="E7439" s="27"/>
      <c r="F7439" s="37" t="s">
        <v>521</v>
      </c>
      <c r="G7439" s="25" t="str">
        <f t="shared" si="230"/>
        <v/>
      </c>
      <c r="H7439" s="29"/>
      <c r="I7439" s="25"/>
      <c r="J7439" s="138">
        <v>53</v>
      </c>
    </row>
    <row r="7440" spans="1:10" x14ac:dyDescent="0.25">
      <c r="A7440" s="221"/>
      <c r="B7440" s="223"/>
      <c r="C7440" s="30" t="s">
        <v>2817</v>
      </c>
      <c r="D7440" s="30" t="s">
        <v>93</v>
      </c>
      <c r="E7440" s="31">
        <v>1.05</v>
      </c>
      <c r="F7440" s="25">
        <v>77.728999999999985</v>
      </c>
      <c r="G7440" s="28">
        <f t="shared" si="230"/>
        <v>81.615449999999981</v>
      </c>
      <c r="H7440" s="33">
        <f>SUM(G7440:G7442)</f>
        <v>126.17044999999999</v>
      </c>
      <c r="I7440" s="34"/>
      <c r="J7440" s="138">
        <v>53</v>
      </c>
    </row>
    <row r="7441" spans="1:10" x14ac:dyDescent="0.25">
      <c r="A7441" s="221"/>
      <c r="B7441" s="223"/>
      <c r="C7441" s="30" t="s">
        <v>30</v>
      </c>
      <c r="D7441" s="30" t="s">
        <v>12</v>
      </c>
      <c r="E7441" s="31">
        <v>1</v>
      </c>
      <c r="F7441" s="25">
        <v>25.146499999999996</v>
      </c>
      <c r="G7441" s="28">
        <f t="shared" si="230"/>
        <v>25.146499999999996</v>
      </c>
      <c r="H7441" s="29"/>
      <c r="I7441" s="25"/>
      <c r="J7441" s="138">
        <v>53</v>
      </c>
    </row>
    <row r="7442" spans="1:10" x14ac:dyDescent="0.25">
      <c r="A7442" s="221"/>
      <c r="B7442" s="223"/>
      <c r="C7442" s="30" t="s">
        <v>74</v>
      </c>
      <c r="D7442" s="30" t="s">
        <v>12</v>
      </c>
      <c r="E7442" s="31">
        <v>1</v>
      </c>
      <c r="F7442" s="25">
        <v>19.4085</v>
      </c>
      <c r="G7442" s="28">
        <f t="shared" si="230"/>
        <v>19.4085</v>
      </c>
      <c r="H7442" s="29"/>
      <c r="I7442" s="25"/>
      <c r="J7442" s="138">
        <v>53</v>
      </c>
    </row>
    <row r="7443" spans="1:10" ht="15.75" thickBot="1" x14ac:dyDescent="0.3">
      <c r="A7443" s="227"/>
      <c r="B7443" s="224"/>
      <c r="C7443" s="30"/>
      <c r="D7443" s="30"/>
      <c r="E7443" s="31"/>
      <c r="F7443" s="25" t="s">
        <v>521</v>
      </c>
      <c r="G7443" s="25" t="str">
        <f t="shared" si="230"/>
        <v/>
      </c>
      <c r="H7443" s="29"/>
      <c r="I7443" s="25"/>
      <c r="J7443" s="138">
        <v>53</v>
      </c>
    </row>
    <row r="7444" spans="1:10" ht="15.75" thickBot="1" x14ac:dyDescent="0.3">
      <c r="A7444" s="220" t="s">
        <v>2779</v>
      </c>
      <c r="B7444" s="222" t="str">
        <f>INDEX(Orçamentária!A:B,MATCH(Composições!A7444,Orçamentária!A:A,0),2)</f>
        <v>Projeto Executivo de Iluminação Viária</v>
      </c>
      <c r="C7444" s="35"/>
      <c r="D7444" s="20" t="s">
        <v>20</v>
      </c>
      <c r="E7444" s="21"/>
      <c r="F7444" s="36" t="s">
        <v>521</v>
      </c>
      <c r="G7444" s="22" t="str">
        <f t="shared" si="230"/>
        <v/>
      </c>
      <c r="H7444" s="23"/>
      <c r="I7444" s="24"/>
      <c r="J7444" s="138">
        <v>1</v>
      </c>
    </row>
    <row r="7445" spans="1:10" x14ac:dyDescent="0.25">
      <c r="A7445" s="221"/>
      <c r="B7445" s="223"/>
      <c r="C7445" s="26"/>
      <c r="D7445" s="26"/>
      <c r="E7445" s="27"/>
      <c r="F7445" s="37" t="s">
        <v>521</v>
      </c>
      <c r="G7445" s="25" t="str">
        <f t="shared" si="230"/>
        <v/>
      </c>
      <c r="H7445" s="29"/>
      <c r="I7445" s="25"/>
      <c r="J7445" s="138">
        <v>1</v>
      </c>
    </row>
    <row r="7446" spans="1:10" x14ac:dyDescent="0.25">
      <c r="A7446" s="221"/>
      <c r="B7446" s="223"/>
      <c r="C7446" s="30" t="s">
        <v>1614</v>
      </c>
      <c r="D7446" s="41" t="s">
        <v>702</v>
      </c>
      <c r="E7446" s="31">
        <v>40</v>
      </c>
      <c r="F7446" s="28">
        <v>103.759</v>
      </c>
      <c r="G7446" s="25">
        <f t="shared" si="230"/>
        <v>4150.3599999999997</v>
      </c>
      <c r="H7446" s="33">
        <f>SUM(G7446:G7447)</f>
        <v>4739.3599999999997</v>
      </c>
      <c r="I7446" s="34"/>
      <c r="J7446" s="138">
        <v>1</v>
      </c>
    </row>
    <row r="7447" spans="1:10" x14ac:dyDescent="0.25">
      <c r="A7447" s="221"/>
      <c r="B7447" s="223"/>
      <c r="C7447" s="30" t="s">
        <v>1611</v>
      </c>
      <c r="D7447" s="41" t="s">
        <v>702</v>
      </c>
      <c r="E7447" s="31">
        <v>40</v>
      </c>
      <c r="F7447" s="25">
        <v>14.725</v>
      </c>
      <c r="G7447" s="28">
        <f t="shared" si="230"/>
        <v>589</v>
      </c>
      <c r="H7447" s="29"/>
      <c r="I7447" s="25"/>
      <c r="J7447" s="138">
        <v>1</v>
      </c>
    </row>
    <row r="7448" spans="1:10" ht="15.75" thickBot="1" x14ac:dyDescent="0.3">
      <c r="A7448" s="221"/>
      <c r="B7448" s="224"/>
      <c r="C7448" s="30"/>
      <c r="D7448" s="30"/>
      <c r="E7448" s="31"/>
      <c r="F7448" s="25" t="s">
        <v>521</v>
      </c>
      <c r="G7448" s="25" t="str">
        <f t="shared" si="230"/>
        <v/>
      </c>
      <c r="H7448" s="29"/>
      <c r="I7448" s="25"/>
      <c r="J7448" s="138">
        <v>1</v>
      </c>
    </row>
    <row r="7449" spans="1:10" ht="15.75" thickBot="1" x14ac:dyDescent="0.3">
      <c r="A7449" s="220" t="s">
        <v>2780</v>
      </c>
      <c r="B7449" s="222" t="str">
        <f>INDEX(Orçamentária!A:B,MATCH(Composições!A7449,Orçamentária!A:A,0),2)</f>
        <v>Luminária LED para poste 150W</v>
      </c>
      <c r="C7449" s="35"/>
      <c r="D7449" s="20" t="s">
        <v>20</v>
      </c>
      <c r="E7449" s="21"/>
      <c r="F7449" s="36" t="s">
        <v>521</v>
      </c>
      <c r="G7449" s="22" t="str">
        <f t="shared" si="230"/>
        <v/>
      </c>
      <c r="H7449" s="23"/>
      <c r="I7449" s="24"/>
      <c r="J7449" s="138">
        <v>134</v>
      </c>
    </row>
    <row r="7450" spans="1:10" x14ac:dyDescent="0.25">
      <c r="A7450" s="221"/>
      <c r="B7450" s="223"/>
      <c r="C7450" s="26"/>
      <c r="D7450" s="26"/>
      <c r="E7450" s="27"/>
      <c r="F7450" s="37" t="s">
        <v>521</v>
      </c>
      <c r="G7450" s="25" t="str">
        <f t="shared" ref="G7450:G7513" si="231">IF(ISNUMBER(F7450),E7450*F7450,"")</f>
        <v/>
      </c>
      <c r="H7450" s="29"/>
      <c r="I7450" s="25"/>
      <c r="J7450" s="138">
        <v>134</v>
      </c>
    </row>
    <row r="7451" spans="1:10" ht="51" x14ac:dyDescent="0.25">
      <c r="A7451" s="221"/>
      <c r="B7451" s="223"/>
      <c r="C7451" s="30" t="s">
        <v>1568</v>
      </c>
      <c r="D7451" s="41" t="s">
        <v>938</v>
      </c>
      <c r="E7451" s="31">
        <v>0.23880000000000001</v>
      </c>
      <c r="F7451" s="28">
        <v>274.60699999999997</v>
      </c>
      <c r="G7451" s="25">
        <f t="shared" si="231"/>
        <v>65.576151600000003</v>
      </c>
      <c r="H7451" s="33">
        <f>SUM(G7451:G7455)</f>
        <v>764.59341910000001</v>
      </c>
      <c r="I7451" s="34"/>
      <c r="J7451" s="138">
        <v>134</v>
      </c>
    </row>
    <row r="7452" spans="1:10" ht="25.5" x14ac:dyDescent="0.25">
      <c r="A7452" s="221"/>
      <c r="B7452" s="223"/>
      <c r="C7452" s="30" t="s">
        <v>1692</v>
      </c>
      <c r="D7452" s="41" t="s">
        <v>279</v>
      </c>
      <c r="E7452" s="31">
        <v>1.4E-2</v>
      </c>
      <c r="F7452" s="25">
        <v>4.1229999999999993</v>
      </c>
      <c r="G7452" s="25">
        <f t="shared" si="231"/>
        <v>5.7721999999999989E-2</v>
      </c>
      <c r="H7452" s="29"/>
      <c r="I7452" s="25"/>
      <c r="J7452" s="138">
        <v>134</v>
      </c>
    </row>
    <row r="7453" spans="1:10" ht="25.5" x14ac:dyDescent="0.25">
      <c r="A7453" s="221"/>
      <c r="B7453" s="223"/>
      <c r="C7453" s="30" t="s">
        <v>2791</v>
      </c>
      <c r="D7453" s="41" t="s">
        <v>279</v>
      </c>
      <c r="E7453" s="31">
        <v>1</v>
      </c>
      <c r="F7453" s="25">
        <v>688.351</v>
      </c>
      <c r="G7453" s="25">
        <f t="shared" si="231"/>
        <v>688.351</v>
      </c>
      <c r="H7453" s="29"/>
      <c r="I7453" s="25"/>
      <c r="J7453" s="138">
        <v>134</v>
      </c>
    </row>
    <row r="7454" spans="1:10" x14ac:dyDescent="0.25">
      <c r="A7454" s="221"/>
      <c r="B7454" s="223"/>
      <c r="C7454" s="30" t="s">
        <v>1156</v>
      </c>
      <c r="D7454" s="41" t="s">
        <v>702</v>
      </c>
      <c r="E7454" s="31">
        <v>0.23810000000000001</v>
      </c>
      <c r="F7454" s="25">
        <v>19.4085</v>
      </c>
      <c r="G7454" s="25">
        <f t="shared" si="231"/>
        <v>4.6211638500000003</v>
      </c>
      <c r="H7454" s="29"/>
      <c r="I7454" s="25"/>
      <c r="J7454" s="138">
        <v>134</v>
      </c>
    </row>
    <row r="7455" spans="1:10" x14ac:dyDescent="0.25">
      <c r="A7455" s="221"/>
      <c r="B7455" s="223"/>
      <c r="C7455" s="30" t="s">
        <v>1157</v>
      </c>
      <c r="D7455" s="41" t="s">
        <v>702</v>
      </c>
      <c r="E7455" s="31">
        <v>0.23810000000000001</v>
      </c>
      <c r="F7455" s="25">
        <v>25.146499999999996</v>
      </c>
      <c r="G7455" s="28">
        <f t="shared" si="231"/>
        <v>5.9873816499999988</v>
      </c>
      <c r="H7455" s="29"/>
      <c r="I7455" s="25"/>
      <c r="J7455" s="138">
        <v>134</v>
      </c>
    </row>
    <row r="7456" spans="1:10" ht="15.75" thickBot="1" x14ac:dyDescent="0.3">
      <c r="A7456" s="221"/>
      <c r="B7456" s="224"/>
      <c r="C7456" s="30"/>
      <c r="D7456" s="30"/>
      <c r="E7456" s="31"/>
      <c r="F7456" s="25" t="s">
        <v>521</v>
      </c>
      <c r="G7456" s="25" t="str">
        <f t="shared" si="231"/>
        <v/>
      </c>
      <c r="H7456" s="29"/>
      <c r="I7456" s="25"/>
      <c r="J7456" s="138">
        <v>134</v>
      </c>
    </row>
    <row r="7457" spans="1:10" s="168" customFormat="1" ht="15.75" thickBot="1" x14ac:dyDescent="0.3">
      <c r="A7457" s="220" t="s">
        <v>2781</v>
      </c>
      <c r="B7457" s="222" t="str">
        <f>INDEX(Orçamentária!A:B,MATCH(Composições!A7457,Orçamentária!A:A,0),2)</f>
        <v>Suporte para luminária de poste quadruplo</v>
      </c>
      <c r="C7457" s="35"/>
      <c r="D7457" s="20" t="s">
        <v>20</v>
      </c>
      <c r="E7457" s="21"/>
      <c r="F7457" s="43" t="s">
        <v>521</v>
      </c>
      <c r="G7457" s="22" t="str">
        <f t="shared" si="231"/>
        <v/>
      </c>
      <c r="H7457" s="23"/>
      <c r="I7457" s="24"/>
      <c r="J7457" s="138">
        <v>126</v>
      </c>
    </row>
    <row r="7458" spans="1:10" s="168" customFormat="1" x14ac:dyDescent="0.25">
      <c r="A7458" s="225"/>
      <c r="B7458" s="223"/>
      <c r="C7458" s="152"/>
      <c r="D7458" s="26"/>
      <c r="E7458" s="153"/>
      <c r="F7458" s="48" t="s">
        <v>521</v>
      </c>
      <c r="G7458" s="48" t="str">
        <f t="shared" si="231"/>
        <v/>
      </c>
      <c r="H7458" s="67"/>
      <c r="I7458" s="68"/>
      <c r="J7458" s="138">
        <v>126</v>
      </c>
    </row>
    <row r="7459" spans="1:10" s="168" customFormat="1" ht="25.5" x14ac:dyDescent="0.25">
      <c r="A7459" s="225"/>
      <c r="B7459" s="223"/>
      <c r="C7459" s="30" t="s">
        <v>2821</v>
      </c>
      <c r="D7459" s="30" t="s">
        <v>20</v>
      </c>
      <c r="E7459" s="31">
        <v>1</v>
      </c>
      <c r="F7459" s="25">
        <v>153.00700000000001</v>
      </c>
      <c r="G7459" s="48">
        <f t="shared" si="231"/>
        <v>153.00700000000001</v>
      </c>
      <c r="H7459" s="33">
        <f>SUM(G7459:G7461)</f>
        <v>164.14574999999999</v>
      </c>
      <c r="I7459" s="34"/>
      <c r="J7459" s="138">
        <v>126</v>
      </c>
    </row>
    <row r="7460" spans="1:10" s="168" customFormat="1" x14ac:dyDescent="0.25">
      <c r="A7460" s="225"/>
      <c r="B7460" s="223"/>
      <c r="C7460" s="30" t="s">
        <v>1156</v>
      </c>
      <c r="D7460" s="30" t="s">
        <v>702</v>
      </c>
      <c r="E7460" s="31">
        <v>0.25</v>
      </c>
      <c r="F7460" s="28">
        <v>19.4085</v>
      </c>
      <c r="G7460" s="28">
        <f t="shared" si="231"/>
        <v>4.852125</v>
      </c>
      <c r="H7460" s="29"/>
      <c r="I7460" s="25"/>
      <c r="J7460" s="138">
        <v>126</v>
      </c>
    </row>
    <row r="7461" spans="1:10" s="168" customFormat="1" x14ac:dyDescent="0.25">
      <c r="A7461" s="225"/>
      <c r="B7461" s="223"/>
      <c r="C7461" s="30" t="s">
        <v>1157</v>
      </c>
      <c r="D7461" s="30" t="s">
        <v>702</v>
      </c>
      <c r="E7461" s="31">
        <v>0.25</v>
      </c>
      <c r="F7461" s="25">
        <v>25.146499999999996</v>
      </c>
      <c r="G7461" s="48">
        <f t="shared" si="231"/>
        <v>6.286624999999999</v>
      </c>
      <c r="H7461" s="38"/>
      <c r="I7461" s="34"/>
      <c r="J7461" s="138">
        <v>126</v>
      </c>
    </row>
    <row r="7462" spans="1:10" s="168" customFormat="1" ht="15.75" thickBot="1" x14ac:dyDescent="0.3">
      <c r="A7462" s="226"/>
      <c r="B7462" s="224"/>
      <c r="C7462" s="49"/>
      <c r="D7462" s="148"/>
      <c r="E7462" s="60"/>
      <c r="F7462" s="70" t="s">
        <v>521</v>
      </c>
      <c r="G7462" s="70" t="str">
        <f t="shared" si="231"/>
        <v/>
      </c>
      <c r="H7462" s="71"/>
      <c r="I7462" s="68"/>
      <c r="J7462" s="138">
        <v>126</v>
      </c>
    </row>
    <row r="7463" spans="1:10" ht="15.75" thickBot="1" x14ac:dyDescent="0.3">
      <c r="A7463" s="220" t="s">
        <v>2782</v>
      </c>
      <c r="B7463" s="222" t="str">
        <f>INDEX(Orçamentária!A:B,MATCH(Composições!A7463,Orçamentária!A:A,0),2)</f>
        <v>Braço para iluminação</v>
      </c>
      <c r="C7463" s="35"/>
      <c r="D7463" s="20" t="s">
        <v>20</v>
      </c>
      <c r="E7463" s="21"/>
      <c r="F7463" s="36" t="s">
        <v>521</v>
      </c>
      <c r="G7463" s="22" t="str">
        <f t="shared" si="231"/>
        <v/>
      </c>
      <c r="H7463" s="23"/>
      <c r="I7463" s="24"/>
      <c r="J7463" s="138">
        <v>55</v>
      </c>
    </row>
    <row r="7464" spans="1:10" x14ac:dyDescent="0.25">
      <c r="A7464" s="221"/>
      <c r="B7464" s="223"/>
      <c r="C7464" s="143"/>
      <c r="D7464" s="26"/>
      <c r="E7464" s="144"/>
      <c r="F7464" s="37" t="s">
        <v>521</v>
      </c>
      <c r="G7464" s="25" t="str">
        <f t="shared" si="231"/>
        <v/>
      </c>
      <c r="H7464" s="29"/>
      <c r="I7464" s="25"/>
      <c r="J7464" s="138">
        <v>55</v>
      </c>
    </row>
    <row r="7465" spans="1:10" x14ac:dyDescent="0.25">
      <c r="A7465" s="221"/>
      <c r="B7465" s="223"/>
      <c r="C7465" s="145" t="s">
        <v>1621</v>
      </c>
      <c r="D7465" s="41" t="s">
        <v>279</v>
      </c>
      <c r="E7465" s="146">
        <v>1</v>
      </c>
      <c r="F7465" s="28">
        <v>23.75</v>
      </c>
      <c r="G7465" s="25">
        <f t="shared" si="231"/>
        <v>23.75</v>
      </c>
      <c r="H7465" s="33">
        <f>SUM(G7465:G7468)</f>
        <v>119.3116666</v>
      </c>
      <c r="I7465" s="34"/>
      <c r="J7465" s="138">
        <v>55</v>
      </c>
    </row>
    <row r="7466" spans="1:10" ht="51" x14ac:dyDescent="0.25">
      <c r="A7466" s="221"/>
      <c r="B7466" s="223"/>
      <c r="C7466" s="145" t="s">
        <v>1568</v>
      </c>
      <c r="D7466" s="41" t="s">
        <v>938</v>
      </c>
      <c r="E7466" s="146">
        <v>0.23880000000000001</v>
      </c>
      <c r="F7466" s="25">
        <v>274.60699999999997</v>
      </c>
      <c r="G7466" s="25">
        <f t="shared" si="231"/>
        <v>65.576151600000003</v>
      </c>
      <c r="H7466" s="29"/>
      <c r="I7466" s="25"/>
      <c r="J7466" s="138">
        <v>55</v>
      </c>
    </row>
    <row r="7467" spans="1:10" x14ac:dyDescent="0.25">
      <c r="A7467" s="221"/>
      <c r="B7467" s="223"/>
      <c r="C7467" s="145" t="s">
        <v>1156</v>
      </c>
      <c r="D7467" s="41" t="s">
        <v>702</v>
      </c>
      <c r="E7467" s="146">
        <v>0.67300000000000004</v>
      </c>
      <c r="F7467" s="25">
        <v>19.4085</v>
      </c>
      <c r="G7467" s="25">
        <f t="shared" si="231"/>
        <v>13.061920500000001</v>
      </c>
      <c r="H7467" s="29"/>
      <c r="I7467" s="25"/>
      <c r="J7467" s="138">
        <v>55</v>
      </c>
    </row>
    <row r="7468" spans="1:10" x14ac:dyDescent="0.25">
      <c r="A7468" s="221"/>
      <c r="B7468" s="223"/>
      <c r="C7468" s="145" t="s">
        <v>1157</v>
      </c>
      <c r="D7468" s="41" t="s">
        <v>702</v>
      </c>
      <c r="E7468" s="146">
        <v>0.67300000000000004</v>
      </c>
      <c r="F7468" s="25">
        <v>25.146499999999996</v>
      </c>
      <c r="G7468" s="25">
        <f t="shared" si="231"/>
        <v>16.9235945</v>
      </c>
      <c r="H7468" s="29"/>
      <c r="I7468" s="25"/>
      <c r="J7468" s="138">
        <v>55</v>
      </c>
    </row>
    <row r="7469" spans="1:10" ht="15.75" thickBot="1" x14ac:dyDescent="0.3">
      <c r="A7469" s="227"/>
      <c r="B7469" s="224"/>
      <c r="C7469" s="49"/>
      <c r="D7469" s="49"/>
      <c r="E7469" s="60"/>
      <c r="F7469" s="61" t="s">
        <v>521</v>
      </c>
      <c r="G7469" s="61" t="str">
        <f t="shared" si="231"/>
        <v/>
      </c>
      <c r="H7469" s="63"/>
      <c r="I7469" s="25"/>
      <c r="J7469" s="138">
        <v>55</v>
      </c>
    </row>
    <row r="7470" spans="1:10" x14ac:dyDescent="0.25">
      <c r="D7470" s="168"/>
    </row>
    <row r="7471" spans="1:10" x14ac:dyDescent="0.25">
      <c r="D7471" s="168"/>
    </row>
    <row r="7472" spans="1:10" x14ac:dyDescent="0.25">
      <c r="D7472" s="168"/>
    </row>
    <row r="7473" spans="4:4" x14ac:dyDescent="0.25">
      <c r="D7473" s="168"/>
    </row>
    <row r="7474" spans="4:4" x14ac:dyDescent="0.25">
      <c r="D7474" s="168"/>
    </row>
    <row r="7475" spans="4:4" x14ac:dyDescent="0.25">
      <c r="D7475" s="168"/>
    </row>
    <row r="7476" spans="4:4" x14ac:dyDescent="0.25">
      <c r="D7476" s="168"/>
    </row>
    <row r="7477" spans="4:4" x14ac:dyDescent="0.25">
      <c r="D7477" s="168"/>
    </row>
    <row r="7478" spans="4:4" x14ac:dyDescent="0.25">
      <c r="D7478" s="168"/>
    </row>
    <row r="7479" spans="4:4" x14ac:dyDescent="0.25">
      <c r="D7479" s="168"/>
    </row>
    <row r="7480" spans="4:4" x14ac:dyDescent="0.25">
      <c r="D7480" s="168"/>
    </row>
    <row r="7481" spans="4:4" x14ac:dyDescent="0.25">
      <c r="D7481" s="168"/>
    </row>
    <row r="7482" spans="4:4" x14ac:dyDescent="0.25">
      <c r="D7482" s="168"/>
    </row>
    <row r="7483" spans="4:4" x14ac:dyDescent="0.25">
      <c r="D7483" s="168"/>
    </row>
    <row r="7484" spans="4:4" x14ac:dyDescent="0.25">
      <c r="D7484" s="168"/>
    </row>
    <row r="7485" spans="4:4" x14ac:dyDescent="0.25">
      <c r="D7485" s="168"/>
    </row>
    <row r="7486" spans="4:4" x14ac:dyDescent="0.25">
      <c r="D7486" s="168"/>
    </row>
    <row r="7487" spans="4:4" x14ac:dyDescent="0.25">
      <c r="D7487" s="168"/>
    </row>
    <row r="7488" spans="4:4" x14ac:dyDescent="0.25">
      <c r="D7488" s="168"/>
    </row>
    <row r="7489" spans="4:4" x14ac:dyDescent="0.25">
      <c r="D7489" s="168"/>
    </row>
    <row r="7490" spans="4:4" x14ac:dyDescent="0.25">
      <c r="D7490" s="168"/>
    </row>
    <row r="7491" spans="4:4" x14ac:dyDescent="0.25">
      <c r="D7491" s="168"/>
    </row>
    <row r="7492" spans="4:4" x14ac:dyDescent="0.25">
      <c r="D7492" s="168"/>
    </row>
    <row r="7493" spans="4:4" x14ac:dyDescent="0.25">
      <c r="D7493" s="168"/>
    </row>
    <row r="7494" spans="4:4" x14ac:dyDescent="0.25">
      <c r="D7494" s="168"/>
    </row>
    <row r="7495" spans="4:4" x14ac:dyDescent="0.25">
      <c r="D7495" s="168"/>
    </row>
    <row r="7496" spans="4:4" x14ac:dyDescent="0.25">
      <c r="D7496" s="168"/>
    </row>
    <row r="7497" spans="4:4" x14ac:dyDescent="0.25">
      <c r="D7497" s="168"/>
    </row>
    <row r="7498" spans="4:4" x14ac:dyDescent="0.25">
      <c r="D7498" s="168"/>
    </row>
    <row r="7499" spans="4:4" x14ac:dyDescent="0.25">
      <c r="D7499" s="168"/>
    </row>
    <row r="7500" spans="4:4" x14ac:dyDescent="0.25">
      <c r="D7500" s="168"/>
    </row>
    <row r="7501" spans="4:4" x14ac:dyDescent="0.25">
      <c r="D7501" s="168"/>
    </row>
    <row r="7502" spans="4:4" x14ac:dyDescent="0.25">
      <c r="D7502" s="168"/>
    </row>
    <row r="7503" spans="4:4" x14ac:dyDescent="0.25">
      <c r="D7503" s="168"/>
    </row>
    <row r="7504" spans="4:4" x14ac:dyDescent="0.25">
      <c r="D7504" s="168"/>
    </row>
    <row r="7505" spans="4:4" x14ac:dyDescent="0.25">
      <c r="D7505" s="168"/>
    </row>
    <row r="7506" spans="4:4" x14ac:dyDescent="0.25">
      <c r="D7506" s="168"/>
    </row>
    <row r="7507" spans="4:4" x14ac:dyDescent="0.25">
      <c r="D7507" s="168"/>
    </row>
    <row r="7508" spans="4:4" x14ac:dyDescent="0.25">
      <c r="D7508" s="168"/>
    </row>
    <row r="7509" spans="4:4" x14ac:dyDescent="0.25">
      <c r="D7509" s="168"/>
    </row>
    <row r="7510" spans="4:4" x14ac:dyDescent="0.25">
      <c r="D7510" s="168"/>
    </row>
    <row r="7511" spans="4:4" x14ac:dyDescent="0.25">
      <c r="D7511" s="168"/>
    </row>
    <row r="7512" spans="4:4" x14ac:dyDescent="0.25">
      <c r="D7512" s="168"/>
    </row>
    <row r="7513" spans="4:4" x14ac:dyDescent="0.25">
      <c r="D7513" s="168"/>
    </row>
    <row r="7514" spans="4:4" x14ac:dyDescent="0.25">
      <c r="D7514" s="168"/>
    </row>
    <row r="7515" spans="4:4" x14ac:dyDescent="0.25">
      <c r="D7515" s="168"/>
    </row>
    <row r="7516" spans="4:4" x14ac:dyDescent="0.25">
      <c r="D7516" s="168"/>
    </row>
    <row r="7517" spans="4:4" x14ac:dyDescent="0.25">
      <c r="D7517" s="168"/>
    </row>
    <row r="7518" spans="4:4" x14ac:dyDescent="0.25">
      <c r="D7518" s="168"/>
    </row>
    <row r="7519" spans="4:4" x14ac:dyDescent="0.25">
      <c r="D7519" s="168"/>
    </row>
    <row r="7520" spans="4:4" x14ac:dyDescent="0.25">
      <c r="D7520" s="168"/>
    </row>
    <row r="7521" spans="4:4" x14ac:dyDescent="0.25">
      <c r="D7521" s="168"/>
    </row>
    <row r="7522" spans="4:4" x14ac:dyDescent="0.25">
      <c r="D7522" s="168"/>
    </row>
    <row r="7523" spans="4:4" x14ac:dyDescent="0.25">
      <c r="D7523" s="168"/>
    </row>
    <row r="7524" spans="4:4" x14ac:dyDescent="0.25">
      <c r="D7524" s="168"/>
    </row>
    <row r="7525" spans="4:4" x14ac:dyDescent="0.25">
      <c r="D7525" s="168"/>
    </row>
    <row r="7526" spans="4:4" x14ac:dyDescent="0.25">
      <c r="D7526" s="168"/>
    </row>
    <row r="7527" spans="4:4" x14ac:dyDescent="0.25">
      <c r="D7527" s="168"/>
    </row>
    <row r="7528" spans="4:4" x14ac:dyDescent="0.25">
      <c r="D7528" s="168"/>
    </row>
    <row r="7529" spans="4:4" x14ac:dyDescent="0.25">
      <c r="D7529" s="168"/>
    </row>
    <row r="7530" spans="4:4" x14ac:dyDescent="0.25">
      <c r="D7530" s="168"/>
    </row>
    <row r="7531" spans="4:4" x14ac:dyDescent="0.25">
      <c r="D7531" s="168"/>
    </row>
    <row r="7532" spans="4:4" x14ac:dyDescent="0.25">
      <c r="D7532" s="168"/>
    </row>
    <row r="7533" spans="4:4" x14ac:dyDescent="0.25">
      <c r="D7533" s="168"/>
    </row>
    <row r="7534" spans="4:4" x14ac:dyDescent="0.25">
      <c r="D7534" s="168"/>
    </row>
    <row r="7535" spans="4:4" x14ac:dyDescent="0.25">
      <c r="D7535" s="168"/>
    </row>
    <row r="7536" spans="4:4" x14ac:dyDescent="0.25">
      <c r="D7536" s="168"/>
    </row>
    <row r="7537" spans="4:4" x14ac:dyDescent="0.25">
      <c r="D7537" s="168"/>
    </row>
    <row r="7538" spans="4:4" x14ac:dyDescent="0.25">
      <c r="D7538" s="168"/>
    </row>
    <row r="7539" spans="4:4" x14ac:dyDescent="0.25">
      <c r="D7539" s="168"/>
    </row>
    <row r="7540" spans="4:4" x14ac:dyDescent="0.25">
      <c r="D7540" s="168"/>
    </row>
    <row r="7541" spans="4:4" x14ac:dyDescent="0.25">
      <c r="D7541" s="168"/>
    </row>
    <row r="7542" spans="4:4" x14ac:dyDescent="0.25">
      <c r="D7542" s="168"/>
    </row>
    <row r="7543" spans="4:4" x14ac:dyDescent="0.25">
      <c r="D7543" s="168"/>
    </row>
    <row r="7544" spans="4:4" x14ac:dyDescent="0.25">
      <c r="D7544" s="168"/>
    </row>
    <row r="7545" spans="4:4" x14ac:dyDescent="0.25">
      <c r="D7545" s="168"/>
    </row>
    <row r="7546" spans="4:4" x14ac:dyDescent="0.25">
      <c r="D7546" s="168"/>
    </row>
    <row r="7547" spans="4:4" x14ac:dyDescent="0.25">
      <c r="D7547" s="168"/>
    </row>
    <row r="7548" spans="4:4" x14ac:dyDescent="0.25">
      <c r="D7548" s="168"/>
    </row>
    <row r="7549" spans="4:4" x14ac:dyDescent="0.25">
      <c r="D7549" s="168"/>
    </row>
    <row r="7550" spans="4:4" x14ac:dyDescent="0.25">
      <c r="D7550" s="168"/>
    </row>
    <row r="7551" spans="4:4" x14ac:dyDescent="0.25">
      <c r="D7551" s="168"/>
    </row>
    <row r="7552" spans="4:4" x14ac:dyDescent="0.25">
      <c r="D7552" s="168"/>
    </row>
    <row r="7553" spans="4:4" x14ac:dyDescent="0.25">
      <c r="D7553" s="168"/>
    </row>
    <row r="7554" spans="4:4" x14ac:dyDescent="0.25">
      <c r="D7554" s="168"/>
    </row>
    <row r="7555" spans="4:4" x14ac:dyDescent="0.25">
      <c r="D7555" s="168"/>
    </row>
    <row r="7556" spans="4:4" x14ac:dyDescent="0.25">
      <c r="D7556" s="168"/>
    </row>
    <row r="7557" spans="4:4" x14ac:dyDescent="0.25">
      <c r="D7557" s="168"/>
    </row>
    <row r="7558" spans="4:4" x14ac:dyDescent="0.25">
      <c r="D7558" s="168"/>
    </row>
    <row r="7559" spans="4:4" x14ac:dyDescent="0.25">
      <c r="D7559" s="168"/>
    </row>
    <row r="7560" spans="4:4" x14ac:dyDescent="0.25">
      <c r="D7560" s="168"/>
    </row>
    <row r="7561" spans="4:4" x14ac:dyDescent="0.25">
      <c r="D7561" s="168"/>
    </row>
    <row r="7562" spans="4:4" x14ac:dyDescent="0.25">
      <c r="D7562" s="168"/>
    </row>
    <row r="7563" spans="4:4" x14ac:dyDescent="0.25">
      <c r="D7563" s="168"/>
    </row>
    <row r="7564" spans="4:4" x14ac:dyDescent="0.25">
      <c r="D7564" s="168"/>
    </row>
    <row r="7565" spans="4:4" x14ac:dyDescent="0.25">
      <c r="D7565" s="168"/>
    </row>
    <row r="7566" spans="4:4" x14ac:dyDescent="0.25">
      <c r="D7566" s="168"/>
    </row>
    <row r="7567" spans="4:4" x14ac:dyDescent="0.25">
      <c r="D7567" s="168"/>
    </row>
    <row r="7568" spans="4:4" x14ac:dyDescent="0.25">
      <c r="D7568" s="168"/>
    </row>
    <row r="7569" spans="4:4" x14ac:dyDescent="0.25">
      <c r="D7569" s="168"/>
    </row>
    <row r="7570" spans="4:4" x14ac:dyDescent="0.25">
      <c r="D7570" s="168"/>
    </row>
    <row r="7571" spans="4:4" x14ac:dyDescent="0.25">
      <c r="D7571" s="168"/>
    </row>
    <row r="7572" spans="4:4" x14ac:dyDescent="0.25">
      <c r="D7572" s="168"/>
    </row>
    <row r="7573" spans="4:4" x14ac:dyDescent="0.25">
      <c r="D7573" s="168"/>
    </row>
    <row r="7574" spans="4:4" x14ac:dyDescent="0.25">
      <c r="D7574" s="168"/>
    </row>
    <row r="7575" spans="4:4" x14ac:dyDescent="0.25">
      <c r="D7575" s="168"/>
    </row>
    <row r="7576" spans="4:4" x14ac:dyDescent="0.25">
      <c r="D7576" s="168"/>
    </row>
    <row r="7577" spans="4:4" x14ac:dyDescent="0.25">
      <c r="D7577" s="168"/>
    </row>
    <row r="7578" spans="4:4" x14ac:dyDescent="0.25">
      <c r="D7578" s="168"/>
    </row>
    <row r="7579" spans="4:4" x14ac:dyDescent="0.25">
      <c r="D7579" s="168"/>
    </row>
    <row r="7580" spans="4:4" x14ac:dyDescent="0.25">
      <c r="D7580" s="168"/>
    </row>
    <row r="7581" spans="4:4" x14ac:dyDescent="0.25">
      <c r="D7581" s="168"/>
    </row>
    <row r="7582" spans="4:4" x14ac:dyDescent="0.25">
      <c r="D7582" s="168"/>
    </row>
    <row r="7583" spans="4:4" x14ac:dyDescent="0.25">
      <c r="D7583" s="168"/>
    </row>
    <row r="7584" spans="4:4" x14ac:dyDescent="0.25">
      <c r="D7584" s="168"/>
    </row>
    <row r="7585" spans="4:4" x14ac:dyDescent="0.25">
      <c r="D7585" s="168"/>
    </row>
    <row r="7586" spans="4:4" x14ac:dyDescent="0.25">
      <c r="D7586" s="168"/>
    </row>
    <row r="7587" spans="4:4" x14ac:dyDescent="0.25">
      <c r="D7587" s="168"/>
    </row>
    <row r="7588" spans="4:4" x14ac:dyDescent="0.25">
      <c r="D7588" s="168"/>
    </row>
    <row r="7589" spans="4:4" x14ac:dyDescent="0.25">
      <c r="D7589" s="168"/>
    </row>
    <row r="7590" spans="4:4" x14ac:dyDescent="0.25">
      <c r="D7590" s="168"/>
    </row>
    <row r="7591" spans="4:4" x14ac:dyDescent="0.25">
      <c r="D7591" s="168"/>
    </row>
    <row r="7592" spans="4:4" x14ac:dyDescent="0.25">
      <c r="D7592" s="168"/>
    </row>
    <row r="7593" spans="4:4" x14ac:dyDescent="0.25">
      <c r="D7593" s="168"/>
    </row>
    <row r="7594" spans="4:4" x14ac:dyDescent="0.25">
      <c r="D7594" s="168"/>
    </row>
    <row r="7595" spans="4:4" x14ac:dyDescent="0.25">
      <c r="D7595" s="168"/>
    </row>
    <row r="7596" spans="4:4" x14ac:dyDescent="0.25">
      <c r="D7596" s="168"/>
    </row>
    <row r="7597" spans="4:4" x14ac:dyDescent="0.25">
      <c r="D7597" s="168"/>
    </row>
    <row r="7598" spans="4:4" x14ac:dyDescent="0.25">
      <c r="D7598" s="168"/>
    </row>
    <row r="7599" spans="4:4" x14ac:dyDescent="0.25">
      <c r="D7599" s="168"/>
    </row>
    <row r="7600" spans="4:4" x14ac:dyDescent="0.25">
      <c r="D7600" s="168"/>
    </row>
    <row r="7601" spans="4:4" x14ac:dyDescent="0.25">
      <c r="D7601" s="168"/>
    </row>
    <row r="7602" spans="4:4" x14ac:dyDescent="0.25">
      <c r="D7602" s="168"/>
    </row>
    <row r="7603" spans="4:4" x14ac:dyDescent="0.25">
      <c r="D7603" s="168"/>
    </row>
    <row r="7604" spans="4:4" x14ac:dyDescent="0.25">
      <c r="D7604" s="168"/>
    </row>
    <row r="7605" spans="4:4" x14ac:dyDescent="0.25">
      <c r="D7605" s="168"/>
    </row>
    <row r="7606" spans="4:4" x14ac:dyDescent="0.25">
      <c r="D7606" s="168"/>
    </row>
    <row r="7607" spans="4:4" x14ac:dyDescent="0.25">
      <c r="D7607" s="168"/>
    </row>
    <row r="7608" spans="4:4" x14ac:dyDescent="0.25">
      <c r="D7608" s="168"/>
    </row>
    <row r="7609" spans="4:4" x14ac:dyDescent="0.25">
      <c r="D7609" s="168"/>
    </row>
    <row r="7610" spans="4:4" x14ac:dyDescent="0.25">
      <c r="D7610" s="168"/>
    </row>
    <row r="7611" spans="4:4" x14ac:dyDescent="0.25">
      <c r="D7611" s="168"/>
    </row>
    <row r="7612" spans="4:4" x14ac:dyDescent="0.25">
      <c r="D7612" s="168"/>
    </row>
    <row r="7613" spans="4:4" x14ac:dyDescent="0.25">
      <c r="D7613" s="168"/>
    </row>
    <row r="7614" spans="4:4" x14ac:dyDescent="0.25">
      <c r="D7614" s="168"/>
    </row>
    <row r="7615" spans="4:4" x14ac:dyDescent="0.25">
      <c r="D7615" s="168"/>
    </row>
    <row r="7616" spans="4:4" x14ac:dyDescent="0.25">
      <c r="D7616" s="168"/>
    </row>
    <row r="7617" spans="4:4" x14ac:dyDescent="0.25">
      <c r="D7617" s="168"/>
    </row>
    <row r="7618" spans="4:4" x14ac:dyDescent="0.25">
      <c r="D7618" s="168"/>
    </row>
    <row r="7619" spans="4:4" x14ac:dyDescent="0.25">
      <c r="D7619" s="168"/>
    </row>
    <row r="7620" spans="4:4" x14ac:dyDescent="0.25">
      <c r="D7620" s="168"/>
    </row>
    <row r="7621" spans="4:4" x14ac:dyDescent="0.25">
      <c r="D7621" s="168"/>
    </row>
    <row r="7622" spans="4:4" x14ac:dyDescent="0.25">
      <c r="D7622" s="168"/>
    </row>
    <row r="7623" spans="4:4" x14ac:dyDescent="0.25">
      <c r="D7623" s="168"/>
    </row>
    <row r="7624" spans="4:4" x14ac:dyDescent="0.25">
      <c r="D7624" s="168"/>
    </row>
    <row r="7625" spans="4:4" x14ac:dyDescent="0.25">
      <c r="D7625" s="168"/>
    </row>
    <row r="7626" spans="4:4" x14ac:dyDescent="0.25">
      <c r="D7626" s="168"/>
    </row>
    <row r="7627" spans="4:4" x14ac:dyDescent="0.25">
      <c r="D7627" s="168"/>
    </row>
    <row r="7628" spans="4:4" x14ac:dyDescent="0.25">
      <c r="D7628" s="168"/>
    </row>
    <row r="7629" spans="4:4" x14ac:dyDescent="0.25">
      <c r="D7629" s="168"/>
    </row>
    <row r="7630" spans="4:4" x14ac:dyDescent="0.25">
      <c r="D7630" s="168"/>
    </row>
    <row r="7631" spans="4:4" x14ac:dyDescent="0.25">
      <c r="D7631" s="168"/>
    </row>
    <row r="7632" spans="4:4" x14ac:dyDescent="0.25">
      <c r="D7632" s="168"/>
    </row>
    <row r="7633" spans="4:4" x14ac:dyDescent="0.25">
      <c r="D7633" s="168"/>
    </row>
    <row r="7634" spans="4:4" x14ac:dyDescent="0.25">
      <c r="D7634" s="168"/>
    </row>
    <row r="7635" spans="4:4" x14ac:dyDescent="0.25">
      <c r="D7635" s="168"/>
    </row>
    <row r="7636" spans="4:4" x14ac:dyDescent="0.25">
      <c r="D7636" s="168"/>
    </row>
    <row r="7637" spans="4:4" x14ac:dyDescent="0.25">
      <c r="D7637" s="168"/>
    </row>
    <row r="7638" spans="4:4" x14ac:dyDescent="0.25">
      <c r="D7638" s="168"/>
    </row>
    <row r="7639" spans="4:4" x14ac:dyDescent="0.25">
      <c r="D7639" s="168"/>
    </row>
    <row r="7640" spans="4:4" x14ac:dyDescent="0.25">
      <c r="D7640" s="168"/>
    </row>
    <row r="7641" spans="4:4" x14ac:dyDescent="0.25">
      <c r="D7641" s="168"/>
    </row>
    <row r="7642" spans="4:4" x14ac:dyDescent="0.25">
      <c r="D7642" s="168"/>
    </row>
    <row r="7643" spans="4:4" x14ac:dyDescent="0.25">
      <c r="D7643" s="168"/>
    </row>
    <row r="7644" spans="4:4" x14ac:dyDescent="0.25">
      <c r="D7644" s="168"/>
    </row>
    <row r="7645" spans="4:4" x14ac:dyDescent="0.25">
      <c r="D7645" s="168"/>
    </row>
    <row r="7646" spans="4:4" x14ac:dyDescent="0.25">
      <c r="D7646" s="168"/>
    </row>
    <row r="7647" spans="4:4" x14ac:dyDescent="0.25">
      <c r="D7647" s="168"/>
    </row>
    <row r="7648" spans="4:4" x14ac:dyDescent="0.25">
      <c r="D7648" s="168"/>
    </row>
    <row r="7649" spans="4:4" x14ac:dyDescent="0.25">
      <c r="D7649" s="168"/>
    </row>
    <row r="7650" spans="4:4" x14ac:dyDescent="0.25">
      <c r="D7650" s="168"/>
    </row>
    <row r="7651" spans="4:4" x14ac:dyDescent="0.25">
      <c r="D7651" s="168"/>
    </row>
    <row r="7652" spans="4:4" x14ac:dyDescent="0.25">
      <c r="D7652" s="168"/>
    </row>
    <row r="7653" spans="4:4" x14ac:dyDescent="0.25">
      <c r="D7653" s="168"/>
    </row>
    <row r="7654" spans="4:4" x14ac:dyDescent="0.25">
      <c r="D7654" s="168"/>
    </row>
    <row r="7655" spans="4:4" x14ac:dyDescent="0.25">
      <c r="D7655" s="168"/>
    </row>
    <row r="7656" spans="4:4" x14ac:dyDescent="0.25">
      <c r="D7656" s="168"/>
    </row>
    <row r="7657" spans="4:4" x14ac:dyDescent="0.25">
      <c r="D7657" s="168"/>
    </row>
    <row r="7658" spans="4:4" x14ac:dyDescent="0.25">
      <c r="D7658" s="168"/>
    </row>
    <row r="7659" spans="4:4" x14ac:dyDescent="0.25">
      <c r="D7659" s="168"/>
    </row>
    <row r="7660" spans="4:4" x14ac:dyDescent="0.25">
      <c r="D7660" s="168"/>
    </row>
    <row r="7661" spans="4:4" x14ac:dyDescent="0.25">
      <c r="D7661" s="168"/>
    </row>
    <row r="7662" spans="4:4" x14ac:dyDescent="0.25">
      <c r="D7662" s="168"/>
    </row>
    <row r="7663" spans="4:4" x14ac:dyDescent="0.25">
      <c r="D7663" s="168"/>
    </row>
    <row r="7664" spans="4:4" x14ac:dyDescent="0.25">
      <c r="D7664" s="168"/>
    </row>
    <row r="7665" spans="4:4" x14ac:dyDescent="0.25">
      <c r="D7665" s="168"/>
    </row>
    <row r="7666" spans="4:4" x14ac:dyDescent="0.25">
      <c r="D7666" s="168"/>
    </row>
    <row r="7667" spans="4:4" x14ac:dyDescent="0.25">
      <c r="D7667" s="168"/>
    </row>
    <row r="7668" spans="4:4" x14ac:dyDescent="0.25">
      <c r="D7668" s="168"/>
    </row>
    <row r="7669" spans="4:4" x14ac:dyDescent="0.25">
      <c r="D7669" s="168"/>
    </row>
    <row r="7670" spans="4:4" x14ac:dyDescent="0.25">
      <c r="D7670" s="168"/>
    </row>
    <row r="7671" spans="4:4" x14ac:dyDescent="0.25">
      <c r="D7671" s="168"/>
    </row>
    <row r="7672" spans="4:4" x14ac:dyDescent="0.25">
      <c r="D7672" s="168"/>
    </row>
    <row r="7673" spans="4:4" x14ac:dyDescent="0.25">
      <c r="D7673" s="168"/>
    </row>
    <row r="7674" spans="4:4" x14ac:dyDescent="0.25">
      <c r="D7674" s="168"/>
    </row>
    <row r="7675" spans="4:4" x14ac:dyDescent="0.25">
      <c r="D7675" s="168"/>
    </row>
    <row r="7676" spans="4:4" x14ac:dyDescent="0.25">
      <c r="D7676" s="168"/>
    </row>
    <row r="7677" spans="4:4" x14ac:dyDescent="0.25">
      <c r="D7677" s="168"/>
    </row>
    <row r="7678" spans="4:4" x14ac:dyDescent="0.25">
      <c r="D7678" s="168"/>
    </row>
    <row r="7679" spans="4:4" x14ac:dyDescent="0.25">
      <c r="D7679" s="168"/>
    </row>
    <row r="7680" spans="4:4" x14ac:dyDescent="0.25">
      <c r="D7680" s="168"/>
    </row>
    <row r="7681" spans="4:4" x14ac:dyDescent="0.25">
      <c r="D7681" s="168"/>
    </row>
    <row r="7682" spans="4:4" x14ac:dyDescent="0.25">
      <c r="D7682" s="168"/>
    </row>
    <row r="7683" spans="4:4" x14ac:dyDescent="0.25">
      <c r="D7683" s="168"/>
    </row>
    <row r="7684" spans="4:4" x14ac:dyDescent="0.25">
      <c r="D7684" s="168"/>
    </row>
    <row r="7685" spans="4:4" x14ac:dyDescent="0.25">
      <c r="D7685" s="168"/>
    </row>
    <row r="7686" spans="4:4" x14ac:dyDescent="0.25">
      <c r="D7686" s="168"/>
    </row>
    <row r="7687" spans="4:4" x14ac:dyDescent="0.25">
      <c r="D7687" s="168"/>
    </row>
    <row r="7688" spans="4:4" x14ac:dyDescent="0.25">
      <c r="D7688" s="168"/>
    </row>
    <row r="7689" spans="4:4" x14ac:dyDescent="0.25">
      <c r="D7689" s="168"/>
    </row>
    <row r="7690" spans="4:4" x14ac:dyDescent="0.25">
      <c r="D7690" s="168"/>
    </row>
    <row r="7691" spans="4:4" x14ac:dyDescent="0.25">
      <c r="D7691" s="168"/>
    </row>
    <row r="7692" spans="4:4" x14ac:dyDescent="0.25">
      <c r="D7692" s="168"/>
    </row>
    <row r="7693" spans="4:4" x14ac:dyDescent="0.25">
      <c r="D7693" s="168"/>
    </row>
    <row r="7694" spans="4:4" x14ac:dyDescent="0.25">
      <c r="D7694" s="168"/>
    </row>
    <row r="7695" spans="4:4" x14ac:dyDescent="0.25">
      <c r="D7695" s="168"/>
    </row>
    <row r="7696" spans="4:4" x14ac:dyDescent="0.25">
      <c r="D7696" s="168"/>
    </row>
    <row r="7697" spans="4:4" x14ac:dyDescent="0.25">
      <c r="D7697" s="168"/>
    </row>
    <row r="7698" spans="4:4" x14ac:dyDescent="0.25">
      <c r="D7698" s="168"/>
    </row>
    <row r="7699" spans="4:4" x14ac:dyDescent="0.25">
      <c r="D7699" s="168"/>
    </row>
    <row r="7700" spans="4:4" x14ac:dyDescent="0.25">
      <c r="D7700" s="168"/>
    </row>
    <row r="7701" spans="4:4" x14ac:dyDescent="0.25">
      <c r="D7701" s="168"/>
    </row>
    <row r="7702" spans="4:4" x14ac:dyDescent="0.25">
      <c r="D7702" s="168"/>
    </row>
    <row r="7703" spans="4:4" x14ac:dyDescent="0.25">
      <c r="D7703" s="168"/>
    </row>
    <row r="7704" spans="4:4" x14ac:dyDescent="0.25">
      <c r="D7704" s="168"/>
    </row>
    <row r="7705" spans="4:4" x14ac:dyDescent="0.25">
      <c r="D7705" s="168"/>
    </row>
    <row r="7706" spans="4:4" x14ac:dyDescent="0.25">
      <c r="D7706" s="168"/>
    </row>
    <row r="7707" spans="4:4" x14ac:dyDescent="0.25">
      <c r="D7707" s="168"/>
    </row>
    <row r="7708" spans="4:4" x14ac:dyDescent="0.25">
      <c r="D7708" s="168"/>
    </row>
    <row r="7709" spans="4:4" x14ac:dyDescent="0.25">
      <c r="D7709" s="168"/>
    </row>
    <row r="7710" spans="4:4" x14ac:dyDescent="0.25">
      <c r="D7710" s="168"/>
    </row>
    <row r="7711" spans="4:4" x14ac:dyDescent="0.25">
      <c r="D7711" s="168"/>
    </row>
    <row r="7712" spans="4:4" x14ac:dyDescent="0.25">
      <c r="D7712" s="168"/>
    </row>
    <row r="7713" spans="4:4" x14ac:dyDescent="0.25">
      <c r="D7713" s="168"/>
    </row>
    <row r="7714" spans="4:4" x14ac:dyDescent="0.25">
      <c r="D7714" s="168"/>
    </row>
    <row r="7715" spans="4:4" x14ac:dyDescent="0.25">
      <c r="D7715" s="168"/>
    </row>
    <row r="7716" spans="4:4" x14ac:dyDescent="0.25">
      <c r="D7716" s="168"/>
    </row>
  </sheetData>
  <protectedRanges>
    <protectedRange sqref="C217 C108 C3208:C3209 C816 C3352 C1856 C1862 C1898 C1874 C1892 C1868 C1880 C1886 C1904 C1910 C1815 C1820 C1916 C2400 C3213 C3340 C3249 C3270 C3217 C3224 C3183 C3255 C3265 C3239 C3245 C3257 C3346 C1937 C1942 C1947 C2782 C2414 C2803 C2808 C2434 C2406 C2410 C2418 C2422 C2426 C2430 C2438 C2774 C118 C2742 C2750 C2762 C2754" name="COTACOES_92_6"/>
    <protectedRange sqref="C355" name="COTACOES_14_1_1"/>
    <protectedRange sqref="C400 C421" name="COTACOES_92_13_1"/>
    <protectedRange sqref="C507" name="COTACOES_92_4_1_1"/>
    <protectedRange sqref="C500" name="COTACOES_92_4_2_1"/>
    <protectedRange sqref="C794:C795 C762 C759:C760 C776:C777 C779 C800" name="COTACOES_92_3_1_1"/>
    <protectedRange sqref="C750" name="COTACOES_92_22_1"/>
    <protectedRange sqref="C1229" name="COTACOES_91_1_2_1"/>
    <protectedRange sqref="C1223" name="COTACOES_91_1_3_1"/>
    <protectedRange sqref="C1390:C1391" name="COTACOES_68_1_1"/>
    <protectedRange sqref="F1528 F1544 F1520 F1512 F1536 F7422 F7428 F7434 F7440" name="COTACOES_27_1_2_1_8_1"/>
    <protectedRange sqref="C1552 C1528 C1544 C1520 C1512 C1536 C7428 C7434 C7440 C7422" name="COTACOES_5_1_8_1"/>
    <protectedRange sqref="C1409:C1413 C1424:C1428 C1439:C1443 C1454:C1458 C1469:C1473 C1484:C1488 C1499:C1503" name="COTACOES_32_1_1"/>
    <protectedRange sqref="F1584 F1587 F1590" name="COTACOES_27_1_2_1_17_1"/>
    <protectedRange sqref="C1583:C1588 C1590:C1591" name="COTACOES_5_1_17_1"/>
    <protectedRange sqref="C1648 C1631 C1625 C1654 C5095 C5101" name="COTACOES_15_1_1"/>
    <protectedRange sqref="C1737 C1748 C1739 C1750" name="COTACOES_8_1_1"/>
    <protectedRange sqref="C1715 C4954:C4955 C4961:C4962 C4968:C4969 C4975:C4976 C5018:C5019 C5031:C5032 C5037 C5041:C5042 C5047:C5048 C5062:C5063 C5107:C5108 C5635 C5639 C5643 C5647 C1726 C1717 C1728" name="COTACOES_9_1_1_3"/>
    <protectedRange sqref="C1701" name="COTACOES_10_1_1"/>
    <protectedRange sqref="C1775" name="COTACOES_42_1_3"/>
    <protectedRange sqref="C1789" name="COTACOES_42_1_1_1"/>
    <protectedRange sqref="C1803" name="COTACOES_42_1_2_1"/>
    <protectedRange sqref="F1761" name="COTACOES_27_1_1_3_1"/>
    <protectedRange sqref="F1768" name="COTACOES_27_1_1_4_1"/>
    <protectedRange sqref="C1827" name="COTACOES_37_1_1"/>
    <protectedRange sqref="C1833" name="COTACOES_82_1_1"/>
    <protectedRange sqref="C1846" name="COTACOES_58_1_1"/>
    <protectedRange sqref="C1852" name="COTACOES_61_1_1"/>
    <protectedRange sqref="C1858" name="COTACOES_40_1_1"/>
    <protectedRange sqref="C1864" name="COTACOES_36_1_2"/>
    <protectedRange sqref="C1900" name="COTACOES_41_1_2"/>
    <protectedRange sqref="C1876 C1894" name="COTACOES_41_1_1_1"/>
    <protectedRange sqref="C1870" name="COTACOES_36_1_1_1"/>
    <protectedRange sqref="C1882 C1888" name="COTACOES_44_1_1"/>
    <protectedRange sqref="C1906" name="COTACOES_51_1_1"/>
    <protectedRange sqref="F1906" name="COTACOES_54_1_1"/>
    <protectedRange sqref="C1912 C2402 C3093:C3094 C3243 C3237 C3220 C3273 C3227:C3229 C2783 C2798 C2818" name="COTACOES_55_1_3"/>
    <protectedRange sqref="F1912" name="COTACOES_57_1_1"/>
    <protectedRange sqref="C1956" name="COTACOES_75_1_2"/>
    <protectedRange sqref="C1962" name="COTACOES_75_1_1_1"/>
    <protectedRange sqref="C1992 C1984" name="COTACOES_78_1_1"/>
    <protectedRange sqref="C1975" name="COTACOES_80_1_2"/>
    <protectedRange sqref="C1968" name="COTACOES_80_1_1_1"/>
    <protectedRange sqref="C2333" name="COTACOES_62_1_1"/>
    <protectedRange sqref="C2394" name="COTACOES_4_1_1"/>
    <protectedRange sqref="C834:C835" name="COTACOES_92_4_3"/>
    <protectedRange sqref="C785 C6451 C6456" name="COTACOES_92_2_7"/>
    <protectedRange sqref="C3366" name="COTACOES_92_2_3_2"/>
    <protectedRange sqref="C3369" name="COTACOES_55_1_1_3"/>
    <protectedRange sqref="C3374" name="COTACOES_92_2_5_1"/>
    <protectedRange sqref="C3380" name="COTACOES_55_1_2_1"/>
    <protectedRange sqref="C3682:C3684" name="COTACOES_55_1_1_1_1"/>
    <protectedRange sqref="C3702:C3704 C3717" name="COTACOES_55_1_1_2_1"/>
    <protectedRange sqref="C3708" name="COTACOES_92_1_2_1"/>
    <protectedRange sqref="C3836 C3776 C3715:C3716 C3718 C3710:C3713 C3782 C3788 C3794 C3800 C3806 C3812 C3818 C3824 C3830" name="COTACOES_55_1_1_4_1"/>
    <protectedRange sqref="C3865 C3874" name="COTACOES_92_12_1"/>
    <protectedRange sqref="C3868:C3869 C3877:C3878" name="COTACOES_55_1_5_1"/>
    <protectedRange sqref="C3882" name="COTACOES_92_14_1"/>
    <protectedRange sqref="C3884:C3886" name="COTACOES_55_1_6_1"/>
    <protectedRange sqref="C3894:C3904" name="COTACOES_92_15_1"/>
    <protectedRange sqref="C3961" name="COTACOES_9_1_1_1_1"/>
    <protectedRange sqref="C3971:C3972" name="COTACOES_9_1_1_2_1"/>
    <protectedRange sqref="C4003" name="COTACOES_92_16_1"/>
    <protectedRange sqref="C4006:C4007" name="COTACOES_55_1_7_2"/>
    <protectedRange sqref="C4016" name="COTACOES_92_17_2"/>
    <protectedRange sqref="C4022:C4024" name="COTACOES_55_1_8_1"/>
    <protectedRange sqref="C3988 C4160 C4193 C4207 C4225" name="COTACOES_55_1_7_1_2"/>
    <protectedRange sqref="C4042 C4051 C4060 C4069 C4078 C4087" name="COTACOES_92_17_1_1"/>
    <protectedRange sqref="C4108" name="COTACOES_55_1_7_1_1_1"/>
    <protectedRange sqref="C2442 C2658 C2450 C2462 C2466 C2470 C2474 C2478 C2482 C2486 C2490 C2494 C2498 C2502 C2506 C2510 C2514 C2518 C2522 C2526 C2530 C2534 C2538 C2542 C2546 C2550 C2554 C2558 C2662 C2454 C2458" name="COTACOES_92_3_2"/>
    <protectedRange sqref="C2562 C2566 C2570 C2590 C2582 C2584:C2585 C2592:C2593 C2598 C2600:C2601 C2610 C2614 C2626 C2630 C2634 C2638 C2646 C2622 C2654 C2650 C7314 C7306 C7310 C7318 C2618 C7302 C7334 C7338 C7322 C7326 C7330 C7290 C7277" name="COTACOES_92_5_2"/>
    <protectedRange sqref="C4125 C4115:C4117 C4121:C4122" name="COTACOES_55_1_7_1_1_1_1"/>
    <protectedRange sqref="C4374" name="COTACOES_92_17_1_1_1"/>
    <protectedRange sqref="C2666:C2668 C2672:C2674 C2678:C2680 C2684:C2686 C2690:C2692 C2696:C2698 C2708:C2710 C2714:C2716 C2720:C2722 C2702:C2704 C7172:C7174 C7178:C7180 C7185:C7186 C7191:C7192 C7197:C7198" name="COTACOES_92_3_2_1"/>
    <protectedRange sqref="C4356" name="COTACOES_92_17_1_1_1_1"/>
    <protectedRange sqref="C388" name="COTACOES_92_3_1_1_1"/>
    <protectedRange sqref="C409" name="COTACOES_92_3_1_1_2"/>
    <protectedRange sqref="C418" name="COTACOES_92_3_1_1_3"/>
    <protectedRange sqref="C797" name="COTACOES_92_3_1_1_4"/>
    <protectedRange sqref="C808" name="COTACOES_92_3_1_1_5"/>
    <protectedRange sqref="C2578" name="COTACOES_92_5_2_1"/>
    <protectedRange sqref="C4226" name="COTACOES_92_5_2_2"/>
    <protectedRange sqref="C1738" name="COTACOES_9_1_1_3_1"/>
    <protectedRange sqref="C1749" name="COTACOES_9_1_1_3_2"/>
    <protectedRange sqref="C1716 C1727" name="COTACOES_9_1_1_3_3"/>
    <protectedRange sqref="C5404 C5406 C5412 C5414 C5420 C5422 C5469:C5470 C5463:C5464 C5482:C5483 C5488:C5489" name="COTACOES_8_1_1_1"/>
    <protectedRange sqref="C5405 C5413 C5421" name="COTACOES_9_1_1_3_4"/>
    <protectedRange sqref="C6404 C6406 C6411:C6412 C6446 C6417 C6419 C6468" name="COTACOES_8_1_1_2"/>
    <protectedRange sqref="C6405 C6418" name="COTACOES_9_1_1_3_5"/>
    <protectedRange sqref="C6477 C6479" name="COTACOES_8_1_1_2_1"/>
    <protectedRange sqref="C6478" name="COTACOES_9_1_1_3_5_1"/>
    <protectedRange sqref="C6484 C6486" name="COTACOES_8_1_1_2_2"/>
    <protectedRange sqref="C6485" name="COTACOES_9_1_1_3_5_2"/>
    <protectedRange sqref="C7248" name="COTACOES_92_6_1"/>
    <protectedRange sqref="C7250" name="COTACOES_51_1_1_1"/>
    <protectedRange sqref="F7250" name="COTACOES_54_1_1_1"/>
  </protectedRanges>
  <autoFilter ref="A5:J7469">
    <filterColumn colId="9">
      <filters blank="1">
        <filter val="1,00"/>
        <filter val="1000,00"/>
        <filter val="101,00"/>
        <filter val="124,00"/>
        <filter val="126,00"/>
        <filter val="1289,00"/>
        <filter val="1300,00"/>
        <filter val="134,00"/>
        <filter val="135,45"/>
        <filter val="140,00"/>
        <filter val="142,00"/>
        <filter val="16,33"/>
        <filter val="1625,40"/>
        <filter val="180,00"/>
        <filter val="194,00"/>
        <filter val="2000,00"/>
        <filter val="21,00"/>
        <filter val="24,00"/>
        <filter val="270,00"/>
        <filter val="30,00"/>
        <filter val="3400,00"/>
        <filter val="35,00"/>
        <filter val="4,00"/>
        <filter val="4415,00"/>
        <filter val="444,00"/>
        <filter val="515,00"/>
        <filter val="53,00"/>
        <filter val="55,00"/>
        <filter val="680,00"/>
        <filter val="685,00"/>
        <filter val="7,00"/>
        <filter val="720,00"/>
        <filter val="722,00"/>
        <filter val="7347,00"/>
        <filter val="8,00"/>
        <filter val="83,00"/>
        <filter val="90,00"/>
      </filters>
    </filterColumn>
  </autoFilter>
  <mergeCells count="2439">
    <mergeCell ref="A7457:A7462"/>
    <mergeCell ref="B7457:B7462"/>
    <mergeCell ref="A7449:A7456"/>
    <mergeCell ref="B7449:B7456"/>
    <mergeCell ref="A7463:A7469"/>
    <mergeCell ref="B7463:B7469"/>
    <mergeCell ref="A6938:A6941"/>
    <mergeCell ref="B6938:B6941"/>
    <mergeCell ref="A6950:A6953"/>
    <mergeCell ref="B6950:B6953"/>
    <mergeCell ref="A7347:A7352"/>
    <mergeCell ref="B7347:B7352"/>
    <mergeCell ref="A7340:A7346"/>
    <mergeCell ref="B7340:B7346"/>
    <mergeCell ref="A4742:A4745"/>
    <mergeCell ref="B4742:B4745"/>
    <mergeCell ref="A4746:A4749"/>
    <mergeCell ref="B4746:B4749"/>
    <mergeCell ref="A7320:A7323"/>
    <mergeCell ref="B7320:B7323"/>
    <mergeCell ref="A7324:A7327"/>
    <mergeCell ref="B7324:B7327"/>
    <mergeCell ref="A7328:A7331"/>
    <mergeCell ref="B7328:B7331"/>
    <mergeCell ref="A7246:A7251"/>
    <mergeCell ref="B7246:B7251"/>
    <mergeCell ref="A7252:A7257"/>
    <mergeCell ref="B7252:B7257"/>
    <mergeCell ref="A4762:A4765"/>
    <mergeCell ref="B4762:B4765"/>
    <mergeCell ref="A6838:A6841"/>
    <mergeCell ref="B6838:B6841"/>
    <mergeCell ref="A6842:A6845"/>
    <mergeCell ref="B6842:B6845"/>
    <mergeCell ref="A6846:A6849"/>
    <mergeCell ref="B6846:B6849"/>
    <mergeCell ref="A6850:A6853"/>
    <mergeCell ref="B6850:B6853"/>
    <mergeCell ref="A6826:A6829"/>
    <mergeCell ref="B6826:B6829"/>
    <mergeCell ref="A6830:A6833"/>
    <mergeCell ref="B6830:B6833"/>
    <mergeCell ref="A6834:A6837"/>
    <mergeCell ref="B6834:B6837"/>
    <mergeCell ref="A6918:A6921"/>
    <mergeCell ref="B6918:B6921"/>
    <mergeCell ref="A6854:A6857"/>
    <mergeCell ref="B6854:B6857"/>
    <mergeCell ref="A6858:A6861"/>
    <mergeCell ref="B6858:B6861"/>
    <mergeCell ref="A6862:A6865"/>
    <mergeCell ref="B6862:B6865"/>
    <mergeCell ref="A6878:A6881"/>
    <mergeCell ref="B6878:B6881"/>
    <mergeCell ref="A6882:A6885"/>
    <mergeCell ref="B6882:B6885"/>
    <mergeCell ref="A6866:A6869"/>
    <mergeCell ref="B6866:B6869"/>
    <mergeCell ref="A6906:A6909"/>
    <mergeCell ref="B6906:B6909"/>
    <mergeCell ref="A6914:A6917"/>
    <mergeCell ref="B6914:B6917"/>
    <mergeCell ref="A6886:A6889"/>
    <mergeCell ref="B6886:B6889"/>
    <mergeCell ref="A7154:A7157"/>
    <mergeCell ref="B7154:B7157"/>
    <mergeCell ref="A7158:A7161"/>
    <mergeCell ref="B7158:B7161"/>
    <mergeCell ref="A7162:A7165"/>
    <mergeCell ref="B7162:B7165"/>
    <mergeCell ref="A7166:A7169"/>
    <mergeCell ref="B7166:B7169"/>
    <mergeCell ref="A7138:A7141"/>
    <mergeCell ref="B7138:B7141"/>
    <mergeCell ref="A7142:A7145"/>
    <mergeCell ref="B7142:B7145"/>
    <mergeCell ref="A7130:A7133"/>
    <mergeCell ref="B7130:B7133"/>
    <mergeCell ref="A7134:A7137"/>
    <mergeCell ref="B7134:B7137"/>
    <mergeCell ref="A7150:A7153"/>
    <mergeCell ref="B7150:B7153"/>
    <mergeCell ref="A7030:A7033"/>
    <mergeCell ref="B7030:B7033"/>
    <mergeCell ref="A7038:A7041"/>
    <mergeCell ref="B7038:B7041"/>
    <mergeCell ref="A2724:A2727"/>
    <mergeCell ref="B2724:B2727"/>
    <mergeCell ref="A2728:A2731"/>
    <mergeCell ref="B2728:B2731"/>
    <mergeCell ref="A2732:A2735"/>
    <mergeCell ref="B2732:B2735"/>
    <mergeCell ref="A2752:A2755"/>
    <mergeCell ref="B2752:B2755"/>
    <mergeCell ref="A2764:A2767"/>
    <mergeCell ref="B2764:B2767"/>
    <mergeCell ref="A3471:A3481"/>
    <mergeCell ref="B3471:B3481"/>
    <mergeCell ref="A3542:A3550"/>
    <mergeCell ref="B3542:B3550"/>
    <mergeCell ref="A2821:A2825"/>
    <mergeCell ref="B2821:B2825"/>
    <mergeCell ref="A2826:A2830"/>
    <mergeCell ref="B2826:B2830"/>
    <mergeCell ref="A2831:A2835"/>
    <mergeCell ref="B2831:B2835"/>
    <mergeCell ref="A2785:A2794"/>
    <mergeCell ref="B2785:B2794"/>
    <mergeCell ref="A2795:A2800"/>
    <mergeCell ref="B2795:B2800"/>
    <mergeCell ref="A6874:A6877"/>
    <mergeCell ref="B6874:B6877"/>
    <mergeCell ref="A6934:A6937"/>
    <mergeCell ref="B6934:B6937"/>
    <mergeCell ref="A7224:A7229"/>
    <mergeCell ref="B7224:B7229"/>
    <mergeCell ref="A7206:A7211"/>
    <mergeCell ref="B7206:B7211"/>
    <mergeCell ref="A7238:A7241"/>
    <mergeCell ref="B7238:B7241"/>
    <mergeCell ref="A7146:A7149"/>
    <mergeCell ref="B7146:B7149"/>
    <mergeCell ref="A2811:A2820"/>
    <mergeCell ref="B2811:B2820"/>
    <mergeCell ref="A2801:A2805"/>
    <mergeCell ref="B2801:B2805"/>
    <mergeCell ref="A2748:A2751"/>
    <mergeCell ref="B2748:B2751"/>
    <mergeCell ref="A2756:A2759"/>
    <mergeCell ref="B2756:B2759"/>
    <mergeCell ref="A2760:A2763"/>
    <mergeCell ref="B2760:B2763"/>
    <mergeCell ref="A2975:A2979"/>
    <mergeCell ref="B2975:B2979"/>
    <mergeCell ref="A2980:A2984"/>
    <mergeCell ref="B2980:B2984"/>
    <mergeCell ref="A2985:A2989"/>
    <mergeCell ref="B2985:B2989"/>
    <mergeCell ref="A2960:A2964"/>
    <mergeCell ref="B2960:B2964"/>
    <mergeCell ref="A2965:A2969"/>
    <mergeCell ref="B2965:B2969"/>
    <mergeCell ref="A7126:A7129"/>
    <mergeCell ref="B7126:B7129"/>
    <mergeCell ref="A7026:A7029"/>
    <mergeCell ref="B7026:B7029"/>
    <mergeCell ref="A7098:A7101"/>
    <mergeCell ref="B7098:B7101"/>
    <mergeCell ref="A7102:A7105"/>
    <mergeCell ref="B7102:B7105"/>
    <mergeCell ref="A7106:A7109"/>
    <mergeCell ref="B7106:B7109"/>
    <mergeCell ref="A7110:A7113"/>
    <mergeCell ref="B7110:B7113"/>
    <mergeCell ref="A6990:A6993"/>
    <mergeCell ref="B6990:B6993"/>
    <mergeCell ref="A7242:A7245"/>
    <mergeCell ref="B7242:B7245"/>
    <mergeCell ref="A7230:A7233"/>
    <mergeCell ref="B7230:B7233"/>
    <mergeCell ref="A7234:A7237"/>
    <mergeCell ref="B7234:B7237"/>
    <mergeCell ref="A7170:A7175"/>
    <mergeCell ref="B7170:B7175"/>
    <mergeCell ref="A7176:A7181"/>
    <mergeCell ref="B7176:B7181"/>
    <mergeCell ref="A7182:A7187"/>
    <mergeCell ref="B7182:B7187"/>
    <mergeCell ref="A7188:A7193"/>
    <mergeCell ref="B7188:B7193"/>
    <mergeCell ref="A7194:A7199"/>
    <mergeCell ref="B7194:B7199"/>
    <mergeCell ref="A7200:A7205"/>
    <mergeCell ref="B7200:B7205"/>
    <mergeCell ref="A7212:A7217"/>
    <mergeCell ref="B7212:B7217"/>
    <mergeCell ref="A7218:A7223"/>
    <mergeCell ref="B7218:B7223"/>
    <mergeCell ref="A7114:A7117"/>
    <mergeCell ref="B7114:B7117"/>
    <mergeCell ref="A7042:A7045"/>
    <mergeCell ref="B7042:B7045"/>
    <mergeCell ref="A7046:A7049"/>
    <mergeCell ref="B7046:B7049"/>
    <mergeCell ref="A7050:A7053"/>
    <mergeCell ref="B7050:B7053"/>
    <mergeCell ref="A7054:A7057"/>
    <mergeCell ref="B7054:B7057"/>
    <mergeCell ref="A7058:A7061"/>
    <mergeCell ref="B7058:B7061"/>
    <mergeCell ref="A7074:A7077"/>
    <mergeCell ref="B7074:B7077"/>
    <mergeCell ref="A7034:A7037"/>
    <mergeCell ref="B7034:B7037"/>
    <mergeCell ref="A7062:A7065"/>
    <mergeCell ref="B7062:B7065"/>
    <mergeCell ref="A7066:A7069"/>
    <mergeCell ref="B7066:B7069"/>
    <mergeCell ref="A7070:A7073"/>
    <mergeCell ref="B7070:B7073"/>
    <mergeCell ref="A7078:A7081"/>
    <mergeCell ref="B7078:B7081"/>
    <mergeCell ref="A7082:A7085"/>
    <mergeCell ref="B7082:B7085"/>
    <mergeCell ref="A7086:A7089"/>
    <mergeCell ref="B7086:B7089"/>
    <mergeCell ref="A7090:A7093"/>
    <mergeCell ref="B7090:B7093"/>
    <mergeCell ref="A7094:A7097"/>
    <mergeCell ref="B7094:B7097"/>
    <mergeCell ref="A7118:A7121"/>
    <mergeCell ref="B7118:B7121"/>
    <mergeCell ref="A7122:A7125"/>
    <mergeCell ref="B7122:B7125"/>
    <mergeCell ref="A7018:A7021"/>
    <mergeCell ref="B7018:B7021"/>
    <mergeCell ref="A7022:A7025"/>
    <mergeCell ref="B7022:B7025"/>
    <mergeCell ref="A6870:A6873"/>
    <mergeCell ref="B6870:B6873"/>
    <mergeCell ref="A6922:A6925"/>
    <mergeCell ref="B6922:B6925"/>
    <mergeCell ref="A6926:A6929"/>
    <mergeCell ref="B6926:B6929"/>
    <mergeCell ref="A6930:A6933"/>
    <mergeCell ref="B6930:B6933"/>
    <mergeCell ref="A6942:A6945"/>
    <mergeCell ref="B6942:B6945"/>
    <mergeCell ref="A6946:A6949"/>
    <mergeCell ref="B6946:B6949"/>
    <mergeCell ref="A6982:A6985"/>
    <mergeCell ref="B6982:B6985"/>
    <mergeCell ref="A6910:A6913"/>
    <mergeCell ref="B6910:B6913"/>
    <mergeCell ref="A6890:A6893"/>
    <mergeCell ref="B6890:B6893"/>
    <mergeCell ref="A6894:A6897"/>
    <mergeCell ref="B6894:B6897"/>
    <mergeCell ref="A6898:A6901"/>
    <mergeCell ref="B6898:B6901"/>
    <mergeCell ref="A6902:A6905"/>
    <mergeCell ref="B6902:B6905"/>
    <mergeCell ref="A6994:A6997"/>
    <mergeCell ref="B6994:B6997"/>
    <mergeCell ref="A6998:A7001"/>
    <mergeCell ref="B6998:B7001"/>
    <mergeCell ref="A7002:A7005"/>
    <mergeCell ref="B7002:B7005"/>
    <mergeCell ref="A7006:A7009"/>
    <mergeCell ref="B7006:B7009"/>
    <mergeCell ref="A7010:A7013"/>
    <mergeCell ref="B7010:B7013"/>
    <mergeCell ref="A7014:A7017"/>
    <mergeCell ref="B7014:B7017"/>
    <mergeCell ref="A6954:A6957"/>
    <mergeCell ref="B6954:B6957"/>
    <mergeCell ref="A6958:A6961"/>
    <mergeCell ref="B6958:B6961"/>
    <mergeCell ref="A6962:A6965"/>
    <mergeCell ref="B6962:B6965"/>
    <mergeCell ref="A6966:A6969"/>
    <mergeCell ref="B6966:B6969"/>
    <mergeCell ref="A6970:A6973"/>
    <mergeCell ref="B6970:B6973"/>
    <mergeCell ref="A6974:A6977"/>
    <mergeCell ref="B6974:B6977"/>
    <mergeCell ref="A6978:A6981"/>
    <mergeCell ref="B6978:B6981"/>
    <mergeCell ref="A6986:A6989"/>
    <mergeCell ref="B6986:B6989"/>
    <mergeCell ref="A6810:A6813"/>
    <mergeCell ref="B6810:B6813"/>
    <mergeCell ref="A6814:A6817"/>
    <mergeCell ref="B6814:B6817"/>
    <mergeCell ref="A6818:A6821"/>
    <mergeCell ref="B6818:B6821"/>
    <mergeCell ref="A6822:A6825"/>
    <mergeCell ref="B6822:B6825"/>
    <mergeCell ref="A6738:A6741"/>
    <mergeCell ref="B6738:B6741"/>
    <mergeCell ref="A6766:A6769"/>
    <mergeCell ref="B6766:B6769"/>
    <mergeCell ref="A6770:A6773"/>
    <mergeCell ref="B6770:B6773"/>
    <mergeCell ref="A6774:A6777"/>
    <mergeCell ref="B6774:B6777"/>
    <mergeCell ref="A6778:A6781"/>
    <mergeCell ref="B6778:B6781"/>
    <mergeCell ref="A6782:A6785"/>
    <mergeCell ref="B6782:B6785"/>
    <mergeCell ref="A6742:A6745"/>
    <mergeCell ref="B6742:B6745"/>
    <mergeCell ref="A6746:A6749"/>
    <mergeCell ref="B6746:B6749"/>
    <mergeCell ref="A6750:A6753"/>
    <mergeCell ref="B6750:B6753"/>
    <mergeCell ref="A6786:A6789"/>
    <mergeCell ref="B6786:B6789"/>
    <mergeCell ref="A6790:A6793"/>
    <mergeCell ref="B6790:B6793"/>
    <mergeCell ref="A6794:A6797"/>
    <mergeCell ref="B6794:B6797"/>
    <mergeCell ref="A6682:A6685"/>
    <mergeCell ref="B6682:B6685"/>
    <mergeCell ref="A6686:A6689"/>
    <mergeCell ref="B6686:B6689"/>
    <mergeCell ref="A6614:A6617"/>
    <mergeCell ref="B6614:B6617"/>
    <mergeCell ref="A6730:A6733"/>
    <mergeCell ref="B6730:B6733"/>
    <mergeCell ref="A6734:A6737"/>
    <mergeCell ref="B6734:B6737"/>
    <mergeCell ref="A6754:A6757"/>
    <mergeCell ref="B6754:B6757"/>
    <mergeCell ref="A6758:A6761"/>
    <mergeCell ref="B6758:B6761"/>
    <mergeCell ref="A6762:A6765"/>
    <mergeCell ref="B6762:B6765"/>
    <mergeCell ref="A6626:A6629"/>
    <mergeCell ref="B6626:B6629"/>
    <mergeCell ref="A6630:A6633"/>
    <mergeCell ref="B6630:B6633"/>
    <mergeCell ref="A6634:A6637"/>
    <mergeCell ref="B6634:B6637"/>
    <mergeCell ref="A6638:A6641"/>
    <mergeCell ref="B6638:B6641"/>
    <mergeCell ref="A6650:A6653"/>
    <mergeCell ref="B6650:B6653"/>
    <mergeCell ref="A6666:A6669"/>
    <mergeCell ref="B6666:B6669"/>
    <mergeCell ref="A6670:A6673"/>
    <mergeCell ref="B6670:B6673"/>
    <mergeCell ref="A6698:A6701"/>
    <mergeCell ref="B6698:B6701"/>
    <mergeCell ref="A4750:A4753"/>
    <mergeCell ref="B4750:B4753"/>
    <mergeCell ref="A2883:A2889"/>
    <mergeCell ref="B2883:B2889"/>
    <mergeCell ref="A2890:A2894"/>
    <mergeCell ref="B2890:B2894"/>
    <mergeCell ref="A2895:A2899"/>
    <mergeCell ref="B2895:B2899"/>
    <mergeCell ref="A6654:A6657"/>
    <mergeCell ref="B6654:B6657"/>
    <mergeCell ref="A6658:A6661"/>
    <mergeCell ref="B6658:B6661"/>
    <mergeCell ref="A6662:A6665"/>
    <mergeCell ref="B6662:B6665"/>
    <mergeCell ref="A6582:A6585"/>
    <mergeCell ref="B6582:B6585"/>
    <mergeCell ref="A6586:A6589"/>
    <mergeCell ref="B6586:B6589"/>
    <mergeCell ref="A6590:A6593"/>
    <mergeCell ref="B6590:B6593"/>
    <mergeCell ref="A6594:A6597"/>
    <mergeCell ref="B6594:B6597"/>
    <mergeCell ref="A6057:A6060"/>
    <mergeCell ref="B6057:B6060"/>
    <mergeCell ref="A6073:A6076"/>
    <mergeCell ref="B6073:B6076"/>
    <mergeCell ref="A6141:A6144"/>
    <mergeCell ref="B6141:B6144"/>
    <mergeCell ref="A4754:A4757"/>
    <mergeCell ref="B4754:B4757"/>
    <mergeCell ref="A4758:A4761"/>
    <mergeCell ref="B4758:B4761"/>
    <mergeCell ref="A4766:A4769"/>
    <mergeCell ref="B4766:B4769"/>
    <mergeCell ref="A2806:A2810"/>
    <mergeCell ref="B2806:B2810"/>
    <mergeCell ref="A2921:A2928"/>
    <mergeCell ref="B2921:B2928"/>
    <mergeCell ref="A2929:A2936"/>
    <mergeCell ref="B2929:B2936"/>
    <mergeCell ref="A2937:A2944"/>
    <mergeCell ref="B2937:B2944"/>
    <mergeCell ref="A2900:A2904"/>
    <mergeCell ref="B2900:B2904"/>
    <mergeCell ref="A2905:A2912"/>
    <mergeCell ref="B2905:B2912"/>
    <mergeCell ref="A2913:A2920"/>
    <mergeCell ref="B2913:B2920"/>
    <mergeCell ref="A3819:A3824"/>
    <mergeCell ref="B3819:B3824"/>
    <mergeCell ref="A2970:A2974"/>
    <mergeCell ref="B2970:B2974"/>
    <mergeCell ref="A2945:A2949"/>
    <mergeCell ref="B2945:B2949"/>
    <mergeCell ref="A2950:A2954"/>
    <mergeCell ref="B2950:B2954"/>
    <mergeCell ref="A2955:A2959"/>
    <mergeCell ref="B2955:B2959"/>
    <mergeCell ref="A3025:A3029"/>
    <mergeCell ref="B3025:B3029"/>
    <mergeCell ref="A3030:A3034"/>
    <mergeCell ref="B3030:B3034"/>
    <mergeCell ref="A3035:A3039"/>
    <mergeCell ref="B3035:B3039"/>
    <mergeCell ref="A6702:A6705"/>
    <mergeCell ref="B6702:B6705"/>
    <mergeCell ref="A6706:A6709"/>
    <mergeCell ref="B6706:B6709"/>
    <mergeCell ref="A6710:A6713"/>
    <mergeCell ref="B6710:B6713"/>
    <mergeCell ref="A6714:A6717"/>
    <mergeCell ref="B6714:B6717"/>
    <mergeCell ref="A6718:A6721"/>
    <mergeCell ref="B6718:B6721"/>
    <mergeCell ref="A6722:A6725"/>
    <mergeCell ref="B6722:B6725"/>
    <mergeCell ref="A6726:A6729"/>
    <mergeCell ref="B6726:B6729"/>
    <mergeCell ref="A6798:A6801"/>
    <mergeCell ref="B6798:B6801"/>
    <mergeCell ref="A6690:A6693"/>
    <mergeCell ref="B6690:B6693"/>
    <mergeCell ref="A6694:A6697"/>
    <mergeCell ref="B6694:B6697"/>
    <mergeCell ref="A6678:A6681"/>
    <mergeCell ref="B6678:B6681"/>
    <mergeCell ref="A6646:A6649"/>
    <mergeCell ref="B6646:B6649"/>
    <mergeCell ref="A6802:A6805"/>
    <mergeCell ref="B6802:B6805"/>
    <mergeCell ref="A6806:A6809"/>
    <mergeCell ref="B6806:B6809"/>
    <mergeCell ref="A6598:A6601"/>
    <mergeCell ref="B6598:B6601"/>
    <mergeCell ref="A6606:A6609"/>
    <mergeCell ref="B6606:B6609"/>
    <mergeCell ref="A6610:A6613"/>
    <mergeCell ref="B6610:B6613"/>
    <mergeCell ref="A6578:A6581"/>
    <mergeCell ref="B6578:B6581"/>
    <mergeCell ref="A6542:A6545"/>
    <mergeCell ref="B6542:B6545"/>
    <mergeCell ref="A6546:A6549"/>
    <mergeCell ref="B6546:B6549"/>
    <mergeCell ref="A6550:A6553"/>
    <mergeCell ref="B6550:B6553"/>
    <mergeCell ref="A6558:A6561"/>
    <mergeCell ref="B6558:B6561"/>
    <mergeCell ref="A6562:A6565"/>
    <mergeCell ref="B6562:B6565"/>
    <mergeCell ref="A6566:A6569"/>
    <mergeCell ref="B6566:B6569"/>
    <mergeCell ref="A6570:A6573"/>
    <mergeCell ref="B6570:B6573"/>
    <mergeCell ref="A6554:A6557"/>
    <mergeCell ref="B6554:B6557"/>
    <mergeCell ref="A6602:A6605"/>
    <mergeCell ref="B6602:B6605"/>
    <mergeCell ref="A6618:A6621"/>
    <mergeCell ref="B6618:B6621"/>
    <mergeCell ref="A6622:A6625"/>
    <mergeCell ref="B6622:B6625"/>
    <mergeCell ref="A5637:A5640"/>
    <mergeCell ref="B5637:B5640"/>
    <mergeCell ref="A5641:A5644"/>
    <mergeCell ref="B5641:B5644"/>
    <mergeCell ref="A5645:A5648"/>
    <mergeCell ref="B5645:B5648"/>
    <mergeCell ref="A6461:A6465"/>
    <mergeCell ref="B6461:B6465"/>
    <mergeCell ref="A6466:A6474"/>
    <mergeCell ref="B6466:B6474"/>
    <mergeCell ref="A6415:A6421"/>
    <mergeCell ref="B6415:B6421"/>
    <mergeCell ref="A6422:A6425"/>
    <mergeCell ref="B6422:B6425"/>
    <mergeCell ref="A6426:A6430"/>
    <mergeCell ref="B6426:B6430"/>
    <mergeCell ref="A6510:A6513"/>
    <mergeCell ref="B6510:B6513"/>
    <mergeCell ref="A6145:A6148"/>
    <mergeCell ref="B6145:B6148"/>
    <mergeCell ref="A6149:A6152"/>
    <mergeCell ref="B6149:B6152"/>
    <mergeCell ref="A5649:A5652"/>
    <mergeCell ref="B5649:B5652"/>
    <mergeCell ref="A5653:A5656"/>
    <mergeCell ref="B5653:B5656"/>
    <mergeCell ref="A5657:A5660"/>
    <mergeCell ref="B5657:B5660"/>
    <mergeCell ref="A5320:A5325"/>
    <mergeCell ref="B5320:B5325"/>
    <mergeCell ref="A5357:A5363"/>
    <mergeCell ref="B5357:B5363"/>
    <mergeCell ref="A5364:A5370"/>
    <mergeCell ref="B5364:B5370"/>
    <mergeCell ref="A5371:A5376"/>
    <mergeCell ref="B5371:B5376"/>
    <mergeCell ref="A5377:A5382"/>
    <mergeCell ref="B5377:B5382"/>
    <mergeCell ref="A5383:A5389"/>
    <mergeCell ref="B5383:B5389"/>
    <mergeCell ref="A5390:A5395"/>
    <mergeCell ref="B5390:B5395"/>
    <mergeCell ref="A5396:A5401"/>
    <mergeCell ref="B5396:B5401"/>
    <mergeCell ref="A5402:A5409"/>
    <mergeCell ref="B5402:B5409"/>
    <mergeCell ref="A5332:A5337"/>
    <mergeCell ref="B5332:B5337"/>
    <mergeCell ref="A5326:A5331"/>
    <mergeCell ref="B5326:B5331"/>
    <mergeCell ref="A5338:A5343"/>
    <mergeCell ref="B5338:B5343"/>
    <mergeCell ref="A5344:A5349"/>
    <mergeCell ref="B5344:B5349"/>
    <mergeCell ref="A5350:A5356"/>
    <mergeCell ref="B5350:B5356"/>
    <mergeCell ref="A5410:A5417"/>
    <mergeCell ref="B5410:B5417"/>
    <mergeCell ref="A5262:A5267"/>
    <mergeCell ref="B5262:B5267"/>
    <mergeCell ref="A5268:A5274"/>
    <mergeCell ref="B5268:B5274"/>
    <mergeCell ref="A5275:A5286"/>
    <mergeCell ref="B5275:B5286"/>
    <mergeCell ref="A5295:A5300"/>
    <mergeCell ref="B5295:B5300"/>
    <mergeCell ref="A5301:A5307"/>
    <mergeCell ref="B5301:B5307"/>
    <mergeCell ref="A5308:A5313"/>
    <mergeCell ref="B5308:B5313"/>
    <mergeCell ref="A5314:A5319"/>
    <mergeCell ref="B5314:B5319"/>
    <mergeCell ref="A5188:A5195"/>
    <mergeCell ref="B5188:B5195"/>
    <mergeCell ref="A5196:A5203"/>
    <mergeCell ref="B5196:B5203"/>
    <mergeCell ref="A5204:A5211"/>
    <mergeCell ref="B5204:B5211"/>
    <mergeCell ref="A5212:A5226"/>
    <mergeCell ref="B5212:B5226"/>
    <mergeCell ref="A5227:A5241"/>
    <mergeCell ref="B5227:B5241"/>
    <mergeCell ref="A5242:A5248"/>
    <mergeCell ref="B5242:B5248"/>
    <mergeCell ref="A5249:A5255"/>
    <mergeCell ref="B5249:B5255"/>
    <mergeCell ref="A5256:A5261"/>
    <mergeCell ref="B5256:B5261"/>
    <mergeCell ref="A5287:A5294"/>
    <mergeCell ref="B5287:B5294"/>
    <mergeCell ref="A5152:A5159"/>
    <mergeCell ref="B5152:B5159"/>
    <mergeCell ref="A5160:A5167"/>
    <mergeCell ref="B5160:B5167"/>
    <mergeCell ref="A5168:A5173"/>
    <mergeCell ref="B5168:B5173"/>
    <mergeCell ref="A5174:A5181"/>
    <mergeCell ref="B5174:B5181"/>
    <mergeCell ref="A5182:A5187"/>
    <mergeCell ref="B5182:B5187"/>
    <mergeCell ref="B135:B138"/>
    <mergeCell ref="A183:A189"/>
    <mergeCell ref="B183:B189"/>
    <mergeCell ref="A190:A196"/>
    <mergeCell ref="B190:B196"/>
    <mergeCell ref="A197:A200"/>
    <mergeCell ref="B197:B200"/>
    <mergeCell ref="A214:A218"/>
    <mergeCell ref="B214:B218"/>
    <mergeCell ref="A219:A223"/>
    <mergeCell ref="B219:B223"/>
    <mergeCell ref="A224:A227"/>
    <mergeCell ref="B224:B227"/>
    <mergeCell ref="A201:A204"/>
    <mergeCell ref="B201:B204"/>
    <mergeCell ref="A205:A209"/>
    <mergeCell ref="B161:B165"/>
    <mergeCell ref="A166:A170"/>
    <mergeCell ref="B166:B170"/>
    <mergeCell ref="A236:A239"/>
    <mergeCell ref="B236:B239"/>
    <mergeCell ref="A268:A275"/>
    <mergeCell ref="A248:A262"/>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5130:A5135"/>
    <mergeCell ref="B5130:B5135"/>
    <mergeCell ref="A126:A130"/>
    <mergeCell ref="B126:B130"/>
    <mergeCell ref="A131:A134"/>
    <mergeCell ref="B131:B134"/>
    <mergeCell ref="A135:A138"/>
    <mergeCell ref="A111:A115"/>
    <mergeCell ref="B111:B115"/>
    <mergeCell ref="A116:A120"/>
    <mergeCell ref="B116:B120"/>
    <mergeCell ref="A121:A125"/>
    <mergeCell ref="B121:B125"/>
    <mergeCell ref="B248:B262"/>
    <mergeCell ref="A263:A267"/>
    <mergeCell ref="B263:B267"/>
    <mergeCell ref="A290:A304"/>
    <mergeCell ref="B290:B304"/>
    <mergeCell ref="A3:H3"/>
    <mergeCell ref="A5136:A5143"/>
    <mergeCell ref="B5136:B5143"/>
    <mergeCell ref="A139:A143"/>
    <mergeCell ref="B139:B143"/>
    <mergeCell ref="A144:A148"/>
    <mergeCell ref="B144:B148"/>
    <mergeCell ref="A149:A153"/>
    <mergeCell ref="B149:B153"/>
    <mergeCell ref="A171:A174"/>
    <mergeCell ref="B171:B174"/>
    <mergeCell ref="A175:A178"/>
    <mergeCell ref="B175:B178"/>
    <mergeCell ref="A179:A182"/>
    <mergeCell ref="B179:B182"/>
    <mergeCell ref="A154:A160"/>
    <mergeCell ref="B154:B160"/>
    <mergeCell ref="A161:A165"/>
    <mergeCell ref="B205:B209"/>
    <mergeCell ref="A210:A213"/>
    <mergeCell ref="B210:B213"/>
    <mergeCell ref="A228:A231"/>
    <mergeCell ref="B228:B231"/>
    <mergeCell ref="A232:A235"/>
    <mergeCell ref="B232:B235"/>
    <mergeCell ref="B268:B275"/>
    <mergeCell ref="A276:A282"/>
    <mergeCell ref="B276:B282"/>
    <mergeCell ref="A283:A289"/>
    <mergeCell ref="B283:B289"/>
    <mergeCell ref="A240:A247"/>
    <mergeCell ref="B240:B247"/>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B305:B319"/>
    <mergeCell ref="A320:A325"/>
    <mergeCell ref="B320:B325"/>
    <mergeCell ref="A365:A370"/>
    <mergeCell ref="B365:B370"/>
    <mergeCell ref="A371:A379"/>
    <mergeCell ref="B371:B379"/>
    <mergeCell ref="A380:A393"/>
    <mergeCell ref="B380:B393"/>
    <mergeCell ref="A326:A340"/>
    <mergeCell ref="B326:B340"/>
    <mergeCell ref="A341:A350"/>
    <mergeCell ref="B341:B350"/>
    <mergeCell ref="A351:A364"/>
    <mergeCell ref="B351:B364"/>
    <mergeCell ref="A394:A400"/>
    <mergeCell ref="B394:B400"/>
    <mergeCell ref="A305:A319"/>
    <mergeCell ref="A401:A414"/>
    <mergeCell ref="B401:B414"/>
    <mergeCell ref="A415:A421"/>
    <mergeCell ref="B415:B421"/>
    <mergeCell ref="A606:A614"/>
    <mergeCell ref="B606:B614"/>
    <mergeCell ref="A561:A568"/>
    <mergeCell ref="B561:B568"/>
    <mergeCell ref="A569:A578"/>
    <mergeCell ref="B569:B578"/>
    <mergeCell ref="A446:A453"/>
    <mergeCell ref="B446:B453"/>
    <mergeCell ref="A454:A463"/>
    <mergeCell ref="B454:B463"/>
    <mergeCell ref="A464:A470"/>
    <mergeCell ref="B464:B470"/>
    <mergeCell ref="A422:A433"/>
    <mergeCell ref="B422:B433"/>
    <mergeCell ref="A434:A439"/>
    <mergeCell ref="B434:B439"/>
    <mergeCell ref="A440:A445"/>
    <mergeCell ref="B440:B445"/>
    <mergeCell ref="A471:A482"/>
    <mergeCell ref="B471:B482"/>
    <mergeCell ref="A483:A488"/>
    <mergeCell ref="B483:B488"/>
    <mergeCell ref="A489:A496"/>
    <mergeCell ref="B489:B496"/>
    <mergeCell ref="A637:A643"/>
    <mergeCell ref="B637:B643"/>
    <mergeCell ref="A644:A647"/>
    <mergeCell ref="B644:B647"/>
    <mergeCell ref="A648:A651"/>
    <mergeCell ref="B648:B651"/>
    <mergeCell ref="A517:A523"/>
    <mergeCell ref="B517:B523"/>
    <mergeCell ref="A524:A530"/>
    <mergeCell ref="B524:B530"/>
    <mergeCell ref="A531:A536"/>
    <mergeCell ref="B531:B536"/>
    <mergeCell ref="A497:A503"/>
    <mergeCell ref="B497:B503"/>
    <mergeCell ref="A504:A510"/>
    <mergeCell ref="B504:B510"/>
    <mergeCell ref="A511:A516"/>
    <mergeCell ref="B511:B516"/>
    <mergeCell ref="A615:A620"/>
    <mergeCell ref="B615:B620"/>
    <mergeCell ref="A621:A628"/>
    <mergeCell ref="B621:B628"/>
    <mergeCell ref="A537:A544"/>
    <mergeCell ref="B537:B544"/>
    <mergeCell ref="A545:A552"/>
    <mergeCell ref="B545:B552"/>
    <mergeCell ref="A553:A560"/>
    <mergeCell ref="B553:B560"/>
    <mergeCell ref="A588:A595"/>
    <mergeCell ref="B588:B595"/>
    <mergeCell ref="A596:A605"/>
    <mergeCell ref="B596:B605"/>
    <mergeCell ref="A736:A743"/>
    <mergeCell ref="B736:B743"/>
    <mergeCell ref="A744:A747"/>
    <mergeCell ref="B744:B747"/>
    <mergeCell ref="A748:A754"/>
    <mergeCell ref="B748:B754"/>
    <mergeCell ref="A579:A587"/>
    <mergeCell ref="B579:B587"/>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29:A636"/>
    <mergeCell ref="B629:B636"/>
    <mergeCell ref="A652:A655"/>
    <mergeCell ref="B652:B655"/>
    <mergeCell ref="A656:A659"/>
    <mergeCell ref="B656:B659"/>
    <mergeCell ref="A660:A663"/>
    <mergeCell ref="B660:B663"/>
    <mergeCell ref="A714:A722"/>
    <mergeCell ref="B714:B72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903:A906"/>
    <mergeCell ref="B903:B906"/>
    <mergeCell ref="A907:A912"/>
    <mergeCell ref="B907:B912"/>
    <mergeCell ref="A913:A921"/>
    <mergeCell ref="B913:B921"/>
    <mergeCell ref="A883:A890"/>
    <mergeCell ref="B883:B890"/>
    <mergeCell ref="A891:A895"/>
    <mergeCell ref="B891:B895"/>
    <mergeCell ref="A896:A902"/>
    <mergeCell ref="B896:B902"/>
    <mergeCell ref="A862:A866"/>
    <mergeCell ref="B862:B866"/>
    <mergeCell ref="A867:A874"/>
    <mergeCell ref="B867:B874"/>
    <mergeCell ref="A875:A882"/>
    <mergeCell ref="B875:B882"/>
    <mergeCell ref="A966:A972"/>
    <mergeCell ref="B966:B972"/>
    <mergeCell ref="A973:A979"/>
    <mergeCell ref="B973:B979"/>
    <mergeCell ref="A980:A990"/>
    <mergeCell ref="B980:B990"/>
    <mergeCell ref="A947:A952"/>
    <mergeCell ref="B947:B952"/>
    <mergeCell ref="A953:A958"/>
    <mergeCell ref="B953:B958"/>
    <mergeCell ref="A959:A965"/>
    <mergeCell ref="B959:B965"/>
    <mergeCell ref="A922:A928"/>
    <mergeCell ref="B922:B928"/>
    <mergeCell ref="A929:A937"/>
    <mergeCell ref="B929:B937"/>
    <mergeCell ref="A938:A946"/>
    <mergeCell ref="B938:B946"/>
    <mergeCell ref="A1036:A1044"/>
    <mergeCell ref="B1036:B1044"/>
    <mergeCell ref="A1045:A1051"/>
    <mergeCell ref="B1045:B1051"/>
    <mergeCell ref="A1052:A1058"/>
    <mergeCell ref="B1052:B1058"/>
    <mergeCell ref="A1012:A1020"/>
    <mergeCell ref="B1012:B1020"/>
    <mergeCell ref="A1021:A1025"/>
    <mergeCell ref="B1021:B1025"/>
    <mergeCell ref="A1026:A1035"/>
    <mergeCell ref="B1026:B1035"/>
    <mergeCell ref="A991:A1001"/>
    <mergeCell ref="B991:B1001"/>
    <mergeCell ref="A1002:A1006"/>
    <mergeCell ref="B1002:B1006"/>
    <mergeCell ref="A1007:A1011"/>
    <mergeCell ref="B1007:B1011"/>
    <mergeCell ref="A1108:A1115"/>
    <mergeCell ref="B1108:B1115"/>
    <mergeCell ref="A1116:A1120"/>
    <mergeCell ref="B1116:B1120"/>
    <mergeCell ref="A1121:A1125"/>
    <mergeCell ref="B1121:B1125"/>
    <mergeCell ref="A1082:A1089"/>
    <mergeCell ref="B1082:B1089"/>
    <mergeCell ref="A1090:A1097"/>
    <mergeCell ref="B1090:B1097"/>
    <mergeCell ref="A1098:A1107"/>
    <mergeCell ref="B1098:B1107"/>
    <mergeCell ref="A1059:A1065"/>
    <mergeCell ref="B1059:B1065"/>
    <mergeCell ref="A1066:A1072"/>
    <mergeCell ref="B1066:B1072"/>
    <mergeCell ref="A1073:A1081"/>
    <mergeCell ref="B1073:B1081"/>
    <mergeCell ref="A1165:A1171"/>
    <mergeCell ref="B1165:B1171"/>
    <mergeCell ref="A1172:A1178"/>
    <mergeCell ref="B1172:B1178"/>
    <mergeCell ref="A1179:A1185"/>
    <mergeCell ref="B1179:B1185"/>
    <mergeCell ref="A1144:A1150"/>
    <mergeCell ref="B1144:B1150"/>
    <mergeCell ref="A1151:A1157"/>
    <mergeCell ref="B1151:B1157"/>
    <mergeCell ref="A1158:A1164"/>
    <mergeCell ref="B1158:B1164"/>
    <mergeCell ref="A1126:A1131"/>
    <mergeCell ref="B1126:B1131"/>
    <mergeCell ref="A1132:A1136"/>
    <mergeCell ref="B1132:B1136"/>
    <mergeCell ref="A1137:A1143"/>
    <mergeCell ref="B1137:B1143"/>
    <mergeCell ref="A1227:A1232"/>
    <mergeCell ref="B1227:B1232"/>
    <mergeCell ref="A1233:A1238"/>
    <mergeCell ref="B1233:B1238"/>
    <mergeCell ref="A1239:A1244"/>
    <mergeCell ref="B1239:B1244"/>
    <mergeCell ref="A1207:A1213"/>
    <mergeCell ref="B1207:B1213"/>
    <mergeCell ref="A1214:A1220"/>
    <mergeCell ref="B1214:B1220"/>
    <mergeCell ref="A1221:A1226"/>
    <mergeCell ref="B1221:B1226"/>
    <mergeCell ref="A1186:A1192"/>
    <mergeCell ref="B1186:B1192"/>
    <mergeCell ref="A1193:A1199"/>
    <mergeCell ref="B1193:B1199"/>
    <mergeCell ref="A1200:A1206"/>
    <mergeCell ref="B1200:B1206"/>
    <mergeCell ref="A1286:A1292"/>
    <mergeCell ref="B1286:B1292"/>
    <mergeCell ref="A1293:A1299"/>
    <mergeCell ref="B1293:B1299"/>
    <mergeCell ref="A1300:A1307"/>
    <mergeCell ref="B1300:B1307"/>
    <mergeCell ref="A1266:A1271"/>
    <mergeCell ref="B1266:B1271"/>
    <mergeCell ref="A1272:A1278"/>
    <mergeCell ref="B1272:B1278"/>
    <mergeCell ref="A1279:A1285"/>
    <mergeCell ref="B1279:B1285"/>
    <mergeCell ref="A1245:A1251"/>
    <mergeCell ref="B1245:B1251"/>
    <mergeCell ref="A1252:A1258"/>
    <mergeCell ref="B1252:B1258"/>
    <mergeCell ref="A1259:A1265"/>
    <mergeCell ref="B1259:B1265"/>
    <mergeCell ref="A1348:A1353"/>
    <mergeCell ref="B1348:B1353"/>
    <mergeCell ref="A1354:A1360"/>
    <mergeCell ref="B1354:B1360"/>
    <mergeCell ref="A1361:A1366"/>
    <mergeCell ref="B1361:B1366"/>
    <mergeCell ref="A1329:A1334"/>
    <mergeCell ref="B1329:B1334"/>
    <mergeCell ref="A1335:A1340"/>
    <mergeCell ref="B1335:B1340"/>
    <mergeCell ref="A1341:A1347"/>
    <mergeCell ref="B1341:B1347"/>
    <mergeCell ref="A1308:A1316"/>
    <mergeCell ref="B1308:B1316"/>
    <mergeCell ref="A1317:A1322"/>
    <mergeCell ref="B1317:B1322"/>
    <mergeCell ref="A1323:A1328"/>
    <mergeCell ref="B1323:B1328"/>
    <mergeCell ref="A1405:A1419"/>
    <mergeCell ref="B1405:B1419"/>
    <mergeCell ref="A1420:A1434"/>
    <mergeCell ref="B1420:B1434"/>
    <mergeCell ref="A1435:A1449"/>
    <mergeCell ref="B1435:B1449"/>
    <mergeCell ref="A1386:A1391"/>
    <mergeCell ref="B1386:B1391"/>
    <mergeCell ref="A1392:A1397"/>
    <mergeCell ref="B1392:B1397"/>
    <mergeCell ref="A1398:A1404"/>
    <mergeCell ref="B1398:B1404"/>
    <mergeCell ref="A1367:A1372"/>
    <mergeCell ref="B1367:B1372"/>
    <mergeCell ref="A1373:A1379"/>
    <mergeCell ref="B1373:B1379"/>
    <mergeCell ref="A1380:A1385"/>
    <mergeCell ref="B1380:B1385"/>
    <mergeCell ref="A1526:A1533"/>
    <mergeCell ref="B1526:B1533"/>
    <mergeCell ref="A1534:A1541"/>
    <mergeCell ref="B1534:B1541"/>
    <mergeCell ref="A1542:A1549"/>
    <mergeCell ref="B1542:B1549"/>
    <mergeCell ref="A1495:A1509"/>
    <mergeCell ref="B1495:B1509"/>
    <mergeCell ref="A1510:A1517"/>
    <mergeCell ref="B1510:B1517"/>
    <mergeCell ref="A1518:A1525"/>
    <mergeCell ref="B1518:B1525"/>
    <mergeCell ref="A1450:A1464"/>
    <mergeCell ref="B1450:B1464"/>
    <mergeCell ref="A1465:A1479"/>
    <mergeCell ref="B1465:B1479"/>
    <mergeCell ref="A1480:A1494"/>
    <mergeCell ref="B1480:B1494"/>
    <mergeCell ref="A1599:A1604"/>
    <mergeCell ref="B1599:B1604"/>
    <mergeCell ref="A1605:A1610"/>
    <mergeCell ref="B1605:B1610"/>
    <mergeCell ref="A1611:A1617"/>
    <mergeCell ref="B1611:B1617"/>
    <mergeCell ref="A1571:A1577"/>
    <mergeCell ref="B1571:B1577"/>
    <mergeCell ref="A1578:A1592"/>
    <mergeCell ref="B1578:B1592"/>
    <mergeCell ref="A1593:A1598"/>
    <mergeCell ref="B1593:B1598"/>
    <mergeCell ref="A1550:A1556"/>
    <mergeCell ref="B1550:B1556"/>
    <mergeCell ref="A1557:A1563"/>
    <mergeCell ref="B1557:B1563"/>
    <mergeCell ref="A1564:A1570"/>
    <mergeCell ref="B1564:B1570"/>
    <mergeCell ref="A1652:A1657"/>
    <mergeCell ref="B1652:B1657"/>
    <mergeCell ref="A1658:A1663"/>
    <mergeCell ref="B1658:B1663"/>
    <mergeCell ref="A1664:A1668"/>
    <mergeCell ref="B1664:B1668"/>
    <mergeCell ref="A1635:A1639"/>
    <mergeCell ref="B1635:B1639"/>
    <mergeCell ref="A1640:A1645"/>
    <mergeCell ref="B1640:B1645"/>
    <mergeCell ref="A1646:A1651"/>
    <mergeCell ref="B1646:B1651"/>
    <mergeCell ref="A1618:A1622"/>
    <mergeCell ref="B1618:B1622"/>
    <mergeCell ref="A1623:A1628"/>
    <mergeCell ref="B1623:B1628"/>
    <mergeCell ref="A1629:A1634"/>
    <mergeCell ref="B1629:B1634"/>
    <mergeCell ref="A1705:A1712"/>
    <mergeCell ref="B1705:B1712"/>
    <mergeCell ref="A1713:A1723"/>
    <mergeCell ref="B1713:B1723"/>
    <mergeCell ref="A1724:A1734"/>
    <mergeCell ref="B1724:B1734"/>
    <mergeCell ref="A1685:A1691"/>
    <mergeCell ref="B1685:B1691"/>
    <mergeCell ref="A1692:A1698"/>
    <mergeCell ref="B1692:B1698"/>
    <mergeCell ref="A1699:A1704"/>
    <mergeCell ref="B1699:B1704"/>
    <mergeCell ref="A1669:A1673"/>
    <mergeCell ref="B1669:B1673"/>
    <mergeCell ref="A1674:A1678"/>
    <mergeCell ref="B1674:B1678"/>
    <mergeCell ref="A1679:A1684"/>
    <mergeCell ref="B1679:B1684"/>
    <mergeCell ref="A1785:A1791"/>
    <mergeCell ref="B1785:B1791"/>
    <mergeCell ref="A1792:A1798"/>
    <mergeCell ref="B1792:B1798"/>
    <mergeCell ref="A1799:A1805"/>
    <mergeCell ref="B1799:B1805"/>
    <mergeCell ref="A1764:A1770"/>
    <mergeCell ref="B1764:B1770"/>
    <mergeCell ref="A1771:A1777"/>
    <mergeCell ref="B1771:B1777"/>
    <mergeCell ref="A1778:A1784"/>
    <mergeCell ref="B1778:B1784"/>
    <mergeCell ref="A1735:A1745"/>
    <mergeCell ref="B1735:B1745"/>
    <mergeCell ref="A1746:A1756"/>
    <mergeCell ref="B1746:B1756"/>
    <mergeCell ref="A1757:A1763"/>
    <mergeCell ref="B1757:B1763"/>
    <mergeCell ref="A1842:A1847"/>
    <mergeCell ref="B1842:B1847"/>
    <mergeCell ref="A1848:A1853"/>
    <mergeCell ref="B1848:B1853"/>
    <mergeCell ref="A1854:A1859"/>
    <mergeCell ref="B1854:B1859"/>
    <mergeCell ref="A1823:A1828"/>
    <mergeCell ref="B1823:B1828"/>
    <mergeCell ref="A1829:A1834"/>
    <mergeCell ref="B1829:B1834"/>
    <mergeCell ref="A1835:A1841"/>
    <mergeCell ref="B1835:B1841"/>
    <mergeCell ref="A1806:A1812"/>
    <mergeCell ref="B1806:B1812"/>
    <mergeCell ref="A1813:A1817"/>
    <mergeCell ref="B1813:B1817"/>
    <mergeCell ref="A1818:A1822"/>
    <mergeCell ref="B1818:B1822"/>
    <mergeCell ref="A1896:A1901"/>
    <mergeCell ref="B1896:B1901"/>
    <mergeCell ref="A1902:A1907"/>
    <mergeCell ref="B1902:B1907"/>
    <mergeCell ref="A1908:A1913"/>
    <mergeCell ref="B1908:B1913"/>
    <mergeCell ref="A1878:A1883"/>
    <mergeCell ref="B1878:B1883"/>
    <mergeCell ref="A1884:A1889"/>
    <mergeCell ref="B1884:B1889"/>
    <mergeCell ref="A1890:A1895"/>
    <mergeCell ref="B1890:B1895"/>
    <mergeCell ref="A1860:A1865"/>
    <mergeCell ref="B1860:B1865"/>
    <mergeCell ref="A1866:A1871"/>
    <mergeCell ref="B1866:B1871"/>
    <mergeCell ref="A1872:A1877"/>
    <mergeCell ref="B1872:B1877"/>
    <mergeCell ref="A1945:A1951"/>
    <mergeCell ref="B1945:B1951"/>
    <mergeCell ref="A1952:A1957"/>
    <mergeCell ref="B1952:B1957"/>
    <mergeCell ref="A1958:A1963"/>
    <mergeCell ref="B1958:B1963"/>
    <mergeCell ref="A1929:A1934"/>
    <mergeCell ref="B1929:B1934"/>
    <mergeCell ref="A1935:A1939"/>
    <mergeCell ref="B1935:B1939"/>
    <mergeCell ref="A1940:A1944"/>
    <mergeCell ref="B1940:B1944"/>
    <mergeCell ref="A1914:A1918"/>
    <mergeCell ref="B1914:B1918"/>
    <mergeCell ref="A1919:A1923"/>
    <mergeCell ref="B1919:B1923"/>
    <mergeCell ref="A1924:A1928"/>
    <mergeCell ref="B1924:B1928"/>
    <mergeCell ref="A2008:A2014"/>
    <mergeCell ref="B2008:B2014"/>
    <mergeCell ref="A2015:A2021"/>
    <mergeCell ref="B2015:B2021"/>
    <mergeCell ref="A2022:A2027"/>
    <mergeCell ref="B2022:B2027"/>
    <mergeCell ref="A1986:A1993"/>
    <mergeCell ref="B1986:B1993"/>
    <mergeCell ref="A1994:A2000"/>
    <mergeCell ref="B1994:B2000"/>
    <mergeCell ref="A2001:A2007"/>
    <mergeCell ref="B2001:B2007"/>
    <mergeCell ref="A1964:A1970"/>
    <mergeCell ref="B1964:B1970"/>
    <mergeCell ref="A1971:A1977"/>
    <mergeCell ref="B1971:B1977"/>
    <mergeCell ref="A1978:A1985"/>
    <mergeCell ref="B1978:B1985"/>
    <mergeCell ref="A2076:A2083"/>
    <mergeCell ref="B2076:B2083"/>
    <mergeCell ref="A2084:A2091"/>
    <mergeCell ref="B2084:B2091"/>
    <mergeCell ref="A2092:A2099"/>
    <mergeCell ref="B2092:B2099"/>
    <mergeCell ref="A2052:A2059"/>
    <mergeCell ref="B2052:B2059"/>
    <mergeCell ref="A2060:A2067"/>
    <mergeCell ref="B2060:B2067"/>
    <mergeCell ref="A2068:A2075"/>
    <mergeCell ref="B2068:B2075"/>
    <mergeCell ref="A2028:A2035"/>
    <mergeCell ref="B2028:B2035"/>
    <mergeCell ref="A2036:A2043"/>
    <mergeCell ref="B2036:B2043"/>
    <mergeCell ref="A2044:A2051"/>
    <mergeCell ref="B2044:B2051"/>
    <mergeCell ref="A2140:A2145"/>
    <mergeCell ref="B2140:B2145"/>
    <mergeCell ref="A2146:A2153"/>
    <mergeCell ref="B2146:B2153"/>
    <mergeCell ref="A2154:A2161"/>
    <mergeCell ref="B2154:B2161"/>
    <mergeCell ref="A2122:A2127"/>
    <mergeCell ref="B2122:B2127"/>
    <mergeCell ref="A2128:A2133"/>
    <mergeCell ref="B2128:B2133"/>
    <mergeCell ref="A2134:A2139"/>
    <mergeCell ref="B2134:B2139"/>
    <mergeCell ref="A2100:A2107"/>
    <mergeCell ref="B2100:B2107"/>
    <mergeCell ref="A2108:A2115"/>
    <mergeCell ref="B2108:B2115"/>
    <mergeCell ref="A2116:A2121"/>
    <mergeCell ref="B2116:B2121"/>
    <mergeCell ref="A2210:A2214"/>
    <mergeCell ref="B2210:B2214"/>
    <mergeCell ref="A2215:A2221"/>
    <mergeCell ref="B2215:B2221"/>
    <mergeCell ref="A2222:A2228"/>
    <mergeCell ref="B2222:B2228"/>
    <mergeCell ref="A2186:A2193"/>
    <mergeCell ref="B2186:B2193"/>
    <mergeCell ref="A2194:A2201"/>
    <mergeCell ref="B2194:B2201"/>
    <mergeCell ref="A2202:A2209"/>
    <mergeCell ref="B2202:B2209"/>
    <mergeCell ref="A2162:A2169"/>
    <mergeCell ref="B2162:B2169"/>
    <mergeCell ref="A2170:A2177"/>
    <mergeCell ref="B2170:B2177"/>
    <mergeCell ref="A2178:A2185"/>
    <mergeCell ref="B2178:B2185"/>
    <mergeCell ref="A2281:A2290"/>
    <mergeCell ref="B2281:B2290"/>
    <mergeCell ref="A2291:A2300"/>
    <mergeCell ref="B2291:B2300"/>
    <mergeCell ref="A2301:A2310"/>
    <mergeCell ref="B2301:B2310"/>
    <mergeCell ref="A2255:A2260"/>
    <mergeCell ref="B2255:B2260"/>
    <mergeCell ref="A2261:A2270"/>
    <mergeCell ref="B2261:B2270"/>
    <mergeCell ref="A2271:A2280"/>
    <mergeCell ref="B2271:B2280"/>
    <mergeCell ref="A2229:A2234"/>
    <mergeCell ref="B2229:B2234"/>
    <mergeCell ref="A2235:A2240"/>
    <mergeCell ref="B2235:B2240"/>
    <mergeCell ref="A2241:A2254"/>
    <mergeCell ref="B2241:B2254"/>
    <mergeCell ref="A2349:A2353"/>
    <mergeCell ref="B2349:B2353"/>
    <mergeCell ref="A2354:A2358"/>
    <mergeCell ref="B2354:B2358"/>
    <mergeCell ref="A2359:A2363"/>
    <mergeCell ref="B2359:B2363"/>
    <mergeCell ref="A2331:A2336"/>
    <mergeCell ref="B2331:B2336"/>
    <mergeCell ref="A2337:A2342"/>
    <mergeCell ref="B2337:B2342"/>
    <mergeCell ref="A2343:A2348"/>
    <mergeCell ref="B2343:B2348"/>
    <mergeCell ref="A2311:A2317"/>
    <mergeCell ref="B2311:B2317"/>
    <mergeCell ref="A2318:A2324"/>
    <mergeCell ref="B2318:B2324"/>
    <mergeCell ref="A2325:A2330"/>
    <mergeCell ref="B2325:B2330"/>
    <mergeCell ref="A2385:A2390"/>
    <mergeCell ref="B2385:B2390"/>
    <mergeCell ref="A2391:A2397"/>
    <mergeCell ref="B2391:B2397"/>
    <mergeCell ref="A2398:A2403"/>
    <mergeCell ref="B2398:B2403"/>
    <mergeCell ref="A2364:A2369"/>
    <mergeCell ref="B2364:B2369"/>
    <mergeCell ref="A2370:A2377"/>
    <mergeCell ref="B2370:B2377"/>
    <mergeCell ref="A2378:A2384"/>
    <mergeCell ref="B2378:B2384"/>
    <mergeCell ref="A2404:A2407"/>
    <mergeCell ref="B2404:B2407"/>
    <mergeCell ref="A2408:A2411"/>
    <mergeCell ref="B2408:B2411"/>
    <mergeCell ref="A2412:A2415"/>
    <mergeCell ref="B2412:B2415"/>
    <mergeCell ref="A2440:A2443"/>
    <mergeCell ref="B2440:B2443"/>
    <mergeCell ref="A2560:A2563"/>
    <mergeCell ref="B2560:B2563"/>
    <mergeCell ref="A2416:A2419"/>
    <mergeCell ref="B2416:B2419"/>
    <mergeCell ref="A2420:A2423"/>
    <mergeCell ref="B2420:B2423"/>
    <mergeCell ref="A2424:A2427"/>
    <mergeCell ref="B2424:B2427"/>
    <mergeCell ref="A2428:A2431"/>
    <mergeCell ref="B2428:B2431"/>
    <mergeCell ref="A2432:A2435"/>
    <mergeCell ref="B2432:B2435"/>
    <mergeCell ref="A2436:A2439"/>
    <mergeCell ref="B2436:B2439"/>
    <mergeCell ref="A2444:A2447"/>
    <mergeCell ref="B2444:B2447"/>
    <mergeCell ref="A2488:A2491"/>
    <mergeCell ref="B2488:B2491"/>
    <mergeCell ref="A2544:A2547"/>
    <mergeCell ref="B2544:B2547"/>
    <mergeCell ref="A2548:A2551"/>
    <mergeCell ref="B2548:B2551"/>
    <mergeCell ref="A2452:A2455"/>
    <mergeCell ref="B2452:B2455"/>
    <mergeCell ref="A2456:A2459"/>
    <mergeCell ref="B2456:B2459"/>
    <mergeCell ref="A2448:A2451"/>
    <mergeCell ref="B2448:B2451"/>
    <mergeCell ref="A2460:A2463"/>
    <mergeCell ref="B2460:B2463"/>
    <mergeCell ref="A2620:A2623"/>
    <mergeCell ref="B2620:B2623"/>
    <mergeCell ref="A2596:A2603"/>
    <mergeCell ref="B2596:B2603"/>
    <mergeCell ref="A2604:A2607"/>
    <mergeCell ref="B2604:B2607"/>
    <mergeCell ref="A2608:A2611"/>
    <mergeCell ref="B2608:B2611"/>
    <mergeCell ref="A2576:A2579"/>
    <mergeCell ref="B2576:B2579"/>
    <mergeCell ref="A2580:A2587"/>
    <mergeCell ref="B2580:B2587"/>
    <mergeCell ref="A2588:A2595"/>
    <mergeCell ref="B2588:B2595"/>
    <mergeCell ref="A2564:A2567"/>
    <mergeCell ref="B2564:B2567"/>
    <mergeCell ref="A2568:A2571"/>
    <mergeCell ref="B2568:B2571"/>
    <mergeCell ref="A2572:A2575"/>
    <mergeCell ref="B2572:B2575"/>
    <mergeCell ref="A2694:A2699"/>
    <mergeCell ref="B2694:B2699"/>
    <mergeCell ref="A2700:A2705"/>
    <mergeCell ref="B2700:B2705"/>
    <mergeCell ref="A2706:A2711"/>
    <mergeCell ref="B2706:B2711"/>
    <mergeCell ref="A2676:A2681"/>
    <mergeCell ref="B2676:B2681"/>
    <mergeCell ref="A2682:A2687"/>
    <mergeCell ref="B2682:B2687"/>
    <mergeCell ref="A2688:A2693"/>
    <mergeCell ref="B2688:B2693"/>
    <mergeCell ref="A2656:A2659"/>
    <mergeCell ref="B2656:B2659"/>
    <mergeCell ref="A2664:A2669"/>
    <mergeCell ref="B2664:B2669"/>
    <mergeCell ref="A2670:A2675"/>
    <mergeCell ref="B2670:B2675"/>
    <mergeCell ref="A2660:A2663"/>
    <mergeCell ref="B2660:B2663"/>
    <mergeCell ref="A2712:A2717"/>
    <mergeCell ref="B2712:B2717"/>
    <mergeCell ref="A2718:A2723"/>
    <mergeCell ref="B2718:B2723"/>
    <mergeCell ref="A2780:A2784"/>
    <mergeCell ref="B2780:B2784"/>
    <mergeCell ref="A2772:A2775"/>
    <mergeCell ref="B2772:B2775"/>
    <mergeCell ref="A2868:A2872"/>
    <mergeCell ref="B2868:B2872"/>
    <mergeCell ref="A2873:A2877"/>
    <mergeCell ref="B2873:B2877"/>
    <mergeCell ref="A2878:A2882"/>
    <mergeCell ref="B2878:B2882"/>
    <mergeCell ref="A2853:A2857"/>
    <mergeCell ref="B2853:B2857"/>
    <mergeCell ref="A2858:A2862"/>
    <mergeCell ref="B2858:B2862"/>
    <mergeCell ref="A2863:A2867"/>
    <mergeCell ref="B2863:B2867"/>
    <mergeCell ref="A2836:A2842"/>
    <mergeCell ref="B2836:B2842"/>
    <mergeCell ref="A2843:A2847"/>
    <mergeCell ref="B2843:B2847"/>
    <mergeCell ref="A2848:A2852"/>
    <mergeCell ref="B2848:B2852"/>
    <mergeCell ref="A2736:A2739"/>
    <mergeCell ref="B2736:B2739"/>
    <mergeCell ref="A2740:A2743"/>
    <mergeCell ref="B2740:B2743"/>
    <mergeCell ref="A2744:A2747"/>
    <mergeCell ref="B2744:B2747"/>
    <mergeCell ref="A2990:A2994"/>
    <mergeCell ref="B2990:B2994"/>
    <mergeCell ref="A2995:A3004"/>
    <mergeCell ref="B2995:B3004"/>
    <mergeCell ref="A3005:A3009"/>
    <mergeCell ref="B3005:B3009"/>
    <mergeCell ref="A3075:A3082"/>
    <mergeCell ref="B3075:B3082"/>
    <mergeCell ref="A3083:A3087"/>
    <mergeCell ref="B3083:B3087"/>
    <mergeCell ref="A3088:A3095"/>
    <mergeCell ref="B3088:B3095"/>
    <mergeCell ref="A3058:A3062"/>
    <mergeCell ref="B3058:B3062"/>
    <mergeCell ref="A3063:A3070"/>
    <mergeCell ref="B3063:B3070"/>
    <mergeCell ref="A3071:A3074"/>
    <mergeCell ref="B3071:B3074"/>
    <mergeCell ref="A3040:A3044"/>
    <mergeCell ref="B3040:B3044"/>
    <mergeCell ref="A3045:A3049"/>
    <mergeCell ref="B3045:B3049"/>
    <mergeCell ref="A3050:A3057"/>
    <mergeCell ref="B3050:B3057"/>
    <mergeCell ref="A3111:A3115"/>
    <mergeCell ref="B3111:B3115"/>
    <mergeCell ref="A3116:A3120"/>
    <mergeCell ref="B3116:B3120"/>
    <mergeCell ref="A3121:A3125"/>
    <mergeCell ref="B3121:B3125"/>
    <mergeCell ref="A3096:A3100"/>
    <mergeCell ref="B3096:B3100"/>
    <mergeCell ref="A3101:A3105"/>
    <mergeCell ref="B3101:B3105"/>
    <mergeCell ref="A3106:A3110"/>
    <mergeCell ref="B3106:B3110"/>
    <mergeCell ref="A3010:A3014"/>
    <mergeCell ref="B3010:B3014"/>
    <mergeCell ref="A3015:A3019"/>
    <mergeCell ref="B3015:B3019"/>
    <mergeCell ref="A3020:A3024"/>
    <mergeCell ref="B3020:B3024"/>
    <mergeCell ref="A3159:A3164"/>
    <mergeCell ref="B3159:B3164"/>
    <mergeCell ref="A3165:A3169"/>
    <mergeCell ref="B3165:B3169"/>
    <mergeCell ref="A3170:A3175"/>
    <mergeCell ref="B3170:B3175"/>
    <mergeCell ref="A3141:A3146"/>
    <mergeCell ref="B3141:B3146"/>
    <mergeCell ref="A3147:A3152"/>
    <mergeCell ref="B3147:B3152"/>
    <mergeCell ref="A3153:A3158"/>
    <mergeCell ref="B3153:B3158"/>
    <mergeCell ref="A3126:A3130"/>
    <mergeCell ref="B3126:B3130"/>
    <mergeCell ref="A3131:A3135"/>
    <mergeCell ref="B3131:B3135"/>
    <mergeCell ref="A3136:A3140"/>
    <mergeCell ref="B3136:B3140"/>
    <mergeCell ref="A3215:A3221"/>
    <mergeCell ref="B3215:B3221"/>
    <mergeCell ref="A3222:A3234"/>
    <mergeCell ref="B3222:B3234"/>
    <mergeCell ref="A3235:A3240"/>
    <mergeCell ref="B3235:B3240"/>
    <mergeCell ref="A3198:A3205"/>
    <mergeCell ref="B3198:B3205"/>
    <mergeCell ref="A3206:A3210"/>
    <mergeCell ref="B3206:B3210"/>
    <mergeCell ref="A3211:A3214"/>
    <mergeCell ref="B3211:B3214"/>
    <mergeCell ref="A3176:A3180"/>
    <mergeCell ref="B3176:B3180"/>
    <mergeCell ref="A3181:A3189"/>
    <mergeCell ref="B3181:B3189"/>
    <mergeCell ref="A3190:A3197"/>
    <mergeCell ref="B3190:B3197"/>
    <mergeCell ref="A3282:A3288"/>
    <mergeCell ref="B3282:B3288"/>
    <mergeCell ref="A3289:A3295"/>
    <mergeCell ref="B3289:B3295"/>
    <mergeCell ref="A3296:A3302"/>
    <mergeCell ref="B3296:B3302"/>
    <mergeCell ref="A3263:A3267"/>
    <mergeCell ref="B3263:B3267"/>
    <mergeCell ref="A3268:A3274"/>
    <mergeCell ref="B3268:B3274"/>
    <mergeCell ref="A3275:A3281"/>
    <mergeCell ref="B3275:B3281"/>
    <mergeCell ref="A3241:A3246"/>
    <mergeCell ref="B3241:B3246"/>
    <mergeCell ref="A3247:A3252"/>
    <mergeCell ref="B3247:B3252"/>
    <mergeCell ref="A3253:A3262"/>
    <mergeCell ref="B3253:B3262"/>
    <mergeCell ref="A3344:A3349"/>
    <mergeCell ref="B3344:B3349"/>
    <mergeCell ref="A3350:A3358"/>
    <mergeCell ref="B3350:B3358"/>
    <mergeCell ref="A3359:A3363"/>
    <mergeCell ref="B3359:B3363"/>
    <mergeCell ref="A3324:A3330"/>
    <mergeCell ref="B3324:B3330"/>
    <mergeCell ref="A3331:A3337"/>
    <mergeCell ref="B3331:B3337"/>
    <mergeCell ref="A3338:A3343"/>
    <mergeCell ref="B3338:B3343"/>
    <mergeCell ref="A3303:A3309"/>
    <mergeCell ref="B3303:B3309"/>
    <mergeCell ref="A3310:A3316"/>
    <mergeCell ref="B3310:B3316"/>
    <mergeCell ref="A3317:A3323"/>
    <mergeCell ref="B3317:B3323"/>
    <mergeCell ref="A3398:A3401"/>
    <mergeCell ref="B3398:B3401"/>
    <mergeCell ref="A3402:A3405"/>
    <mergeCell ref="B3402:B3405"/>
    <mergeCell ref="A3406:A3412"/>
    <mergeCell ref="B3406:B3412"/>
    <mergeCell ref="A3385:A3388"/>
    <mergeCell ref="B3385:B3388"/>
    <mergeCell ref="A3389:A3392"/>
    <mergeCell ref="B3389:B3392"/>
    <mergeCell ref="A3393:A3397"/>
    <mergeCell ref="B3393:B3397"/>
    <mergeCell ref="A3364:A3370"/>
    <mergeCell ref="B3364:B3370"/>
    <mergeCell ref="A3371:A3377"/>
    <mergeCell ref="B3371:B3377"/>
    <mergeCell ref="A3378:A3384"/>
    <mergeCell ref="B3378:B3384"/>
    <mergeCell ref="A3446:A3449"/>
    <mergeCell ref="B3446:B3449"/>
    <mergeCell ref="A3450:A3459"/>
    <mergeCell ref="B3450:B3459"/>
    <mergeCell ref="A3460:A3470"/>
    <mergeCell ref="B3460:B3470"/>
    <mergeCell ref="A3432:A3436"/>
    <mergeCell ref="B3432:B3436"/>
    <mergeCell ref="A3437:A3441"/>
    <mergeCell ref="B3437:B3441"/>
    <mergeCell ref="A3442:A3445"/>
    <mergeCell ref="B3442:B3445"/>
    <mergeCell ref="A3413:A3419"/>
    <mergeCell ref="B3413:B3419"/>
    <mergeCell ref="A3420:A3426"/>
    <mergeCell ref="B3420:B3426"/>
    <mergeCell ref="A3427:A3431"/>
    <mergeCell ref="B3427:B3431"/>
    <mergeCell ref="A3558:A3573"/>
    <mergeCell ref="B3558:B3573"/>
    <mergeCell ref="A3574:A3579"/>
    <mergeCell ref="B3574:B3579"/>
    <mergeCell ref="A3580:A3585"/>
    <mergeCell ref="B3580:B3585"/>
    <mergeCell ref="A3515:A3531"/>
    <mergeCell ref="B3515:B3531"/>
    <mergeCell ref="A3532:A3541"/>
    <mergeCell ref="B3532:B3541"/>
    <mergeCell ref="A3551:A3557"/>
    <mergeCell ref="B3551:B3557"/>
    <mergeCell ref="A3482:A3489"/>
    <mergeCell ref="B3482:B3489"/>
    <mergeCell ref="A3490:A3506"/>
    <mergeCell ref="B3490:B3506"/>
    <mergeCell ref="A3507:A3514"/>
    <mergeCell ref="B3507:B3514"/>
    <mergeCell ref="A3586:A3593"/>
    <mergeCell ref="B3586:B3593"/>
    <mergeCell ref="A3594:A3600"/>
    <mergeCell ref="B3594:B3600"/>
    <mergeCell ref="A3601:A3605"/>
    <mergeCell ref="B3601:B3605"/>
    <mergeCell ref="A3648:A3652"/>
    <mergeCell ref="B3648:B3652"/>
    <mergeCell ref="A3653:A3660"/>
    <mergeCell ref="B3653:B3660"/>
    <mergeCell ref="A3661:A3664"/>
    <mergeCell ref="B3661:B3664"/>
    <mergeCell ref="A3627:A3632"/>
    <mergeCell ref="B3627:B3632"/>
    <mergeCell ref="A3633:A3642"/>
    <mergeCell ref="B3633:B3642"/>
    <mergeCell ref="A3643:A3647"/>
    <mergeCell ref="B3643:B3647"/>
    <mergeCell ref="A3606:A3613"/>
    <mergeCell ref="B3606:B3613"/>
    <mergeCell ref="A3614:A3619"/>
    <mergeCell ref="B3614:B3619"/>
    <mergeCell ref="A3620:A3626"/>
    <mergeCell ref="B3620:B3626"/>
    <mergeCell ref="A3665:A3670"/>
    <mergeCell ref="B3665:B3670"/>
    <mergeCell ref="A3671:A3685"/>
    <mergeCell ref="B3671:B3685"/>
    <mergeCell ref="A3686:A3693"/>
    <mergeCell ref="B3686:B3693"/>
    <mergeCell ref="A3831:A3836"/>
    <mergeCell ref="B3831:B3836"/>
    <mergeCell ref="A3813:A3818"/>
    <mergeCell ref="B3813:B3818"/>
    <mergeCell ref="A3837:A3841"/>
    <mergeCell ref="B3837:B3841"/>
    <mergeCell ref="A3842:A3852"/>
    <mergeCell ref="B3842:B3852"/>
    <mergeCell ref="A3825:A3830"/>
    <mergeCell ref="B3825:B3830"/>
    <mergeCell ref="A3730:A3733"/>
    <mergeCell ref="B3730:B3733"/>
    <mergeCell ref="A3734:A3743"/>
    <mergeCell ref="B3734:B3743"/>
    <mergeCell ref="A3744:A3748"/>
    <mergeCell ref="B3744:B3748"/>
    <mergeCell ref="A3694:A3705"/>
    <mergeCell ref="B3694:B3705"/>
    <mergeCell ref="A3706:A3718"/>
    <mergeCell ref="B3706:B3718"/>
    <mergeCell ref="A3719:A3729"/>
    <mergeCell ref="B3719:B3729"/>
    <mergeCell ref="A3773:A3776"/>
    <mergeCell ref="B3773:B3776"/>
    <mergeCell ref="A3853:A3862"/>
    <mergeCell ref="B3853:B3862"/>
    <mergeCell ref="A3749:A3757"/>
    <mergeCell ref="B3749:B3757"/>
    <mergeCell ref="A3758:A3764"/>
    <mergeCell ref="B3758:B3764"/>
    <mergeCell ref="A3765:A3768"/>
    <mergeCell ref="B3765:B3768"/>
    <mergeCell ref="A3777:A3782"/>
    <mergeCell ref="B3777:B3782"/>
    <mergeCell ref="A3783:A3788"/>
    <mergeCell ref="B3783:B3788"/>
    <mergeCell ref="A3789:A3794"/>
    <mergeCell ref="B3789:B3794"/>
    <mergeCell ref="A3795:A3800"/>
    <mergeCell ref="B3795:B3800"/>
    <mergeCell ref="A3801:A3806"/>
    <mergeCell ref="B3801:B3806"/>
    <mergeCell ref="A3807:A3812"/>
    <mergeCell ref="B3807:B3812"/>
    <mergeCell ref="A3769:A3772"/>
    <mergeCell ref="B3769:B3772"/>
    <mergeCell ref="A3968:A3975"/>
    <mergeCell ref="B3968:B3975"/>
    <mergeCell ref="A4001:A4013"/>
    <mergeCell ref="B4001:B4013"/>
    <mergeCell ref="A4014:A4026"/>
    <mergeCell ref="B4014:B4026"/>
    <mergeCell ref="A4027:A4031"/>
    <mergeCell ref="B4027:B4031"/>
    <mergeCell ref="A3976:A3985"/>
    <mergeCell ref="B3976:B3985"/>
    <mergeCell ref="A3892:A3906"/>
    <mergeCell ref="B3892:B3906"/>
    <mergeCell ref="A3907:A3913"/>
    <mergeCell ref="B3907:B3913"/>
    <mergeCell ref="A3914:A3931"/>
    <mergeCell ref="B3914:B3931"/>
    <mergeCell ref="A3863:A3871"/>
    <mergeCell ref="B3863:B3871"/>
    <mergeCell ref="A3872:A3879"/>
    <mergeCell ref="B3872:B3879"/>
    <mergeCell ref="A3880:A3891"/>
    <mergeCell ref="B3880:B3891"/>
    <mergeCell ref="A3932:A3937"/>
    <mergeCell ref="B3932:B3937"/>
    <mergeCell ref="A3938:A3945"/>
    <mergeCell ref="B3938:B3945"/>
    <mergeCell ref="A4123:A4129"/>
    <mergeCell ref="B4123:B4129"/>
    <mergeCell ref="A4130:A4137"/>
    <mergeCell ref="B4130:B4137"/>
    <mergeCell ref="A4100:A4105"/>
    <mergeCell ref="B4100:B4105"/>
    <mergeCell ref="A4106:A4112"/>
    <mergeCell ref="B4106:B4112"/>
    <mergeCell ref="A4113:A4118"/>
    <mergeCell ref="B4113:B4118"/>
    <mergeCell ref="A3946:A3951"/>
    <mergeCell ref="B3946:B3951"/>
    <mergeCell ref="A4049:A4057"/>
    <mergeCell ref="B4049:B4057"/>
    <mergeCell ref="A4058:A4066"/>
    <mergeCell ref="B4058:B4066"/>
    <mergeCell ref="A4067:A4075"/>
    <mergeCell ref="B4067:B4075"/>
    <mergeCell ref="A4032:A4035"/>
    <mergeCell ref="B4032:B4035"/>
    <mergeCell ref="A4036:A4039"/>
    <mergeCell ref="B4036:B4039"/>
    <mergeCell ref="A4040:A4048"/>
    <mergeCell ref="B4040:B4048"/>
    <mergeCell ref="A3986:A3992"/>
    <mergeCell ref="B3986:B3992"/>
    <mergeCell ref="A3993:A4000"/>
    <mergeCell ref="B3993:B4000"/>
    <mergeCell ref="A3952:A3958"/>
    <mergeCell ref="B3952:B3958"/>
    <mergeCell ref="A3959:A3967"/>
    <mergeCell ref="B3959:B3967"/>
    <mergeCell ref="A4076:A4084"/>
    <mergeCell ref="B4076:B4084"/>
    <mergeCell ref="A4085:A4093"/>
    <mergeCell ref="B4085:B4093"/>
    <mergeCell ref="A4094:A4099"/>
    <mergeCell ref="B4094:B4099"/>
    <mergeCell ref="A4205:A4210"/>
    <mergeCell ref="B4205:B4210"/>
    <mergeCell ref="A4211:A4216"/>
    <mergeCell ref="B4211:B4216"/>
    <mergeCell ref="A4217:A4222"/>
    <mergeCell ref="B4217:B4222"/>
    <mergeCell ref="A4187:A4190"/>
    <mergeCell ref="B4187:B4190"/>
    <mergeCell ref="A4191:A4197"/>
    <mergeCell ref="B4191:B4197"/>
    <mergeCell ref="A4198:A4204"/>
    <mergeCell ref="B4198:B4204"/>
    <mergeCell ref="A4158:A4164"/>
    <mergeCell ref="B4158:B4164"/>
    <mergeCell ref="A4165:A4175"/>
    <mergeCell ref="B4165:B4175"/>
    <mergeCell ref="A4176:A4186"/>
    <mergeCell ref="B4176:B4186"/>
    <mergeCell ref="A4138:A4145"/>
    <mergeCell ref="B4138:B4145"/>
    <mergeCell ref="A4146:A4153"/>
    <mergeCell ref="B4146:B4153"/>
    <mergeCell ref="A4154:A4157"/>
    <mergeCell ref="B4154:B4157"/>
    <mergeCell ref="A4119:A4122"/>
    <mergeCell ref="B4119:B4122"/>
    <mergeCell ref="A4284:A4292"/>
    <mergeCell ref="B4284:B4292"/>
    <mergeCell ref="A4293:A4308"/>
    <mergeCell ref="B4293:B4308"/>
    <mergeCell ref="A4309:A4335"/>
    <mergeCell ref="B4309:B4335"/>
    <mergeCell ref="A4264:A4270"/>
    <mergeCell ref="B4264:B4270"/>
    <mergeCell ref="A4271:A4275"/>
    <mergeCell ref="B4271:B4275"/>
    <mergeCell ref="A4276:A4283"/>
    <mergeCell ref="B4276:B4283"/>
    <mergeCell ref="A4247:A4254"/>
    <mergeCell ref="B4247:B4254"/>
    <mergeCell ref="A4255:A4263"/>
    <mergeCell ref="B4255:B4263"/>
    <mergeCell ref="A4223:A4232"/>
    <mergeCell ref="B4223:B4232"/>
    <mergeCell ref="A4233:A4238"/>
    <mergeCell ref="B4233:B4238"/>
    <mergeCell ref="A4239:A4246"/>
    <mergeCell ref="B4239:B4246"/>
    <mergeCell ref="A4390:A4399"/>
    <mergeCell ref="B4390:B4399"/>
    <mergeCell ref="A4400:A4407"/>
    <mergeCell ref="B4400:B4407"/>
    <mergeCell ref="A4408:A4415"/>
    <mergeCell ref="B4408:B4415"/>
    <mergeCell ref="A4363:A4371"/>
    <mergeCell ref="B4363:B4371"/>
    <mergeCell ref="A4372:A4380"/>
    <mergeCell ref="B4372:B4380"/>
    <mergeCell ref="A4381:A4389"/>
    <mergeCell ref="B4381:B4389"/>
    <mergeCell ref="A4336:A4342"/>
    <mergeCell ref="B4336:B4342"/>
    <mergeCell ref="A4343:A4353"/>
    <mergeCell ref="B4343:B4353"/>
    <mergeCell ref="A4354:A4362"/>
    <mergeCell ref="B4354:B4362"/>
    <mergeCell ref="A4478:A4483"/>
    <mergeCell ref="B4478:B4483"/>
    <mergeCell ref="A4484:A4503"/>
    <mergeCell ref="B4484:B4503"/>
    <mergeCell ref="A4504:A4511"/>
    <mergeCell ref="B4504:B4511"/>
    <mergeCell ref="A4446:A4453"/>
    <mergeCell ref="B4446:B4453"/>
    <mergeCell ref="A4454:A4465"/>
    <mergeCell ref="B4454:B4465"/>
    <mergeCell ref="A4466:A4477"/>
    <mergeCell ref="B4466:B4477"/>
    <mergeCell ref="A4416:A4425"/>
    <mergeCell ref="B4416:B4425"/>
    <mergeCell ref="A4426:A4435"/>
    <mergeCell ref="B4426:B4435"/>
    <mergeCell ref="A4436:A4445"/>
    <mergeCell ref="B4436:B4445"/>
    <mergeCell ref="A4552:A4556"/>
    <mergeCell ref="B4552:B4556"/>
    <mergeCell ref="A4557:A4562"/>
    <mergeCell ref="B4557:B4562"/>
    <mergeCell ref="A4563:A4574"/>
    <mergeCell ref="B4563:B4574"/>
    <mergeCell ref="A4531:A4535"/>
    <mergeCell ref="B4531:B4535"/>
    <mergeCell ref="A4536:A4543"/>
    <mergeCell ref="B4536:B4543"/>
    <mergeCell ref="A4544:A4551"/>
    <mergeCell ref="B4544:B4551"/>
    <mergeCell ref="A4512:A4519"/>
    <mergeCell ref="B4512:B4519"/>
    <mergeCell ref="A4520:A4525"/>
    <mergeCell ref="B4520:B4525"/>
    <mergeCell ref="A4526:A4530"/>
    <mergeCell ref="B4526:B4530"/>
    <mergeCell ref="A4637:A4648"/>
    <mergeCell ref="B4637:B4648"/>
    <mergeCell ref="A4649:A4656"/>
    <mergeCell ref="B4649:B4656"/>
    <mergeCell ref="A4657:A4662"/>
    <mergeCell ref="B4657:B4662"/>
    <mergeCell ref="A4614:A4622"/>
    <mergeCell ref="B4614:B4622"/>
    <mergeCell ref="A4623:A4630"/>
    <mergeCell ref="B4623:B4630"/>
    <mergeCell ref="A4631:A4636"/>
    <mergeCell ref="B4631:B4636"/>
    <mergeCell ref="A4575:A4586"/>
    <mergeCell ref="B4575:B4586"/>
    <mergeCell ref="A4587:A4605"/>
    <mergeCell ref="B4587:B4605"/>
    <mergeCell ref="A4606:A4613"/>
    <mergeCell ref="B4606:B4613"/>
    <mergeCell ref="A4712:A4723"/>
    <mergeCell ref="B4712:B4723"/>
    <mergeCell ref="A4728:A4733"/>
    <mergeCell ref="B4728:B4733"/>
    <mergeCell ref="A4734:A4741"/>
    <mergeCell ref="B4734:B4741"/>
    <mergeCell ref="A4689:A4694"/>
    <mergeCell ref="B4689:B4694"/>
    <mergeCell ref="A4695:A4702"/>
    <mergeCell ref="B4695:B4702"/>
    <mergeCell ref="A4703:A4711"/>
    <mergeCell ref="B4703:B4711"/>
    <mergeCell ref="A4663:A4670"/>
    <mergeCell ref="B4663:B4670"/>
    <mergeCell ref="A4671:A4678"/>
    <mergeCell ref="B4671:B4678"/>
    <mergeCell ref="A4679:A4688"/>
    <mergeCell ref="B4679:B4688"/>
    <mergeCell ref="A4724:A4727"/>
    <mergeCell ref="B4724:B4727"/>
    <mergeCell ref="A4794:A4803"/>
    <mergeCell ref="B4794:B4803"/>
    <mergeCell ref="A4804:A4813"/>
    <mergeCell ref="B4804:B4813"/>
    <mergeCell ref="A4814:A4818"/>
    <mergeCell ref="B4814:B4818"/>
    <mergeCell ref="A4819:A4823"/>
    <mergeCell ref="B4819:B4823"/>
    <mergeCell ref="A4824:A4828"/>
    <mergeCell ref="B4824:B4828"/>
    <mergeCell ref="A4837:A4844"/>
    <mergeCell ref="B4837:B4844"/>
    <mergeCell ref="A4845:A4852"/>
    <mergeCell ref="B4845:B4852"/>
    <mergeCell ref="A4853:A4860"/>
    <mergeCell ref="B4853:B4860"/>
    <mergeCell ref="A4778:A4788"/>
    <mergeCell ref="B4778:B4788"/>
    <mergeCell ref="A4789:A4793"/>
    <mergeCell ref="B4789:B4793"/>
    <mergeCell ref="A4861:A4868"/>
    <mergeCell ref="B4861:B4868"/>
    <mergeCell ref="A4869:A4876"/>
    <mergeCell ref="B4869:B4876"/>
    <mergeCell ref="A4877:A4884"/>
    <mergeCell ref="B4877:B4884"/>
    <mergeCell ref="A4885:A4892"/>
    <mergeCell ref="B4885:B4892"/>
    <mergeCell ref="A4829:A4836"/>
    <mergeCell ref="B4829:B4836"/>
    <mergeCell ref="A4893:A4902"/>
    <mergeCell ref="B4893:B4902"/>
    <mergeCell ref="A4903:A4911"/>
    <mergeCell ref="B4903:B4911"/>
    <mergeCell ref="A4912:A4918"/>
    <mergeCell ref="B4912:B4918"/>
    <mergeCell ref="A4919:A4925"/>
    <mergeCell ref="B4919:B4925"/>
    <mergeCell ref="A4926:A4932"/>
    <mergeCell ref="B4926:B4932"/>
    <mergeCell ref="A4933:A4939"/>
    <mergeCell ref="B4933:B4939"/>
    <mergeCell ref="A4940:A4946"/>
    <mergeCell ref="B4940:B4946"/>
    <mergeCell ref="A4947:A4951"/>
    <mergeCell ref="B4947:B4951"/>
    <mergeCell ref="A4952:A4958"/>
    <mergeCell ref="B4952:B4958"/>
    <mergeCell ref="B4959:B4965"/>
    <mergeCell ref="A4959:A4965"/>
    <mergeCell ref="A4966:A4972"/>
    <mergeCell ref="B4966:B4972"/>
    <mergeCell ref="A4973:A4979"/>
    <mergeCell ref="B4973:B4979"/>
    <mergeCell ref="A4980:A4984"/>
    <mergeCell ref="B4980:B4984"/>
    <mergeCell ref="A5073:A5080"/>
    <mergeCell ref="B5073:B5080"/>
    <mergeCell ref="A5081:A5086"/>
    <mergeCell ref="B5081:B5086"/>
    <mergeCell ref="A5087:A5092"/>
    <mergeCell ref="B5087:B5092"/>
    <mergeCell ref="A5093:A5098"/>
    <mergeCell ref="B5093:B5098"/>
    <mergeCell ref="A4985:A4990"/>
    <mergeCell ref="B4985:B4990"/>
    <mergeCell ref="A4991:A4996"/>
    <mergeCell ref="B4991:B4996"/>
    <mergeCell ref="A4997:A5002"/>
    <mergeCell ref="B4997:B5002"/>
    <mergeCell ref="A5003:A5008"/>
    <mergeCell ref="B5003:B5008"/>
    <mergeCell ref="A5009:A5015"/>
    <mergeCell ref="B5009:B5015"/>
    <mergeCell ref="A5016:A5020"/>
    <mergeCell ref="B5016:B5020"/>
    <mergeCell ref="A5021:A5028"/>
    <mergeCell ref="B5021:B5028"/>
    <mergeCell ref="A5029:A5034"/>
    <mergeCell ref="B5029:B5034"/>
    <mergeCell ref="A5035:A5038"/>
    <mergeCell ref="B5035:B5038"/>
    <mergeCell ref="A2540:A2543"/>
    <mergeCell ref="B2540:B2543"/>
    <mergeCell ref="A2556:A2559"/>
    <mergeCell ref="B2556:B2559"/>
    <mergeCell ref="A2624:A2627"/>
    <mergeCell ref="B2624:B2627"/>
    <mergeCell ref="A2628:A2631"/>
    <mergeCell ref="B2628:B2631"/>
    <mergeCell ref="A2632:A2635"/>
    <mergeCell ref="B2632:B2635"/>
    <mergeCell ref="A2612:A2615"/>
    <mergeCell ref="B2612:B2615"/>
    <mergeCell ref="A2616:A2619"/>
    <mergeCell ref="B2616:B2619"/>
    <mergeCell ref="A5112:A5118"/>
    <mergeCell ref="B5112:B5118"/>
    <mergeCell ref="A5119:A5129"/>
    <mergeCell ref="B5119:B5129"/>
    <mergeCell ref="A5099:A5104"/>
    <mergeCell ref="B5099:B5104"/>
    <mergeCell ref="A5105:A5111"/>
    <mergeCell ref="B5105:B5111"/>
    <mergeCell ref="A5039:A5044"/>
    <mergeCell ref="B5039:B5044"/>
    <mergeCell ref="A5045:A5050"/>
    <mergeCell ref="B5045:B5050"/>
    <mergeCell ref="A5051:A5058"/>
    <mergeCell ref="B5051:B5058"/>
    <mergeCell ref="A5059:A5065"/>
    <mergeCell ref="B5059:B5065"/>
    <mergeCell ref="A5066:A5072"/>
    <mergeCell ref="B5066:B5072"/>
    <mergeCell ref="A2644:A2647"/>
    <mergeCell ref="B2644:B2647"/>
    <mergeCell ref="A2492:A2495"/>
    <mergeCell ref="B2492:B2495"/>
    <mergeCell ref="A2496:A2499"/>
    <mergeCell ref="B2496:B2499"/>
    <mergeCell ref="A2500:A2503"/>
    <mergeCell ref="B2500:B2503"/>
    <mergeCell ref="A2504:A2507"/>
    <mergeCell ref="B2504:B2507"/>
    <mergeCell ref="A2508:A2511"/>
    <mergeCell ref="B2508:B2511"/>
    <mergeCell ref="A2512:A2515"/>
    <mergeCell ref="B2512:B2515"/>
    <mergeCell ref="A2552:A2555"/>
    <mergeCell ref="B2552:B2555"/>
    <mergeCell ref="A5144:A5151"/>
    <mergeCell ref="B5144:B5151"/>
    <mergeCell ref="A2652:A2655"/>
    <mergeCell ref="B2652:B2655"/>
    <mergeCell ref="A2516:A2519"/>
    <mergeCell ref="B2516:B2519"/>
    <mergeCell ref="A2520:A2523"/>
    <mergeCell ref="B2520:B2523"/>
    <mergeCell ref="A2524:A2527"/>
    <mergeCell ref="B2524:B2527"/>
    <mergeCell ref="A2528:A2531"/>
    <mergeCell ref="B2528:B2531"/>
    <mergeCell ref="A2532:A2535"/>
    <mergeCell ref="B2532:B2535"/>
    <mergeCell ref="A2536:A2539"/>
    <mergeCell ref="B2536:B2539"/>
    <mergeCell ref="A5480:A5485"/>
    <mergeCell ref="B5480:B5485"/>
    <mergeCell ref="A5486:A5491"/>
    <mergeCell ref="B5486:B5491"/>
    <mergeCell ref="A5492:A5497"/>
    <mergeCell ref="B5492:B5497"/>
    <mergeCell ref="A5498:A5501"/>
    <mergeCell ref="B5498:B5501"/>
    <mergeCell ref="A5509:A5512"/>
    <mergeCell ref="B5509:B5512"/>
    <mergeCell ref="A5502:A5508"/>
    <mergeCell ref="B5502:B5508"/>
    <mergeCell ref="A5633:A5636"/>
    <mergeCell ref="B5633:B5636"/>
    <mergeCell ref="A2464:A2467"/>
    <mergeCell ref="B2464:B2467"/>
    <mergeCell ref="A2468:A2471"/>
    <mergeCell ref="B2468:B2471"/>
    <mergeCell ref="A2472:A2475"/>
    <mergeCell ref="B2472:B2475"/>
    <mergeCell ref="A2476:A2479"/>
    <mergeCell ref="B2476:B2479"/>
    <mergeCell ref="A2480:A2483"/>
    <mergeCell ref="B2480:B2483"/>
    <mergeCell ref="A2484:A2487"/>
    <mergeCell ref="B2484:B2487"/>
    <mergeCell ref="A2636:A2639"/>
    <mergeCell ref="B2636:B2639"/>
    <mergeCell ref="A2640:A2643"/>
    <mergeCell ref="B2640:B2643"/>
    <mergeCell ref="A5473:A5479"/>
    <mergeCell ref="B5473:B5479"/>
    <mergeCell ref="A5661:A5664"/>
    <mergeCell ref="B5661:B5664"/>
    <mergeCell ref="A5665:A5668"/>
    <mergeCell ref="B5665:B5668"/>
    <mergeCell ref="A5669:A5672"/>
    <mergeCell ref="B5669:B5672"/>
    <mergeCell ref="A5673:A5676"/>
    <mergeCell ref="B5673:B5676"/>
    <mergeCell ref="A5677:A5680"/>
    <mergeCell ref="B5677:B5680"/>
    <mergeCell ref="A5681:A5684"/>
    <mergeCell ref="B5681:B5684"/>
    <mergeCell ref="A5685:A5688"/>
    <mergeCell ref="B5685:B5688"/>
    <mergeCell ref="A5689:A5692"/>
    <mergeCell ref="B5689:B5692"/>
    <mergeCell ref="A5693:A5696"/>
    <mergeCell ref="B5693:B5696"/>
    <mergeCell ref="A5697:A5700"/>
    <mergeCell ref="B5697:B5700"/>
    <mergeCell ref="A5701:A5704"/>
    <mergeCell ref="B5701:B5704"/>
    <mergeCell ref="A5705:A5708"/>
    <mergeCell ref="B5705:B5708"/>
    <mergeCell ref="A5709:A5712"/>
    <mergeCell ref="B5709:B5712"/>
    <mergeCell ref="A5713:A5716"/>
    <mergeCell ref="B5713:B5716"/>
    <mergeCell ref="A5717:A5720"/>
    <mergeCell ref="B5717:B5720"/>
    <mergeCell ref="A5721:A5724"/>
    <mergeCell ref="B5721:B5724"/>
    <mergeCell ref="A5725:A5728"/>
    <mergeCell ref="B5725:B5728"/>
    <mergeCell ref="A5729:A5732"/>
    <mergeCell ref="B5729:B5732"/>
    <mergeCell ref="A5733:A5736"/>
    <mergeCell ref="B5733:B5736"/>
    <mergeCell ref="A5737:A5740"/>
    <mergeCell ref="B5737:B5740"/>
    <mergeCell ref="A5741:A5744"/>
    <mergeCell ref="B5741:B5744"/>
    <mergeCell ref="A5745:A5748"/>
    <mergeCell ref="B5745:B5748"/>
    <mergeCell ref="A5749:A5752"/>
    <mergeCell ref="B5749:B5752"/>
    <mergeCell ref="A5753:A5756"/>
    <mergeCell ref="B5753:B5756"/>
    <mergeCell ref="A5757:A5760"/>
    <mergeCell ref="B5757:B5760"/>
    <mergeCell ref="A5761:A5764"/>
    <mergeCell ref="B5761:B5764"/>
    <mergeCell ref="A5765:A5768"/>
    <mergeCell ref="B5765:B5768"/>
    <mergeCell ref="A5769:A5772"/>
    <mergeCell ref="B5769:B5772"/>
    <mergeCell ref="A5773:A5776"/>
    <mergeCell ref="B5773:B5776"/>
    <mergeCell ref="A5777:A5780"/>
    <mergeCell ref="B5777:B5780"/>
    <mergeCell ref="A5781:A5784"/>
    <mergeCell ref="B5781:B5784"/>
    <mergeCell ref="A5785:A5788"/>
    <mergeCell ref="B5785:B5788"/>
    <mergeCell ref="A5789:A5792"/>
    <mergeCell ref="B5789:B5792"/>
    <mergeCell ref="A5793:A5796"/>
    <mergeCell ref="B5793:B5796"/>
    <mergeCell ref="A5797:A5800"/>
    <mergeCell ref="B5797:B5800"/>
    <mergeCell ref="A5801:A5804"/>
    <mergeCell ref="B5801:B5804"/>
    <mergeCell ref="A5805:A5808"/>
    <mergeCell ref="B5805:B5808"/>
    <mergeCell ref="A5809:A5812"/>
    <mergeCell ref="B5809:B5812"/>
    <mergeCell ref="A5813:A5816"/>
    <mergeCell ref="B5813:B5816"/>
    <mergeCell ref="A5817:A5820"/>
    <mergeCell ref="B5817:B5820"/>
    <mergeCell ref="A5821:A5824"/>
    <mergeCell ref="B5821:B5824"/>
    <mergeCell ref="A5825:A5828"/>
    <mergeCell ref="B5825:B5828"/>
    <mergeCell ref="A5829:A5832"/>
    <mergeCell ref="B5829:B5832"/>
    <mergeCell ref="A5833:A5836"/>
    <mergeCell ref="B5833:B5836"/>
    <mergeCell ref="A5837:A5840"/>
    <mergeCell ref="B5837:B5840"/>
    <mergeCell ref="A5841:A5844"/>
    <mergeCell ref="B5841:B5844"/>
    <mergeCell ref="A5845:A5848"/>
    <mergeCell ref="B5845:B5848"/>
    <mergeCell ref="A5849:A5852"/>
    <mergeCell ref="B5849:B5852"/>
    <mergeCell ref="A5853:A5856"/>
    <mergeCell ref="B5853:B5856"/>
    <mergeCell ref="A5857:A5860"/>
    <mergeCell ref="B5857:B5860"/>
    <mergeCell ref="A5861:A5864"/>
    <mergeCell ref="B5861:B5864"/>
    <mergeCell ref="A5865:A5868"/>
    <mergeCell ref="B5865:B5868"/>
    <mergeCell ref="A5869:A5872"/>
    <mergeCell ref="B5869:B5872"/>
    <mergeCell ref="A5873:A5876"/>
    <mergeCell ref="B5873:B5876"/>
    <mergeCell ref="A5945:A5948"/>
    <mergeCell ref="B5945:B5948"/>
    <mergeCell ref="A5949:A5952"/>
    <mergeCell ref="B5949:B5952"/>
    <mergeCell ref="A5953:A5956"/>
    <mergeCell ref="B5953:B5956"/>
    <mergeCell ref="A5957:A5960"/>
    <mergeCell ref="B5957:B5960"/>
    <mergeCell ref="A5961:A5964"/>
    <mergeCell ref="B5961:B5964"/>
    <mergeCell ref="A6001:A6004"/>
    <mergeCell ref="B6001:B6004"/>
    <mergeCell ref="A5965:A5968"/>
    <mergeCell ref="B5965:B5968"/>
    <mergeCell ref="A5877:A5880"/>
    <mergeCell ref="B5877:B5880"/>
    <mergeCell ref="A5881:A5884"/>
    <mergeCell ref="B5881:B5884"/>
    <mergeCell ref="A5885:A5888"/>
    <mergeCell ref="B5885:B5888"/>
    <mergeCell ref="A5889:A5892"/>
    <mergeCell ref="B5889:B5892"/>
    <mergeCell ref="A5893:A5896"/>
    <mergeCell ref="B5893:B5896"/>
    <mergeCell ref="A5897:A5900"/>
    <mergeCell ref="B5897:B5900"/>
    <mergeCell ref="A5901:A5904"/>
    <mergeCell ref="B5901:B5904"/>
    <mergeCell ref="A5905:A5908"/>
    <mergeCell ref="B5905:B5908"/>
    <mergeCell ref="A5909:A5912"/>
    <mergeCell ref="B5909:B5912"/>
    <mergeCell ref="A6105:A6108"/>
    <mergeCell ref="B6105:B6108"/>
    <mergeCell ref="A6109:A6112"/>
    <mergeCell ref="B6109:B6112"/>
    <mergeCell ref="A6113:A6116"/>
    <mergeCell ref="B6113:B6116"/>
    <mergeCell ref="A6117:A6120"/>
    <mergeCell ref="B6117:B6120"/>
    <mergeCell ref="A6121:A6124"/>
    <mergeCell ref="B6121:B6124"/>
    <mergeCell ref="A6045:A6048"/>
    <mergeCell ref="B6045:B6048"/>
    <mergeCell ref="A6049:A6052"/>
    <mergeCell ref="B6049:B6052"/>
    <mergeCell ref="A5913:A5916"/>
    <mergeCell ref="B5913:B5916"/>
    <mergeCell ref="A5917:A5920"/>
    <mergeCell ref="B5917:B5920"/>
    <mergeCell ref="A5921:A5924"/>
    <mergeCell ref="B5921:B5924"/>
    <mergeCell ref="A5925:A5928"/>
    <mergeCell ref="B5925:B5928"/>
    <mergeCell ref="A5929:A5932"/>
    <mergeCell ref="B5929:B5932"/>
    <mergeCell ref="A5933:A5936"/>
    <mergeCell ref="B5933:B5936"/>
    <mergeCell ref="A6005:A6008"/>
    <mergeCell ref="B6005:B6008"/>
    <mergeCell ref="A5937:A5940"/>
    <mergeCell ref="B5937:B5940"/>
    <mergeCell ref="A5941:A5944"/>
    <mergeCell ref="B5941:B5944"/>
    <mergeCell ref="A6165:A6168"/>
    <mergeCell ref="B6165:B6168"/>
    <mergeCell ref="A2776:A2779"/>
    <mergeCell ref="B2776:B2779"/>
    <mergeCell ref="B6009:B6012"/>
    <mergeCell ref="B6013:B6016"/>
    <mergeCell ref="A5597:A5602"/>
    <mergeCell ref="B5597:B5602"/>
    <mergeCell ref="A5603:A5608"/>
    <mergeCell ref="B5603:B5608"/>
    <mergeCell ref="A5609:A5614"/>
    <mergeCell ref="B5609:B5614"/>
    <mergeCell ref="A5615:A5620"/>
    <mergeCell ref="B5615:B5620"/>
    <mergeCell ref="A5621:A5626"/>
    <mergeCell ref="B5621:B5626"/>
    <mergeCell ref="A5627:A5632"/>
    <mergeCell ref="B5627:B5632"/>
    <mergeCell ref="A6089:A6092"/>
    <mergeCell ref="B6089:B6092"/>
    <mergeCell ref="A6093:A6096"/>
    <mergeCell ref="B6093:B6096"/>
    <mergeCell ref="A6097:A6100"/>
    <mergeCell ref="B6097:B6100"/>
    <mergeCell ref="A6101:A6104"/>
    <mergeCell ref="B6101:B6104"/>
    <mergeCell ref="A6133:A6136"/>
    <mergeCell ref="B6133:B6136"/>
    <mergeCell ref="A5969:A5972"/>
    <mergeCell ref="B5969:B5972"/>
    <mergeCell ref="A6009:A6012"/>
    <mergeCell ref="A6013:A6016"/>
    <mergeCell ref="A6077:A6080"/>
    <mergeCell ref="B6077:B6080"/>
    <mergeCell ref="A5561:A5566"/>
    <mergeCell ref="B5561:B5566"/>
    <mergeCell ref="A5567:A5572"/>
    <mergeCell ref="B5567:B5572"/>
    <mergeCell ref="A5573:A5578"/>
    <mergeCell ref="B5573:B5578"/>
    <mergeCell ref="A5579:A5584"/>
    <mergeCell ref="B5579:B5584"/>
    <mergeCell ref="A5585:A5590"/>
    <mergeCell ref="B5585:B5590"/>
    <mergeCell ref="A5591:A5596"/>
    <mergeCell ref="B5591:B5596"/>
    <mergeCell ref="A6153:A6160"/>
    <mergeCell ref="B6153:B6160"/>
    <mergeCell ref="A6161:A6164"/>
    <mergeCell ref="B6161:B6164"/>
    <mergeCell ref="A6017:A6020"/>
    <mergeCell ref="B6017:B6020"/>
    <mergeCell ref="A6021:A6024"/>
    <mergeCell ref="B6021:B6024"/>
    <mergeCell ref="A6025:A6028"/>
    <mergeCell ref="B6025:B6028"/>
    <mergeCell ref="A6029:A6032"/>
    <mergeCell ref="B6029:B6032"/>
    <mergeCell ref="A6033:A6036"/>
    <mergeCell ref="B6033:B6036"/>
    <mergeCell ref="A6037:A6040"/>
    <mergeCell ref="B6037:B6040"/>
    <mergeCell ref="A6137:A6140"/>
    <mergeCell ref="B6137:B6140"/>
    <mergeCell ref="A6125:A6128"/>
    <mergeCell ref="B6125:B6128"/>
    <mergeCell ref="A6129:A6132"/>
    <mergeCell ref="B6129:B6132"/>
    <mergeCell ref="A6041:A6044"/>
    <mergeCell ref="B6041:B6044"/>
    <mergeCell ref="A5973:A5976"/>
    <mergeCell ref="B5973:B5976"/>
    <mergeCell ref="A5977:A5980"/>
    <mergeCell ref="B5977:B5980"/>
    <mergeCell ref="A5981:A5984"/>
    <mergeCell ref="B5981:B5984"/>
    <mergeCell ref="A5985:A5988"/>
    <mergeCell ref="B5985:B5988"/>
    <mergeCell ref="A5989:A5992"/>
    <mergeCell ref="B5989:B5992"/>
    <mergeCell ref="A5993:A5996"/>
    <mergeCell ref="B5993:B5996"/>
    <mergeCell ref="A5997:A6000"/>
    <mergeCell ref="B5997:B6000"/>
    <mergeCell ref="A6053:A6056"/>
    <mergeCell ref="B6053:B6056"/>
    <mergeCell ref="A6061:A6064"/>
    <mergeCell ref="B6061:B6064"/>
    <mergeCell ref="A6065:A6068"/>
    <mergeCell ref="B6065:B6068"/>
    <mergeCell ref="A6069:A6072"/>
    <mergeCell ref="B6069:B6072"/>
    <mergeCell ref="A6081:A6084"/>
    <mergeCell ref="B6081:B6084"/>
    <mergeCell ref="A6085:A6088"/>
    <mergeCell ref="B6085:B6088"/>
    <mergeCell ref="A6169:A6172"/>
    <mergeCell ref="B6169:B6172"/>
    <mergeCell ref="A2768:A2771"/>
    <mergeCell ref="B2768:B2771"/>
    <mergeCell ref="A5513:A5518"/>
    <mergeCell ref="B5513:B5518"/>
    <mergeCell ref="A5519:A5524"/>
    <mergeCell ref="B5519:B5524"/>
    <mergeCell ref="A5525:A5530"/>
    <mergeCell ref="B5525:B5530"/>
    <mergeCell ref="A5531:A5536"/>
    <mergeCell ref="B5531:B5536"/>
    <mergeCell ref="A5537:A5542"/>
    <mergeCell ref="B5537:B5542"/>
    <mergeCell ref="A5543:A5548"/>
    <mergeCell ref="B5543:B5548"/>
    <mergeCell ref="A5549:A5554"/>
    <mergeCell ref="B5549:B5554"/>
    <mergeCell ref="A5555:A5560"/>
    <mergeCell ref="B5555:B5560"/>
    <mergeCell ref="A5418:A5425"/>
    <mergeCell ref="B5418:B5425"/>
    <mergeCell ref="A5426:A5438"/>
    <mergeCell ref="B5426:B5438"/>
    <mergeCell ref="A5439:A5448"/>
    <mergeCell ref="B5439:B5448"/>
    <mergeCell ref="A5449:A5460"/>
    <mergeCell ref="B5449:B5460"/>
    <mergeCell ref="A5461:A5466"/>
    <mergeCell ref="B5461:B5466"/>
    <mergeCell ref="A5467:A5472"/>
    <mergeCell ref="B5467:B5472"/>
    <mergeCell ref="A6244:A6249"/>
    <mergeCell ref="B6244:B6249"/>
    <mergeCell ref="A6202:A6206"/>
    <mergeCell ref="B6202:B6206"/>
    <mergeCell ref="A6207:A6211"/>
    <mergeCell ref="B6207:B6211"/>
    <mergeCell ref="A6220:A6227"/>
    <mergeCell ref="B6220:B6227"/>
    <mergeCell ref="A6212:A6219"/>
    <mergeCell ref="B6212:B6219"/>
    <mergeCell ref="A6228:A6236"/>
    <mergeCell ref="B6228:B6236"/>
    <mergeCell ref="A6237:A6243"/>
    <mergeCell ref="B6237:B6243"/>
    <mergeCell ref="A6250:A6256"/>
    <mergeCell ref="B6250:B6256"/>
    <mergeCell ref="A6257:A6262"/>
    <mergeCell ref="B6257:B6262"/>
    <mergeCell ref="A6349:A6358"/>
    <mergeCell ref="B6349:B6358"/>
    <mergeCell ref="A6359:A6367"/>
    <mergeCell ref="B6359:B6367"/>
    <mergeCell ref="A7280:A7283"/>
    <mergeCell ref="B7280:B7283"/>
    <mergeCell ref="A6269:A6277"/>
    <mergeCell ref="B6269:B6277"/>
    <mergeCell ref="A6278:A6288"/>
    <mergeCell ref="B6278:B6288"/>
    <mergeCell ref="A6289:A6296"/>
    <mergeCell ref="B6289:B6296"/>
    <mergeCell ref="A6297:A6304"/>
    <mergeCell ref="B6297:B6304"/>
    <mergeCell ref="A6305:A6313"/>
    <mergeCell ref="B6305:B6313"/>
    <mergeCell ref="A6314:A6324"/>
    <mergeCell ref="B6314:B6324"/>
    <mergeCell ref="A6325:A6348"/>
    <mergeCell ref="B6325:B6348"/>
    <mergeCell ref="A6574:A6577"/>
    <mergeCell ref="B6574:B6577"/>
    <mergeCell ref="A6534:A6537"/>
    <mergeCell ref="B6534:B6537"/>
    <mergeCell ref="A6538:A6541"/>
    <mergeCell ref="B6538:B6541"/>
    <mergeCell ref="A6444:A6448"/>
    <mergeCell ref="B6444:B6448"/>
    <mergeCell ref="A6674:A6677"/>
    <mergeCell ref="B6674:B6677"/>
    <mergeCell ref="A6642:A6645"/>
    <mergeCell ref="B6642:B6645"/>
    <mergeCell ref="A6530:A6533"/>
    <mergeCell ref="B6530:B6533"/>
    <mergeCell ref="A6496:A6502"/>
    <mergeCell ref="B6496:B6502"/>
    <mergeCell ref="A6503:A6509"/>
    <mergeCell ref="B6503:B6509"/>
    <mergeCell ref="A6263:A6268"/>
    <mergeCell ref="B6263:B6268"/>
    <mergeCell ref="A6431:A6434"/>
    <mergeCell ref="B6431:B6434"/>
    <mergeCell ref="A6435:A6438"/>
    <mergeCell ref="B6435:B6438"/>
    <mergeCell ref="A6173:A6183"/>
    <mergeCell ref="B6173:B6183"/>
    <mergeCell ref="A6184:A6194"/>
    <mergeCell ref="B6184:B6194"/>
    <mergeCell ref="A7300:A7303"/>
    <mergeCell ref="B7300:B7303"/>
    <mergeCell ref="A7292:A7295"/>
    <mergeCell ref="B7292:B7295"/>
    <mergeCell ref="A7296:A7299"/>
    <mergeCell ref="B7296:B7299"/>
    <mergeCell ref="A7270:A7274"/>
    <mergeCell ref="B7270:B7274"/>
    <mergeCell ref="A7275:A7279"/>
    <mergeCell ref="B7275:B7279"/>
    <mergeCell ref="A6439:A6443"/>
    <mergeCell ref="B6439:B6443"/>
    <mergeCell ref="A6454:A6460"/>
    <mergeCell ref="B6454:B6460"/>
    <mergeCell ref="A6195:A6201"/>
    <mergeCell ref="B6195:B6201"/>
    <mergeCell ref="A6368:A6372"/>
    <mergeCell ref="B6368:B6372"/>
    <mergeCell ref="A6373:A6386"/>
    <mergeCell ref="B6373:B6386"/>
    <mergeCell ref="A6387:A6401"/>
    <mergeCell ref="B6387:B6401"/>
    <mergeCell ref="A6402:A6408"/>
    <mergeCell ref="B6402:B6408"/>
    <mergeCell ref="A6409:A6414"/>
    <mergeCell ref="B6409:B6414"/>
    <mergeCell ref="A6514:A6517"/>
    <mergeCell ref="B6514:B6517"/>
    <mergeCell ref="A6518:A6521"/>
    <mergeCell ref="B6518:B6521"/>
    <mergeCell ref="A6522:A6525"/>
    <mergeCell ref="B6522:B6525"/>
    <mergeCell ref="A6526:A6529"/>
    <mergeCell ref="B6526:B6529"/>
    <mergeCell ref="A7332:A7335"/>
    <mergeCell ref="B7332:B7335"/>
    <mergeCell ref="A7336:A7339"/>
    <mergeCell ref="B7336:B7339"/>
    <mergeCell ref="A7316:A7319"/>
    <mergeCell ref="B7316:B7319"/>
    <mergeCell ref="A2648:A2651"/>
    <mergeCell ref="B2648:B2651"/>
    <mergeCell ref="A4770:A4773"/>
    <mergeCell ref="B4770:B4773"/>
    <mergeCell ref="A4774:A4777"/>
    <mergeCell ref="B4774:B4777"/>
    <mergeCell ref="A7312:A7315"/>
    <mergeCell ref="B7312:B7315"/>
    <mergeCell ref="A7304:A7307"/>
    <mergeCell ref="B7304:B7307"/>
    <mergeCell ref="A7308:A7311"/>
    <mergeCell ref="B7308:B7311"/>
    <mergeCell ref="A6449:A6453"/>
    <mergeCell ref="B6449:B6453"/>
    <mergeCell ref="A6475:A6481"/>
    <mergeCell ref="B6475:B6481"/>
    <mergeCell ref="A6482:A6488"/>
    <mergeCell ref="B6482:B6488"/>
    <mergeCell ref="A6489:A6495"/>
    <mergeCell ref="B6489:B6495"/>
    <mergeCell ref="A7284:A7287"/>
    <mergeCell ref="B7284:B7287"/>
    <mergeCell ref="A7288:A7291"/>
    <mergeCell ref="B7288:B7291"/>
    <mergeCell ref="A7265:A7269"/>
    <mergeCell ref="B7265:B7269"/>
    <mergeCell ref="A2:H2"/>
    <mergeCell ref="A1:H1"/>
    <mergeCell ref="A7444:A7448"/>
    <mergeCell ref="B7444:B7448"/>
    <mergeCell ref="A7399:A7406"/>
    <mergeCell ref="B7399:B7406"/>
    <mergeCell ref="A7407:A7412"/>
    <mergeCell ref="B7407:B7412"/>
    <mergeCell ref="A7420:A7425"/>
    <mergeCell ref="B7420:B7425"/>
    <mergeCell ref="A7426:A7431"/>
    <mergeCell ref="B7426:B7431"/>
    <mergeCell ref="A7432:A7437"/>
    <mergeCell ref="B7432:B7437"/>
    <mergeCell ref="A7438:A7443"/>
    <mergeCell ref="B7438:B7443"/>
    <mergeCell ref="A7353:A7360"/>
    <mergeCell ref="B7353:B7360"/>
    <mergeCell ref="A7361:A7368"/>
    <mergeCell ref="B7361:B7368"/>
    <mergeCell ref="A7369:A7374"/>
    <mergeCell ref="B7369:B7374"/>
    <mergeCell ref="A7375:A7379"/>
    <mergeCell ref="B7375:B7379"/>
    <mergeCell ref="A7380:A7384"/>
    <mergeCell ref="B7380:B7384"/>
    <mergeCell ref="A7385:A7391"/>
    <mergeCell ref="B7385:B7391"/>
    <mergeCell ref="A7413:A7419"/>
    <mergeCell ref="B7413:B7419"/>
    <mergeCell ref="A7392:A7398"/>
    <mergeCell ref="B7392:B7398"/>
  </mergeCells>
  <conditionalFormatting sqref="E2254 E4907 E861 E878">
    <cfRule type="containsText" dxfId="3109" priority="8334" operator="containsText" text="Pesquisa de Preços">
      <formula>NOT(ISERROR(SEARCH("Pesquisa de Preços",E861)))</formula>
    </cfRule>
  </conditionalFormatting>
  <conditionalFormatting sqref="G2955">
    <cfRule type="notContainsText" dxfId="3108" priority="7751" operator="notContains" text="Sinapi">
      <formula>ISERROR(SEARCH("Sinapi",G2955))</formula>
    </cfRule>
  </conditionalFormatting>
  <conditionalFormatting sqref="G2960">
    <cfRule type="notContainsText" dxfId="3107" priority="7750" operator="notContains" text="Sinapi">
      <formula>ISERROR(SEARCH("Sinapi",G2960))</formula>
    </cfRule>
  </conditionalFormatting>
  <conditionalFormatting sqref="G2965">
    <cfRule type="notContainsText" dxfId="3106" priority="7749" operator="notContains" text="Sinapi">
      <formula>ISERROR(SEARCH("Sinapi",G2965))</formula>
    </cfRule>
  </conditionalFormatting>
  <conditionalFormatting sqref="G2970">
    <cfRule type="notContainsText" dxfId="3105" priority="7748" operator="notContains" text="Sinapi">
      <formula>ISERROR(SEARCH("Sinapi",G2970))</formula>
    </cfRule>
  </conditionalFormatting>
  <conditionalFormatting sqref="G2975">
    <cfRule type="notContainsText" dxfId="3104" priority="7747" operator="notContains" text="Sinapi">
      <formula>ISERROR(SEARCH("Sinapi",G2975))</formula>
    </cfRule>
  </conditionalFormatting>
  <conditionalFormatting sqref="G2980">
    <cfRule type="notContainsText" dxfId="3103" priority="7746" operator="notContains" text="Sinapi">
      <formula>ISERROR(SEARCH("Sinapi",G2980))</formula>
    </cfRule>
  </conditionalFormatting>
  <conditionalFormatting sqref="G2985">
    <cfRule type="notContainsText" dxfId="3102" priority="7745" operator="notContains" text="Sinapi">
      <formula>ISERROR(SEARCH("Sinapi",G2985))</formula>
    </cfRule>
  </conditionalFormatting>
  <conditionalFormatting sqref="G2990">
    <cfRule type="notContainsText" dxfId="3101" priority="7744" operator="notContains" text="Sinapi">
      <formula>ISERROR(SEARCH("Sinapi",G2990))</formula>
    </cfRule>
  </conditionalFormatting>
  <conditionalFormatting sqref="G3010">
    <cfRule type="notContainsText" dxfId="3100" priority="7742" operator="notContains" text="Sinapi">
      <formula>ISERROR(SEARCH("Sinapi",G3010))</formula>
    </cfRule>
  </conditionalFormatting>
  <conditionalFormatting sqref="G3005">
    <cfRule type="notContainsText" dxfId="3099" priority="7743" operator="notContains" text="Sinapi">
      <formula>ISERROR(SEARCH("Sinapi",G3005))</formula>
    </cfRule>
  </conditionalFormatting>
  <conditionalFormatting sqref="G3015">
    <cfRule type="notContainsText" dxfId="3098" priority="7741" operator="notContains" text="Sinapi">
      <formula>ISERROR(SEARCH("Sinapi",G3015))</formula>
    </cfRule>
  </conditionalFormatting>
  <conditionalFormatting sqref="G3020">
    <cfRule type="notContainsText" dxfId="3097" priority="7740" operator="notContains" text="Sinapi">
      <formula>ISERROR(SEARCH("Sinapi",G3020))</formula>
    </cfRule>
  </conditionalFormatting>
  <conditionalFormatting sqref="G3025">
    <cfRule type="notContainsText" dxfId="3096" priority="7739" operator="notContains" text="Sinapi">
      <formula>ISERROR(SEARCH("Sinapi",G3025))</formula>
    </cfRule>
  </conditionalFormatting>
  <conditionalFormatting sqref="G3030">
    <cfRule type="notContainsText" dxfId="3095" priority="7738" operator="notContains" text="Sinapi">
      <formula>ISERROR(SEARCH("Sinapi",G3030))</formula>
    </cfRule>
  </conditionalFormatting>
  <conditionalFormatting sqref="G3035">
    <cfRule type="notContainsText" dxfId="3094" priority="7737" operator="notContains" text="Sinapi">
      <formula>ISERROR(SEARCH("Sinapi",G3035))</formula>
    </cfRule>
  </conditionalFormatting>
  <conditionalFormatting sqref="G3040">
    <cfRule type="notContainsText" dxfId="3093" priority="7736" operator="notContains" text="Sinapi">
      <formula>ISERROR(SEARCH("Sinapi",G3040))</formula>
    </cfRule>
  </conditionalFormatting>
  <conditionalFormatting sqref="G3045">
    <cfRule type="notContainsText" dxfId="3092" priority="7735" operator="notContains" text="Sinapi">
      <formula>ISERROR(SEARCH("Sinapi",G3045))</formula>
    </cfRule>
  </conditionalFormatting>
  <conditionalFormatting sqref="G3058">
    <cfRule type="notContainsText" dxfId="3091" priority="7734" operator="notContains" text="Sinapi">
      <formula>ISERROR(SEARCH("Sinapi",G3058))</formula>
    </cfRule>
  </conditionalFormatting>
  <conditionalFormatting sqref="G3083">
    <cfRule type="notContainsText" dxfId="3090" priority="7733" operator="notContains" text="Sinapi">
      <formula>ISERROR(SEARCH("Sinapi",G3083))</formula>
    </cfRule>
  </conditionalFormatting>
  <conditionalFormatting sqref="G3096">
    <cfRule type="notContainsText" dxfId="3089" priority="7732" operator="notContains" text="Sinapi">
      <formula>ISERROR(SEARCH("Sinapi",G3096))</formula>
    </cfRule>
  </conditionalFormatting>
  <conditionalFormatting sqref="G3101">
    <cfRule type="notContainsText" dxfId="3088" priority="7731" operator="notContains" text="Sinapi">
      <formula>ISERROR(SEARCH("Sinapi",G3101))</formula>
    </cfRule>
  </conditionalFormatting>
  <conditionalFormatting sqref="G3106">
    <cfRule type="notContainsText" dxfId="3087" priority="7730" operator="notContains" text="Sinapi">
      <formula>ISERROR(SEARCH("Sinapi",G3106))</formula>
    </cfRule>
  </conditionalFormatting>
  <conditionalFormatting sqref="G3111">
    <cfRule type="notContainsText" dxfId="3086" priority="7729" operator="notContains" text="Sinapi">
      <formula>ISERROR(SEARCH("Sinapi",G3111))</formula>
    </cfRule>
  </conditionalFormatting>
  <conditionalFormatting sqref="G3116">
    <cfRule type="notContainsText" dxfId="3085" priority="7728" operator="notContains" text="Sinapi">
      <formula>ISERROR(SEARCH("Sinapi",G3116))</formula>
    </cfRule>
  </conditionalFormatting>
  <conditionalFormatting sqref="G3121">
    <cfRule type="notContainsText" dxfId="3084" priority="7727" operator="notContains" text="Sinapi">
      <formula>ISERROR(SEARCH("Sinapi",G3121))</formula>
    </cfRule>
  </conditionalFormatting>
  <conditionalFormatting sqref="G3126">
    <cfRule type="notContainsText" dxfId="3083" priority="7726" operator="notContains" text="Sinapi">
      <formula>ISERROR(SEARCH("Sinapi",G3126))</formula>
    </cfRule>
  </conditionalFormatting>
  <conditionalFormatting sqref="G3131">
    <cfRule type="notContainsText" dxfId="3082" priority="7725" operator="notContains" text="Sinapi">
      <formula>ISERROR(SEARCH("Sinapi",G3131))</formula>
    </cfRule>
  </conditionalFormatting>
  <conditionalFormatting sqref="G3136">
    <cfRule type="notContainsText" dxfId="3081" priority="7724" operator="notContains" text="Sinapi">
      <formula>ISERROR(SEARCH("Sinapi",G3136))</formula>
    </cfRule>
  </conditionalFormatting>
  <conditionalFormatting sqref="G3176">
    <cfRule type="notContainsText" dxfId="3080" priority="7723" operator="notContains" text="Sinapi">
      <formula>ISERROR(SEARCH("Sinapi",G3176))</formula>
    </cfRule>
  </conditionalFormatting>
  <conditionalFormatting sqref="G3359">
    <cfRule type="notContainsText" dxfId="3079" priority="7722" operator="notContains" text="Sinapi">
      <formula>ISERROR(SEARCH("Sinapi",G3359))</formula>
    </cfRule>
  </conditionalFormatting>
  <conditionalFormatting sqref="G3378">
    <cfRule type="notContainsText" dxfId="3078" priority="7721" operator="notContains" text="Sinapi">
      <formula>ISERROR(SEARCH("Sinapi",G3378))</formula>
    </cfRule>
  </conditionalFormatting>
  <conditionalFormatting sqref="G3389">
    <cfRule type="notContainsText" dxfId="3077" priority="7720" operator="notContains" text="Sinapi">
      <formula>ISERROR(SEARCH("Sinapi",G3389))</formula>
    </cfRule>
  </conditionalFormatting>
  <conditionalFormatting sqref="G3393">
    <cfRule type="notContainsText" dxfId="3076" priority="7719" operator="notContains" text="Sinapi">
      <formula>ISERROR(SEARCH("Sinapi",G3393))</formula>
    </cfRule>
  </conditionalFormatting>
  <conditionalFormatting sqref="G3071">
    <cfRule type="notContainsText" dxfId="3075" priority="7697" operator="notContains" text="Sinapi">
      <formula>ISERROR(SEARCH("Sinapi",G3071))</formula>
    </cfRule>
  </conditionalFormatting>
  <conditionalFormatting sqref="E18 E3392 E262 E2415">
    <cfRule type="containsText" dxfId="3074" priority="7688" operator="containsText" text="Pesquisa de Preços">
      <formula>NOT(ISERROR(SEARCH("Pesquisa de Preços",E18)))</formula>
    </cfRule>
  </conditionalFormatting>
  <conditionalFormatting sqref="E9">
    <cfRule type="containsText" dxfId="3073" priority="7687" operator="containsText" text="Pesquisa de Preços">
      <formula>NOT(ISERROR(SEARCH("Pesquisa de Preços",E9)))</formula>
    </cfRule>
  </conditionalFormatting>
  <conditionalFormatting sqref="E7">
    <cfRule type="containsText" dxfId="3072" priority="7686" operator="containsText" text="Pesquisa de Preços">
      <formula>NOT(ISERROR(SEARCH("Pesquisa de Preços",E7)))</formula>
    </cfRule>
  </conditionalFormatting>
  <conditionalFormatting sqref="E6">
    <cfRule type="containsText" dxfId="3071" priority="7685" operator="containsText" text="Pesquisa de Preços">
      <formula>NOT(ISERROR(SEARCH("Pesquisa de Preços",E6)))</formula>
    </cfRule>
  </conditionalFormatting>
  <conditionalFormatting sqref="E8">
    <cfRule type="containsText" dxfId="3070" priority="7684" operator="containsText" text="Pesquisa de Preços">
      <formula>NOT(ISERROR(SEARCH("Pesquisa de Preços",E8)))</formula>
    </cfRule>
  </conditionalFormatting>
  <conditionalFormatting sqref="E15">
    <cfRule type="containsText" dxfId="3069" priority="7683" operator="containsText" text="Pesquisa de Preços">
      <formula>NOT(ISERROR(SEARCH("Pesquisa de Preços",E15)))</formula>
    </cfRule>
  </conditionalFormatting>
  <conditionalFormatting sqref="E14">
    <cfRule type="containsText" dxfId="3068" priority="7682" operator="containsText" text="Pesquisa de Preços">
      <formula>NOT(ISERROR(SEARCH("Pesquisa de Preços",E14)))</formula>
    </cfRule>
  </conditionalFormatting>
  <conditionalFormatting sqref="E16">
    <cfRule type="containsText" dxfId="3067" priority="7681" operator="containsText" text="Pesquisa de Preços">
      <formula>NOT(ISERROR(SEARCH("Pesquisa de Preços",E16)))</formula>
    </cfRule>
  </conditionalFormatting>
  <conditionalFormatting sqref="E12">
    <cfRule type="containsText" dxfId="3066" priority="7680" operator="containsText" text="Pesquisa de Preços">
      <formula>NOT(ISERROR(SEARCH("Pesquisa de Preços",E12)))</formula>
    </cfRule>
  </conditionalFormatting>
  <conditionalFormatting sqref="E10">
    <cfRule type="containsText" dxfId="3065" priority="7677" operator="containsText" text="Pesquisa de Preços">
      <formula>NOT(ISERROR(SEARCH("Pesquisa de Preços",E10)))</formula>
    </cfRule>
  </conditionalFormatting>
  <conditionalFormatting sqref="E13">
    <cfRule type="containsText" dxfId="3064" priority="7679" operator="containsText" text="Pesquisa de Preços">
      <formula>NOT(ISERROR(SEARCH("Pesquisa de Preços",E13)))</formula>
    </cfRule>
  </conditionalFormatting>
  <conditionalFormatting sqref="E11">
    <cfRule type="containsText" dxfId="3063" priority="7678" operator="containsText" text="Pesquisa de Preços">
      <formula>NOT(ISERROR(SEARCH("Pesquisa de Preços",E11)))</formula>
    </cfRule>
  </conditionalFormatting>
  <conditionalFormatting sqref="E225">
    <cfRule type="containsText" dxfId="3062" priority="7675" operator="containsText" text="Pesquisa de Preços">
      <formula>NOT(ISERROR(SEARCH("Pesquisa de Preços",E225)))</formula>
    </cfRule>
  </conditionalFormatting>
  <conditionalFormatting sqref="E227">
    <cfRule type="containsText" dxfId="3061" priority="7676" operator="containsText" text="Pesquisa de Preços">
      <formula>NOT(ISERROR(SEARCH("Pesquisa de Preços",E227)))</formula>
    </cfRule>
  </conditionalFormatting>
  <conditionalFormatting sqref="E224">
    <cfRule type="containsText" dxfId="3060" priority="7674" operator="containsText" text="Pesquisa de Preços">
      <formula>NOT(ISERROR(SEARCH("Pesquisa de Preços",E224)))</formula>
    </cfRule>
  </conditionalFormatting>
  <conditionalFormatting sqref="E514">
    <cfRule type="containsText" dxfId="3059" priority="7520" operator="containsText" text="Pesquisa de Preços">
      <formula>NOT(ISERROR(SEARCH("Pesquisa de Preços",E514)))</formula>
    </cfRule>
  </conditionalFormatting>
  <conditionalFormatting sqref="E150">
    <cfRule type="containsText" dxfId="3058" priority="7669" operator="containsText" text="Pesquisa de Preços">
      <formula>NOT(ISERROR(SEARCH("Pesquisa de Preços",E150)))</formula>
    </cfRule>
  </conditionalFormatting>
  <conditionalFormatting sqref="E490:E496">
    <cfRule type="containsText" dxfId="3057" priority="7516" operator="containsText" text="Pesquisa de Preços">
      <formula>NOT(ISERROR(SEARCH("Pesquisa de Preços",E490)))</formula>
    </cfRule>
  </conditionalFormatting>
  <conditionalFormatting sqref="E149">
    <cfRule type="containsText" dxfId="3056" priority="7668" operator="containsText" text="Pesquisa de Preços">
      <formula>NOT(ISERROR(SEARCH("Pesquisa de Preços",E149)))</formula>
    </cfRule>
  </conditionalFormatting>
  <conditionalFormatting sqref="E78">
    <cfRule type="containsText" dxfId="3055" priority="7671" operator="containsText" text="Pesquisa de Preços">
      <formula>NOT(ISERROR(SEARCH("Pesquisa de Preços",E78)))</formula>
    </cfRule>
  </conditionalFormatting>
  <conditionalFormatting sqref="E162">
    <cfRule type="containsText" dxfId="3054" priority="7667" operator="containsText" text="Pesquisa de Preços">
      <formula>NOT(ISERROR(SEARCH("Pesquisa de Preços",E162)))</formula>
    </cfRule>
  </conditionalFormatting>
  <conditionalFormatting sqref="E79">
    <cfRule type="containsText" dxfId="3053" priority="7673" operator="containsText" text="Pesquisa de Preços">
      <formula>NOT(ISERROR(SEARCH("Pesquisa de Preços",E79)))</formula>
    </cfRule>
  </conditionalFormatting>
  <conditionalFormatting sqref="E77">
    <cfRule type="containsText" dxfId="3052" priority="7670" operator="containsText" text="Pesquisa de Preços">
      <formula>NOT(ISERROR(SEARCH("Pesquisa de Preços",E77)))</formula>
    </cfRule>
  </conditionalFormatting>
  <conditionalFormatting sqref="E81">
    <cfRule type="containsText" dxfId="3051" priority="7672" operator="containsText" text="Pesquisa de Preços">
      <formula>NOT(ISERROR(SEARCH("Pesquisa de Preços",E81)))</formula>
    </cfRule>
  </conditionalFormatting>
  <conditionalFormatting sqref="E545">
    <cfRule type="containsText" dxfId="3050" priority="7508" operator="containsText" text="Pesquisa de Preços">
      <formula>NOT(ISERROR(SEARCH("Pesquisa de Preços",E545)))</formula>
    </cfRule>
  </conditionalFormatting>
  <conditionalFormatting sqref="E87">
    <cfRule type="containsText" dxfId="3049" priority="7664" operator="containsText" text="Pesquisa de Preços">
      <formula>NOT(ISERROR(SEARCH("Pesquisa de Preços",E87)))</formula>
    </cfRule>
  </conditionalFormatting>
  <conditionalFormatting sqref="E161">
    <cfRule type="containsText" dxfId="3048" priority="7666" operator="containsText" text="Pesquisa de Preços">
      <formula>NOT(ISERROR(SEARCH("Pesquisa de Preços",E161)))</formula>
    </cfRule>
  </conditionalFormatting>
  <conditionalFormatting sqref="E553">
    <cfRule type="containsText" dxfId="3047" priority="7505" operator="containsText" text="Pesquisa de Preços">
      <formula>NOT(ISERROR(SEARCH("Pesquisa de Preços",E553)))</formula>
    </cfRule>
  </conditionalFormatting>
  <conditionalFormatting sqref="E88">
    <cfRule type="containsText" dxfId="3046" priority="7665" operator="containsText" text="Pesquisa de Preços">
      <formula>NOT(ISERROR(SEARCH("Pesquisa de Preços",E88)))</formula>
    </cfRule>
  </conditionalFormatting>
  <conditionalFormatting sqref="E60">
    <cfRule type="containsText" dxfId="3045" priority="7663" operator="containsText" text="Pesquisa de Preços">
      <formula>NOT(ISERROR(SEARCH("Pesquisa de Preços",E60)))</formula>
    </cfRule>
  </conditionalFormatting>
  <conditionalFormatting sqref="E569">
    <cfRule type="containsText" dxfId="3044" priority="7496" operator="containsText" text="Pesquisa de Preços">
      <formula>NOT(ISERROR(SEARCH("Pesquisa de Preços",E569)))</formula>
    </cfRule>
  </conditionalFormatting>
  <conditionalFormatting sqref="E59">
    <cfRule type="containsText" dxfId="3043" priority="7662" operator="containsText" text="Pesquisa de Preços">
      <formula>NOT(ISERROR(SEARCH("Pesquisa de Preços",E59)))</formula>
    </cfRule>
  </conditionalFormatting>
  <conditionalFormatting sqref="E53">
    <cfRule type="containsText" dxfId="3042" priority="7661" operator="containsText" text="Pesquisa de Preços">
      <formula>NOT(ISERROR(SEARCH("Pesquisa de Preços",E53)))</formula>
    </cfRule>
  </conditionalFormatting>
  <conditionalFormatting sqref="E33">
    <cfRule type="containsText" dxfId="3041" priority="7658" operator="containsText" text="Pesquisa de Preços">
      <formula>NOT(ISERROR(SEARCH("Pesquisa de Preços",E33)))</formula>
    </cfRule>
  </conditionalFormatting>
  <conditionalFormatting sqref="E52">
    <cfRule type="containsText" dxfId="3040" priority="7660" operator="containsText" text="Pesquisa de Preços">
      <formula>NOT(ISERROR(SEARCH("Pesquisa de Preços",E52)))</formula>
    </cfRule>
  </conditionalFormatting>
  <conditionalFormatting sqref="E579">
    <cfRule type="containsText" dxfId="3039" priority="7494" operator="containsText" text="Pesquisa de Preços">
      <formula>NOT(ISERROR(SEARCH("Pesquisa de Preços",E579)))</formula>
    </cfRule>
  </conditionalFormatting>
  <conditionalFormatting sqref="E34:E35">
    <cfRule type="containsText" dxfId="3038" priority="7659" operator="containsText" text="Pesquisa de Preços">
      <formula>NOT(ISERROR(SEARCH("Pesquisa de Preços",E34)))</formula>
    </cfRule>
  </conditionalFormatting>
  <conditionalFormatting sqref="E98:E99">
    <cfRule type="containsText" dxfId="3037" priority="7655" operator="containsText" text="Pesquisa de Preços">
      <formula>NOT(ISERROR(SEARCH("Pesquisa de Preços",E98)))</formula>
    </cfRule>
  </conditionalFormatting>
  <conditionalFormatting sqref="E29">
    <cfRule type="containsText" dxfId="3036" priority="7657" operator="containsText" text="Pesquisa de Preços">
      <formula>NOT(ISERROR(SEARCH("Pesquisa de Preços",E29)))</formula>
    </cfRule>
  </conditionalFormatting>
  <conditionalFormatting sqref="E28">
    <cfRule type="containsText" dxfId="3035" priority="7656" operator="containsText" text="Pesquisa de Preços">
      <formula>NOT(ISERROR(SEARCH("Pesquisa de Preços",E28)))</formula>
    </cfRule>
  </conditionalFormatting>
  <conditionalFormatting sqref="E145:E146">
    <cfRule type="containsText" dxfId="3034" priority="7652" operator="containsText" text="Pesquisa de Preços">
      <formula>NOT(ISERROR(SEARCH("Pesquisa de Preços",E145)))</formula>
    </cfRule>
  </conditionalFormatting>
  <conditionalFormatting sqref="E42">
    <cfRule type="containsText" dxfId="3033" priority="7648" operator="containsText" text="Pesquisa de Preços">
      <formula>NOT(ISERROR(SEARCH("Pesquisa de Preços",E42)))</formula>
    </cfRule>
  </conditionalFormatting>
  <conditionalFormatting sqref="E97">
    <cfRule type="containsText" dxfId="3032" priority="7654" operator="containsText" text="Pesquisa de Preços">
      <formula>NOT(ISERROR(SEARCH("Pesquisa de Preços",E97)))</formula>
    </cfRule>
  </conditionalFormatting>
  <conditionalFormatting sqref="E100">
    <cfRule type="containsText" dxfId="3031" priority="7653" operator="containsText" text="Pesquisa de Preços">
      <formula>NOT(ISERROR(SEARCH("Pesquisa de Preços",E100)))</formula>
    </cfRule>
  </conditionalFormatting>
  <conditionalFormatting sqref="E180">
    <cfRule type="containsText" dxfId="3030" priority="7643" operator="containsText" text="Pesquisa de Preços">
      <formula>NOT(ISERROR(SEARCH("Pesquisa de Preços",E180)))</formula>
    </cfRule>
  </conditionalFormatting>
  <conditionalFormatting sqref="E144">
    <cfRule type="containsText" dxfId="3029" priority="7651" operator="containsText" text="Pesquisa de Preços">
      <formula>NOT(ISERROR(SEARCH("Pesquisa de Preços",E144)))</formula>
    </cfRule>
  </conditionalFormatting>
  <conditionalFormatting sqref="E24">
    <cfRule type="containsText" dxfId="3028" priority="7647" operator="containsText" text="Pesquisa de Preços">
      <formula>NOT(ISERROR(SEARCH("Pesquisa de Preços",E24)))</formula>
    </cfRule>
  </conditionalFormatting>
  <conditionalFormatting sqref="E147">
    <cfRule type="containsText" dxfId="3027" priority="7650" operator="containsText" text="Pesquisa de Preços">
      <formula>NOT(ISERROR(SEARCH("Pesquisa de Preços",E147)))</formula>
    </cfRule>
  </conditionalFormatting>
  <conditionalFormatting sqref="E43">
    <cfRule type="containsText" dxfId="3026" priority="7649" operator="containsText" text="Pesquisa de Preços">
      <formula>NOT(ISERROR(SEARCH("Pesquisa de Preços",E43)))</formula>
    </cfRule>
  </conditionalFormatting>
  <conditionalFormatting sqref="E23">
    <cfRule type="containsText" dxfId="3025" priority="7646" operator="containsText" text="Pesquisa de Preços">
      <formula>NOT(ISERROR(SEARCH("Pesquisa de Preços",E23)))</formula>
    </cfRule>
  </conditionalFormatting>
  <conditionalFormatting sqref="E117">
    <cfRule type="containsText" dxfId="3024" priority="7641" operator="containsText" text="Pesquisa de Preços">
      <formula>NOT(ISERROR(SEARCH("Pesquisa de Preços",E117)))</formula>
    </cfRule>
  </conditionalFormatting>
  <conditionalFormatting sqref="E179">
    <cfRule type="containsText" dxfId="3023" priority="7642" operator="containsText" text="Pesquisa de Preços">
      <formula>NOT(ISERROR(SEARCH("Pesquisa de Preços",E179)))</formula>
    </cfRule>
  </conditionalFormatting>
  <conditionalFormatting sqref="E38:E40">
    <cfRule type="containsText" dxfId="3022" priority="7645" operator="containsText" text="Pesquisa de Preços">
      <formula>NOT(ISERROR(SEARCH("Pesquisa de Preços",E38)))</formula>
    </cfRule>
  </conditionalFormatting>
  <conditionalFormatting sqref="E37">
    <cfRule type="containsText" dxfId="3021" priority="7644" operator="containsText" text="Pesquisa de Preços">
      <formula>NOT(ISERROR(SEARCH("Pesquisa de Preços",E37)))</formula>
    </cfRule>
  </conditionalFormatting>
  <conditionalFormatting sqref="E116">
    <cfRule type="containsText" dxfId="3020" priority="7640" operator="containsText" text="Pesquisa de Preços">
      <formula>NOT(ISERROR(SEARCH("Pesquisa de Preços",E116)))</formula>
    </cfRule>
  </conditionalFormatting>
  <conditionalFormatting sqref="E677">
    <cfRule type="containsText" dxfId="3019" priority="7490" operator="containsText" text="Pesquisa de Preços">
      <formula>NOT(ISERROR(SEARCH("Pesquisa de Preços",E677)))</formula>
    </cfRule>
  </conditionalFormatting>
  <conditionalFormatting sqref="E669">
    <cfRule type="containsText" dxfId="3018" priority="7488" operator="containsText" text="Pesquisa de Preços">
      <formula>NOT(ISERROR(SEARCH("Pesquisa de Preços",E669)))</formula>
    </cfRule>
  </conditionalFormatting>
  <conditionalFormatting sqref="E175">
    <cfRule type="containsText" dxfId="3017" priority="7638" operator="containsText" text="Pesquisa de Preços">
      <formula>NOT(ISERROR(SEARCH("Pesquisa de Preços",E175)))</formula>
    </cfRule>
  </conditionalFormatting>
  <conditionalFormatting sqref="E176:E177">
    <cfRule type="containsText" dxfId="3016" priority="7639" operator="containsText" text="Pesquisa de Preços">
      <formula>NOT(ISERROR(SEARCH("Pesquisa de Preços",E176)))</formula>
    </cfRule>
  </conditionalFormatting>
  <conditionalFormatting sqref="E219">
    <cfRule type="containsText" dxfId="3015" priority="7636" operator="containsText" text="Pesquisa de Preços">
      <formula>NOT(ISERROR(SEARCH("Pesquisa de Preços",E219)))</formula>
    </cfRule>
  </conditionalFormatting>
  <conditionalFormatting sqref="E220:E221">
    <cfRule type="containsText" dxfId="3014" priority="7637" operator="containsText" text="Pesquisa de Preços">
      <formula>NOT(ISERROR(SEARCH("Pesquisa de Preços",E220)))</formula>
    </cfRule>
  </conditionalFormatting>
  <conditionalFormatting sqref="E126">
    <cfRule type="containsText" dxfId="3013" priority="7633" operator="containsText" text="Pesquisa de Preços">
      <formula>NOT(ISERROR(SEARCH("Pesquisa de Preços",E126)))</formula>
    </cfRule>
  </conditionalFormatting>
  <conditionalFormatting sqref="E687:E688 E694:E695">
    <cfRule type="containsText" dxfId="3012" priority="7486" operator="containsText" text="Pesquisa de Preços">
      <formula>NOT(ISERROR(SEARCH("Pesquisa de Preços",E687)))</formula>
    </cfRule>
  </conditionalFormatting>
  <conditionalFormatting sqref="E222">
    <cfRule type="containsText" dxfId="3011" priority="7635" operator="containsText" text="Pesquisa de Preços">
      <formula>NOT(ISERROR(SEARCH("Pesquisa de Preços",E222)))</formula>
    </cfRule>
  </conditionalFormatting>
  <conditionalFormatting sqref="E127">
    <cfRule type="containsText" dxfId="3010" priority="7634" operator="containsText" text="Pesquisa de Preços">
      <formula>NOT(ISERROR(SEARCH("Pesquisa de Preços",E127)))</formula>
    </cfRule>
  </conditionalFormatting>
  <conditionalFormatting sqref="E715">
    <cfRule type="containsText" dxfId="3009" priority="7483" operator="containsText" text="Pesquisa de Preços">
      <formula>NOT(ISERROR(SEARCH("Pesquisa de Preços",E715)))</formula>
    </cfRule>
  </conditionalFormatting>
  <conditionalFormatting sqref="E167:E168">
    <cfRule type="containsText" dxfId="3008" priority="7632" operator="containsText" text="Pesquisa de Preços">
      <formula>NOT(ISERROR(SEARCH("Pesquisa de Preços",E167)))</formula>
    </cfRule>
  </conditionalFormatting>
  <conditionalFormatting sqref="E166">
    <cfRule type="containsText" dxfId="3007" priority="7631" operator="containsText" text="Pesquisa de Preços">
      <formula>NOT(ISERROR(SEARCH("Pesquisa de Preços",E166)))</formula>
    </cfRule>
  </conditionalFormatting>
  <conditionalFormatting sqref="E731">
    <cfRule type="containsText" dxfId="3006" priority="7481" operator="containsText" text="Pesquisa de Preços">
      <formula>NOT(ISERROR(SEARCH("Pesquisa de Preços",E731)))</formula>
    </cfRule>
  </conditionalFormatting>
  <conditionalFormatting sqref="E169">
    <cfRule type="containsText" dxfId="3005" priority="7630" operator="containsText" text="Pesquisa de Preços">
      <formula>NOT(ISERROR(SEARCH("Pesquisa de Preços",E169)))</formula>
    </cfRule>
  </conditionalFormatting>
  <conditionalFormatting sqref="E83">
    <cfRule type="containsText" dxfId="3004" priority="7629" operator="containsText" text="Pesquisa de Preços">
      <formula>NOT(ISERROR(SEARCH("Pesquisa de Preços",E83)))</formula>
    </cfRule>
  </conditionalFormatting>
  <conditionalFormatting sqref="E82">
    <cfRule type="containsText" dxfId="3003" priority="7628" operator="containsText" text="Pesquisa de Preços">
      <formula>NOT(ISERROR(SEARCH("Pesquisa de Preços",E82)))</formula>
    </cfRule>
  </conditionalFormatting>
  <conditionalFormatting sqref="E112">
    <cfRule type="containsText" dxfId="3002" priority="7627" operator="containsText" text="Pesquisa de Preços">
      <formula>NOT(ISERROR(SEARCH("Pesquisa de Preços",E112)))</formula>
    </cfRule>
  </conditionalFormatting>
  <conditionalFormatting sqref="E211:E212">
    <cfRule type="containsText" dxfId="3001" priority="7625" operator="containsText" text="Pesquisa de Preços">
      <formula>NOT(ISERROR(SEARCH("Pesquisa de Preços",E211)))</formula>
    </cfRule>
  </conditionalFormatting>
  <conditionalFormatting sqref="E111">
    <cfRule type="containsText" dxfId="3000" priority="7626" operator="containsText" text="Pesquisa de Preços">
      <formula>NOT(ISERROR(SEARCH("Pesquisa de Preços",E111)))</formula>
    </cfRule>
  </conditionalFormatting>
  <conditionalFormatting sqref="E201">
    <cfRule type="containsText" dxfId="2999" priority="7622" operator="containsText" text="Pesquisa de Preços">
      <formula>NOT(ISERROR(SEARCH("Pesquisa de Preços",E201)))</formula>
    </cfRule>
  </conditionalFormatting>
  <conditionalFormatting sqref="E210">
    <cfRule type="containsText" dxfId="2998" priority="7624" operator="containsText" text="Pesquisa de Preços">
      <formula>NOT(ISERROR(SEARCH("Pesquisa de Preços",E210)))</formula>
    </cfRule>
  </conditionalFormatting>
  <conditionalFormatting sqref="E202">
    <cfRule type="containsText" dxfId="2997" priority="7623" operator="containsText" text="Pesquisa de Preços">
      <formula>NOT(ISERROR(SEARCH("Pesquisa de Preços",E202)))</formula>
    </cfRule>
  </conditionalFormatting>
  <conditionalFormatting sqref="E198:E199">
    <cfRule type="containsText" dxfId="2996" priority="7620" operator="containsText" text="Pesquisa de Preços">
      <formula>NOT(ISERROR(SEARCH("Pesquisa de Preços",E198)))</formula>
    </cfRule>
  </conditionalFormatting>
  <conditionalFormatting sqref="E203:E204">
    <cfRule type="containsText" dxfId="2995" priority="7621" operator="containsText" text="Pesquisa de Preços">
      <formula>NOT(ISERROR(SEARCH("Pesquisa de Preços",E203)))</formula>
    </cfRule>
  </conditionalFormatting>
  <conditionalFormatting sqref="E197">
    <cfRule type="containsText" dxfId="2994" priority="7619" operator="containsText" text="Pesquisa de Preços">
      <formula>NOT(ISERROR(SEARCH("Pesquisa de Preços",E197)))</formula>
    </cfRule>
  </conditionalFormatting>
  <conditionalFormatting sqref="E70:E71 E75:E76">
    <cfRule type="containsText" dxfId="2993" priority="7618" operator="containsText" text="Pesquisa de Preços">
      <formula>NOT(ISERROR(SEARCH("Pesquisa de Preços",E70)))</formula>
    </cfRule>
  </conditionalFormatting>
  <conditionalFormatting sqref="E69">
    <cfRule type="containsText" dxfId="2992" priority="7617" operator="containsText" text="Pesquisa de Preços">
      <formula>NOT(ISERROR(SEARCH("Pesquisa de Preços",E69)))</formula>
    </cfRule>
  </conditionalFormatting>
  <conditionalFormatting sqref="E72:E74">
    <cfRule type="containsText" dxfId="2991" priority="7616" operator="containsText" text="Pesquisa de Preços">
      <formula>NOT(ISERROR(SEARCH("Pesquisa de Preços",E72)))</formula>
    </cfRule>
  </conditionalFormatting>
  <conditionalFormatting sqref="E136:E137">
    <cfRule type="containsText" dxfId="2990" priority="7615" operator="containsText" text="Pesquisa de Preços">
      <formula>NOT(ISERROR(SEARCH("Pesquisa de Preços",E136)))</formula>
    </cfRule>
  </conditionalFormatting>
  <conditionalFormatting sqref="E135">
    <cfRule type="containsText" dxfId="2989" priority="7614" operator="containsText" text="Pesquisa de Preços">
      <formula>NOT(ISERROR(SEARCH("Pesquisa de Preços",E135)))</formula>
    </cfRule>
  </conditionalFormatting>
  <conditionalFormatting sqref="E140:E141">
    <cfRule type="containsText" dxfId="2988" priority="7613" operator="containsText" text="Pesquisa de Preços">
      <formula>NOT(ISERROR(SEARCH("Pesquisa de Preços",E140)))</formula>
    </cfRule>
  </conditionalFormatting>
  <conditionalFormatting sqref="E139">
    <cfRule type="containsText" dxfId="2987" priority="7612" operator="containsText" text="Pesquisa de Preços">
      <formula>NOT(ISERROR(SEARCH("Pesquisa de Preços",E139)))</formula>
    </cfRule>
  </conditionalFormatting>
  <conditionalFormatting sqref="E791 E793:E802">
    <cfRule type="containsText" dxfId="2986" priority="7475" operator="containsText" text="Pesquisa de Preços">
      <formula>NOT(ISERROR(SEARCH("Pesquisa de Preços",E791)))</formula>
    </cfRule>
  </conditionalFormatting>
  <conditionalFormatting sqref="E155:E157">
    <cfRule type="containsText" dxfId="2985" priority="7611" operator="containsText" text="Pesquisa de Preços">
      <formula>NOT(ISERROR(SEARCH("Pesquisa de Preços",E155)))</formula>
    </cfRule>
  </conditionalFormatting>
  <conditionalFormatting sqref="E154">
    <cfRule type="containsText" dxfId="2984" priority="7610" operator="containsText" text="Pesquisa de Preços">
      <formula>NOT(ISERROR(SEARCH("Pesquisa de Preços",E154)))</formula>
    </cfRule>
  </conditionalFormatting>
  <conditionalFormatting sqref="E833">
    <cfRule type="containsText" dxfId="2983" priority="7473" operator="containsText" text="Pesquisa de Preços">
      <formula>NOT(ISERROR(SEARCH("Pesquisa de Preços",E833)))</formula>
    </cfRule>
  </conditionalFormatting>
  <conditionalFormatting sqref="E93">
    <cfRule type="containsText" dxfId="2982" priority="7609" operator="containsText" text="Pesquisa de Preços">
      <formula>NOT(ISERROR(SEARCH("Pesquisa de Preços",E93)))</formula>
    </cfRule>
  </conditionalFormatting>
  <conditionalFormatting sqref="E92">
    <cfRule type="containsText" dxfId="2981" priority="7608" operator="containsText" text="Pesquisa de Preços">
      <formula>NOT(ISERROR(SEARCH("Pesquisa de Preços",E92)))</formula>
    </cfRule>
  </conditionalFormatting>
  <conditionalFormatting sqref="E815:E816">
    <cfRule type="containsText" dxfId="2980" priority="7471" operator="containsText" text="Pesquisa de Preços">
      <formula>NOT(ISERROR(SEARCH("Pesquisa de Preços",E815)))</formula>
    </cfRule>
  </conditionalFormatting>
  <conditionalFormatting sqref="E48:E49">
    <cfRule type="containsText" dxfId="2979" priority="7607" operator="containsText" text="Pesquisa de Preços">
      <formula>NOT(ISERROR(SEARCH("Pesquisa de Preços",E48)))</formula>
    </cfRule>
  </conditionalFormatting>
  <conditionalFormatting sqref="E47">
    <cfRule type="containsText" dxfId="2978" priority="7606" operator="containsText" text="Pesquisa de Preços">
      <formula>NOT(ISERROR(SEARCH("Pesquisa de Preços",E47)))</formula>
    </cfRule>
  </conditionalFormatting>
  <conditionalFormatting sqref="E50">
    <cfRule type="containsText" dxfId="2977" priority="7605" operator="containsText" text="Pesquisa de Preços">
      <formula>NOT(ISERROR(SEARCH("Pesquisa de Preços",E50)))</formula>
    </cfRule>
  </conditionalFormatting>
  <conditionalFormatting sqref="E191:E192">
    <cfRule type="containsText" dxfId="2976" priority="7604" operator="containsText" text="Pesquisa de Preços">
      <formula>NOT(ISERROR(SEARCH("Pesquisa de Preços",E191)))</formula>
    </cfRule>
  </conditionalFormatting>
  <conditionalFormatting sqref="E190">
    <cfRule type="containsText" dxfId="2975" priority="7603" operator="containsText" text="Pesquisa de Preços">
      <formula>NOT(ISERROR(SEARCH("Pesquisa de Preços",E190)))</formula>
    </cfRule>
  </conditionalFormatting>
  <conditionalFormatting sqref="E749:E750 E753:E754">
    <cfRule type="containsText" dxfId="2974" priority="7469" operator="containsText" text="Pesquisa de Preços">
      <formula>NOT(ISERROR(SEARCH("Pesquisa de Preços",E749)))</formula>
    </cfRule>
  </conditionalFormatting>
  <conditionalFormatting sqref="E193">
    <cfRule type="containsText" dxfId="2973" priority="7602" operator="containsText" text="Pesquisa de Preços">
      <formula>NOT(ISERROR(SEARCH("Pesquisa de Preços",E193)))</formula>
    </cfRule>
  </conditionalFormatting>
  <conditionalFormatting sqref="E215:E216">
    <cfRule type="containsText" dxfId="2972" priority="7601" operator="containsText" text="Pesquisa de Preços">
      <formula>NOT(ISERROR(SEARCH("Pesquisa de Preços",E215)))</formula>
    </cfRule>
  </conditionalFormatting>
  <conditionalFormatting sqref="E214">
    <cfRule type="containsText" dxfId="2971" priority="7600" operator="containsText" text="Pesquisa de Preços">
      <formula>NOT(ISERROR(SEARCH("Pesquisa de Preços",E214)))</formula>
    </cfRule>
  </conditionalFormatting>
  <conditionalFormatting sqref="E217">
    <cfRule type="containsText" dxfId="2970" priority="7599" operator="containsText" text="Pesquisa de Preços">
      <formula>NOT(ISERROR(SEARCH("Pesquisa de Preços",E217)))</formula>
    </cfRule>
  </conditionalFormatting>
  <conditionalFormatting sqref="E122:E123">
    <cfRule type="containsText" dxfId="2969" priority="7598" operator="containsText" text="Pesquisa de Preços">
      <formula>NOT(ISERROR(SEARCH("Pesquisa de Preços",E122)))</formula>
    </cfRule>
  </conditionalFormatting>
  <conditionalFormatting sqref="E121">
    <cfRule type="containsText" dxfId="2968" priority="7597" operator="containsText" text="Pesquisa de Preços">
      <formula>NOT(ISERROR(SEARCH("Pesquisa de Preços",E121)))</formula>
    </cfRule>
  </conditionalFormatting>
  <conditionalFormatting sqref="E756:E757">
    <cfRule type="containsText" dxfId="2967" priority="7466" operator="containsText" text="Pesquisa de Preços">
      <formula>NOT(ISERROR(SEARCH("Pesquisa de Preços",E756)))</formula>
    </cfRule>
  </conditionalFormatting>
  <conditionalFormatting sqref="E124">
    <cfRule type="containsText" dxfId="2966" priority="7596" operator="containsText" text="Pesquisa de Preços">
      <formula>NOT(ISERROR(SEARCH("Pesquisa de Preços",E124)))</formula>
    </cfRule>
  </conditionalFormatting>
  <conditionalFormatting sqref="E107:E108">
    <cfRule type="containsText" dxfId="2965" priority="7595" operator="containsText" text="Pesquisa de Preços">
      <formula>NOT(ISERROR(SEARCH("Pesquisa de Preços",E107)))</formula>
    </cfRule>
  </conditionalFormatting>
  <conditionalFormatting sqref="E106">
    <cfRule type="containsText" dxfId="2964" priority="7594" operator="containsText" text="Pesquisa de Preços">
      <formula>NOT(ISERROR(SEARCH("Pesquisa de Preços",E106)))</formula>
    </cfRule>
  </conditionalFormatting>
  <conditionalFormatting sqref="E824 E826">
    <cfRule type="containsText" dxfId="2963" priority="7463" operator="containsText" text="Pesquisa de Preços">
      <formula>NOT(ISERROR(SEARCH("Pesquisa de Preços",E824)))</formula>
    </cfRule>
  </conditionalFormatting>
  <conditionalFormatting sqref="E109">
    <cfRule type="containsText" dxfId="2962" priority="7593" operator="containsText" text="Pesquisa de Preços">
      <formula>NOT(ISERROR(SEARCH("Pesquisa de Preços",E109)))</formula>
    </cfRule>
  </conditionalFormatting>
  <conditionalFormatting sqref="E132">
    <cfRule type="containsText" dxfId="2961" priority="7592" operator="containsText" text="Pesquisa de Preços">
      <formula>NOT(ISERROR(SEARCH("Pesquisa de Preços",E132)))</formula>
    </cfRule>
  </conditionalFormatting>
  <conditionalFormatting sqref="E131">
    <cfRule type="containsText" dxfId="2960" priority="7591" operator="containsText" text="Pesquisa de Preços">
      <formula>NOT(ISERROR(SEARCH("Pesquisa de Preços",E131)))</formula>
    </cfRule>
  </conditionalFormatting>
  <conditionalFormatting sqref="E828">
    <cfRule type="containsText" dxfId="2959" priority="7461" operator="containsText" text="Pesquisa de Preços">
      <formula>NOT(ISERROR(SEARCH("Pesquisa de Preços",E828)))</formula>
    </cfRule>
  </conditionalFormatting>
  <conditionalFormatting sqref="E65:E66">
    <cfRule type="containsText" dxfId="2958" priority="7590" operator="containsText" text="Pesquisa de Preços">
      <formula>NOT(ISERROR(SEARCH("Pesquisa de Preços",E65)))</formula>
    </cfRule>
  </conditionalFormatting>
  <conditionalFormatting sqref="E64">
    <cfRule type="containsText" dxfId="2957" priority="7589" operator="containsText" text="Pesquisa de Preços">
      <formula>NOT(ISERROR(SEARCH("Pesquisa de Preços",E64)))</formula>
    </cfRule>
  </conditionalFormatting>
  <conditionalFormatting sqref="E805">
    <cfRule type="containsText" dxfId="2956" priority="7459" operator="containsText" text="Pesquisa de Preços">
      <formula>NOT(ISERROR(SEARCH("Pesquisa de Preços",E805)))</formula>
    </cfRule>
  </conditionalFormatting>
  <conditionalFormatting sqref="E67">
    <cfRule type="containsText" dxfId="2955" priority="7588" operator="containsText" text="Pesquisa de Preços">
      <formula>NOT(ISERROR(SEARCH("Pesquisa de Preços",E67)))</formula>
    </cfRule>
  </conditionalFormatting>
  <conditionalFormatting sqref="E283">
    <cfRule type="containsText" dxfId="2954" priority="7577" operator="containsText" text="Pesquisa de Preços">
      <formula>NOT(ISERROR(SEARCH("Pesquisa de Preços",E283)))</formula>
    </cfRule>
  </conditionalFormatting>
  <conditionalFormatting sqref="E268">
    <cfRule type="containsText" dxfId="2953" priority="7574" operator="containsText" text="Pesquisa de Preços">
      <formula>NOT(ISERROR(SEARCH("Pesquisa de Preços",E268)))</formula>
    </cfRule>
  </conditionalFormatting>
  <conditionalFormatting sqref="E321">
    <cfRule type="containsText" dxfId="2952" priority="7572" operator="containsText" text="Pesquisa de Preços">
      <formula>NOT(ISERROR(SEARCH("Pesquisa de Preços",E321)))</formula>
    </cfRule>
  </conditionalFormatting>
  <conditionalFormatting sqref="E305">
    <cfRule type="containsText" dxfId="2951" priority="7569" operator="containsText" text="Pesquisa de Preços">
      <formula>NOT(ISERROR(SEARCH("Pesquisa de Preços",E305)))</formula>
    </cfRule>
  </conditionalFormatting>
  <conditionalFormatting sqref="E342:E343">
    <cfRule type="containsText" dxfId="2950" priority="7567" operator="containsText" text="Pesquisa de Preços">
      <formula>NOT(ISERROR(SEARCH("Pesquisa de Preços",E342)))</formula>
    </cfRule>
  </conditionalFormatting>
  <conditionalFormatting sqref="E290">
    <cfRule type="containsText" dxfId="2949" priority="7561" operator="containsText" text="Pesquisa de Preços">
      <formula>NOT(ISERROR(SEARCH("Pesquisa de Preços",E290)))</formula>
    </cfRule>
  </conditionalFormatting>
  <conditionalFormatting sqref="E327:E328">
    <cfRule type="containsText" dxfId="2948" priority="7559" operator="containsText" text="Pesquisa de Preços">
      <formula>NOT(ISERROR(SEARCH("Pesquisa de Preços",E327)))</formula>
    </cfRule>
  </conditionalFormatting>
  <conditionalFormatting sqref="E401">
    <cfRule type="containsText" dxfId="2947" priority="7549" operator="containsText" text="Pesquisa de Preços">
      <formula>NOT(ISERROR(SEARCH("Pesquisa de Preços",E401)))</formula>
    </cfRule>
  </conditionalFormatting>
  <conditionalFormatting sqref="E416 E421">
    <cfRule type="containsText" dxfId="2946" priority="7548" operator="containsText" text="Pesquisa de Preços">
      <formula>NOT(ISERROR(SEARCH("Pesquisa de Preços",E416)))</formula>
    </cfRule>
  </conditionalFormatting>
  <conditionalFormatting sqref="E434">
    <cfRule type="containsText" dxfId="2945" priority="7542" operator="containsText" text="Pesquisa de Preços">
      <formula>NOT(ISERROR(SEARCH("Pesquisa de Preços",E434)))</formula>
    </cfRule>
  </conditionalFormatting>
  <conditionalFormatting sqref="E247">
    <cfRule type="containsText" dxfId="2944" priority="7587" operator="containsText" text="Pesquisa de Preços">
      <formula>NOT(ISERROR(SEARCH("Pesquisa de Preços",E247)))</formula>
    </cfRule>
  </conditionalFormatting>
  <conditionalFormatting sqref="E249:E250">
    <cfRule type="containsText" dxfId="2943" priority="7586" operator="containsText" text="Pesquisa de Preços">
      <formula>NOT(ISERROR(SEARCH("Pesquisa de Preços",E249)))</formula>
    </cfRule>
  </conditionalFormatting>
  <conditionalFormatting sqref="E248">
    <cfRule type="containsText" dxfId="2942" priority="7585" operator="containsText" text="Pesquisa de Preços">
      <formula>NOT(ISERROR(SEARCH("Pesquisa de Preços",E248)))</formula>
    </cfRule>
  </conditionalFormatting>
  <conditionalFormatting sqref="E1093:E1095">
    <cfRule type="containsText" dxfId="2941" priority="7397" operator="containsText" text="Pesquisa de Preços">
      <formula>NOT(ISERROR(SEARCH("Pesquisa de Preços",E1093)))</formula>
    </cfRule>
  </conditionalFormatting>
  <conditionalFormatting sqref="E251:E261">
    <cfRule type="containsText" dxfId="2940" priority="7584" operator="containsText" text="Pesquisa de Preços">
      <formula>NOT(ISERROR(SEARCH("Pesquisa de Preços",E251)))</formula>
    </cfRule>
  </conditionalFormatting>
  <conditionalFormatting sqref="E264:E265">
    <cfRule type="containsText" dxfId="2939" priority="7583" operator="containsText" text="Pesquisa de Preços">
      <formula>NOT(ISERROR(SEARCH("Pesquisa de Preços",E264)))</formula>
    </cfRule>
  </conditionalFormatting>
  <conditionalFormatting sqref="E263">
    <cfRule type="containsText" dxfId="2938" priority="7582" operator="containsText" text="Pesquisa de Preços">
      <formula>NOT(ISERROR(SEARCH("Pesquisa de Preços",E263)))</formula>
    </cfRule>
  </conditionalFormatting>
  <conditionalFormatting sqref="E277:E278 E281:E282">
    <cfRule type="containsText" dxfId="2937" priority="7581" operator="containsText" text="Pesquisa de Preços">
      <formula>NOT(ISERROR(SEARCH("Pesquisa de Preços",E277)))</formula>
    </cfRule>
  </conditionalFormatting>
  <conditionalFormatting sqref="E276">
    <cfRule type="containsText" dxfId="2936" priority="7580" operator="containsText" text="Pesquisa de Preços">
      <formula>NOT(ISERROR(SEARCH("Pesquisa de Preços",E276)))</formula>
    </cfRule>
  </conditionalFormatting>
  <conditionalFormatting sqref="E279:E280">
    <cfRule type="containsText" dxfId="2935" priority="7579" operator="containsText" text="Pesquisa de Preços">
      <formula>NOT(ISERROR(SEARCH("Pesquisa de Preços",E279)))</formula>
    </cfRule>
  </conditionalFormatting>
  <conditionalFormatting sqref="E284:E285 E288:E289">
    <cfRule type="containsText" dxfId="2934" priority="7578" operator="containsText" text="Pesquisa de Preços">
      <formula>NOT(ISERROR(SEARCH("Pesquisa de Preços",E284)))</formula>
    </cfRule>
  </conditionalFormatting>
  <conditionalFormatting sqref="E286:E287">
    <cfRule type="containsText" dxfId="2933" priority="7576" operator="containsText" text="Pesquisa de Preços">
      <formula>NOT(ISERROR(SEARCH("Pesquisa de Preços",E286)))</formula>
    </cfRule>
  </conditionalFormatting>
  <conditionalFormatting sqref="E269:E270 E274:E275">
    <cfRule type="containsText" dxfId="2932" priority="7575" operator="containsText" text="Pesquisa de Preços">
      <formula>NOT(ISERROR(SEARCH("Pesquisa de Preços",E269)))</formula>
    </cfRule>
  </conditionalFormatting>
  <conditionalFormatting sqref="E271:E273">
    <cfRule type="containsText" dxfId="2931" priority="7573" operator="containsText" text="Pesquisa de Preços">
      <formula>NOT(ISERROR(SEARCH("Pesquisa de Preços",E271)))</formula>
    </cfRule>
  </conditionalFormatting>
  <conditionalFormatting sqref="E320">
    <cfRule type="containsText" dxfId="2930" priority="7571" operator="containsText" text="Pesquisa de Preços">
      <formula>NOT(ISERROR(SEARCH("Pesquisa de Preços",E320)))</formula>
    </cfRule>
  </conditionalFormatting>
  <conditionalFormatting sqref="E532:E533 E535:E536">
    <cfRule type="containsText" dxfId="2929" priority="7519" operator="containsText" text="Pesquisa de Preços">
      <formula>NOT(ISERROR(SEARCH("Pesquisa de Preços",E532)))</formula>
    </cfRule>
  </conditionalFormatting>
  <conditionalFormatting sqref="E306">
    <cfRule type="containsText" dxfId="2928" priority="7570" operator="containsText" text="Pesquisa de Preços">
      <formula>NOT(ISERROR(SEARCH("Pesquisa de Preços",E306)))</formula>
    </cfRule>
  </conditionalFormatting>
  <conditionalFormatting sqref="E312:E314">
    <cfRule type="containsText" dxfId="2927" priority="7568" operator="containsText" text="Pesquisa de Preços">
      <formula>NOT(ISERROR(SEARCH("Pesquisa de Preços",E312)))</formula>
    </cfRule>
  </conditionalFormatting>
  <conditionalFormatting sqref="E341">
    <cfRule type="containsText" dxfId="2926" priority="7566" operator="containsText" text="Pesquisa de Preços">
      <formula>NOT(ISERROR(SEARCH("Pesquisa de Preços",E341)))</formula>
    </cfRule>
  </conditionalFormatting>
  <conditionalFormatting sqref="E1286">
    <cfRule type="containsText" dxfId="2925" priority="7321" operator="containsText" text="Pesquisa de Preços">
      <formula>NOT(ISERROR(SEARCH("Pesquisa de Preços",E1286)))</formula>
    </cfRule>
  </conditionalFormatting>
  <conditionalFormatting sqref="E352">
    <cfRule type="containsText" dxfId="2924" priority="7565" operator="containsText" text="Pesquisa de Preços">
      <formula>NOT(ISERROR(SEARCH("Pesquisa de Preços",E352)))</formula>
    </cfRule>
  </conditionalFormatting>
  <conditionalFormatting sqref="E351">
    <cfRule type="containsText" dxfId="2923" priority="7564" operator="containsText" text="Pesquisa de Preços">
      <formula>NOT(ISERROR(SEARCH("Pesquisa de Preços",E351)))</formula>
    </cfRule>
  </conditionalFormatting>
  <conditionalFormatting sqref="E355:E358">
    <cfRule type="containsText" dxfId="2922" priority="7563" operator="containsText" text="Pesquisa de Preços">
      <formula>NOT(ISERROR(SEARCH("Pesquisa de Preços",E355)))</formula>
    </cfRule>
  </conditionalFormatting>
  <conditionalFormatting sqref="E291:E292">
    <cfRule type="containsText" dxfId="2921" priority="7562" operator="containsText" text="Pesquisa de Preços">
      <formula>NOT(ISERROR(SEARCH("Pesquisa de Preços",E291)))</formula>
    </cfRule>
  </conditionalFormatting>
  <conditionalFormatting sqref="E298:E299">
    <cfRule type="containsText" dxfId="2920" priority="7560" operator="containsText" text="Pesquisa de Preços">
      <formula>NOT(ISERROR(SEARCH("Pesquisa de Preços",E298)))</formula>
    </cfRule>
  </conditionalFormatting>
  <conditionalFormatting sqref="E326">
    <cfRule type="containsText" dxfId="2919" priority="7558" operator="containsText" text="Pesquisa de Preços">
      <formula>NOT(ISERROR(SEARCH("Pesquisa de Preços",E326)))</formula>
    </cfRule>
  </conditionalFormatting>
  <conditionalFormatting sqref="E329:E339">
    <cfRule type="containsText" dxfId="2918" priority="7557" operator="containsText" text="Pesquisa de Preços">
      <formula>NOT(ISERROR(SEARCH("Pesquisa de Preços",E329)))</formula>
    </cfRule>
  </conditionalFormatting>
  <conditionalFormatting sqref="E366:E367 E369:E370">
    <cfRule type="containsText" dxfId="2917" priority="7556" operator="containsText" text="Pesquisa de Preços">
      <formula>NOT(ISERROR(SEARCH("Pesquisa de Preços",E366)))</formula>
    </cfRule>
  </conditionalFormatting>
  <conditionalFormatting sqref="E365">
    <cfRule type="containsText" dxfId="2916" priority="7555" operator="containsText" text="Pesquisa de Preços">
      <formula>NOT(ISERROR(SEARCH("Pesquisa de Preços",E365)))</formula>
    </cfRule>
  </conditionalFormatting>
  <conditionalFormatting sqref="E368">
    <cfRule type="containsText" dxfId="2915" priority="7554" operator="containsText" text="Pesquisa de Preços">
      <formula>NOT(ISERROR(SEARCH("Pesquisa de Preços",E368)))</formula>
    </cfRule>
  </conditionalFormatting>
  <conditionalFormatting sqref="E372:E373 E378:E379">
    <cfRule type="containsText" dxfId="2914" priority="7553" operator="containsText" text="Pesquisa de Preços">
      <formula>NOT(ISERROR(SEARCH("Pesquisa de Preços",E372)))</formula>
    </cfRule>
  </conditionalFormatting>
  <conditionalFormatting sqref="E371">
    <cfRule type="containsText" dxfId="2913" priority="7552" operator="containsText" text="Pesquisa de Preços">
      <formula>NOT(ISERROR(SEARCH("Pesquisa de Preços",E371)))</formula>
    </cfRule>
  </conditionalFormatting>
  <conditionalFormatting sqref="E374:E377">
    <cfRule type="containsText" dxfId="2912" priority="7551" operator="containsText" text="Pesquisa de Preços">
      <formula>NOT(ISERROR(SEARCH("Pesquisa de Preços",E374)))</formula>
    </cfRule>
  </conditionalFormatting>
  <conditionalFormatting sqref="E402">
    <cfRule type="containsText" dxfId="2911" priority="7550" operator="containsText" text="Pesquisa de Preços">
      <formula>NOT(ISERROR(SEARCH("Pesquisa de Preços",E402)))</formula>
    </cfRule>
  </conditionalFormatting>
  <conditionalFormatting sqref="E415">
    <cfRule type="containsText" dxfId="2910" priority="7547" operator="containsText" text="Pesquisa de Preços">
      <formula>NOT(ISERROR(SEARCH("Pesquisa de Preços",E415)))</formula>
    </cfRule>
  </conditionalFormatting>
  <conditionalFormatting sqref="E441:E442 E444:E445">
    <cfRule type="containsText" dxfId="2909" priority="7546" operator="containsText" text="Pesquisa de Preços">
      <formula>NOT(ISERROR(SEARCH("Pesquisa de Preços",E441)))</formula>
    </cfRule>
  </conditionalFormatting>
  <conditionalFormatting sqref="E440">
    <cfRule type="containsText" dxfId="2908" priority="7545" operator="containsText" text="Pesquisa de Preços">
      <formula>NOT(ISERROR(SEARCH("Pesquisa de Preços",E440)))</formula>
    </cfRule>
  </conditionalFormatting>
  <conditionalFormatting sqref="E443">
    <cfRule type="containsText" dxfId="2907" priority="7544" operator="containsText" text="Pesquisa de Preços">
      <formula>NOT(ISERROR(SEARCH("Pesquisa de Preços",E443)))</formula>
    </cfRule>
  </conditionalFormatting>
  <conditionalFormatting sqref="E435:E436 E438:E439">
    <cfRule type="containsText" dxfId="2906" priority="7543" operator="containsText" text="Pesquisa de Preços">
      <formula>NOT(ISERROR(SEARCH("Pesquisa de Preços",E435)))</formula>
    </cfRule>
  </conditionalFormatting>
  <conditionalFormatting sqref="E437">
    <cfRule type="containsText" dxfId="2905" priority="7541" operator="containsText" text="Pesquisa de Preços">
      <formula>NOT(ISERROR(SEARCH("Pesquisa de Preços",E437)))</formula>
    </cfRule>
  </conditionalFormatting>
  <conditionalFormatting sqref="E455:E456 E459:E463">
    <cfRule type="containsText" dxfId="2904" priority="7540" operator="containsText" text="Pesquisa de Preços">
      <formula>NOT(ISERROR(SEARCH("Pesquisa de Preços",E455)))</formula>
    </cfRule>
  </conditionalFormatting>
  <conditionalFormatting sqref="E454">
    <cfRule type="containsText" dxfId="2903" priority="7539" operator="containsText" text="Pesquisa de Preços">
      <formula>NOT(ISERROR(SEARCH("Pesquisa de Preços",E454)))</formula>
    </cfRule>
  </conditionalFormatting>
  <conditionalFormatting sqref="E458">
    <cfRule type="containsText" dxfId="2902" priority="7538" operator="containsText" text="Pesquisa de Preços">
      <formula>NOT(ISERROR(SEARCH("Pesquisa de Preços",E458)))</formula>
    </cfRule>
  </conditionalFormatting>
  <conditionalFormatting sqref="E465:E466 E469:E470">
    <cfRule type="containsText" dxfId="2901" priority="7537" operator="containsText" text="Pesquisa de Preços">
      <formula>NOT(ISERROR(SEARCH("Pesquisa de Preços",E465)))</formula>
    </cfRule>
  </conditionalFormatting>
  <conditionalFormatting sqref="E464">
    <cfRule type="containsText" dxfId="2900" priority="7536" operator="containsText" text="Pesquisa de Preços">
      <formula>NOT(ISERROR(SEARCH("Pesquisa de Preços",E464)))</formula>
    </cfRule>
  </conditionalFormatting>
  <conditionalFormatting sqref="E468">
    <cfRule type="containsText" dxfId="2899" priority="7535" operator="containsText" text="Pesquisa de Preços">
      <formula>NOT(ISERROR(SEARCH("Pesquisa de Preços",E468)))</formula>
    </cfRule>
  </conditionalFormatting>
  <conditionalFormatting sqref="E472 E482">
    <cfRule type="containsText" dxfId="2898" priority="7534" operator="containsText" text="Pesquisa de Preços">
      <formula>NOT(ISERROR(SEARCH("Pesquisa de Preços",E472)))</formula>
    </cfRule>
  </conditionalFormatting>
  <conditionalFormatting sqref="E471">
    <cfRule type="containsText" dxfId="2897" priority="7533" operator="containsText" text="Pesquisa de Preços">
      <formula>NOT(ISERROR(SEARCH("Pesquisa de Preços",E471)))</formula>
    </cfRule>
  </conditionalFormatting>
  <conditionalFormatting sqref="E447 E451 E453">
    <cfRule type="containsText" dxfId="2896" priority="7532" operator="containsText" text="Pesquisa de Preços">
      <formula>NOT(ISERROR(SEARCH("Pesquisa de Preços",E447)))</formula>
    </cfRule>
  </conditionalFormatting>
  <conditionalFormatting sqref="E446">
    <cfRule type="containsText" dxfId="2895" priority="7531" operator="containsText" text="Pesquisa de Preços">
      <formula>NOT(ISERROR(SEARCH("Pesquisa de Preços",E446)))</formula>
    </cfRule>
  </conditionalFormatting>
  <conditionalFormatting sqref="E484:E485 E487:E488">
    <cfRule type="containsText" dxfId="2894" priority="7530" operator="containsText" text="Pesquisa de Preços">
      <formula>NOT(ISERROR(SEARCH("Pesquisa de Preços",E484)))</formula>
    </cfRule>
  </conditionalFormatting>
  <conditionalFormatting sqref="E483">
    <cfRule type="containsText" dxfId="2893" priority="7529" operator="containsText" text="Pesquisa de Preços">
      <formula>NOT(ISERROR(SEARCH("Pesquisa de Preços",E483)))</formula>
    </cfRule>
  </conditionalFormatting>
  <conditionalFormatting sqref="E486">
    <cfRule type="containsText" dxfId="2892" priority="7528" operator="containsText" text="Pesquisa de Preços">
      <formula>NOT(ISERROR(SEARCH("Pesquisa de Preços",E486)))</formula>
    </cfRule>
  </conditionalFormatting>
  <conditionalFormatting sqref="E505:E506 E509:E510">
    <cfRule type="containsText" dxfId="2891" priority="7527" operator="containsText" text="Pesquisa de Preços">
      <formula>NOT(ISERROR(SEARCH("Pesquisa de Preços",E505)))</formula>
    </cfRule>
  </conditionalFormatting>
  <conditionalFormatting sqref="E504">
    <cfRule type="containsText" dxfId="2890" priority="7526" operator="containsText" text="Pesquisa de Preços">
      <formula>NOT(ISERROR(SEARCH("Pesquisa de Preços",E504)))</formula>
    </cfRule>
  </conditionalFormatting>
  <conditionalFormatting sqref="E1266">
    <cfRule type="containsText" dxfId="2889" priority="7334" operator="containsText" text="Pesquisa de Preços">
      <formula>NOT(ISERROR(SEARCH("Pesquisa de Preços",E1266)))</formula>
    </cfRule>
  </conditionalFormatting>
  <conditionalFormatting sqref="E507:E508">
    <cfRule type="containsText" dxfId="2888" priority="7525" operator="containsText" text="Pesquisa de Preços">
      <formula>NOT(ISERROR(SEARCH("Pesquisa de Preços",E507)))</formula>
    </cfRule>
  </conditionalFormatting>
  <conditionalFormatting sqref="E498 E503">
    <cfRule type="containsText" dxfId="2887" priority="7524" operator="containsText" text="Pesquisa de Preços">
      <formula>NOT(ISERROR(SEARCH("Pesquisa de Preços",E498)))</formula>
    </cfRule>
  </conditionalFormatting>
  <conditionalFormatting sqref="E497">
    <cfRule type="containsText" dxfId="2886" priority="7523" operator="containsText" text="Pesquisa de Preços">
      <formula>NOT(ISERROR(SEARCH("Pesquisa de Preços",E497)))</formula>
    </cfRule>
  </conditionalFormatting>
  <conditionalFormatting sqref="E1300">
    <cfRule type="containsText" dxfId="2885" priority="7331" operator="containsText" text="Pesquisa de Preços">
      <formula>NOT(ISERROR(SEARCH("Pesquisa de Preços",E1300)))</formula>
    </cfRule>
  </conditionalFormatting>
  <conditionalFormatting sqref="E512:E513 E515:E516">
    <cfRule type="containsText" dxfId="2884" priority="7522" operator="containsText" text="Pesquisa de Preços">
      <formula>NOT(ISERROR(SEARCH("Pesquisa de Preços",E512)))</formula>
    </cfRule>
  </conditionalFormatting>
  <conditionalFormatting sqref="E511">
    <cfRule type="containsText" dxfId="2883" priority="7521" operator="containsText" text="Pesquisa de Preços">
      <formula>NOT(ISERROR(SEARCH("Pesquisa de Preços",E511)))</formula>
    </cfRule>
  </conditionalFormatting>
  <conditionalFormatting sqref="E1308">
    <cfRule type="containsText" dxfId="2882" priority="7328" operator="containsText" text="Pesquisa de Preços">
      <formula>NOT(ISERROR(SEARCH("Pesquisa de Preços",E1308)))</formula>
    </cfRule>
  </conditionalFormatting>
  <conditionalFormatting sqref="E531">
    <cfRule type="containsText" dxfId="2881" priority="7518" operator="containsText" text="Pesquisa de Preços">
      <formula>NOT(ISERROR(SEARCH("Pesquisa de Preços",E531)))</formula>
    </cfRule>
  </conditionalFormatting>
  <conditionalFormatting sqref="E1272">
    <cfRule type="containsText" dxfId="2880" priority="7326" operator="containsText" text="Pesquisa de Preços">
      <formula>NOT(ISERROR(SEARCH("Pesquisa de Preços",E1272)))</formula>
    </cfRule>
  </conditionalFormatting>
  <conditionalFormatting sqref="E534">
    <cfRule type="containsText" dxfId="2879" priority="7517" operator="containsText" text="Pesquisa de Preços">
      <formula>NOT(ISERROR(SEARCH("Pesquisa de Preços",E534)))</formula>
    </cfRule>
  </conditionalFormatting>
  <conditionalFormatting sqref="E489">
    <cfRule type="containsText" dxfId="2878" priority="7515" operator="containsText" text="Pesquisa de Preços">
      <formula>NOT(ISERROR(SEARCH("Pesquisa de Preços",E489)))</formula>
    </cfRule>
  </conditionalFormatting>
  <conditionalFormatting sqref="E1279">
    <cfRule type="containsText" dxfId="2877" priority="7323" operator="containsText" text="Pesquisa de Preços">
      <formula>NOT(ISERROR(SEARCH("Pesquisa de Preços",E1279)))</formula>
    </cfRule>
  </conditionalFormatting>
  <conditionalFormatting sqref="E525:E530">
    <cfRule type="containsText" dxfId="2876" priority="7514" operator="containsText" text="Pesquisa de Preços">
      <formula>NOT(ISERROR(SEARCH("Pesquisa de Preços",E525)))</formula>
    </cfRule>
  </conditionalFormatting>
  <conditionalFormatting sqref="E524">
    <cfRule type="containsText" dxfId="2875" priority="7513" operator="containsText" text="Pesquisa de Preços">
      <formula>NOT(ISERROR(SEARCH("Pesquisa de Preços",E524)))</formula>
    </cfRule>
  </conditionalFormatting>
  <conditionalFormatting sqref="E518 E523">
    <cfRule type="containsText" dxfId="2874" priority="7511" operator="containsText" text="Pesquisa de Preços">
      <formula>NOT(ISERROR(SEARCH("Pesquisa de Preços",E518)))</formula>
    </cfRule>
  </conditionalFormatting>
  <conditionalFormatting sqref="E517">
    <cfRule type="containsText" dxfId="2873" priority="7510" operator="containsText" text="Pesquisa de Preços">
      <formula>NOT(ISERROR(SEARCH("Pesquisa de Preços",E517)))</formula>
    </cfRule>
  </conditionalFormatting>
  <conditionalFormatting sqref="E1293">
    <cfRule type="containsText" dxfId="2872" priority="7319" operator="containsText" text="Pesquisa de Preços">
      <formula>NOT(ISERROR(SEARCH("Pesquisa de Preços",E1293)))</formula>
    </cfRule>
  </conditionalFormatting>
  <conditionalFormatting sqref="E546:E547 E551:E552">
    <cfRule type="containsText" dxfId="2871" priority="7509" operator="containsText" text="Pesquisa de Preços">
      <formula>NOT(ISERROR(SEARCH("Pesquisa de Preços",E546)))</formula>
    </cfRule>
  </conditionalFormatting>
  <conditionalFormatting sqref="E1335">
    <cfRule type="containsText" dxfId="2870" priority="7317" operator="containsText" text="Pesquisa de Preços">
      <formula>NOT(ISERROR(SEARCH("Pesquisa de Preços",E1335)))</formula>
    </cfRule>
  </conditionalFormatting>
  <conditionalFormatting sqref="E548:E550">
    <cfRule type="containsText" dxfId="2869" priority="7507" operator="containsText" text="Pesquisa de Preços">
      <formula>NOT(ISERROR(SEARCH("Pesquisa de Preços",E548)))</formula>
    </cfRule>
  </conditionalFormatting>
  <conditionalFormatting sqref="E554:E555 E559:E560">
    <cfRule type="containsText" dxfId="2868" priority="7506" operator="containsText" text="Pesquisa de Preços">
      <formula>NOT(ISERROR(SEARCH("Pesquisa de Preços",E554)))</formula>
    </cfRule>
  </conditionalFormatting>
  <conditionalFormatting sqref="E1329">
    <cfRule type="containsText" dxfId="2867" priority="7315" operator="containsText" text="Pesquisa de Preços">
      <formula>NOT(ISERROR(SEARCH("Pesquisa de Preços",E1329)))</formula>
    </cfRule>
  </conditionalFormatting>
  <conditionalFormatting sqref="E556:E558">
    <cfRule type="containsText" dxfId="2866" priority="7504" operator="containsText" text="Pesquisa de Preços">
      <formula>NOT(ISERROR(SEARCH("Pesquisa de Preços",E556)))</formula>
    </cfRule>
  </conditionalFormatting>
  <conditionalFormatting sqref="E538:E539 E543:E544">
    <cfRule type="containsText" dxfId="2865" priority="7503" operator="containsText" text="Pesquisa de Preços">
      <formula>NOT(ISERROR(SEARCH("Pesquisa de Preços",E538)))</formula>
    </cfRule>
  </conditionalFormatting>
  <conditionalFormatting sqref="E537">
    <cfRule type="containsText" dxfId="2864" priority="7502" operator="containsText" text="Pesquisa de Preços">
      <formula>NOT(ISERROR(SEARCH("Pesquisa de Preços",E537)))</formula>
    </cfRule>
  </conditionalFormatting>
  <conditionalFormatting sqref="E1323">
    <cfRule type="containsText" dxfId="2863" priority="7313" operator="containsText" text="Pesquisa de Preços">
      <formula>NOT(ISERROR(SEARCH("Pesquisa de Preços",E1323)))</formula>
    </cfRule>
  </conditionalFormatting>
  <conditionalFormatting sqref="E540:E542">
    <cfRule type="containsText" dxfId="2862" priority="7501" operator="containsText" text="Pesquisa de Preços">
      <formula>NOT(ISERROR(SEARCH("Pesquisa de Preços",E540)))</formula>
    </cfRule>
  </conditionalFormatting>
  <conditionalFormatting sqref="E562:E563 E567:E568">
    <cfRule type="containsText" dxfId="2861" priority="7500" operator="containsText" text="Pesquisa de Preços">
      <formula>NOT(ISERROR(SEARCH("Pesquisa de Preços",E562)))</formula>
    </cfRule>
  </conditionalFormatting>
  <conditionalFormatting sqref="E561">
    <cfRule type="containsText" dxfId="2860" priority="7499" operator="containsText" text="Pesquisa de Preços">
      <formula>NOT(ISERROR(SEARCH("Pesquisa de Preços",E561)))</formula>
    </cfRule>
  </conditionalFormatting>
  <conditionalFormatting sqref="E1317">
    <cfRule type="containsText" dxfId="2859" priority="7311" operator="containsText" text="Pesquisa de Preços">
      <formula>NOT(ISERROR(SEARCH("Pesquisa de Preços",E1317)))</formula>
    </cfRule>
  </conditionalFormatting>
  <conditionalFormatting sqref="E564:E566">
    <cfRule type="containsText" dxfId="2858" priority="7498" operator="containsText" text="Pesquisa de Preços">
      <formula>NOT(ISERROR(SEARCH("Pesquisa de Preços",E564)))</formula>
    </cfRule>
  </conditionalFormatting>
  <conditionalFormatting sqref="E570:E571">
    <cfRule type="containsText" dxfId="2857" priority="7497" operator="containsText" text="Pesquisa de Preços">
      <formula>NOT(ISERROR(SEARCH("Pesquisa de Preços",E570)))</formula>
    </cfRule>
  </conditionalFormatting>
  <conditionalFormatting sqref="E1341">
    <cfRule type="containsText" dxfId="2856" priority="7309" operator="containsText" text="Pesquisa de Preços">
      <formula>NOT(ISERROR(SEARCH("Pesquisa de Preços",E1341)))</formula>
    </cfRule>
  </conditionalFormatting>
  <conditionalFormatting sqref="E580:E581 E584:E587">
    <cfRule type="containsText" dxfId="2855" priority="7495" operator="containsText" text="Pesquisa de Preços">
      <formula>NOT(ISERROR(SEARCH("Pesquisa de Preços",E580)))</formula>
    </cfRule>
  </conditionalFormatting>
  <conditionalFormatting sqref="E1354">
    <cfRule type="containsText" dxfId="2854" priority="7306" operator="containsText" text="Pesquisa de Preços">
      <formula>NOT(ISERROR(SEARCH("Pesquisa de Preços",E1354)))</formula>
    </cfRule>
  </conditionalFormatting>
  <conditionalFormatting sqref="E582:E583">
    <cfRule type="containsText" dxfId="2853" priority="7493" operator="containsText" text="Pesquisa de Preços">
      <formula>NOT(ISERROR(SEARCH("Pesquisa de Preços",E582)))</formula>
    </cfRule>
  </conditionalFormatting>
  <conditionalFormatting sqref="E622 E627:E628">
    <cfRule type="containsText" dxfId="2852" priority="7492" operator="containsText" text="Pesquisa de Preços">
      <formula>NOT(ISERROR(SEARCH("Pesquisa de Preços",E622)))</formula>
    </cfRule>
  </conditionalFormatting>
  <conditionalFormatting sqref="E621">
    <cfRule type="containsText" dxfId="2851" priority="7491" operator="containsText" text="Pesquisa de Preços">
      <formula>NOT(ISERROR(SEARCH("Pesquisa de Preços",E621)))</formula>
    </cfRule>
  </conditionalFormatting>
  <conditionalFormatting sqref="E1348">
    <cfRule type="containsText" dxfId="2850" priority="7303" operator="containsText" text="Pesquisa de Preços">
      <formula>NOT(ISERROR(SEARCH("Pesquisa de Preços",E1348)))</formula>
    </cfRule>
  </conditionalFormatting>
  <conditionalFormatting sqref="E1465">
    <cfRule type="containsText" dxfId="2849" priority="7266" operator="containsText" text="Pesquisa de Preços">
      <formula>NOT(ISERROR(SEARCH("Pesquisa de Preços",E1465)))</formula>
    </cfRule>
  </conditionalFormatting>
  <conditionalFormatting sqref="E832">
    <cfRule type="containsText" dxfId="2848" priority="7472" operator="containsText" text="Pesquisa de Preços">
      <formula>NOT(ISERROR(SEARCH("Pesquisa de Preços",E832)))</formula>
    </cfRule>
  </conditionalFormatting>
  <conditionalFormatting sqref="E1578">
    <cfRule type="containsText" dxfId="2847" priority="7262" operator="containsText" text="Pesquisa de Preços">
      <formula>NOT(ISERROR(SEARCH("Pesquisa de Preços",E1578)))</formula>
    </cfRule>
  </conditionalFormatting>
  <conditionalFormatting sqref="E748">
    <cfRule type="containsText" dxfId="2846" priority="7468" operator="containsText" text="Pesquisa de Preços">
      <formula>NOT(ISERROR(SEARCH("Pesquisa de Preços",E748)))</formula>
    </cfRule>
  </conditionalFormatting>
  <conditionalFormatting sqref="E676">
    <cfRule type="containsText" dxfId="2845" priority="7489" operator="containsText" text="Pesquisa de Preços">
      <formula>NOT(ISERROR(SEARCH("Pesquisa de Preços",E676)))</formula>
    </cfRule>
  </conditionalFormatting>
  <conditionalFormatting sqref="E668">
    <cfRule type="containsText" dxfId="2844" priority="7487" operator="containsText" text="Pesquisa de Preços">
      <formula>NOT(ISERROR(SEARCH("Pesquisa de Preços",E668)))</formula>
    </cfRule>
  </conditionalFormatting>
  <conditionalFormatting sqref="E714">
    <cfRule type="containsText" dxfId="2843" priority="7482" operator="containsText" text="Pesquisa de Preços">
      <formula>NOT(ISERROR(SEARCH("Pesquisa de Preços",E714)))</formula>
    </cfRule>
  </conditionalFormatting>
  <conditionalFormatting sqref="E686">
    <cfRule type="containsText" dxfId="2842" priority="7485" operator="containsText" text="Pesquisa de Preços">
      <formula>NOT(ISERROR(SEARCH("Pesquisa de Preços",E686)))</formula>
    </cfRule>
  </conditionalFormatting>
  <conditionalFormatting sqref="E758:E764">
    <cfRule type="containsText" dxfId="2841" priority="7464" operator="containsText" text="Pesquisa de Preços">
      <formula>NOT(ISERROR(SEARCH("Pesquisa de Preços",E758)))</formula>
    </cfRule>
  </conditionalFormatting>
  <conditionalFormatting sqref="E689:E691">
    <cfRule type="containsText" dxfId="2840" priority="7484" operator="containsText" text="Pesquisa de Preços">
      <formula>NOT(ISERROR(SEARCH("Pesquisa de Preços",E689)))</formula>
    </cfRule>
  </conditionalFormatting>
  <conditionalFormatting sqref="E724">
    <cfRule type="containsText" dxfId="2839" priority="7479" operator="containsText" text="Pesquisa de Preços">
      <formula>NOT(ISERROR(SEARCH("Pesquisa de Preços",E724)))</formula>
    </cfRule>
  </conditionalFormatting>
  <conditionalFormatting sqref="E730">
    <cfRule type="containsText" dxfId="2838" priority="7480" operator="containsText" text="Pesquisa de Preços">
      <formula>NOT(ISERROR(SEARCH("Pesquisa de Preços",E730)))</formula>
    </cfRule>
  </conditionalFormatting>
  <conditionalFormatting sqref="E827">
    <cfRule type="containsText" dxfId="2837" priority="7460" operator="containsText" text="Pesquisa de Preços">
      <formula>NOT(ISERROR(SEARCH("Pesquisa de Preços",E827)))</formula>
    </cfRule>
  </conditionalFormatting>
  <conditionalFormatting sqref="E723">
    <cfRule type="containsText" dxfId="2836" priority="7478" operator="containsText" text="Pesquisa de Preços">
      <formula>NOT(ISERROR(SEARCH("Pesquisa de Preços",E723)))</formula>
    </cfRule>
  </conditionalFormatting>
  <conditionalFormatting sqref="E767">
    <cfRule type="containsText" dxfId="2835" priority="7455" operator="containsText" text="Pesquisa de Preços">
      <formula>NOT(ISERROR(SEARCH("Pesquisa de Preços",E767)))</formula>
    </cfRule>
  </conditionalFormatting>
  <conditionalFormatting sqref="E839">
    <cfRule type="containsText" dxfId="2834" priority="7449" operator="containsText" text="Pesquisa de Preços">
      <formula>NOT(ISERROR(SEARCH("Pesquisa de Preços",E839)))</formula>
    </cfRule>
  </conditionalFormatting>
  <conditionalFormatting sqref="E745:E746">
    <cfRule type="containsText" dxfId="2833" priority="7477" operator="containsText" text="Pesquisa de Preços">
      <formula>NOT(ISERROR(SEARCH("Pesquisa de Preços",E745)))</formula>
    </cfRule>
  </conditionalFormatting>
  <conditionalFormatting sqref="E744">
    <cfRule type="containsText" dxfId="2832" priority="7476" operator="containsText" text="Pesquisa de Preços">
      <formula>NOT(ISERROR(SEARCH("Pesquisa de Preços",E744)))</formula>
    </cfRule>
  </conditionalFormatting>
  <conditionalFormatting sqref="E1420">
    <cfRule type="containsText" dxfId="2831" priority="7268" operator="containsText" text="Pesquisa de Preços">
      <formula>NOT(ISERROR(SEARCH("Pesquisa de Preços",E1420)))</formula>
    </cfRule>
  </conditionalFormatting>
  <conditionalFormatting sqref="E790">
    <cfRule type="containsText" dxfId="2830" priority="7474" operator="containsText" text="Pesquisa de Preços">
      <formula>NOT(ISERROR(SEARCH("Pesquisa de Preços",E790)))</formula>
    </cfRule>
  </conditionalFormatting>
  <conditionalFormatting sqref="E814">
    <cfRule type="containsText" dxfId="2829" priority="7470" operator="containsText" text="Pesquisa de Preços">
      <formula>NOT(ISERROR(SEARCH("Pesquisa de Preços",E814)))</formula>
    </cfRule>
  </conditionalFormatting>
  <conditionalFormatting sqref="E751:E752">
    <cfRule type="containsText" dxfId="2828" priority="7467" operator="containsText" text="Pesquisa de Preços">
      <formula>NOT(ISERROR(SEARCH("Pesquisa de Preços",E751)))</formula>
    </cfRule>
  </conditionalFormatting>
  <conditionalFormatting sqref="E755">
    <cfRule type="containsText" dxfId="2827" priority="7465" operator="containsText" text="Pesquisa de Preços">
      <formula>NOT(ISERROR(SEARCH("Pesquisa de Preços",E755)))</formula>
    </cfRule>
  </conditionalFormatting>
  <conditionalFormatting sqref="E948">
    <cfRule type="containsText" dxfId="2826" priority="7432" operator="containsText" text="Pesquisa de Preços">
      <formula>NOT(ISERROR(SEARCH("Pesquisa de Preços",E948)))</formula>
    </cfRule>
  </conditionalFormatting>
  <conditionalFormatting sqref="E823">
    <cfRule type="containsText" dxfId="2825" priority="7462" operator="containsText" text="Pesquisa de Preços">
      <formula>NOT(ISERROR(SEARCH("Pesquisa de Preços",E823)))</formula>
    </cfRule>
  </conditionalFormatting>
  <conditionalFormatting sqref="E1669">
    <cfRule type="containsText" dxfId="2824" priority="7226" operator="containsText" text="Pesquisa de Preços">
      <formula>NOT(ISERROR(SEARCH("Pesquisa de Preços",E1669)))</formula>
    </cfRule>
  </conditionalFormatting>
  <conditionalFormatting sqref="E804">
    <cfRule type="containsText" dxfId="2823" priority="7458" operator="containsText" text="Pesquisa de Preços">
      <formula>NOT(ISERROR(SEARCH("Pesquisa de Preços",E804)))</formula>
    </cfRule>
  </conditionalFormatting>
  <conditionalFormatting sqref="E980">
    <cfRule type="containsText" dxfId="2822" priority="7426" operator="containsText" text="Pesquisa de Preços">
      <formula>NOT(ISERROR(SEARCH("Pesquisa de Preços",E980)))</formula>
    </cfRule>
  </conditionalFormatting>
  <conditionalFormatting sqref="E819 E822">
    <cfRule type="containsText" dxfId="2821" priority="7457" operator="containsText" text="Pesquisa de Preços">
      <formula>NOT(ISERROR(SEARCH("Pesquisa de Preços",E819)))</formula>
    </cfRule>
  </conditionalFormatting>
  <conditionalFormatting sqref="E818">
    <cfRule type="containsText" dxfId="2820" priority="7456" operator="containsText" text="Pesquisa de Preços">
      <formula>NOT(ISERROR(SEARCH("Pesquisa de Preços",E818)))</formula>
    </cfRule>
  </conditionalFormatting>
  <conditionalFormatting sqref="E983:E988">
    <cfRule type="containsText" dxfId="2819" priority="7425" operator="containsText" text="Pesquisa de Preços">
      <formula>NOT(ISERROR(SEARCH("Pesquisa de Preços",E983)))</formula>
    </cfRule>
  </conditionalFormatting>
  <conditionalFormatting sqref="E766">
    <cfRule type="containsText" dxfId="2818" priority="7454" operator="containsText" text="Pesquisa de Preços">
      <formula>NOT(ISERROR(SEARCH("Pesquisa de Preços",E766)))</formula>
    </cfRule>
  </conditionalFormatting>
  <conditionalFormatting sqref="E1012">
    <cfRule type="containsText" dxfId="2817" priority="7420" operator="containsText" text="Pesquisa de Preços">
      <formula>NOT(ISERROR(SEARCH("Pesquisa de Preços",E1012)))</formula>
    </cfRule>
  </conditionalFormatting>
  <conditionalFormatting sqref="E184:E185">
    <cfRule type="containsText" dxfId="2816" priority="7453" operator="containsText" text="Pesquisa de Preços">
      <formula>NOT(ISERROR(SEARCH("Pesquisa de Preços",E184)))</formula>
    </cfRule>
  </conditionalFormatting>
  <conditionalFormatting sqref="E183">
    <cfRule type="containsText" dxfId="2815" priority="7452" operator="containsText" text="Pesquisa de Preços">
      <formula>NOT(ISERROR(SEARCH("Pesquisa de Preços",E183)))</formula>
    </cfRule>
  </conditionalFormatting>
  <conditionalFormatting sqref="E1015:E1018">
    <cfRule type="containsText" dxfId="2814" priority="7419" operator="containsText" text="Pesquisa de Preços">
      <formula>NOT(ISERROR(SEARCH("Pesquisa de Preços",E1015)))</formula>
    </cfRule>
  </conditionalFormatting>
  <conditionalFormatting sqref="E186:E188">
    <cfRule type="containsText" dxfId="2813" priority="7451" operator="containsText" text="Pesquisa de Preços">
      <formula>NOT(ISERROR(SEARCH("Pesquisa de Preços",E186)))</formula>
    </cfRule>
  </conditionalFormatting>
  <conditionalFormatting sqref="E840 E843:E844">
    <cfRule type="containsText" dxfId="2812" priority="7450" operator="containsText" text="Pesquisa de Preços">
      <formula>NOT(ISERROR(SEARCH("Pesquisa de Preços",E840)))</formula>
    </cfRule>
  </conditionalFormatting>
  <conditionalFormatting sqref="E1713">
    <cfRule type="containsText" dxfId="2811" priority="7218" operator="containsText" text="Pesquisa de Preços">
      <formula>NOT(ISERROR(SEARCH("Pesquisa de Preços",E1713)))</formula>
    </cfRule>
  </conditionalFormatting>
  <conditionalFormatting sqref="E842">
    <cfRule type="containsText" dxfId="2810" priority="7448" operator="containsText" text="Pesquisa de Preços">
      <formula>NOT(ISERROR(SEARCH("Pesquisa de Preços",E842)))</formula>
    </cfRule>
  </conditionalFormatting>
  <conditionalFormatting sqref="E914:E920">
    <cfRule type="containsText" dxfId="2809" priority="7447" operator="containsText" text="Pesquisa de Preços">
      <formula>NOT(ISERROR(SEARCH("Pesquisa de Preços",E914)))</formula>
    </cfRule>
  </conditionalFormatting>
  <conditionalFormatting sqref="E913">
    <cfRule type="containsText" dxfId="2808" priority="7446" operator="containsText" text="Pesquisa de Preços">
      <formula>NOT(ISERROR(SEARCH("Pesquisa de Preços",E913)))</formula>
    </cfRule>
  </conditionalFormatting>
  <conditionalFormatting sqref="E939:E945">
    <cfRule type="containsText" dxfId="2807" priority="7445" operator="containsText" text="Pesquisa de Preços">
      <formula>NOT(ISERROR(SEARCH("Pesquisa de Preços",E939)))</formula>
    </cfRule>
  </conditionalFormatting>
  <conditionalFormatting sqref="E938">
    <cfRule type="containsText" dxfId="2806" priority="7444" operator="containsText" text="Pesquisa de Preços">
      <formula>NOT(ISERROR(SEARCH("Pesquisa de Preços",E938)))</formula>
    </cfRule>
  </conditionalFormatting>
  <conditionalFormatting sqref="E1635">
    <cfRule type="containsText" dxfId="2805" priority="7240" operator="containsText" text="Pesquisa de Preços">
      <formula>NOT(ISERROR(SEARCH("Pesquisa de Preços",E1635)))</formula>
    </cfRule>
  </conditionalFormatting>
  <conditionalFormatting sqref="E930">
    <cfRule type="containsText" dxfId="2804" priority="7443" operator="containsText" text="Pesquisa de Preços">
      <formula>NOT(ISERROR(SEARCH("Pesquisa de Preços",E930)))</formula>
    </cfRule>
  </conditionalFormatting>
  <conditionalFormatting sqref="E929">
    <cfRule type="containsText" dxfId="2803" priority="7442" operator="containsText" text="Pesquisa de Preços">
      <formula>NOT(ISERROR(SEARCH("Pesquisa de Preços",E929)))</formula>
    </cfRule>
  </conditionalFormatting>
  <conditionalFormatting sqref="E1640">
    <cfRule type="containsText" dxfId="2802" priority="7238" operator="containsText" text="Pesquisa de Preços">
      <formula>NOT(ISERROR(SEARCH("Pesquisa de Preços",E1640)))</formula>
    </cfRule>
  </conditionalFormatting>
  <conditionalFormatting sqref="E922">
    <cfRule type="containsText" dxfId="2801" priority="7440" operator="containsText" text="Pesquisa de Preços">
      <formula>NOT(ISERROR(SEARCH("Pesquisa de Preços",E922)))</formula>
    </cfRule>
  </conditionalFormatting>
  <conditionalFormatting sqref="E923 E928">
    <cfRule type="containsText" dxfId="2800" priority="7441" operator="containsText" text="Pesquisa de Preços">
      <formula>NOT(ISERROR(SEARCH("Pesquisa de Preços",E923)))</formula>
    </cfRule>
  </conditionalFormatting>
  <conditionalFormatting sqref="E1611">
    <cfRule type="containsText" dxfId="2799" priority="7234" operator="containsText" text="Pesquisa de Preços">
      <formula>NOT(ISERROR(SEARCH("Pesquisa de Preços",E1611)))</formula>
    </cfRule>
  </conditionalFormatting>
  <conditionalFormatting sqref="E969:E971">
    <cfRule type="containsText" dxfId="2798" priority="7437" operator="containsText" text="Pesquisa de Preços">
      <formula>NOT(ISERROR(SEARCH("Pesquisa de Preços",E969)))</formula>
    </cfRule>
  </conditionalFormatting>
  <conditionalFormatting sqref="E967:E968">
    <cfRule type="containsText" dxfId="2797" priority="7439" operator="containsText" text="Pesquisa de Preços">
      <formula>NOT(ISERROR(SEARCH("Pesquisa de Preços",E967)))</formula>
    </cfRule>
  </conditionalFormatting>
  <conditionalFormatting sqref="E966">
    <cfRule type="containsText" dxfId="2796" priority="7438" operator="containsText" text="Pesquisa de Preços">
      <formula>NOT(ISERROR(SEARCH("Pesquisa de Preços",E966)))</formula>
    </cfRule>
  </conditionalFormatting>
  <conditionalFormatting sqref="E960">
    <cfRule type="containsText" dxfId="2795" priority="7436" operator="containsText" text="Pesquisa de Preços">
      <formula>NOT(ISERROR(SEARCH("Pesquisa de Preços",E960)))</formula>
    </cfRule>
  </conditionalFormatting>
  <conditionalFormatting sqref="E959">
    <cfRule type="containsText" dxfId="2794" priority="7435" operator="containsText" text="Pesquisa de Preços">
      <formula>NOT(ISERROR(SEARCH("Pesquisa de Preços",E959)))</formula>
    </cfRule>
  </conditionalFormatting>
  <conditionalFormatting sqref="E954 E958">
    <cfRule type="containsText" dxfId="2793" priority="7434" operator="containsText" text="Pesquisa de Preços">
      <formula>NOT(ISERROR(SEARCH("Pesquisa de Preços",E954)))</formula>
    </cfRule>
  </conditionalFormatting>
  <conditionalFormatting sqref="E953">
    <cfRule type="containsText" dxfId="2792" priority="7433" operator="containsText" text="Pesquisa de Preços">
      <formula>NOT(ISERROR(SEARCH("Pesquisa de Preços",E953)))</formula>
    </cfRule>
  </conditionalFormatting>
  <conditionalFormatting sqref="E1059">
    <cfRule type="containsText" dxfId="2791" priority="7400" operator="containsText" text="Pesquisa de Preços">
      <formula>NOT(ISERROR(SEARCH("Pesquisa de Preços",E1059)))</formula>
    </cfRule>
  </conditionalFormatting>
  <conditionalFormatting sqref="E973">
    <cfRule type="containsText" dxfId="2790" priority="7429" operator="containsText" text="Pesquisa de Preços">
      <formula>NOT(ISERROR(SEARCH("Pesquisa de Preços",E973)))</formula>
    </cfRule>
  </conditionalFormatting>
  <conditionalFormatting sqref="E947">
    <cfRule type="containsText" dxfId="2789" priority="7431" operator="containsText" text="Pesquisa de Preços">
      <formula>NOT(ISERROR(SEARCH("Pesquisa de Preços",E947)))</formula>
    </cfRule>
  </conditionalFormatting>
  <conditionalFormatting sqref="E974:E975 E978:E979">
    <cfRule type="containsText" dxfId="2788" priority="7430" operator="containsText" text="Pesquisa de Preços">
      <formula>NOT(ISERROR(SEARCH("Pesquisa de Preços",E974)))</formula>
    </cfRule>
  </conditionalFormatting>
  <conditionalFormatting sqref="E976:E977">
    <cfRule type="containsText" dxfId="2787" priority="7428" operator="containsText" text="Pesquisa de Preços">
      <formula>NOT(ISERROR(SEARCH("Pesquisa de Preços",E976)))</formula>
    </cfRule>
  </conditionalFormatting>
  <conditionalFormatting sqref="E981:E982 E989:E990">
    <cfRule type="containsText" dxfId="2786" priority="7427" operator="containsText" text="Pesquisa de Preços">
      <formula>NOT(ISERROR(SEARCH("Pesquisa de Preços",E981)))</formula>
    </cfRule>
  </conditionalFormatting>
  <conditionalFormatting sqref="E1658">
    <cfRule type="containsText" dxfId="2785" priority="7224" operator="containsText" text="Pesquisa de Preços">
      <formula>NOT(ISERROR(SEARCH("Pesquisa de Preços",E1658)))</formula>
    </cfRule>
  </conditionalFormatting>
  <conditionalFormatting sqref="E992:E993 E1000:E1001">
    <cfRule type="containsText" dxfId="2784" priority="7424" operator="containsText" text="Pesquisa de Preços">
      <formula>NOT(ISERROR(SEARCH("Pesquisa de Preços",E992)))</formula>
    </cfRule>
  </conditionalFormatting>
  <conditionalFormatting sqref="E991">
    <cfRule type="containsText" dxfId="2783" priority="7423" operator="containsText" text="Pesquisa de Preços">
      <formula>NOT(ISERROR(SEARCH("Pesquisa de Preços",E991)))</formula>
    </cfRule>
  </conditionalFormatting>
  <conditionalFormatting sqref="E1735">
    <cfRule type="containsText" dxfId="2782" priority="7222" operator="containsText" text="Pesquisa de Preços">
      <formula>NOT(ISERROR(SEARCH("Pesquisa de Preços",E1735)))</formula>
    </cfRule>
  </conditionalFormatting>
  <conditionalFormatting sqref="E998:E999 E994:E996">
    <cfRule type="containsText" dxfId="2781" priority="7422" operator="containsText" text="Pesquisa de Preços">
      <formula>NOT(ISERROR(SEARCH("Pesquisa de Preços",E994)))</formula>
    </cfRule>
  </conditionalFormatting>
  <conditionalFormatting sqref="E1013:E1014 E1019:E1020">
    <cfRule type="containsText" dxfId="2780" priority="7421" operator="containsText" text="Pesquisa de Preços">
      <formula>NOT(ISERROR(SEARCH("Pesquisa de Preços",E1013)))</formula>
    </cfRule>
  </conditionalFormatting>
  <conditionalFormatting sqref="E1746">
    <cfRule type="containsText" dxfId="2779" priority="7220" operator="containsText" text="Pesquisa de Preços">
      <formula>NOT(ISERROR(SEARCH("Pesquisa de Preços",E1746)))</formula>
    </cfRule>
  </conditionalFormatting>
  <conditionalFormatting sqref="E1003:E1004">
    <cfRule type="containsText" dxfId="2778" priority="7418" operator="containsText" text="Pesquisa de Preços">
      <formula>NOT(ISERROR(SEARCH("Pesquisa de Preços",E1003)))</formula>
    </cfRule>
  </conditionalFormatting>
  <conditionalFormatting sqref="E1002">
    <cfRule type="containsText" dxfId="2777" priority="7417" operator="containsText" text="Pesquisa de Preços">
      <formula>NOT(ISERROR(SEARCH("Pesquisa de Preços",E1002)))</formula>
    </cfRule>
  </conditionalFormatting>
  <conditionalFormatting sqref="E1007">
    <cfRule type="containsText" dxfId="2776" priority="7415" operator="containsText" text="Pesquisa de Preços">
      <formula>NOT(ISERROR(SEARCH("Pesquisa de Preços",E1007)))</formula>
    </cfRule>
  </conditionalFormatting>
  <conditionalFormatting sqref="E1008:E1009">
    <cfRule type="containsText" dxfId="2775" priority="7416" operator="containsText" text="Pesquisa de Preços">
      <formula>NOT(ISERROR(SEARCH("Pesquisa de Preços",E1008)))</formula>
    </cfRule>
  </conditionalFormatting>
  <conditionalFormatting sqref="E1724">
    <cfRule type="containsText" dxfId="2774" priority="7216" operator="containsText" text="Pesquisa de Preços">
      <formula>NOT(ISERROR(SEARCH("Pesquisa de Preços",E1724)))</formula>
    </cfRule>
  </conditionalFormatting>
  <conditionalFormatting sqref="E1026">
    <cfRule type="containsText" dxfId="2773" priority="7413" operator="containsText" text="Pesquisa de Preços">
      <formula>NOT(ISERROR(SEARCH("Pesquisa de Preços",E1026)))</formula>
    </cfRule>
  </conditionalFormatting>
  <conditionalFormatting sqref="E1027:E1028 E1035">
    <cfRule type="containsText" dxfId="2772" priority="7414" operator="containsText" text="Pesquisa de Preços">
      <formula>NOT(ISERROR(SEARCH("Pesquisa de Preços",E1027)))</formula>
    </cfRule>
  </conditionalFormatting>
  <conditionalFormatting sqref="E1699">
    <cfRule type="containsText" dxfId="2771" priority="7214" operator="containsText" text="Pesquisa de Preços">
      <formula>NOT(ISERROR(SEARCH("Pesquisa de Preços",E1699)))</formula>
    </cfRule>
  </conditionalFormatting>
  <conditionalFormatting sqref="E1030:E1033">
    <cfRule type="containsText" dxfId="2770" priority="7412" operator="containsText" text="Pesquisa de Preços">
      <formula>NOT(ISERROR(SEARCH("Pesquisa de Preços",E1030)))</formula>
    </cfRule>
  </conditionalFormatting>
  <conditionalFormatting sqref="E1037:E1038 E1044">
    <cfRule type="containsText" dxfId="2769" priority="7411" operator="containsText" text="Pesquisa de Preços">
      <formula>NOT(ISERROR(SEARCH("Pesquisa de Preços",E1037)))</formula>
    </cfRule>
  </conditionalFormatting>
  <conditionalFormatting sqref="E1036">
    <cfRule type="containsText" dxfId="2768" priority="7410" operator="containsText" text="Pesquisa de Preços">
      <formula>NOT(ISERROR(SEARCH("Pesquisa de Preços",E1036)))</formula>
    </cfRule>
  </conditionalFormatting>
  <conditionalFormatting sqref="E1705">
    <cfRule type="containsText" dxfId="2767" priority="7212" operator="containsText" text="Pesquisa de Preços">
      <formula>NOT(ISERROR(SEARCH("Pesquisa de Preços",E1705)))</formula>
    </cfRule>
  </conditionalFormatting>
  <conditionalFormatting sqref="E1022:E1023">
    <cfRule type="containsText" dxfId="2766" priority="7409" operator="containsText" text="Pesquisa de Preços">
      <formula>NOT(ISERROR(SEARCH("Pesquisa de Preços",E1022)))</formula>
    </cfRule>
  </conditionalFormatting>
  <conditionalFormatting sqref="E1021">
    <cfRule type="containsText" dxfId="2765" priority="7408" operator="containsText" text="Pesquisa de Preços">
      <formula>NOT(ISERROR(SEARCH("Pesquisa de Preços",E1021)))</formula>
    </cfRule>
  </conditionalFormatting>
  <conditionalFormatting sqref="E1024">
    <cfRule type="containsText" dxfId="2764" priority="7407" operator="containsText" text="Pesquisa de Preços">
      <formula>NOT(ISERROR(SEARCH("Pesquisa de Preços",E1024)))</formula>
    </cfRule>
  </conditionalFormatting>
  <conditionalFormatting sqref="E1099:E1100">
    <cfRule type="containsText" dxfId="2763" priority="7406" operator="containsText" text="Pesquisa de Preços">
      <formula>NOT(ISERROR(SEARCH("Pesquisa de Preços",E1099)))</formula>
    </cfRule>
  </conditionalFormatting>
  <conditionalFormatting sqref="E1098">
    <cfRule type="containsText" dxfId="2762" priority="7405" operator="containsText" text="Pesquisa de Preços">
      <formula>NOT(ISERROR(SEARCH("Pesquisa de Preços",E1098)))</formula>
    </cfRule>
  </conditionalFormatting>
  <conditionalFormatting sqref="E1046:E1047 E1050:E1051">
    <cfRule type="containsText" dxfId="2761" priority="7404" operator="containsText" text="Pesquisa de Preços">
      <formula>NOT(ISERROR(SEARCH("Pesquisa de Preços",E1046)))</formula>
    </cfRule>
  </conditionalFormatting>
  <conditionalFormatting sqref="E1045">
    <cfRule type="containsText" dxfId="2760" priority="7403" operator="containsText" text="Pesquisa de Preços">
      <formula>NOT(ISERROR(SEARCH("Pesquisa de Preços",E1045)))</formula>
    </cfRule>
  </conditionalFormatting>
  <conditionalFormatting sqref="E1048:E1049">
    <cfRule type="containsText" dxfId="2759" priority="7402" operator="containsText" text="Pesquisa de Preços">
      <formula>NOT(ISERROR(SEARCH("Pesquisa de Preços",E1048)))</formula>
    </cfRule>
  </conditionalFormatting>
  <conditionalFormatting sqref="E1060:E1061 E1065">
    <cfRule type="containsText" dxfId="2758" priority="7401" operator="containsText" text="Pesquisa de Preços">
      <formula>NOT(ISERROR(SEARCH("Pesquisa de Preços",E1060)))</formula>
    </cfRule>
  </conditionalFormatting>
  <conditionalFormatting sqref="E1091:E1092 E1097">
    <cfRule type="containsText" dxfId="2757" priority="7399" operator="containsText" text="Pesquisa de Preços">
      <formula>NOT(ISERROR(SEARCH("Pesquisa de Preços",E1091)))</formula>
    </cfRule>
  </conditionalFormatting>
  <conditionalFormatting sqref="E1090">
    <cfRule type="containsText" dxfId="2756" priority="7398" operator="containsText" text="Pesquisa de Preços">
      <formula>NOT(ISERROR(SEARCH("Pesquisa de Preços",E1090)))</formula>
    </cfRule>
  </conditionalFormatting>
  <conditionalFormatting sqref="E1053:E1054">
    <cfRule type="containsText" dxfId="2755" priority="7396" operator="containsText" text="Pesquisa de Preços">
      <formula>NOT(ISERROR(SEARCH("Pesquisa de Preços",E1053)))</formula>
    </cfRule>
  </conditionalFormatting>
  <conditionalFormatting sqref="E1052">
    <cfRule type="containsText" dxfId="2754" priority="7395" operator="containsText" text="Pesquisa de Preços">
      <formula>NOT(ISERROR(SEARCH("Pesquisa de Preços",E1052)))</formula>
    </cfRule>
  </conditionalFormatting>
  <conditionalFormatting sqref="E1055:E1057">
    <cfRule type="containsText" dxfId="2753" priority="7394" operator="containsText" text="Pesquisa de Preços">
      <formula>NOT(ISERROR(SEARCH("Pesquisa de Preços",E1055)))</formula>
    </cfRule>
  </conditionalFormatting>
  <conditionalFormatting sqref="E1067">
    <cfRule type="containsText" dxfId="2752" priority="7393" operator="containsText" text="Pesquisa de Preços">
      <formula>NOT(ISERROR(SEARCH("Pesquisa de Preços",E1067)))</formula>
    </cfRule>
  </conditionalFormatting>
  <conditionalFormatting sqref="E1066">
    <cfRule type="containsText" dxfId="2751" priority="7392" operator="containsText" text="Pesquisa de Preços">
      <formula>NOT(ISERROR(SEARCH("Pesquisa de Preços",E1066)))</formula>
    </cfRule>
  </conditionalFormatting>
  <conditionalFormatting sqref="E1083 E1089">
    <cfRule type="containsText" dxfId="2750" priority="7391" operator="containsText" text="Pesquisa de Preços">
      <formula>NOT(ISERROR(SEARCH("Pesquisa de Preços",E1083)))</formula>
    </cfRule>
  </conditionalFormatting>
  <conditionalFormatting sqref="E1082">
    <cfRule type="containsText" dxfId="2749" priority="7390" operator="containsText" text="Pesquisa de Preços">
      <formula>NOT(ISERROR(SEARCH("Pesquisa de Preços",E1082)))</formula>
    </cfRule>
  </conditionalFormatting>
  <conditionalFormatting sqref="E1074 E1081">
    <cfRule type="containsText" dxfId="2748" priority="7389" operator="containsText" text="Pesquisa de Preços">
      <formula>NOT(ISERROR(SEARCH("Pesquisa de Preços",E1074)))</formula>
    </cfRule>
  </conditionalFormatting>
  <conditionalFormatting sqref="E1073">
    <cfRule type="containsText" dxfId="2747" priority="7388" operator="containsText" text="Pesquisa de Preços">
      <formula>NOT(ISERROR(SEARCH("Pesquisa de Preços",E1073)))</formula>
    </cfRule>
  </conditionalFormatting>
  <conditionalFormatting sqref="E1122:E1123">
    <cfRule type="containsText" dxfId="2746" priority="7387" operator="containsText" text="Pesquisa de Preços">
      <formula>NOT(ISERROR(SEARCH("Pesquisa de Preços",E1122)))</formula>
    </cfRule>
  </conditionalFormatting>
  <conditionalFormatting sqref="E1121">
    <cfRule type="containsText" dxfId="2745" priority="7386" operator="containsText" text="Pesquisa de Preços">
      <formula>NOT(ISERROR(SEARCH("Pesquisa de Preços",E1121)))</formula>
    </cfRule>
  </conditionalFormatting>
  <conditionalFormatting sqref="E1124">
    <cfRule type="containsText" dxfId="2744" priority="7385" operator="containsText" text="Pesquisa de Preços">
      <formula>NOT(ISERROR(SEARCH("Pesquisa de Preços",E1124)))</formula>
    </cfRule>
  </conditionalFormatting>
  <conditionalFormatting sqref="E1117:E1118">
    <cfRule type="containsText" dxfId="2743" priority="7384" operator="containsText" text="Pesquisa de Preços">
      <formula>NOT(ISERROR(SEARCH("Pesquisa de Preços",E1117)))</formula>
    </cfRule>
  </conditionalFormatting>
  <conditionalFormatting sqref="E1116">
    <cfRule type="containsText" dxfId="2742" priority="7383" operator="containsText" text="Pesquisa de Preços">
      <formula>NOT(ISERROR(SEARCH("Pesquisa de Preços",E1116)))</formula>
    </cfRule>
  </conditionalFormatting>
  <conditionalFormatting sqref="E1842">
    <cfRule type="containsText" dxfId="2741" priority="7201" operator="containsText" text="Pesquisa de Preços">
      <formula>NOT(ISERROR(SEARCH("Pesquisa de Preços",E1842)))</formula>
    </cfRule>
  </conditionalFormatting>
  <conditionalFormatting sqref="E1244">
    <cfRule type="containsText" dxfId="2740" priority="7382" operator="containsText" text="Pesquisa de Preços">
      <formula>NOT(ISERROR(SEARCH("Pesquisa de Preços",E1244)))</formula>
    </cfRule>
  </conditionalFormatting>
  <conditionalFormatting sqref="E1227">
    <cfRule type="containsText" dxfId="2739" priority="7377" operator="containsText" text="Pesquisa de Preços">
      <formula>NOT(ISERROR(SEARCH("Pesquisa de Preços",E1227)))</formula>
    </cfRule>
  </conditionalFormatting>
  <conditionalFormatting sqref="E1848">
    <cfRule type="containsText" dxfId="2738" priority="7198" operator="containsText" text="Pesquisa de Preços">
      <formula>NOT(ISERROR(SEARCH("Pesquisa de Preços",E1848)))</formula>
    </cfRule>
  </conditionalFormatting>
  <conditionalFormatting sqref="E1238">
    <cfRule type="containsText" dxfId="2737" priority="7380" operator="containsText" text="Pesquisa de Preços">
      <formula>NOT(ISERROR(SEARCH("Pesquisa de Preços",E1238)))</formula>
    </cfRule>
  </conditionalFormatting>
  <conditionalFormatting sqref="E1137">
    <cfRule type="containsText" dxfId="2736" priority="7373" operator="containsText" text="Pesquisa de Preços">
      <formula>NOT(ISERROR(SEARCH("Pesquisa de Preços",E1137)))</formula>
    </cfRule>
  </conditionalFormatting>
  <conditionalFormatting sqref="E1835">
    <cfRule type="containsText" dxfId="2735" priority="7195" operator="containsText" text="Pesquisa de Preços">
      <formula>NOT(ISERROR(SEARCH("Pesquisa de Preços",E1835)))</formula>
    </cfRule>
  </conditionalFormatting>
  <conditionalFormatting sqref="E1228:E1229 E1232">
    <cfRule type="containsText" dxfId="2734" priority="7378" operator="containsText" text="Pesquisa de Preços">
      <formula>NOT(ISERROR(SEARCH("Pesquisa de Preços",E1228)))</formula>
    </cfRule>
  </conditionalFormatting>
  <conditionalFormatting sqref="E1854">
    <cfRule type="containsText" dxfId="2733" priority="7193" operator="containsText" text="Pesquisa de Preços">
      <formula>NOT(ISERROR(SEARCH("Pesquisa de Preços",E1854)))</formula>
    </cfRule>
  </conditionalFormatting>
  <conditionalFormatting sqref="E1222:E1223 E1226">
    <cfRule type="containsText" dxfId="2732" priority="7376" operator="containsText" text="Pesquisa de Preços">
      <formula>NOT(ISERROR(SEARCH("Pesquisa de Preços",E1222)))</formula>
    </cfRule>
  </conditionalFormatting>
  <conditionalFormatting sqref="E1221">
    <cfRule type="containsText" dxfId="2731" priority="7375" operator="containsText" text="Pesquisa de Preços">
      <formula>NOT(ISERROR(SEARCH("Pesquisa de Preços",E1221)))</formula>
    </cfRule>
  </conditionalFormatting>
  <conditionalFormatting sqref="E1138:E1139 E1142:E1143">
    <cfRule type="containsText" dxfId="2730" priority="7374" operator="containsText" text="Pesquisa de Preços">
      <formula>NOT(ISERROR(SEARCH("Pesquisa de Preços",E1138)))</formula>
    </cfRule>
  </conditionalFormatting>
  <conditionalFormatting sqref="E1140:E1141">
    <cfRule type="containsText" dxfId="2729" priority="7372" operator="containsText" text="Pesquisa de Preços">
      <formula>NOT(ISERROR(SEARCH("Pesquisa de Preços",E1140)))</formula>
    </cfRule>
  </conditionalFormatting>
  <conditionalFormatting sqref="E1127:E1128 E1130:E1131">
    <cfRule type="containsText" dxfId="2728" priority="7371" operator="containsText" text="Pesquisa de Preços">
      <formula>NOT(ISERROR(SEARCH("Pesquisa de Preços",E1127)))</formula>
    </cfRule>
  </conditionalFormatting>
  <conditionalFormatting sqref="E1126">
    <cfRule type="containsText" dxfId="2727" priority="7370" operator="containsText" text="Pesquisa de Preços">
      <formula>NOT(ISERROR(SEARCH("Pesquisa de Preços",E1126)))</formula>
    </cfRule>
  </conditionalFormatting>
  <conditionalFormatting sqref="E1129">
    <cfRule type="containsText" dxfId="2726" priority="7369" operator="containsText" text="Pesquisa de Preços">
      <formula>NOT(ISERROR(SEARCH("Pesquisa de Preços",E1129)))</formula>
    </cfRule>
  </conditionalFormatting>
  <conditionalFormatting sqref="E1260 E1265">
    <cfRule type="containsText" dxfId="2725" priority="7368" operator="containsText" text="Pesquisa de Preços">
      <formula>NOT(ISERROR(SEARCH("Pesquisa de Preços",E1260)))</formula>
    </cfRule>
  </conditionalFormatting>
  <conditionalFormatting sqref="E1259">
    <cfRule type="containsText" dxfId="2724" priority="7367" operator="containsText" text="Pesquisa de Preços">
      <formula>NOT(ISERROR(SEARCH("Pesquisa de Preços",E1259)))</formula>
    </cfRule>
  </conditionalFormatting>
  <conditionalFormatting sqref="E1248:E1249">
    <cfRule type="containsText" dxfId="2723" priority="7364" operator="containsText" text="Pesquisa de Preços">
      <formula>NOT(ISERROR(SEARCH("Pesquisa de Preços",E1248)))</formula>
    </cfRule>
  </conditionalFormatting>
  <conditionalFormatting sqref="E1246:E1247 E1250:E1251">
    <cfRule type="containsText" dxfId="2722" priority="7366" operator="containsText" text="Pesquisa de Preços">
      <formula>NOT(ISERROR(SEARCH("Pesquisa de Preços",E1246)))</formula>
    </cfRule>
  </conditionalFormatting>
  <conditionalFormatting sqref="E1245">
    <cfRule type="containsText" dxfId="2721" priority="7365" operator="containsText" text="Pesquisa de Preços">
      <formula>NOT(ISERROR(SEARCH("Pesquisa de Preços",E1245)))</formula>
    </cfRule>
  </conditionalFormatting>
  <conditionalFormatting sqref="E1152:E1153 E1156:E1157">
    <cfRule type="containsText" dxfId="2720" priority="7363" operator="containsText" text="Pesquisa de Preços">
      <formula>NOT(ISERROR(SEARCH("Pesquisa de Preços",E1152)))</formula>
    </cfRule>
  </conditionalFormatting>
  <conditionalFormatting sqref="E1151">
    <cfRule type="containsText" dxfId="2719" priority="7362" operator="containsText" text="Pesquisa de Preços">
      <formula>NOT(ISERROR(SEARCH("Pesquisa de Preços",E1151)))</formula>
    </cfRule>
  </conditionalFormatting>
  <conditionalFormatting sqref="E1154:E1155">
    <cfRule type="containsText" dxfId="2718" priority="7361" operator="containsText" text="Pesquisa de Preços">
      <formula>NOT(ISERROR(SEARCH("Pesquisa de Preços",E1154)))</formula>
    </cfRule>
  </conditionalFormatting>
  <conditionalFormatting sqref="E1187:E1188 E1192">
    <cfRule type="containsText" dxfId="2717" priority="7360" operator="containsText" text="Pesquisa de Preços">
      <formula>NOT(ISERROR(SEARCH("Pesquisa de Preços",E1187)))</formula>
    </cfRule>
  </conditionalFormatting>
  <conditionalFormatting sqref="E1186">
    <cfRule type="containsText" dxfId="2716" priority="7359" operator="containsText" text="Pesquisa de Preços">
      <formula>NOT(ISERROR(SEARCH("Pesquisa de Preços",E1186)))</formula>
    </cfRule>
  </conditionalFormatting>
  <conditionalFormatting sqref="E1194:E1195 E1199">
    <cfRule type="containsText" dxfId="2715" priority="7357" operator="containsText" text="Pesquisa de Preços">
      <formula>NOT(ISERROR(SEARCH("Pesquisa de Preços",E1194)))</formula>
    </cfRule>
  </conditionalFormatting>
  <conditionalFormatting sqref="E1193">
    <cfRule type="containsText" dxfId="2714" priority="7356" operator="containsText" text="Pesquisa de Preços">
      <formula>NOT(ISERROR(SEARCH("Pesquisa de Preços",E1193)))</formula>
    </cfRule>
  </conditionalFormatting>
  <conditionalFormatting sqref="E1902">
    <cfRule type="containsText" dxfId="2713" priority="7183" operator="containsText" text="Pesquisa de Preços">
      <formula>NOT(ISERROR(SEARCH("Pesquisa de Preços",E1902)))</formula>
    </cfRule>
  </conditionalFormatting>
  <conditionalFormatting sqref="E1201:E1202 E1206">
    <cfRule type="containsText" dxfId="2712" priority="7354" operator="containsText" text="Pesquisa de Preços">
      <formula>NOT(ISERROR(SEARCH("Pesquisa de Preços",E1201)))</formula>
    </cfRule>
  </conditionalFormatting>
  <conditionalFormatting sqref="E1200">
    <cfRule type="containsText" dxfId="2711" priority="7353" operator="containsText" text="Pesquisa de Preços">
      <formula>NOT(ISERROR(SEARCH("Pesquisa de Preços",E1200)))</formula>
    </cfRule>
  </conditionalFormatting>
  <conditionalFormatting sqref="E1908">
    <cfRule type="containsText" dxfId="2710" priority="7180" operator="containsText" text="Pesquisa de Preços">
      <formula>NOT(ISERROR(SEARCH("Pesquisa de Preços",E1908)))</formula>
    </cfRule>
  </conditionalFormatting>
  <conditionalFormatting sqref="E1180:E1181 E1184:E1185">
    <cfRule type="containsText" dxfId="2709" priority="7351" operator="containsText" text="Pesquisa de Preços">
      <formula>NOT(ISERROR(SEARCH("Pesquisa de Preços",E1180)))</formula>
    </cfRule>
  </conditionalFormatting>
  <conditionalFormatting sqref="E1179">
    <cfRule type="containsText" dxfId="2708" priority="7350" operator="containsText" text="Pesquisa de Preços">
      <formula>NOT(ISERROR(SEARCH("Pesquisa de Preços",E1179)))</formula>
    </cfRule>
  </conditionalFormatting>
  <conditionalFormatting sqref="E1182:E1183">
    <cfRule type="containsText" dxfId="2707" priority="7349" operator="containsText" text="Pesquisa de Preços">
      <formula>NOT(ISERROR(SEARCH("Pesquisa de Preços",E1182)))</formula>
    </cfRule>
  </conditionalFormatting>
  <conditionalFormatting sqref="E1145:E1146 E1149:E1150">
    <cfRule type="containsText" dxfId="2706" priority="7348" operator="containsText" text="Pesquisa de Preços">
      <formula>NOT(ISERROR(SEARCH("Pesquisa de Preços",E1145)))</formula>
    </cfRule>
  </conditionalFormatting>
  <conditionalFormatting sqref="E1144">
    <cfRule type="containsText" dxfId="2705" priority="7347" operator="containsText" text="Pesquisa de Preços">
      <formula>NOT(ISERROR(SEARCH("Pesquisa de Preços",E1144)))</formula>
    </cfRule>
  </conditionalFormatting>
  <conditionalFormatting sqref="E1924">
    <cfRule type="containsText" dxfId="2704" priority="7177" operator="containsText" text="Pesquisa de Preços">
      <formula>NOT(ISERROR(SEARCH("Pesquisa de Preços",E1924)))</formula>
    </cfRule>
  </conditionalFormatting>
  <conditionalFormatting sqref="E1147:E1148">
    <cfRule type="containsText" dxfId="2703" priority="7346" operator="containsText" text="Pesquisa de Preços">
      <formula>NOT(ISERROR(SEARCH("Pesquisa de Preços",E1147)))</formula>
    </cfRule>
  </conditionalFormatting>
  <conditionalFormatting sqref="E1166:E1167 E1170:E1171">
    <cfRule type="containsText" dxfId="2702" priority="7345" operator="containsText" text="Pesquisa de Preços">
      <formula>NOT(ISERROR(SEARCH("Pesquisa de Preços",E1166)))</formula>
    </cfRule>
  </conditionalFormatting>
  <conditionalFormatting sqref="E1165">
    <cfRule type="containsText" dxfId="2701" priority="7344" operator="containsText" text="Pesquisa de Preços">
      <formula>NOT(ISERROR(SEARCH("Pesquisa de Preços",E1165)))</formula>
    </cfRule>
  </conditionalFormatting>
  <conditionalFormatting sqref="E1919">
    <cfRule type="containsText" dxfId="2700" priority="7175" operator="containsText" text="Pesquisa de Preços">
      <formula>NOT(ISERROR(SEARCH("Pesquisa de Preços",E1919)))</formula>
    </cfRule>
  </conditionalFormatting>
  <conditionalFormatting sqref="E1168:E1169">
    <cfRule type="containsText" dxfId="2699" priority="7343" operator="containsText" text="Pesquisa de Preços">
      <formula>NOT(ISERROR(SEARCH("Pesquisa de Preços",E1168)))</formula>
    </cfRule>
  </conditionalFormatting>
  <conditionalFormatting sqref="E1173 E1178">
    <cfRule type="containsText" dxfId="2698" priority="7342" operator="containsText" text="Pesquisa de Preços">
      <formula>NOT(ISERROR(SEARCH("Pesquisa de Preços",E1173)))</formula>
    </cfRule>
  </conditionalFormatting>
  <conditionalFormatting sqref="E1172">
    <cfRule type="containsText" dxfId="2697" priority="7341" operator="containsText" text="Pesquisa de Preços">
      <formula>NOT(ISERROR(SEARCH("Pesquisa de Preços",E1172)))</formula>
    </cfRule>
  </conditionalFormatting>
  <conditionalFormatting sqref="E1929">
    <cfRule type="containsText" dxfId="2696" priority="7173" operator="containsText" text="Pesquisa de Preços">
      <formula>NOT(ISERROR(SEARCH("Pesquisa de Preços",E1929)))</formula>
    </cfRule>
  </conditionalFormatting>
  <conditionalFormatting sqref="E1207">
    <cfRule type="containsText" dxfId="2695" priority="7339" operator="containsText" text="Pesquisa de Preços">
      <formula>NOT(ISERROR(SEARCH("Pesquisa de Preços",E1207)))</formula>
    </cfRule>
  </conditionalFormatting>
  <conditionalFormatting sqref="E1208:E1209 E1213">
    <cfRule type="containsText" dxfId="2694" priority="7340" operator="containsText" text="Pesquisa de Preços">
      <formula>NOT(ISERROR(SEARCH("Pesquisa de Preços",E1208)))</formula>
    </cfRule>
  </conditionalFormatting>
  <conditionalFormatting sqref="E1952">
    <cfRule type="containsText" dxfId="2693" priority="7171" operator="containsText" text="Pesquisa de Preços">
      <formula>NOT(ISERROR(SEARCH("Pesquisa de Preços",E1952)))</formula>
    </cfRule>
  </conditionalFormatting>
  <conditionalFormatting sqref="E1210:E1211">
    <cfRule type="containsText" dxfId="2692" priority="7338" operator="containsText" text="Pesquisa de Preços">
      <formula>NOT(ISERROR(SEARCH("Pesquisa de Preços",E1210)))</formula>
    </cfRule>
  </conditionalFormatting>
  <conditionalFormatting sqref="E1133">
    <cfRule type="containsText" dxfId="2691" priority="7337" operator="containsText" text="Pesquisa de Preços">
      <formula>NOT(ISERROR(SEARCH("Pesquisa de Preços",E1133)))</formula>
    </cfRule>
  </conditionalFormatting>
  <conditionalFormatting sqref="E1132">
    <cfRule type="containsText" dxfId="2690" priority="7336" operator="containsText" text="Pesquisa de Preços">
      <formula>NOT(ISERROR(SEARCH("Pesquisa de Preços",E1132)))</formula>
    </cfRule>
  </conditionalFormatting>
  <conditionalFormatting sqref="E1267:E1268 E1270:E1271">
    <cfRule type="containsText" dxfId="2689" priority="7335" operator="containsText" text="Pesquisa de Preços">
      <formula>NOT(ISERROR(SEARCH("Pesquisa de Preços",E1267)))</formula>
    </cfRule>
  </conditionalFormatting>
  <conditionalFormatting sqref="E1269">
    <cfRule type="containsText" dxfId="2688" priority="7333" operator="containsText" text="Pesquisa de Preços">
      <formula>NOT(ISERROR(SEARCH("Pesquisa de Preços",E1269)))</formula>
    </cfRule>
  </conditionalFormatting>
  <conditionalFormatting sqref="E1301:E1302 E1306:E1307">
    <cfRule type="containsText" dxfId="2687" priority="7332" operator="containsText" text="Pesquisa de Preços">
      <formula>NOT(ISERROR(SEARCH("Pesquisa de Preços",E1301)))</formula>
    </cfRule>
  </conditionalFormatting>
  <conditionalFormatting sqref="E1303:E1305">
    <cfRule type="containsText" dxfId="2686" priority="7330" operator="containsText" text="Pesquisa de Preços">
      <formula>NOT(ISERROR(SEARCH("Pesquisa de Preços",E1303)))</formula>
    </cfRule>
  </conditionalFormatting>
  <conditionalFormatting sqref="E1309 E1315:E1316">
    <cfRule type="containsText" dxfId="2685" priority="7329" operator="containsText" text="Pesquisa de Preços">
      <formula>NOT(ISERROR(SEARCH("Pesquisa de Preços",E1309)))</formula>
    </cfRule>
  </conditionalFormatting>
  <conditionalFormatting sqref="E1399:E1400 E1403:E1404">
    <cfRule type="containsText" dxfId="2684" priority="7300" operator="containsText" text="Pesquisa de Preços">
      <formula>NOT(ISERROR(SEARCH("Pesquisa de Preços",E1399)))</formula>
    </cfRule>
  </conditionalFormatting>
  <conditionalFormatting sqref="E1273:E1274">
    <cfRule type="containsText" dxfId="2683" priority="7327" operator="containsText" text="Pesquisa de Preços">
      <formula>NOT(ISERROR(SEARCH("Pesquisa de Preços",E1273)))</formula>
    </cfRule>
  </conditionalFormatting>
  <conditionalFormatting sqref="E1275:E1277">
    <cfRule type="containsText" dxfId="2682" priority="7325" operator="containsText" text="Pesquisa de Preços">
      <formula>NOT(ISERROR(SEARCH("Pesquisa de Preços",E1275)))</formula>
    </cfRule>
  </conditionalFormatting>
  <conditionalFormatting sqref="E1280:E1281 E1285">
    <cfRule type="containsText" dxfId="2681" priority="7324" operator="containsText" text="Pesquisa de Preços">
      <formula>NOT(ISERROR(SEARCH("Pesquisa de Preços",E1280)))</formula>
    </cfRule>
  </conditionalFormatting>
  <conditionalFormatting sqref="E1978">
    <cfRule type="containsText" dxfId="2680" priority="7164" operator="containsText" text="Pesquisa de Preços">
      <formula>NOT(ISERROR(SEARCH("Pesquisa de Preços",E1978)))</formula>
    </cfRule>
  </conditionalFormatting>
  <conditionalFormatting sqref="E1287:E1288 E1292">
    <cfRule type="containsText" dxfId="2679" priority="7322" operator="containsText" text="Pesquisa de Preços">
      <formula>NOT(ISERROR(SEARCH("Pesquisa de Preços",E1287)))</formula>
    </cfRule>
  </conditionalFormatting>
  <conditionalFormatting sqref="E1971">
    <cfRule type="containsText" dxfId="2678" priority="7162" operator="containsText" text="Pesquisa de Preços">
      <formula>NOT(ISERROR(SEARCH("Pesquisa de Preços",E1971)))</formula>
    </cfRule>
  </conditionalFormatting>
  <conditionalFormatting sqref="E1294 E1297 E1299">
    <cfRule type="containsText" dxfId="2677" priority="7320" operator="containsText" text="Pesquisa de Preços">
      <formula>NOT(ISERROR(SEARCH("Pesquisa de Preços",E1294)))</formula>
    </cfRule>
  </conditionalFormatting>
  <conditionalFormatting sqref="E1330:E1331">
    <cfRule type="containsText" dxfId="2676" priority="7316" operator="containsText" text="Pesquisa de Preços">
      <formula>NOT(ISERROR(SEARCH("Pesquisa de Preços",E1330)))</formula>
    </cfRule>
  </conditionalFormatting>
  <conditionalFormatting sqref="E1336:E1337">
    <cfRule type="containsText" dxfId="2675" priority="7318" operator="containsText" text="Pesquisa de Preços">
      <formula>NOT(ISERROR(SEARCH("Pesquisa de Preços",E1336)))</formula>
    </cfRule>
  </conditionalFormatting>
  <conditionalFormatting sqref="E2015">
    <cfRule type="containsText" dxfId="2674" priority="7156" operator="containsText" text="Pesquisa de Preços">
      <formula>NOT(ISERROR(SEARCH("Pesquisa de Preços",E2015)))</formula>
    </cfRule>
  </conditionalFormatting>
  <conditionalFormatting sqref="E1318:E1319">
    <cfRule type="containsText" dxfId="2673" priority="7312" operator="containsText" text="Pesquisa de Preços">
      <formula>NOT(ISERROR(SEARCH("Pesquisa de Preços",E1318)))</formula>
    </cfRule>
  </conditionalFormatting>
  <conditionalFormatting sqref="E2008">
    <cfRule type="containsText" dxfId="2672" priority="7154" operator="containsText" text="Pesquisa de Preços">
      <formula>NOT(ISERROR(SEARCH("Pesquisa de Preços",E2008)))</formula>
    </cfRule>
  </conditionalFormatting>
  <conditionalFormatting sqref="E1324:E1325">
    <cfRule type="containsText" dxfId="2671" priority="7314" operator="containsText" text="Pesquisa de Preços">
      <formula>NOT(ISERROR(SEARCH("Pesquisa de Preços",E1324)))</formula>
    </cfRule>
  </conditionalFormatting>
  <conditionalFormatting sqref="E2001">
    <cfRule type="containsText" dxfId="2670" priority="7151" operator="containsText" text="Pesquisa de Preços">
      <formula>NOT(ISERROR(SEARCH("Pesquisa de Preços",E2001)))</formula>
    </cfRule>
  </conditionalFormatting>
  <conditionalFormatting sqref="E1994">
    <cfRule type="containsText" dxfId="2669" priority="7148" operator="containsText" text="Pesquisa de Preços">
      <formula>NOT(ISERROR(SEARCH("Pesquisa de Preços",E1994)))</formula>
    </cfRule>
  </conditionalFormatting>
  <conditionalFormatting sqref="E1342:E1343 E1346:E1347">
    <cfRule type="containsText" dxfId="2668" priority="7310" operator="containsText" text="Pesquisa de Preços">
      <formula>NOT(ISERROR(SEARCH("Pesquisa de Preços",E1342)))</formula>
    </cfRule>
  </conditionalFormatting>
  <conditionalFormatting sqref="E1517">
    <cfRule type="containsText" dxfId="2667" priority="7283" operator="containsText" text="Pesquisa de Preços">
      <formula>NOT(ISERROR(SEARCH("Pesquisa de Preços",E1517)))</formula>
    </cfRule>
  </conditionalFormatting>
  <conditionalFormatting sqref="E1344:E1345">
    <cfRule type="containsText" dxfId="2666" priority="7308" operator="containsText" text="Pesquisa de Preços">
      <formula>NOT(ISERROR(SEARCH("Pesquisa de Preços",E1344)))</formula>
    </cfRule>
  </conditionalFormatting>
  <conditionalFormatting sqref="E1355:E1356 E1359:E1360">
    <cfRule type="containsText" dxfId="2665" priority="7307" operator="containsText" text="Pesquisa de Preços">
      <formula>NOT(ISERROR(SEARCH("Pesquisa de Preços",E1355)))</formula>
    </cfRule>
  </conditionalFormatting>
  <conditionalFormatting sqref="E1525">
    <cfRule type="containsText" dxfId="2664" priority="7284" operator="containsText" text="Pesquisa de Preços">
      <formula>NOT(ISERROR(SEARCH("Pesquisa de Preços",E1525)))</formula>
    </cfRule>
  </conditionalFormatting>
  <conditionalFormatting sqref="E1357:E1358">
    <cfRule type="containsText" dxfId="2663" priority="7305" operator="containsText" text="Pesquisa de Preços">
      <formula>NOT(ISERROR(SEARCH("Pesquisa de Preços",E1357)))</formula>
    </cfRule>
  </conditionalFormatting>
  <conditionalFormatting sqref="E1349 E1352:E1353">
    <cfRule type="containsText" dxfId="2662" priority="7304" operator="containsText" text="Pesquisa de Preços">
      <formula>NOT(ISERROR(SEARCH("Pesquisa de Preços",E1349)))</formula>
    </cfRule>
  </conditionalFormatting>
  <conditionalFormatting sqref="E1398">
    <cfRule type="containsText" dxfId="2661" priority="7299" operator="containsText" text="Pesquisa de Preços">
      <formula>NOT(ISERROR(SEARCH("Pesquisa de Preços",E1398)))</formula>
    </cfRule>
  </conditionalFormatting>
  <conditionalFormatting sqref="E1362 E1365:E1366">
    <cfRule type="containsText" dxfId="2660" priority="7302" operator="containsText" text="Pesquisa de Preços">
      <formula>NOT(ISERROR(SEARCH("Pesquisa de Preços",E1362)))</formula>
    </cfRule>
  </conditionalFormatting>
  <conditionalFormatting sqref="E1361">
    <cfRule type="containsText" dxfId="2659" priority="7301" operator="containsText" text="Pesquisa de Preços">
      <formula>NOT(ISERROR(SEARCH("Pesquisa de Preços",E1361)))</formula>
    </cfRule>
  </conditionalFormatting>
  <conditionalFormatting sqref="E1401:E1402">
    <cfRule type="containsText" dxfId="2658" priority="7298" operator="containsText" text="Pesquisa de Preços">
      <formula>NOT(ISERROR(SEARCH("Pesquisa de Preços",E1401)))</formula>
    </cfRule>
  </conditionalFormatting>
  <conditionalFormatting sqref="E2170">
    <cfRule type="containsText" dxfId="2657" priority="7137" operator="containsText" text="Pesquisa de Preços">
      <formula>NOT(ISERROR(SEARCH("Pesquisa de Preços",E2170)))</formula>
    </cfRule>
  </conditionalFormatting>
  <conditionalFormatting sqref="E1368:E1369 E1371:E1372">
    <cfRule type="containsText" dxfId="2656" priority="7297" operator="containsText" text="Pesquisa de Preços">
      <formula>NOT(ISERROR(SEARCH("Pesquisa de Preços",E1368)))</formula>
    </cfRule>
  </conditionalFormatting>
  <conditionalFormatting sqref="E1367">
    <cfRule type="containsText" dxfId="2655" priority="7296" operator="containsText" text="Pesquisa de Preços">
      <formula>NOT(ISERROR(SEARCH("Pesquisa de Preços",E1367)))</formula>
    </cfRule>
  </conditionalFormatting>
  <conditionalFormatting sqref="E1379">
    <cfRule type="containsText" dxfId="2654" priority="7295" operator="containsText" text="Pesquisa de Preços">
      <formula>NOT(ISERROR(SEARCH("Pesquisa de Preços",E1379)))</formula>
    </cfRule>
  </conditionalFormatting>
  <conditionalFormatting sqref="E1385">
    <cfRule type="containsText" dxfId="2653" priority="7294" operator="containsText" text="Pesquisa de Preços">
      <formula>NOT(ISERROR(SEARCH("Pesquisa de Preços",E1385)))</formula>
    </cfRule>
  </conditionalFormatting>
  <conditionalFormatting sqref="E1406 E1419">
    <cfRule type="containsText" dxfId="2652" priority="7273" operator="containsText" text="Pesquisa de Preços">
      <formula>NOT(ISERROR(SEARCH("Pesquisa de Preços",E1406)))</formula>
    </cfRule>
  </conditionalFormatting>
  <conditionalFormatting sqref="E1557">
    <cfRule type="containsText" dxfId="2651" priority="7292" operator="containsText" text="Pesquisa de Preços">
      <formula>NOT(ISERROR(SEARCH("Pesquisa de Preços",E1557)))</formula>
    </cfRule>
  </conditionalFormatting>
  <conditionalFormatting sqref="E1558:E1559">
    <cfRule type="containsText" dxfId="2650" priority="7293" operator="containsText" text="Pesquisa de Preços">
      <formula>NOT(ISERROR(SEARCH("Pesquisa de Preços",E1558)))</formula>
    </cfRule>
  </conditionalFormatting>
  <conditionalFormatting sqref="E1560 E1562">
    <cfRule type="containsText" dxfId="2649" priority="7291" operator="containsText" text="Pesquisa de Preços">
      <formula>NOT(ISERROR(SEARCH("Pesquisa de Preços",E1560)))</formula>
    </cfRule>
  </conditionalFormatting>
  <conditionalFormatting sqref="E1551:E1552">
    <cfRule type="containsText" dxfId="2648" priority="7290" operator="containsText" text="Pesquisa de Preços">
      <formula>NOT(ISERROR(SEARCH("Pesquisa de Preços",E1551)))</formula>
    </cfRule>
  </conditionalFormatting>
  <conditionalFormatting sqref="E1550">
    <cfRule type="containsText" dxfId="2647" priority="7289" operator="containsText" text="Pesquisa de Preços">
      <formula>NOT(ISERROR(SEARCH("Pesquisa de Preços",E1550)))</formula>
    </cfRule>
  </conditionalFormatting>
  <conditionalFormatting sqref="E2044">
    <cfRule type="containsText" dxfId="2646" priority="7131" operator="containsText" text="Pesquisa de Preços">
      <formula>NOT(ISERROR(SEARCH("Pesquisa de Preços",E2044)))</formula>
    </cfRule>
  </conditionalFormatting>
  <conditionalFormatting sqref="E1543 E1549">
    <cfRule type="containsText" dxfId="2645" priority="7288" operator="containsText" text="Pesquisa de Preços">
      <formula>NOT(ISERROR(SEARCH("Pesquisa de Preços",E1543)))</formula>
    </cfRule>
  </conditionalFormatting>
  <conditionalFormatting sqref="E1542">
    <cfRule type="containsText" dxfId="2644" priority="7287" operator="containsText" text="Pesquisa de Preços">
      <formula>NOT(ISERROR(SEARCH("Pesquisa de Preços",E1542)))</formula>
    </cfRule>
  </conditionalFormatting>
  <conditionalFormatting sqref="E1527">
    <cfRule type="containsText" dxfId="2643" priority="7286" operator="containsText" text="Pesquisa de Preços">
      <formula>NOT(ISERROR(SEARCH("Pesquisa de Preços",E1527)))</formula>
    </cfRule>
  </conditionalFormatting>
  <conditionalFormatting sqref="E1526">
    <cfRule type="containsText" dxfId="2642" priority="7285" operator="containsText" text="Pesquisa de Preços">
      <formula>NOT(ISERROR(SEARCH("Pesquisa de Preços",E1526)))</formula>
    </cfRule>
  </conditionalFormatting>
  <conditionalFormatting sqref="E1565:E1566 E1569:E1570">
    <cfRule type="containsText" dxfId="2641" priority="7278" operator="containsText" text="Pesquisa de Preços">
      <formula>NOT(ISERROR(SEARCH("Pesquisa de Preços",E1565)))</formula>
    </cfRule>
  </conditionalFormatting>
  <conditionalFormatting sqref="E1494">
    <cfRule type="containsText" dxfId="2640" priority="7264" operator="containsText" text="Pesquisa de Preços">
      <formula>NOT(ISERROR(SEARCH("Pesquisa de Preços",E1494)))</formula>
    </cfRule>
  </conditionalFormatting>
  <conditionalFormatting sqref="E1496 E1509">
    <cfRule type="containsText" dxfId="2639" priority="7275" operator="containsText" text="Pesquisa de Preços">
      <formula>NOT(ISERROR(SEARCH("Pesquisa de Preços",E1496)))</formula>
    </cfRule>
  </conditionalFormatting>
  <conditionalFormatting sqref="E1495">
    <cfRule type="containsText" dxfId="2638" priority="7274" operator="containsText" text="Pesquisa de Preços">
      <formula>NOT(ISERROR(SEARCH("Pesquisa de Preços",E1495)))</formula>
    </cfRule>
  </conditionalFormatting>
  <conditionalFormatting sqref="E1541">
    <cfRule type="containsText" dxfId="2637" priority="7282" operator="containsText" text="Pesquisa de Preços">
      <formula>NOT(ISERROR(SEARCH("Pesquisa de Preços",E1541)))</formula>
    </cfRule>
  </conditionalFormatting>
  <conditionalFormatting sqref="E1572:E1573 E1576:E1577">
    <cfRule type="containsText" dxfId="2636" priority="7281" operator="containsText" text="Pesquisa de Preços">
      <formula>NOT(ISERROR(SEARCH("Pesquisa de Preços",E1572)))</formula>
    </cfRule>
  </conditionalFormatting>
  <conditionalFormatting sqref="E1571">
    <cfRule type="containsText" dxfId="2635" priority="7280" operator="containsText" text="Pesquisa de Preços">
      <formula>NOT(ISERROR(SEARCH("Pesquisa de Preços",E1571)))</formula>
    </cfRule>
  </conditionalFormatting>
  <conditionalFormatting sqref="E1575">
    <cfRule type="containsText" dxfId="2634" priority="7279" operator="containsText" text="Pesquisa de Preços">
      <formula>NOT(ISERROR(SEARCH("Pesquisa de Preços",E1575)))</formula>
    </cfRule>
  </conditionalFormatting>
  <conditionalFormatting sqref="E1564">
    <cfRule type="containsText" dxfId="2633" priority="7277" operator="containsText" text="Pesquisa de Preços">
      <formula>NOT(ISERROR(SEARCH("Pesquisa de Preços",E1564)))</formula>
    </cfRule>
  </conditionalFormatting>
  <conditionalFormatting sqref="E1567:E1568">
    <cfRule type="containsText" dxfId="2632" priority="7276" operator="containsText" text="Pesquisa de Preços">
      <formula>NOT(ISERROR(SEARCH("Pesquisa de Preços",E1567)))</formula>
    </cfRule>
  </conditionalFormatting>
  <conditionalFormatting sqref="E1618">
    <cfRule type="containsText" dxfId="2631" priority="7242" operator="containsText" text="Pesquisa de Preços">
      <formula>NOT(ISERROR(SEARCH("Pesquisa de Preços",E1618)))</formula>
    </cfRule>
  </conditionalFormatting>
  <conditionalFormatting sqref="E1405">
    <cfRule type="containsText" dxfId="2630" priority="7272" operator="containsText" text="Pesquisa de Preços">
      <formula>NOT(ISERROR(SEARCH("Pesquisa de Preços",E1405)))</formula>
    </cfRule>
  </conditionalFormatting>
  <conditionalFormatting sqref="E1612 E1616:E1617">
    <cfRule type="containsText" dxfId="2629" priority="7235" operator="containsText" text="Pesquisa de Preços">
      <formula>NOT(ISERROR(SEARCH("Pesquisa de Preços",E1612)))</formula>
    </cfRule>
  </conditionalFormatting>
  <conditionalFormatting sqref="E1436 E1449">
    <cfRule type="containsText" dxfId="2628" priority="7271" operator="containsText" text="Pesquisa de Preços">
      <formula>NOT(ISERROR(SEARCH("Pesquisa de Preços",E1436)))</formula>
    </cfRule>
  </conditionalFormatting>
  <conditionalFormatting sqref="E1435">
    <cfRule type="containsText" dxfId="2627" priority="7270" operator="containsText" text="Pesquisa de Preços">
      <formula>NOT(ISERROR(SEARCH("Pesquisa de Preços",E1435)))</formula>
    </cfRule>
  </conditionalFormatting>
  <conditionalFormatting sqref="E1630 E1634">
    <cfRule type="containsText" dxfId="2626" priority="7247" operator="containsText" text="Pesquisa de Preços">
      <formula>NOT(ISERROR(SEARCH("Pesquisa de Preços",E1630)))</formula>
    </cfRule>
  </conditionalFormatting>
  <conditionalFormatting sqref="E1421 E1434">
    <cfRule type="containsText" dxfId="2625" priority="7269" operator="containsText" text="Pesquisa de Preços">
      <formula>NOT(ISERROR(SEARCH("Pesquisa de Preços",E1421)))</formula>
    </cfRule>
  </conditionalFormatting>
  <conditionalFormatting sqref="E1466 E1479">
    <cfRule type="containsText" dxfId="2624" priority="7267" operator="containsText" text="Pesquisa de Preços">
      <formula>NOT(ISERROR(SEARCH("Pesquisa de Preços",E1466)))</formula>
    </cfRule>
  </conditionalFormatting>
  <conditionalFormatting sqref="E1693 E1696 E1698">
    <cfRule type="containsText" dxfId="2623" priority="7249" operator="containsText" text="Pesquisa de Preços">
      <formula>NOT(ISERROR(SEARCH("Pesquisa de Preços",E1693)))</formula>
    </cfRule>
  </conditionalFormatting>
  <conditionalFormatting sqref="E1464">
    <cfRule type="containsText" dxfId="2622" priority="7265" operator="containsText" text="Pesquisa de Preços">
      <formula>NOT(ISERROR(SEARCH("Pesquisa de Preços",E1464)))</formula>
    </cfRule>
  </conditionalFormatting>
  <conditionalFormatting sqref="E2281">
    <cfRule type="containsText" dxfId="2621" priority="7092" operator="containsText" text="Pesquisa de Preços">
      <formula>NOT(ISERROR(SEARCH("Pesquisa de Preços",E2281)))</formula>
    </cfRule>
  </conditionalFormatting>
  <conditionalFormatting sqref="E1594 E1598">
    <cfRule type="containsText" dxfId="2620" priority="7257" operator="containsText" text="Pesquisa de Preços">
      <formula>NOT(ISERROR(SEARCH("Pesquisa de Preços",E1594)))</formula>
    </cfRule>
  </conditionalFormatting>
  <conditionalFormatting sqref="E1579:E1580 E1591:E1592">
    <cfRule type="containsText" dxfId="2619" priority="7263" operator="containsText" text="Pesquisa de Preços">
      <formula>NOT(ISERROR(SEARCH("Pesquisa de Preços",E1579)))</formula>
    </cfRule>
  </conditionalFormatting>
  <conditionalFormatting sqref="E2215">
    <cfRule type="containsText" dxfId="2618" priority="7108" operator="containsText" text="Pesquisa de Preços">
      <formula>NOT(ISERROR(SEARCH("Pesquisa de Preços",E2215)))</formula>
    </cfRule>
  </conditionalFormatting>
  <conditionalFormatting sqref="E1581:E1590">
    <cfRule type="containsText" dxfId="2617" priority="7261" operator="containsText" text="Pesquisa de Preços">
      <formula>NOT(ISERROR(SEARCH("Pesquisa de Preços",E1581)))</formula>
    </cfRule>
  </conditionalFormatting>
  <conditionalFormatting sqref="E1393:E1394 E1396:E1397">
    <cfRule type="containsText" dxfId="2616" priority="7260" operator="containsText" text="Pesquisa de Preços">
      <formula>NOT(ISERROR(SEARCH("Pesquisa de Preços",E1393)))</formula>
    </cfRule>
  </conditionalFormatting>
  <conditionalFormatting sqref="E1392">
    <cfRule type="containsText" dxfId="2615" priority="7259" operator="containsText" text="Pesquisa de Preços">
      <formula>NOT(ISERROR(SEARCH("Pesquisa de Preços",E1392)))</formula>
    </cfRule>
  </conditionalFormatting>
  <conditionalFormatting sqref="E2235">
    <cfRule type="containsText" dxfId="2614" priority="7104" operator="containsText" text="Pesquisa de Preços">
      <formula>NOT(ISERROR(SEARCH("Pesquisa de Preços",E2235)))</formula>
    </cfRule>
  </conditionalFormatting>
  <conditionalFormatting sqref="E1395">
    <cfRule type="containsText" dxfId="2613" priority="7258" operator="containsText" text="Pesquisa de Preços">
      <formula>NOT(ISERROR(SEARCH("Pesquisa de Preços",E1395)))</formula>
    </cfRule>
  </conditionalFormatting>
  <conditionalFormatting sqref="E1593">
    <cfRule type="containsText" dxfId="2612" priority="7256" operator="containsText" text="Pesquisa de Preços">
      <formula>NOT(ISERROR(SEARCH("Pesquisa de Preços",E1593)))</formula>
    </cfRule>
  </conditionalFormatting>
  <conditionalFormatting sqref="E1636 E1638:E1639">
    <cfRule type="containsText" dxfId="2611" priority="7241" operator="containsText" text="Pesquisa de Preços">
      <formula>NOT(ISERROR(SEARCH("Pesquisa de Preços",E1636)))</formula>
    </cfRule>
  </conditionalFormatting>
  <conditionalFormatting sqref="E1600 E1604">
    <cfRule type="containsText" dxfId="2610" priority="7255" operator="containsText" text="Pesquisa de Preços">
      <formula>NOT(ISERROR(SEARCH("Pesquisa de Preços",E1600)))</formula>
    </cfRule>
  </conditionalFormatting>
  <conditionalFormatting sqref="E1599">
    <cfRule type="containsText" dxfId="2609" priority="7254" operator="containsText" text="Pesquisa de Preços">
      <formula>NOT(ISERROR(SEARCH("Pesquisa de Preços",E1599)))</formula>
    </cfRule>
  </conditionalFormatting>
  <conditionalFormatting sqref="E1646">
    <cfRule type="containsText" dxfId="2608" priority="7251" operator="containsText" text="Pesquisa de Preços">
      <formula>NOT(ISERROR(SEARCH("Pesquisa de Preços",E1646)))</formula>
    </cfRule>
  </conditionalFormatting>
  <conditionalFormatting sqref="E1610">
    <cfRule type="containsText" dxfId="2607" priority="7253" operator="containsText" text="Pesquisa de Preços">
      <formula>NOT(ISERROR(SEARCH("Pesquisa de Preços",E1610)))</formula>
    </cfRule>
  </conditionalFormatting>
  <conditionalFormatting sqref="E1647:E1648">
    <cfRule type="containsText" dxfId="2606" priority="7252" operator="containsText" text="Pesquisa de Preços">
      <formula>NOT(ISERROR(SEARCH("Pesquisa de Preços",E1647)))</formula>
    </cfRule>
  </conditionalFormatting>
  <conditionalFormatting sqref="E2255">
    <cfRule type="containsText" dxfId="2605" priority="7100" operator="containsText" text="Pesquisa de Preços">
      <formula>NOT(ISERROR(SEARCH("Pesquisa de Preços",E2255)))</formula>
    </cfRule>
  </conditionalFormatting>
  <conditionalFormatting sqref="E1649:E1650">
    <cfRule type="containsText" dxfId="2604" priority="7250" operator="containsText" text="Pesquisa de Preços">
      <formula>NOT(ISERROR(SEARCH("Pesquisa de Preços",E1649)))</formula>
    </cfRule>
  </conditionalFormatting>
  <conditionalFormatting sqref="E1692">
    <cfRule type="containsText" dxfId="2603" priority="7248" operator="containsText" text="Pesquisa de Preços">
      <formula>NOT(ISERROR(SEARCH("Pesquisa de Preços",E1692)))</formula>
    </cfRule>
  </conditionalFormatting>
  <conditionalFormatting sqref="E1624 E1628">
    <cfRule type="containsText" dxfId="2602" priority="7245" operator="containsText" text="Pesquisa de Preços">
      <formula>NOT(ISERROR(SEARCH("Pesquisa de Preços",E1624)))</formula>
    </cfRule>
  </conditionalFormatting>
  <conditionalFormatting sqref="E1629">
    <cfRule type="containsText" dxfId="2601" priority="7246" operator="containsText" text="Pesquisa de Preços">
      <formula>NOT(ISERROR(SEARCH("Pesquisa de Preços",E1629)))</formula>
    </cfRule>
  </conditionalFormatting>
  <conditionalFormatting sqref="E1623">
    <cfRule type="containsText" dxfId="2600" priority="7244" operator="containsText" text="Pesquisa de Preços">
      <formula>NOT(ISERROR(SEARCH("Pesquisa de Preços",E1623)))</formula>
    </cfRule>
  </conditionalFormatting>
  <conditionalFormatting sqref="E1619 E1621:E1622">
    <cfRule type="containsText" dxfId="2599" priority="7243" operator="containsText" text="Pesquisa de Preços">
      <formula>NOT(ISERROR(SEARCH("Pesquisa de Preços",E1619)))</formula>
    </cfRule>
  </conditionalFormatting>
  <conditionalFormatting sqref="E1641 E1644:E1645">
    <cfRule type="containsText" dxfId="2598" priority="7239" operator="containsText" text="Pesquisa de Preços">
      <formula>NOT(ISERROR(SEARCH("Pesquisa de Preços",E1641)))</formula>
    </cfRule>
  </conditionalFormatting>
  <conditionalFormatting sqref="E1745 E1736:E1738">
    <cfRule type="containsText" dxfId="2597" priority="7223" operator="containsText" text="Pesquisa de Preços">
      <formula>NOT(ISERROR(SEARCH("Pesquisa de Preços",E1736)))</formula>
    </cfRule>
  </conditionalFormatting>
  <conditionalFormatting sqref="E1686 E1690:E1691">
    <cfRule type="containsText" dxfId="2596" priority="7237" operator="containsText" text="Pesquisa de Preços">
      <formula>NOT(ISERROR(SEARCH("Pesquisa de Preços",E1686)))</formula>
    </cfRule>
  </conditionalFormatting>
  <conditionalFormatting sqref="E1685">
    <cfRule type="containsText" dxfId="2595" priority="7236" operator="containsText" text="Pesquisa de Preços">
      <formula>NOT(ISERROR(SEARCH("Pesquisa de Preços",E1685)))</formula>
    </cfRule>
  </conditionalFormatting>
  <conditionalFormatting sqref="E2359">
    <cfRule type="containsText" dxfId="2594" priority="7069" operator="containsText" text="Pesquisa de Preços">
      <formula>NOT(ISERROR(SEARCH("Pesquisa de Preços",E2359)))</formula>
    </cfRule>
  </conditionalFormatting>
  <conditionalFormatting sqref="E2354">
    <cfRule type="containsText" dxfId="2593" priority="7071" operator="containsText" text="Pesquisa de Preços">
      <formula>NOT(ISERROR(SEARCH("Pesquisa de Preços",E2354)))</formula>
    </cfRule>
  </conditionalFormatting>
  <conditionalFormatting sqref="E1680 E1683:E1684">
    <cfRule type="containsText" dxfId="2592" priority="7233" operator="containsText" text="Pesquisa de Preços">
      <formula>NOT(ISERROR(SEARCH("Pesquisa de Preços",E1680)))</formula>
    </cfRule>
  </conditionalFormatting>
  <conditionalFormatting sqref="E1679">
    <cfRule type="containsText" dxfId="2591" priority="7232" operator="containsText" text="Pesquisa de Preços">
      <formula>NOT(ISERROR(SEARCH("Pesquisa de Preços",E1679)))</formula>
    </cfRule>
  </conditionalFormatting>
  <conditionalFormatting sqref="E1675 E1677:E1678">
    <cfRule type="containsText" dxfId="2590" priority="7231" operator="containsText" text="Pesquisa de Preços">
      <formula>NOT(ISERROR(SEARCH("Pesquisa de Preços",E1675)))</formula>
    </cfRule>
  </conditionalFormatting>
  <conditionalFormatting sqref="E1674">
    <cfRule type="containsText" dxfId="2589" priority="7230" operator="containsText" text="Pesquisa de Preços">
      <formula>NOT(ISERROR(SEARCH("Pesquisa de Preços",E1674)))</formula>
    </cfRule>
  </conditionalFormatting>
  <conditionalFormatting sqref="E1725:E1726 E1734">
    <cfRule type="containsText" dxfId="2588" priority="7217" operator="containsText" text="Pesquisa de Preços">
      <formula>NOT(ISERROR(SEARCH("Pesquisa de Preços",E1725)))</formula>
    </cfRule>
  </conditionalFormatting>
  <conditionalFormatting sqref="E1670">
    <cfRule type="containsText" dxfId="2587" priority="7227" operator="containsText" text="Pesquisa de Preços">
      <formula>NOT(ISERROR(SEARCH("Pesquisa de Preços",E1670)))</formula>
    </cfRule>
  </conditionalFormatting>
  <conditionalFormatting sqref="E1665">
    <cfRule type="containsText" dxfId="2586" priority="7229" operator="containsText" text="Pesquisa de Preços">
      <formula>NOT(ISERROR(SEARCH("Pesquisa de Preços",E1665)))</formula>
    </cfRule>
  </conditionalFormatting>
  <conditionalFormatting sqref="E1664">
    <cfRule type="containsText" dxfId="2585" priority="7228" operator="containsText" text="Pesquisa de Preços">
      <formula>NOT(ISERROR(SEARCH("Pesquisa de Preços",E1664)))</formula>
    </cfRule>
  </conditionalFormatting>
  <conditionalFormatting sqref="E2331">
    <cfRule type="containsText" dxfId="2584" priority="7079" operator="containsText" text="Pesquisa de Preços">
      <formula>NOT(ISERROR(SEARCH("Pesquisa de Preços",E2331)))</formula>
    </cfRule>
  </conditionalFormatting>
  <conditionalFormatting sqref="E2343">
    <cfRule type="containsText" dxfId="2583" priority="7077" operator="containsText" text="Pesquisa de Preços">
      <formula>NOT(ISERROR(SEARCH("Pesquisa de Preços",E2343)))</formula>
    </cfRule>
  </conditionalFormatting>
  <conditionalFormatting sqref="E1659 E1662:E1663">
    <cfRule type="containsText" dxfId="2582" priority="7225" operator="containsText" text="Pesquisa de Preços">
      <formula>NOT(ISERROR(SEARCH("Pesquisa de Preços",E1659)))</formula>
    </cfRule>
  </conditionalFormatting>
  <conditionalFormatting sqref="E1747 E1756">
    <cfRule type="containsText" dxfId="2581" priority="7221" operator="containsText" text="Pesquisa de Preços">
      <formula>NOT(ISERROR(SEARCH("Pesquisa de Preços",E1747)))</formula>
    </cfRule>
  </conditionalFormatting>
  <conditionalFormatting sqref="E1714:E1715 E1723">
    <cfRule type="containsText" dxfId="2580" priority="7219" operator="containsText" text="Pesquisa de Preços">
      <formula>NOT(ISERROR(SEARCH("Pesquisa de Preços",E1714)))</formula>
    </cfRule>
  </conditionalFormatting>
  <conditionalFormatting sqref="E896">
    <cfRule type="containsText" dxfId="2579" priority="7067" operator="containsText" text="Pesquisa de Preços">
      <formula>NOT(ISERROR(SEARCH("Pesquisa de Preços",E896)))</formula>
    </cfRule>
  </conditionalFormatting>
  <conditionalFormatting sqref="E875">
    <cfRule type="containsText" dxfId="2578" priority="7065" operator="containsText" text="Pesquisa de Preços">
      <formula>NOT(ISERROR(SEARCH("Pesquisa de Preços",E875)))</formula>
    </cfRule>
  </conditionalFormatting>
  <conditionalFormatting sqref="E1700:E1701 E1703:E1704">
    <cfRule type="containsText" dxfId="2577" priority="7215" operator="containsText" text="Pesquisa de Preços">
      <formula>NOT(ISERROR(SEARCH("Pesquisa de Preços",E1700)))</formula>
    </cfRule>
  </conditionalFormatting>
  <conditionalFormatting sqref="E850">
    <cfRule type="containsText" dxfId="2576" priority="7054" operator="containsText" text="Pesquisa de Preços">
      <formula>NOT(ISERROR(SEARCH("Pesquisa de Preços",E850)))</formula>
    </cfRule>
  </conditionalFormatting>
  <conditionalFormatting sqref="E1706">
    <cfRule type="containsText" dxfId="2575" priority="7213" operator="containsText" text="Pesquisa de Preços">
      <formula>NOT(ISERROR(SEARCH("Pesquisa de Preços",E1706)))</formula>
    </cfRule>
  </conditionalFormatting>
  <conditionalFormatting sqref="E856">
    <cfRule type="containsText" dxfId="2574" priority="7059" operator="containsText" text="Pesquisa de Preços">
      <formula>NOT(ISERROR(SEARCH("Pesquisa de Preços",E856)))</formula>
    </cfRule>
  </conditionalFormatting>
  <conditionalFormatting sqref="E1709:E1710">
    <cfRule type="containsText" dxfId="2573" priority="7211" operator="containsText" text="Pesquisa de Preços">
      <formula>NOT(ISERROR(SEARCH("Pesquisa de Preços",E1709)))</formula>
    </cfRule>
  </conditionalFormatting>
  <conditionalFormatting sqref="E1819">
    <cfRule type="containsText" dxfId="2572" priority="7210" operator="containsText" text="Pesquisa de Preços">
      <formula>NOT(ISERROR(SEARCH("Pesquisa de Preços",E1819)))</formula>
    </cfRule>
  </conditionalFormatting>
  <conditionalFormatting sqref="E1818">
    <cfRule type="containsText" dxfId="2571" priority="7209" operator="containsText" text="Pesquisa de Preços">
      <formula>NOT(ISERROR(SEARCH("Pesquisa de Preços",E1818)))</formula>
    </cfRule>
  </conditionalFormatting>
  <conditionalFormatting sqref="E1845">
    <cfRule type="containsText" dxfId="2570" priority="7200" operator="containsText" text="Pesquisa de Preços">
      <formula>NOT(ISERROR(SEARCH("Pesquisa de Preços",E1845)))</formula>
    </cfRule>
  </conditionalFormatting>
  <conditionalFormatting sqref="E1814">
    <cfRule type="containsText" dxfId="2569" priority="7208" operator="containsText" text="Pesquisa de Preços">
      <formula>NOT(ISERROR(SEARCH("Pesquisa de Preços",E1814)))</formula>
    </cfRule>
  </conditionalFormatting>
  <conditionalFormatting sqref="E1813">
    <cfRule type="containsText" dxfId="2568" priority="7207" operator="containsText" text="Pesquisa de Preços">
      <formula>NOT(ISERROR(SEARCH("Pesquisa de Preços",E1813)))</formula>
    </cfRule>
  </conditionalFormatting>
  <conditionalFormatting sqref="E1824 E1827:E1828">
    <cfRule type="containsText" dxfId="2567" priority="7206" operator="containsText" text="Pesquisa de Preços">
      <formula>NOT(ISERROR(SEARCH("Pesquisa de Preços",E1824)))</formula>
    </cfRule>
  </conditionalFormatting>
  <conditionalFormatting sqref="E1823">
    <cfRule type="containsText" dxfId="2566" priority="7205" operator="containsText" text="Pesquisa de Preços">
      <formula>NOT(ISERROR(SEARCH("Pesquisa de Preços",E1823)))</formula>
    </cfRule>
  </conditionalFormatting>
  <conditionalFormatting sqref="E1826">
    <cfRule type="containsText" dxfId="2565" priority="7204" operator="containsText" text="Pesquisa de Preços">
      <formula>NOT(ISERROR(SEARCH("Pesquisa de Preços",E1826)))</formula>
    </cfRule>
  </conditionalFormatting>
  <conditionalFormatting sqref="E1834">
    <cfRule type="containsText" dxfId="2564" priority="7203" operator="containsText" text="Pesquisa de Preços">
      <formula>NOT(ISERROR(SEARCH("Pesquisa de Preços",E1834)))</formula>
    </cfRule>
  </conditionalFormatting>
  <conditionalFormatting sqref="E1843:E1844 E1846:E1847">
    <cfRule type="containsText" dxfId="2563" priority="7202" operator="containsText" text="Pesquisa de Preços">
      <formula>NOT(ISERROR(SEARCH("Pesquisa de Preços",E1843)))</formula>
    </cfRule>
  </conditionalFormatting>
  <conditionalFormatting sqref="E1849:E1850 E1852:E1853">
    <cfRule type="containsText" dxfId="2562" priority="7199" operator="containsText" text="Pesquisa de Preços">
      <formula>NOT(ISERROR(SEARCH("Pesquisa de Preços",E1849)))</formula>
    </cfRule>
  </conditionalFormatting>
  <conditionalFormatting sqref="E1857">
    <cfRule type="containsText" dxfId="2561" priority="7192" operator="containsText" text="Pesquisa de Preços">
      <formula>NOT(ISERROR(SEARCH("Pesquisa de Preços",E1857)))</formula>
    </cfRule>
  </conditionalFormatting>
  <conditionalFormatting sqref="E1851">
    <cfRule type="containsText" dxfId="2560" priority="7197" operator="containsText" text="Pesquisa de Preços">
      <formula>NOT(ISERROR(SEARCH("Pesquisa de Preços",E1851)))</formula>
    </cfRule>
  </conditionalFormatting>
  <conditionalFormatting sqref="E1836:E1837 E1841">
    <cfRule type="containsText" dxfId="2559" priority="7196" operator="containsText" text="Pesquisa de Preços">
      <formula>NOT(ISERROR(SEARCH("Pesquisa de Preços",E1836)))</formula>
    </cfRule>
  </conditionalFormatting>
  <conditionalFormatting sqref="E1855:E1856 E1858:E1859">
    <cfRule type="containsText" dxfId="2558" priority="7194" operator="containsText" text="Pesquisa de Preços">
      <formula>NOT(ISERROR(SEARCH("Pesquisa de Preços",E1855)))</formula>
    </cfRule>
  </conditionalFormatting>
  <conditionalFormatting sqref="E2364">
    <cfRule type="containsText" dxfId="2557" priority="7040" operator="containsText" text="Pesquisa de Preços">
      <formula>NOT(ISERROR(SEARCH("Pesquisa de Preços",E2364)))</formula>
    </cfRule>
  </conditionalFormatting>
  <conditionalFormatting sqref="E1865">
    <cfRule type="containsText" dxfId="2556" priority="7191" operator="containsText" text="Pesquisa de Preços">
      <formula>NOT(ISERROR(SEARCH("Pesquisa de Preços",E1865)))</formula>
    </cfRule>
  </conditionalFormatting>
  <conditionalFormatting sqref="E2391">
    <cfRule type="containsText" dxfId="2555" priority="7037" operator="containsText" text="Pesquisa de Preços">
      <formula>NOT(ISERROR(SEARCH("Pesquisa de Preços",E2391)))</formula>
    </cfRule>
  </conditionalFormatting>
  <conditionalFormatting sqref="E1901">
    <cfRule type="containsText" dxfId="2554" priority="7190" operator="containsText" text="Pesquisa de Preços">
      <formula>NOT(ISERROR(SEARCH("Pesquisa de Preços",E1901)))</formula>
    </cfRule>
  </conditionalFormatting>
  <conditionalFormatting sqref="E2385">
    <cfRule type="containsText" dxfId="2553" priority="7035" operator="containsText" text="Pesquisa de Preços">
      <formula>NOT(ISERROR(SEARCH("Pesquisa de Preços",E2385)))</formula>
    </cfRule>
  </conditionalFormatting>
  <conditionalFormatting sqref="E1877">
    <cfRule type="containsText" dxfId="2552" priority="7189" operator="containsText" text="Pesquisa de Preços">
      <formula>NOT(ISERROR(SEARCH("Pesquisa de Preços",E1877)))</formula>
    </cfRule>
  </conditionalFormatting>
  <conditionalFormatting sqref="E1895">
    <cfRule type="containsText" dxfId="2551" priority="7188" operator="containsText" text="Pesquisa de Preços">
      <formula>NOT(ISERROR(SEARCH("Pesquisa de Preços",E1895)))</formula>
    </cfRule>
  </conditionalFormatting>
  <conditionalFormatting sqref="E1871">
    <cfRule type="containsText" dxfId="2550" priority="7187" operator="containsText" text="Pesquisa de Preços">
      <formula>NOT(ISERROR(SEARCH("Pesquisa de Preços",E1871)))</formula>
    </cfRule>
  </conditionalFormatting>
  <conditionalFormatting sqref="E1883">
    <cfRule type="containsText" dxfId="2549" priority="7186" operator="containsText" text="Pesquisa de Preços">
      <formula>NOT(ISERROR(SEARCH("Pesquisa de Preços",E1883)))</formula>
    </cfRule>
  </conditionalFormatting>
  <conditionalFormatting sqref="E1905">
    <cfRule type="containsText" dxfId="2548" priority="7182" operator="containsText" text="Pesquisa de Preços">
      <formula>NOT(ISERROR(SEARCH("Pesquisa de Preços",E1905)))</formula>
    </cfRule>
  </conditionalFormatting>
  <conditionalFormatting sqref="E1889">
    <cfRule type="containsText" dxfId="2547" priority="7185" operator="containsText" text="Pesquisa de Preços">
      <formula>NOT(ISERROR(SEARCH("Pesquisa de Preços",E1889)))</formula>
    </cfRule>
  </conditionalFormatting>
  <conditionalFormatting sqref="E1930 E1933:E1934">
    <cfRule type="containsText" dxfId="2546" priority="7174" operator="containsText" text="Pesquisa de Preços">
      <formula>NOT(ISERROR(SEARCH("Pesquisa de Preços",E1930)))</formula>
    </cfRule>
  </conditionalFormatting>
  <conditionalFormatting sqref="E1903:E1904 E1906:E1907">
    <cfRule type="containsText" dxfId="2545" priority="7184" operator="containsText" text="Pesquisa de Preços">
      <formula>NOT(ISERROR(SEARCH("Pesquisa de Preços",E1903)))</formula>
    </cfRule>
  </conditionalFormatting>
  <conditionalFormatting sqref="E1911">
    <cfRule type="containsText" dxfId="2544" priority="7179" operator="containsText" text="Pesquisa de Preços">
      <formula>NOT(ISERROR(SEARCH("Pesquisa de Preços",E1911)))</formula>
    </cfRule>
  </conditionalFormatting>
  <conditionalFormatting sqref="E1909:E1910 E1912:E1913">
    <cfRule type="containsText" dxfId="2543" priority="7181" operator="containsText" text="Pesquisa de Preços">
      <formula>NOT(ISERROR(SEARCH("Pesquisa de Preços",E1909)))</formula>
    </cfRule>
  </conditionalFormatting>
  <conditionalFormatting sqref="E1925:E1926 E1928">
    <cfRule type="containsText" dxfId="2542" priority="7178" operator="containsText" text="Pesquisa de Preços">
      <formula>NOT(ISERROR(SEARCH("Pesquisa de Preços",E1925)))</formula>
    </cfRule>
  </conditionalFormatting>
  <conditionalFormatting sqref="E1920">
    <cfRule type="containsText" dxfId="2541" priority="7176" operator="containsText" text="Pesquisa de Preços">
      <formula>NOT(ISERROR(SEARCH("Pesquisa de Preços",E1920)))</formula>
    </cfRule>
  </conditionalFormatting>
  <conditionalFormatting sqref="E1953:E1954 E1956:E1957">
    <cfRule type="containsText" dxfId="2540" priority="7172" operator="containsText" text="Pesquisa de Preços">
      <formula>NOT(ISERROR(SEARCH("Pesquisa de Preços",E1953)))</formula>
    </cfRule>
  </conditionalFormatting>
  <conditionalFormatting sqref="E1955">
    <cfRule type="containsText" dxfId="2539" priority="7170" operator="containsText" text="Pesquisa de Preços">
      <formula>NOT(ISERROR(SEARCH("Pesquisa de Preços",E1955)))</formula>
    </cfRule>
  </conditionalFormatting>
  <conditionalFormatting sqref="E1962:E1963">
    <cfRule type="containsText" dxfId="2538" priority="7169" operator="containsText" text="Pesquisa de Preços">
      <formula>NOT(ISERROR(SEARCH("Pesquisa de Preços",E1962)))</formula>
    </cfRule>
  </conditionalFormatting>
  <conditionalFormatting sqref="E1972:E1973 E1976:E1977">
    <cfRule type="containsText" dxfId="2537" priority="7163" operator="containsText" text="Pesquisa de Preços">
      <formula>NOT(ISERROR(SEARCH("Pesquisa de Preços",E1972)))</formula>
    </cfRule>
  </conditionalFormatting>
  <conditionalFormatting sqref="E1974:E1975">
    <cfRule type="containsText" dxfId="2536" priority="7161" operator="containsText" text="Pesquisa de Preços">
      <formula>NOT(ISERROR(SEARCH("Pesquisa de Preços",E1974)))</formula>
    </cfRule>
  </conditionalFormatting>
  <conditionalFormatting sqref="E1987 E1992:E1993">
    <cfRule type="containsText" dxfId="2535" priority="7168" operator="containsText" text="Pesquisa de Preços">
      <formula>NOT(ISERROR(SEARCH("Pesquisa de Preços",E1987)))</formula>
    </cfRule>
  </conditionalFormatting>
  <conditionalFormatting sqref="E1986">
    <cfRule type="containsText" dxfId="2534" priority="7167" operator="containsText" text="Pesquisa de Preços">
      <formula>NOT(ISERROR(SEARCH("Pesquisa de Preços",E1986)))</formula>
    </cfRule>
  </conditionalFormatting>
  <conditionalFormatting sqref="E1979 E1985">
    <cfRule type="containsText" dxfId="2533" priority="7165" operator="containsText" text="Pesquisa de Preços">
      <formula>NOT(ISERROR(SEARCH("Pesquisa de Preços",E1979)))</formula>
    </cfRule>
  </conditionalFormatting>
  <conditionalFormatting sqref="E1964">
    <cfRule type="containsText" dxfId="2532" priority="7159" operator="containsText" text="Pesquisa de Preços">
      <formula>NOT(ISERROR(SEARCH("Pesquisa de Preços",E1964)))</formula>
    </cfRule>
  </conditionalFormatting>
  <conditionalFormatting sqref="E1965:E1966 E1969:E1970">
    <cfRule type="containsText" dxfId="2531" priority="7160" operator="containsText" text="Pesquisa de Preços">
      <formula>NOT(ISERROR(SEARCH("Pesquisa de Preços",E1965)))</formula>
    </cfRule>
  </conditionalFormatting>
  <conditionalFormatting sqref="E1967:E1968">
    <cfRule type="containsText" dxfId="2530" priority="7158" operator="containsText" text="Pesquisa de Preços">
      <formula>NOT(ISERROR(SEARCH("Pesquisa de Preços",E1967)))</formula>
    </cfRule>
  </conditionalFormatting>
  <conditionalFormatting sqref="E2016 E2021">
    <cfRule type="containsText" dxfId="2529" priority="7157" operator="containsText" text="Pesquisa de Preços">
      <formula>NOT(ISERROR(SEARCH("Pesquisa de Preços",E2016)))</formula>
    </cfRule>
  </conditionalFormatting>
  <conditionalFormatting sqref="E2011:E2012">
    <cfRule type="containsText" dxfId="2528" priority="7153" operator="containsText" text="Pesquisa de Preços">
      <formula>NOT(ISERROR(SEARCH("Pesquisa de Preços",E2011)))</formula>
    </cfRule>
  </conditionalFormatting>
  <conditionalFormatting sqref="E2014 E2009:E2010">
    <cfRule type="containsText" dxfId="2527" priority="7155" operator="containsText" text="Pesquisa de Preços">
      <formula>NOT(ISERROR(SEARCH("Pesquisa de Preços",E2009)))</formula>
    </cfRule>
  </conditionalFormatting>
  <conditionalFormatting sqref="E2004:E2005">
    <cfRule type="containsText" dxfId="2526" priority="7150" operator="containsText" text="Pesquisa de Preços">
      <formula>NOT(ISERROR(SEARCH("Pesquisa de Preços",E2004)))</formula>
    </cfRule>
  </conditionalFormatting>
  <conditionalFormatting sqref="E2007 E2002:E2003">
    <cfRule type="containsText" dxfId="2525" priority="7152" operator="containsText" text="Pesquisa de Preços">
      <formula>NOT(ISERROR(SEARCH("Pesquisa de Preços",E2002)))</formula>
    </cfRule>
  </conditionalFormatting>
  <conditionalFormatting sqref="E1995 E2000">
    <cfRule type="containsText" dxfId="2524" priority="7149" operator="containsText" text="Pesquisa de Preços">
      <formula>NOT(ISERROR(SEARCH("Pesquisa de Preços",E1995)))</formula>
    </cfRule>
  </conditionalFormatting>
  <conditionalFormatting sqref="E2140">
    <cfRule type="containsText" dxfId="2523" priority="7146" operator="containsText" text="Pesquisa de Preços">
      <formula>NOT(ISERROR(SEARCH("Pesquisa de Preços",E2140)))</formula>
    </cfRule>
  </conditionalFormatting>
  <conditionalFormatting sqref="E2141:E2142">
    <cfRule type="containsText" dxfId="2522" priority="7147" operator="containsText" text="Pesquisa de Preços">
      <formula>NOT(ISERROR(SEARCH("Pesquisa de Preços",E2141)))</formula>
    </cfRule>
  </conditionalFormatting>
  <conditionalFormatting sqref="E2143:E2144">
    <cfRule type="containsText" dxfId="2521" priority="7145" operator="containsText" text="Pesquisa de Preços">
      <formula>NOT(ISERROR(SEARCH("Pesquisa de Preços",E2143)))</formula>
    </cfRule>
  </conditionalFormatting>
  <conditionalFormatting sqref="E2129:E2130">
    <cfRule type="containsText" dxfId="2520" priority="7144" operator="containsText" text="Pesquisa de Preços">
      <formula>NOT(ISERROR(SEARCH("Pesquisa de Preços",E2129)))</formula>
    </cfRule>
  </conditionalFormatting>
  <conditionalFormatting sqref="E2128">
    <cfRule type="containsText" dxfId="2519" priority="7143" operator="containsText" text="Pesquisa de Preços">
      <formula>NOT(ISERROR(SEARCH("Pesquisa de Preços",E2128)))</formula>
    </cfRule>
  </conditionalFormatting>
  <conditionalFormatting sqref="E2155 E2159:E2161">
    <cfRule type="containsText" dxfId="2518" priority="7141" operator="containsText" text="Pesquisa de Preços">
      <formula>NOT(ISERROR(SEARCH("Pesquisa de Preços",E2155)))</formula>
    </cfRule>
  </conditionalFormatting>
  <conditionalFormatting sqref="E2154">
    <cfRule type="containsText" dxfId="2517" priority="7140" operator="containsText" text="Pesquisa de Preços">
      <formula>NOT(ISERROR(SEARCH("Pesquisa de Preços",E2154)))</formula>
    </cfRule>
  </conditionalFormatting>
  <conditionalFormatting sqref="E2158">
    <cfRule type="containsText" dxfId="2516" priority="7139" operator="containsText" text="Pesquisa de Preços">
      <formula>NOT(ISERROR(SEARCH("Pesquisa de Preços",E2158)))</formula>
    </cfRule>
  </conditionalFormatting>
  <conditionalFormatting sqref="E2171 E2175:E2177">
    <cfRule type="containsText" dxfId="2515" priority="7138" operator="containsText" text="Pesquisa de Preços">
      <formula>NOT(ISERROR(SEARCH("Pesquisa de Preços",E2171)))</formula>
    </cfRule>
  </conditionalFormatting>
  <conditionalFormatting sqref="E2151:E2153">
    <cfRule type="containsText" dxfId="2514" priority="7136" operator="containsText" text="Pesquisa de Preços">
      <formula>NOT(ISERROR(SEARCH("Pesquisa de Preços",E2151)))</formula>
    </cfRule>
  </conditionalFormatting>
  <conditionalFormatting sqref="E2183:E2185">
    <cfRule type="containsText" dxfId="2513" priority="7135" operator="containsText" text="Pesquisa de Preços">
      <formula>NOT(ISERROR(SEARCH("Pesquisa de Preços",E2183)))</formula>
    </cfRule>
  </conditionalFormatting>
  <conditionalFormatting sqref="E2061 E2065:E2067">
    <cfRule type="containsText" dxfId="2512" priority="7130" operator="containsText" text="Pesquisa de Preços">
      <formula>NOT(ISERROR(SEARCH("Pesquisa de Preços",E2061)))</formula>
    </cfRule>
  </conditionalFormatting>
  <conditionalFormatting sqref="E2167:E2169">
    <cfRule type="containsText" dxfId="2511" priority="7134" operator="containsText" text="Pesquisa de Preços">
      <formula>NOT(ISERROR(SEARCH("Pesquisa de Preços",E2167)))</formula>
    </cfRule>
  </conditionalFormatting>
  <conditionalFormatting sqref="E2060">
    <cfRule type="containsText" dxfId="2510" priority="7129" operator="containsText" text="Pesquisa de Preços">
      <formula>NOT(ISERROR(SEARCH("Pesquisa de Preços",E2060)))</formula>
    </cfRule>
  </conditionalFormatting>
  <conditionalFormatting sqref="E2191:E2193">
    <cfRule type="containsText" dxfId="2509" priority="7133" operator="containsText" text="Pesquisa de Preços">
      <formula>NOT(ISERROR(SEARCH("Pesquisa de Preços",E2191)))</formula>
    </cfRule>
  </conditionalFormatting>
  <conditionalFormatting sqref="E2244:E2247 E2249">
    <cfRule type="containsText" dxfId="2508" priority="7089" operator="containsText" text="Pesquisa de Preços">
      <formula>NOT(ISERROR(SEARCH("Pesquisa de Preços",E2244)))</formula>
    </cfRule>
  </conditionalFormatting>
  <conditionalFormatting sqref="E2045 E2049:E2051">
    <cfRule type="containsText" dxfId="2507" priority="7132" operator="containsText" text="Pesquisa de Preços">
      <formula>NOT(ISERROR(SEARCH("Pesquisa de Preços",E2045)))</formula>
    </cfRule>
  </conditionalFormatting>
  <conditionalFormatting sqref="E2053 E2057:E2059">
    <cfRule type="containsText" dxfId="2506" priority="7124" operator="containsText" text="Pesquisa de Preços">
      <formula>NOT(ISERROR(SEARCH("Pesquisa de Preços",E2053)))</formula>
    </cfRule>
  </conditionalFormatting>
  <conditionalFormatting sqref="E2338:E2339 E2342">
    <cfRule type="containsText" dxfId="2505" priority="7082" operator="containsText" text="Pesquisa de Preços">
      <formula>NOT(ISERROR(SEARCH("Pesquisa de Preços",E2338)))</formula>
    </cfRule>
  </conditionalFormatting>
  <conditionalFormatting sqref="E2037 E2041:E2043">
    <cfRule type="containsText" dxfId="2504" priority="7128" operator="containsText" text="Pesquisa de Preços">
      <formula>NOT(ISERROR(SEARCH("Pesquisa de Preços",E2037)))</formula>
    </cfRule>
  </conditionalFormatting>
  <conditionalFormatting sqref="E2036">
    <cfRule type="containsText" dxfId="2503" priority="7127" operator="containsText" text="Pesquisa de Preços">
      <formula>NOT(ISERROR(SEARCH("Pesquisa de Preços",E2036)))</formula>
    </cfRule>
  </conditionalFormatting>
  <conditionalFormatting sqref="E2069 E2073:E2075">
    <cfRule type="containsText" dxfId="2502" priority="7126" operator="containsText" text="Pesquisa de Preços">
      <formula>NOT(ISERROR(SEARCH("Pesquisa de Preços",E2069)))</formula>
    </cfRule>
  </conditionalFormatting>
  <conditionalFormatting sqref="E2068">
    <cfRule type="containsText" dxfId="2501" priority="7125" operator="containsText" text="Pesquisa de Preços">
      <formula>NOT(ISERROR(SEARCH("Pesquisa de Preços",E2068)))</formula>
    </cfRule>
  </conditionalFormatting>
  <conditionalFormatting sqref="E2319:E2320">
    <cfRule type="containsText" dxfId="2500" priority="7088" operator="containsText" text="Pesquisa de Preços">
      <formula>NOT(ISERROR(SEARCH("Pesquisa de Preços",E2319)))</formula>
    </cfRule>
  </conditionalFormatting>
  <conditionalFormatting sqref="E2052">
    <cfRule type="containsText" dxfId="2499" priority="7123" operator="containsText" text="Pesquisa de Preços">
      <formula>NOT(ISERROR(SEARCH("Pesquisa de Preços",E2052)))</formula>
    </cfRule>
  </conditionalFormatting>
  <conditionalFormatting sqref="E2301">
    <cfRule type="containsText" dxfId="2498" priority="7097" operator="containsText" text="Pesquisa de Preços">
      <formula>NOT(ISERROR(SEARCH("Pesquisa de Preços",E2301)))</formula>
    </cfRule>
  </conditionalFormatting>
  <conditionalFormatting sqref="E2077 E2081:E2083">
    <cfRule type="containsText" dxfId="2497" priority="7122" operator="containsText" text="Pesquisa de Preços">
      <formula>NOT(ISERROR(SEARCH("Pesquisa de Preços",E2077)))</formula>
    </cfRule>
  </conditionalFormatting>
  <conditionalFormatting sqref="E2076">
    <cfRule type="containsText" dxfId="2496" priority="7121" operator="containsText" text="Pesquisa de Preços">
      <formula>NOT(ISERROR(SEARCH("Pesquisa de Preços",E2076)))</formula>
    </cfRule>
  </conditionalFormatting>
  <conditionalFormatting sqref="E2256">
    <cfRule type="containsText" dxfId="2495" priority="7101" operator="containsText" text="Pesquisa de Preços">
      <formula>NOT(ISERROR(SEARCH("Pesquisa de Preços",E2256)))</formula>
    </cfRule>
  </conditionalFormatting>
  <conditionalFormatting sqref="E2035">
    <cfRule type="containsText" dxfId="2494" priority="7120" operator="containsText" text="Pesquisa de Preços">
      <formula>NOT(ISERROR(SEARCH("Pesquisa de Preços",E2035)))</formula>
    </cfRule>
  </conditionalFormatting>
  <conditionalFormatting sqref="E2113:E2115">
    <cfRule type="containsText" dxfId="2493" priority="7119" operator="containsText" text="Pesquisa de Preços">
      <formula>NOT(ISERROR(SEARCH("Pesquisa de Preços",E2113)))</formula>
    </cfRule>
  </conditionalFormatting>
  <conditionalFormatting sqref="E2229">
    <cfRule type="containsText" dxfId="2492" priority="7102" operator="containsText" text="Pesquisa de Preços">
      <formula>NOT(ISERROR(SEARCH("Pesquisa de Preços",E2229)))</formula>
    </cfRule>
  </conditionalFormatting>
  <conditionalFormatting sqref="E2105:E2107">
    <cfRule type="containsText" dxfId="2491" priority="7118" operator="containsText" text="Pesquisa de Preços">
      <formula>NOT(ISERROR(SEARCH("Pesquisa de Preços",E2105)))</formula>
    </cfRule>
  </conditionalFormatting>
  <conditionalFormatting sqref="E2220">
    <cfRule type="containsText" dxfId="2490" priority="7107" operator="containsText" text="Pesquisa de Preços">
      <formula>NOT(ISERROR(SEARCH("Pesquisa de Preços",E2220)))</formula>
    </cfRule>
  </conditionalFormatting>
  <conditionalFormatting sqref="E2222">
    <cfRule type="containsText" dxfId="2489" priority="7106" operator="containsText" text="Pesquisa de Preços">
      <formula>NOT(ISERROR(SEARCH("Pesquisa de Preços",E2222)))</formula>
    </cfRule>
  </conditionalFormatting>
  <conditionalFormatting sqref="E2099">
    <cfRule type="containsText" dxfId="2488" priority="7117" operator="containsText" text="Pesquisa de Preços">
      <formula>NOT(ISERROR(SEARCH("Pesquisa de Preços",E2099)))</formula>
    </cfRule>
  </conditionalFormatting>
  <conditionalFormatting sqref="E2025">
    <cfRule type="containsText" dxfId="2487" priority="7114" operator="containsText" text="Pesquisa de Preços">
      <formula>NOT(ISERROR(SEARCH("Pesquisa de Preços",E2025)))</formula>
    </cfRule>
  </conditionalFormatting>
  <conditionalFormatting sqref="E2023:E2024 E2026:E2027">
    <cfRule type="containsText" dxfId="2486" priority="7116" operator="containsText" text="Pesquisa de Preços">
      <formula>NOT(ISERROR(SEARCH("Pesquisa de Preços",E2023)))</formula>
    </cfRule>
  </conditionalFormatting>
  <conditionalFormatting sqref="E2022">
    <cfRule type="containsText" dxfId="2485" priority="7115" operator="containsText" text="Pesquisa de Preços">
      <formula>NOT(ISERROR(SEARCH("Pesquisa de Preços",E2022)))</formula>
    </cfRule>
  </conditionalFormatting>
  <conditionalFormatting sqref="E2117">
    <cfRule type="containsText" dxfId="2484" priority="7113" operator="containsText" text="Pesquisa de Preços">
      <formula>NOT(ISERROR(SEARCH("Pesquisa de Preços",E2117)))</formula>
    </cfRule>
  </conditionalFormatting>
  <conditionalFormatting sqref="E2116">
    <cfRule type="containsText" dxfId="2483" priority="7112" operator="containsText" text="Pesquisa de Preços">
      <formula>NOT(ISERROR(SEARCH("Pesquisa de Preços",E2116)))</formula>
    </cfRule>
  </conditionalFormatting>
  <conditionalFormatting sqref="E2211:E2212">
    <cfRule type="containsText" dxfId="2482" priority="7111" operator="containsText" text="Pesquisa de Preços">
      <formula>NOT(ISERROR(SEARCH("Pesquisa de Preços",E2211)))</formula>
    </cfRule>
  </conditionalFormatting>
  <conditionalFormatting sqref="E2210">
    <cfRule type="containsText" dxfId="2481" priority="7110" operator="containsText" text="Pesquisa de Preços">
      <formula>NOT(ISERROR(SEARCH("Pesquisa de Preços",E2210)))</formula>
    </cfRule>
  </conditionalFormatting>
  <conditionalFormatting sqref="E2216:E2217 E2219">
    <cfRule type="containsText" dxfId="2480" priority="7109" operator="containsText" text="Pesquisa de Preços">
      <formula>NOT(ISERROR(SEARCH("Pesquisa de Preços",E2216)))</formula>
    </cfRule>
  </conditionalFormatting>
  <conditionalFormatting sqref="E2236 E2239:E2240">
    <cfRule type="containsText" dxfId="2479" priority="7105" operator="containsText" text="Pesquisa de Preços">
      <formula>NOT(ISERROR(SEARCH("Pesquisa de Preços",E2236)))</formula>
    </cfRule>
  </conditionalFormatting>
  <conditionalFormatting sqref="E2230 E2234">
    <cfRule type="containsText" dxfId="2478" priority="7103" operator="containsText" text="Pesquisa de Preços">
      <formula>NOT(ISERROR(SEARCH("Pesquisa de Preços",E2230)))</formula>
    </cfRule>
  </conditionalFormatting>
  <conditionalFormatting sqref="E2302">
    <cfRule type="containsText" dxfId="2477" priority="7098" operator="containsText" text="Pesquisa de Preços">
      <formula>NOT(ISERROR(SEARCH("Pesquisa de Preços",E2302)))</formula>
    </cfRule>
  </conditionalFormatting>
  <conditionalFormatting sqref="E2259">
    <cfRule type="containsText" dxfId="2476" priority="7099" operator="containsText" text="Pesquisa de Preços">
      <formula>NOT(ISERROR(SEARCH("Pesquisa de Preços",E2259)))</formula>
    </cfRule>
  </conditionalFormatting>
  <conditionalFormatting sqref="E2291">
    <cfRule type="containsText" dxfId="2475" priority="7095" operator="containsText" text="Pesquisa de Preços">
      <formula>NOT(ISERROR(SEARCH("Pesquisa de Preços",E2291)))</formula>
    </cfRule>
  </conditionalFormatting>
  <conditionalFormatting sqref="E2292">
    <cfRule type="containsText" dxfId="2474" priority="7096" operator="containsText" text="Pesquisa de Preços">
      <formula>NOT(ISERROR(SEARCH("Pesquisa de Preços",E2292)))</formula>
    </cfRule>
  </conditionalFormatting>
  <conditionalFormatting sqref="E2282 E2290">
    <cfRule type="containsText" dxfId="2473" priority="7093" operator="containsText" text="Pesquisa de Preços">
      <formula>NOT(ISERROR(SEARCH("Pesquisa de Preços",E2282)))</formula>
    </cfRule>
  </conditionalFormatting>
  <conditionalFormatting sqref="E2241">
    <cfRule type="containsText" dxfId="2472" priority="7090" operator="containsText" text="Pesquisa de Preços">
      <formula>NOT(ISERROR(SEARCH("Pesquisa de Preços",E2241)))</formula>
    </cfRule>
  </conditionalFormatting>
  <conditionalFormatting sqref="E2242:E2243">
    <cfRule type="containsText" dxfId="2471" priority="7091" operator="containsText" text="Pesquisa de Preços">
      <formula>NOT(ISERROR(SEARCH("Pesquisa de Preços",E2242)))</formula>
    </cfRule>
  </conditionalFormatting>
  <conditionalFormatting sqref="E2318">
    <cfRule type="containsText" dxfId="2470" priority="7087" operator="containsText" text="Pesquisa de Preços">
      <formula>NOT(ISERROR(SEARCH("Pesquisa de Preços",E2318)))</formula>
    </cfRule>
  </conditionalFormatting>
  <conditionalFormatting sqref="E2323">
    <cfRule type="containsText" dxfId="2469" priority="7086" operator="containsText" text="Pesquisa de Preços">
      <formula>NOT(ISERROR(SEARCH("Pesquisa de Preços",E2323)))</formula>
    </cfRule>
  </conditionalFormatting>
  <conditionalFormatting sqref="E2317">
    <cfRule type="containsText" dxfId="2468" priority="7085" operator="containsText" text="Pesquisa de Preços">
      <formula>NOT(ISERROR(SEARCH("Pesquisa de Preços",E2317)))</formula>
    </cfRule>
  </conditionalFormatting>
  <conditionalFormatting sqref="E2350">
    <cfRule type="containsText" dxfId="2467" priority="7084" operator="containsText" text="Pesquisa de Preços">
      <formula>NOT(ISERROR(SEARCH("Pesquisa de Preços",E2350)))</formula>
    </cfRule>
  </conditionalFormatting>
  <conditionalFormatting sqref="E2349">
    <cfRule type="containsText" dxfId="2466" priority="7083" operator="containsText" text="Pesquisa de Preços">
      <formula>NOT(ISERROR(SEARCH("Pesquisa de Preços",E2349)))</formula>
    </cfRule>
  </conditionalFormatting>
  <conditionalFormatting sqref="E2337">
    <cfRule type="containsText" dxfId="2465" priority="7081" operator="containsText" text="Pesquisa de Preços">
      <formula>NOT(ISERROR(SEARCH("Pesquisa de Preços",E2337)))</formula>
    </cfRule>
  </conditionalFormatting>
  <conditionalFormatting sqref="E2332:E2333 E2336">
    <cfRule type="containsText" dxfId="2464" priority="7080" operator="containsText" text="Pesquisa de Preços">
      <formula>NOT(ISERROR(SEARCH("Pesquisa de Preços",E2332)))</formula>
    </cfRule>
  </conditionalFormatting>
  <conditionalFormatting sqref="E2344:E2345 E2347:E2348">
    <cfRule type="containsText" dxfId="2463" priority="7078" operator="containsText" text="Pesquisa de Preços">
      <formula>NOT(ISERROR(SEARCH("Pesquisa de Preços",E2344)))</formula>
    </cfRule>
  </conditionalFormatting>
  <conditionalFormatting sqref="E2346">
    <cfRule type="containsText" dxfId="2462" priority="7076" operator="containsText" text="Pesquisa de Preços">
      <formula>NOT(ISERROR(SEARCH("Pesquisa de Preços",E2346)))</formula>
    </cfRule>
  </conditionalFormatting>
  <conditionalFormatting sqref="E2326 E2329:E2330">
    <cfRule type="containsText" dxfId="2461" priority="7075" operator="containsText" text="Pesquisa de Preços">
      <formula>NOT(ISERROR(SEARCH("Pesquisa de Preços",E2326)))</formula>
    </cfRule>
  </conditionalFormatting>
  <conditionalFormatting sqref="E2325">
    <cfRule type="containsText" dxfId="2460" priority="7074" operator="containsText" text="Pesquisa de Preços">
      <formula>NOT(ISERROR(SEARCH("Pesquisa de Preços",E2325)))</formula>
    </cfRule>
  </conditionalFormatting>
  <conditionalFormatting sqref="E2328">
    <cfRule type="containsText" dxfId="2459" priority="7073" operator="containsText" text="Pesquisa de Preços">
      <formula>NOT(ISERROR(SEARCH("Pesquisa de Preços",E2328)))</formula>
    </cfRule>
  </conditionalFormatting>
  <conditionalFormatting sqref="E2355:E2358">
    <cfRule type="containsText" dxfId="2458" priority="7072" operator="containsText" text="Pesquisa de Preços">
      <formula>NOT(ISERROR(SEARCH("Pesquisa de Preços",E2355)))</formula>
    </cfRule>
  </conditionalFormatting>
  <conditionalFormatting sqref="E2360 E2362:E2363">
    <cfRule type="containsText" dxfId="2457" priority="7070" operator="containsText" text="Pesquisa de Preços">
      <formula>NOT(ISERROR(SEARCH("Pesquisa de Preços",E2360)))</formula>
    </cfRule>
  </conditionalFormatting>
  <conditionalFormatting sqref="E897:E898 E900:E902">
    <cfRule type="containsText" dxfId="2456" priority="7068" operator="containsText" text="Pesquisa de Preços">
      <formula>NOT(ISERROR(SEARCH("Pesquisa de Preços",E897)))</formula>
    </cfRule>
  </conditionalFormatting>
  <conditionalFormatting sqref="E857:E858">
    <cfRule type="containsText" dxfId="2455" priority="7060" operator="containsText" text="Pesquisa de Preços">
      <formula>NOT(ISERROR(SEARCH("Pesquisa de Preços",E857)))</formula>
    </cfRule>
  </conditionalFormatting>
  <conditionalFormatting sqref="E876 E881:E882">
    <cfRule type="containsText" dxfId="2454" priority="7066" operator="containsText" text="Pesquisa de Preços">
      <formula>NOT(ISERROR(SEARCH("Pesquisa de Preços",E876)))</formula>
    </cfRule>
  </conditionalFormatting>
  <conditionalFormatting sqref="E889:E890">
    <cfRule type="containsText" dxfId="2453" priority="7063" operator="containsText" text="Pesquisa de Preços">
      <formula>NOT(ISERROR(SEARCH("Pesquisa de Preços",E889)))</formula>
    </cfRule>
  </conditionalFormatting>
  <conditionalFormatting sqref="E868">
    <cfRule type="containsText" dxfId="2452" priority="7053" operator="containsText" text="Pesquisa de Preços">
      <formula>NOT(ISERROR(SEARCH("Pesquisa de Preços",E868)))</formula>
    </cfRule>
  </conditionalFormatting>
  <conditionalFormatting sqref="E858:E860">
    <cfRule type="containsText" dxfId="2451" priority="7058" operator="containsText" text="Pesquisa de Preços">
      <formula>NOT(ISERROR(SEARCH("Pesquisa de Preços",E858)))</formula>
    </cfRule>
  </conditionalFormatting>
  <conditionalFormatting sqref="E846:E849">
    <cfRule type="containsText" dxfId="2450" priority="7057" operator="containsText" text="Pesquisa de Preços">
      <formula>NOT(ISERROR(SEARCH("Pesquisa de Preços",E846)))</formula>
    </cfRule>
  </conditionalFormatting>
  <conditionalFormatting sqref="E845">
    <cfRule type="containsText" dxfId="2449" priority="7056" operator="containsText" text="Pesquisa de Preços">
      <formula>NOT(ISERROR(SEARCH("Pesquisa de Preços",E845)))</formula>
    </cfRule>
  </conditionalFormatting>
  <conditionalFormatting sqref="E851 E854:E855">
    <cfRule type="containsText" dxfId="2448" priority="7055" operator="containsText" text="Pesquisa de Preços">
      <formula>NOT(ISERROR(SEARCH("Pesquisa de Preços",E851)))</formula>
    </cfRule>
  </conditionalFormatting>
  <conditionalFormatting sqref="E867">
    <cfRule type="containsText" dxfId="2447" priority="7052" operator="containsText" text="Pesquisa de Preços">
      <formula>NOT(ISERROR(SEARCH("Pesquisa de Preços",E867)))</formula>
    </cfRule>
  </conditionalFormatting>
  <conditionalFormatting sqref="E863">
    <cfRule type="containsText" dxfId="2446" priority="7051" operator="containsText" text="Pesquisa de Preços">
      <formula>NOT(ISERROR(SEARCH("Pesquisa de Preços",E863)))</formula>
    </cfRule>
  </conditionalFormatting>
  <conditionalFormatting sqref="E862">
    <cfRule type="containsText" dxfId="2445" priority="7050" operator="containsText" text="Pesquisa de Preços">
      <formula>NOT(ISERROR(SEARCH("Pesquisa de Preços",E862)))</formula>
    </cfRule>
  </conditionalFormatting>
  <conditionalFormatting sqref="E892:E893">
    <cfRule type="containsText" dxfId="2444" priority="7049" operator="containsText" text="Pesquisa de Preços">
      <formula>NOT(ISERROR(SEARCH("Pesquisa de Preços",E892)))</formula>
    </cfRule>
  </conditionalFormatting>
  <conditionalFormatting sqref="E891">
    <cfRule type="containsText" dxfId="2443" priority="7048" operator="containsText" text="Pesquisa de Preços">
      <formula>NOT(ISERROR(SEARCH("Pesquisa de Preços",E891)))</formula>
    </cfRule>
  </conditionalFormatting>
  <conditionalFormatting sqref="E904:E905">
    <cfRule type="containsText" dxfId="2442" priority="7047" operator="containsText" text="Pesquisa de Preços">
      <formula>NOT(ISERROR(SEARCH("Pesquisa de Preços",E904)))</formula>
    </cfRule>
  </conditionalFormatting>
  <conditionalFormatting sqref="E903">
    <cfRule type="containsText" dxfId="2441" priority="7046" operator="containsText" text="Pesquisa de Preços">
      <formula>NOT(ISERROR(SEARCH("Pesquisa de Preços",E903)))</formula>
    </cfRule>
  </conditionalFormatting>
  <conditionalFormatting sqref="E2371:E2372">
    <cfRule type="containsText" dxfId="2440" priority="7045" operator="containsText" text="Pesquisa de Preços">
      <formula>NOT(ISERROR(SEARCH("Pesquisa de Preços",E2371)))</formula>
    </cfRule>
  </conditionalFormatting>
  <conditionalFormatting sqref="E2370">
    <cfRule type="containsText" dxfId="2439" priority="7044" operator="containsText" text="Pesquisa de Preços">
      <formula>NOT(ISERROR(SEARCH("Pesquisa de Preços",E2370)))</formula>
    </cfRule>
  </conditionalFormatting>
  <conditionalFormatting sqref="E2379 E2382 E2384">
    <cfRule type="containsText" dxfId="2438" priority="7043" operator="containsText" text="Pesquisa de Preços">
      <formula>NOT(ISERROR(SEARCH("Pesquisa de Preços",E2379)))</formula>
    </cfRule>
  </conditionalFormatting>
  <conditionalFormatting sqref="E2378">
    <cfRule type="containsText" dxfId="2437" priority="7042" operator="containsText" text="Pesquisa de Preços">
      <formula>NOT(ISERROR(SEARCH("Pesquisa de Preços",E2378)))</formula>
    </cfRule>
  </conditionalFormatting>
  <conditionalFormatting sqref="E2365:E2366 E2368:E2369">
    <cfRule type="containsText" dxfId="2436" priority="7041" operator="containsText" text="Pesquisa de Preços">
      <formula>NOT(ISERROR(SEARCH("Pesquisa de Preços",E2365)))</formula>
    </cfRule>
  </conditionalFormatting>
  <conditionalFormatting sqref="E2392 E2397">
    <cfRule type="containsText" dxfId="2435" priority="7038" operator="containsText" text="Pesquisa de Preços">
      <formula>NOT(ISERROR(SEARCH("Pesquisa de Preços",E2392)))</formula>
    </cfRule>
  </conditionalFormatting>
  <conditionalFormatting sqref="E2367">
    <cfRule type="containsText" dxfId="2434" priority="7039" operator="containsText" text="Pesquisa de Preços">
      <formula>NOT(ISERROR(SEARCH("Pesquisa de Preços",E2367)))</formula>
    </cfRule>
  </conditionalFormatting>
  <conditionalFormatting sqref="E2386">
    <cfRule type="containsText" dxfId="2433" priority="7036" operator="containsText" text="Pesquisa de Preços">
      <formula>NOT(ISERROR(SEARCH("Pesquisa de Preços",E2386)))</formula>
    </cfRule>
  </conditionalFormatting>
  <conditionalFormatting sqref="E1772:E1773 E1776:E1777">
    <cfRule type="containsText" dxfId="2432" priority="7034" operator="containsText" text="Pesquisa de Preços">
      <formula>NOT(ISERROR(SEARCH("Pesquisa de Preços",E1772)))</formula>
    </cfRule>
  </conditionalFormatting>
  <conditionalFormatting sqref="E1771">
    <cfRule type="containsText" dxfId="2431" priority="7033" operator="containsText" text="Pesquisa de Preços">
      <formula>NOT(ISERROR(SEARCH("Pesquisa de Preços",E1771)))</formula>
    </cfRule>
  </conditionalFormatting>
  <conditionalFormatting sqref="E1744">
    <cfRule type="containsText" dxfId="2430" priority="6960" operator="containsText" text="Pesquisa de Preços">
      <formula>NOT(ISERROR(SEARCH("Pesquisa de Preços",E1744)))</formula>
    </cfRule>
  </conditionalFormatting>
  <conditionalFormatting sqref="E1774:E1775">
    <cfRule type="containsText" dxfId="2429" priority="7032" operator="containsText" text="Pesquisa de Preços">
      <formula>NOT(ISERROR(SEARCH("Pesquisa de Preços",E1774)))</formula>
    </cfRule>
  </conditionalFormatting>
  <conditionalFormatting sqref="E1786:E1787 E1790:E1791">
    <cfRule type="containsText" dxfId="2428" priority="7031" operator="containsText" text="Pesquisa de Preços">
      <formula>NOT(ISERROR(SEARCH("Pesquisa de Preços",E1786)))</formula>
    </cfRule>
  </conditionalFormatting>
  <conditionalFormatting sqref="E1785">
    <cfRule type="containsText" dxfId="2427" priority="7030" operator="containsText" text="Pesquisa de Preços">
      <formula>NOT(ISERROR(SEARCH("Pesquisa de Preços",E1785)))</formula>
    </cfRule>
  </conditionalFormatting>
  <conditionalFormatting sqref="E1788:E1789">
    <cfRule type="containsText" dxfId="2426" priority="7029" operator="containsText" text="Pesquisa de Preços">
      <formula>NOT(ISERROR(SEARCH("Pesquisa de Preços",E1788)))</formula>
    </cfRule>
  </conditionalFormatting>
  <conditionalFormatting sqref="E1800:E1801 E1804:E1805">
    <cfRule type="containsText" dxfId="2425" priority="7028" operator="containsText" text="Pesquisa de Preços">
      <formula>NOT(ISERROR(SEARCH("Pesquisa de Preços",E1800)))</formula>
    </cfRule>
  </conditionalFormatting>
  <conditionalFormatting sqref="E1799">
    <cfRule type="containsText" dxfId="2424" priority="7027" operator="containsText" text="Pesquisa de Preços">
      <formula>NOT(ISERROR(SEARCH("Pesquisa de Preços",E1799)))</formula>
    </cfRule>
  </conditionalFormatting>
  <conditionalFormatting sqref="E1802:E1803">
    <cfRule type="containsText" dxfId="2423" priority="7026" operator="containsText" text="Pesquisa de Preços">
      <formula>NOT(ISERROR(SEARCH("Pesquisa de Preços",E1802)))</formula>
    </cfRule>
  </conditionalFormatting>
  <conditionalFormatting sqref="E1758:E1759 E1762:E1763">
    <cfRule type="containsText" dxfId="2422" priority="7025" operator="containsText" text="Pesquisa de Preços">
      <formula>NOT(ISERROR(SEARCH("Pesquisa de Preços",E1758)))</formula>
    </cfRule>
  </conditionalFormatting>
  <conditionalFormatting sqref="E1757">
    <cfRule type="containsText" dxfId="2421" priority="7024" operator="containsText" text="Pesquisa de Preços">
      <formula>NOT(ISERROR(SEARCH("Pesquisa de Preços",E1757)))</formula>
    </cfRule>
  </conditionalFormatting>
  <conditionalFormatting sqref="E1760:E1761">
    <cfRule type="containsText" dxfId="2420" priority="7023" operator="containsText" text="Pesquisa de Preços">
      <formula>NOT(ISERROR(SEARCH("Pesquisa de Preços",E1760)))</formula>
    </cfRule>
  </conditionalFormatting>
  <conditionalFormatting sqref="E1765:E1766 E1769:E1770">
    <cfRule type="containsText" dxfId="2419" priority="7022" operator="containsText" text="Pesquisa de Preços">
      <formula>NOT(ISERROR(SEARCH("Pesquisa de Preços",E1765)))</formula>
    </cfRule>
  </conditionalFormatting>
  <conditionalFormatting sqref="E1764">
    <cfRule type="containsText" dxfId="2418" priority="7021" operator="containsText" text="Pesquisa de Preços">
      <formula>NOT(ISERROR(SEARCH("Pesquisa de Preços",E1764)))</formula>
    </cfRule>
  </conditionalFormatting>
  <conditionalFormatting sqref="E590 E594">
    <cfRule type="containsText" dxfId="2417" priority="6959" operator="containsText" text="Pesquisa de Preços">
      <formula>NOT(ISERROR(SEARCH("Pesquisa de Preços",E590)))</formula>
    </cfRule>
  </conditionalFormatting>
  <conditionalFormatting sqref="E1767:E1768">
    <cfRule type="containsText" dxfId="2416" priority="7020" operator="containsText" text="Pesquisa de Preços">
      <formula>NOT(ISERROR(SEARCH("Pesquisa de Preços",E1767)))</formula>
    </cfRule>
  </conditionalFormatting>
  <conditionalFormatting sqref="E1779 E1784">
    <cfRule type="containsText" dxfId="2415" priority="7019" operator="containsText" text="Pesquisa de Preços">
      <formula>NOT(ISERROR(SEARCH("Pesquisa de Preços",E1779)))</formula>
    </cfRule>
  </conditionalFormatting>
  <conditionalFormatting sqref="E1778">
    <cfRule type="containsText" dxfId="2414" priority="7018" operator="containsText" text="Pesquisa de Preços">
      <formula>NOT(ISERROR(SEARCH("Pesquisa de Preços",E1778)))</formula>
    </cfRule>
  </conditionalFormatting>
  <conditionalFormatting sqref="E380">
    <cfRule type="containsText" dxfId="2413" priority="6956" operator="containsText" text="Pesquisa de Preços">
      <formula>NOT(ISERROR(SEARCH("Pesquisa de Preços",E380)))</formula>
    </cfRule>
  </conditionalFormatting>
  <conditionalFormatting sqref="E1798">
    <cfRule type="containsText" dxfId="2412" priority="7017" operator="containsText" text="Pesquisa de Preços">
      <formula>NOT(ISERROR(SEARCH("Pesquisa de Preços",E1798)))</formula>
    </cfRule>
  </conditionalFormatting>
  <conditionalFormatting sqref="E1174">
    <cfRule type="containsText" dxfId="2411" priority="7016" operator="containsText" text="Pesquisa de Preços">
      <formula>NOT(ISERROR(SEARCH("Pesquisa de Preços",E1174)))</formula>
    </cfRule>
  </conditionalFormatting>
  <conditionalFormatting sqref="E1984">
    <cfRule type="containsText" dxfId="2410" priority="7014" operator="containsText" text="Pesquisa de Preços">
      <formula>NOT(ISERROR(SEARCH("Pesquisa de Preços",E1984)))</formula>
    </cfRule>
  </conditionalFormatting>
  <conditionalFormatting sqref="E2017">
    <cfRule type="containsText" dxfId="2409" priority="7012" operator="containsText" text="Pesquisa de Preços">
      <formula>NOT(ISERROR(SEARCH("Pesquisa de Preços",E2017)))</formula>
    </cfRule>
  </conditionalFormatting>
  <conditionalFormatting sqref="E2018:E2019">
    <cfRule type="containsText" dxfId="2408" priority="7011" operator="containsText" text="Pesquisa de Preços">
      <formula>NOT(ISERROR(SEARCH("Pesquisa de Preços",E2018)))</formula>
    </cfRule>
  </conditionalFormatting>
  <conditionalFormatting sqref="E1996 E1999">
    <cfRule type="containsText" dxfId="2407" priority="7010" operator="containsText" text="Pesquisa de Preços">
      <formula>NOT(ISERROR(SEARCH("Pesquisa de Preços",E1996)))</formula>
    </cfRule>
  </conditionalFormatting>
  <conditionalFormatting sqref="E1997:E1998">
    <cfRule type="containsText" dxfId="2406" priority="7009" operator="containsText" text="Pesquisa de Preços">
      <formula>NOT(ISERROR(SEARCH("Pesquisa de Preços",E1997)))</formula>
    </cfRule>
  </conditionalFormatting>
  <conditionalFormatting sqref="E2097:E2098">
    <cfRule type="containsText" dxfId="2405" priority="7008" operator="containsText" text="Pesquisa de Preços">
      <formula>NOT(ISERROR(SEARCH("Pesquisa de Preços",E2097)))</formula>
    </cfRule>
  </conditionalFormatting>
  <conditionalFormatting sqref="E2033:E2034">
    <cfRule type="containsText" dxfId="2404" priority="7007" operator="containsText" text="Pesquisa de Preços">
      <formula>NOT(ISERROR(SEARCH("Pesquisa de Preços",E2033)))</formula>
    </cfRule>
  </conditionalFormatting>
  <conditionalFormatting sqref="E829">
    <cfRule type="containsText" dxfId="2403" priority="6939" operator="containsText" text="Pesquisa de Preços">
      <formula>NOT(ISERROR(SEARCH("Pesquisa de Preços",E829)))</formula>
    </cfRule>
  </conditionalFormatting>
  <conditionalFormatting sqref="E830">
    <cfRule type="containsText" dxfId="2402" priority="6938" operator="containsText" text="Pesquisa de Preços">
      <formula>NOT(ISERROR(SEARCH("Pesquisa de Preços",E830)))</formula>
    </cfRule>
  </conditionalFormatting>
  <conditionalFormatting sqref="E94:E95">
    <cfRule type="containsText" dxfId="2401" priority="6933" operator="containsText" text="Pesquisa de Preços">
      <formula>NOT(ISERROR(SEARCH("Pesquisa de Preços",E94)))</formula>
    </cfRule>
  </conditionalFormatting>
  <conditionalFormatting sqref="E207">
    <cfRule type="containsText" dxfId="2400" priority="6931" operator="containsText" text="Pesquisa de Preços">
      <formula>NOT(ISERROR(SEARCH("Pesquisa de Preços",E207)))</formula>
    </cfRule>
  </conditionalFormatting>
  <conditionalFormatting sqref="E1637">
    <cfRule type="containsText" dxfId="2399" priority="6929" operator="containsText" text="Pesquisa de Preços">
      <formula>NOT(ISERROR(SEARCH("Pesquisa de Preços",E1637)))</formula>
    </cfRule>
  </conditionalFormatting>
  <conditionalFormatting sqref="E1613">
    <cfRule type="containsText" dxfId="2398" priority="6927" operator="containsText" text="Pesquisa de Preços">
      <formula>NOT(ISERROR(SEARCH("Pesquisa de Preços",E1613)))</formula>
    </cfRule>
  </conditionalFormatting>
  <conditionalFormatting sqref="E1689">
    <cfRule type="containsText" dxfId="2397" priority="6926" operator="containsText" text="Pesquisa de Preços">
      <formula>NOT(ISERROR(SEARCH("Pesquisa de Preços",E1689)))</formula>
    </cfRule>
  </conditionalFormatting>
  <conditionalFormatting sqref="E54">
    <cfRule type="containsText" dxfId="2396" priority="6989" operator="containsText" text="Pesquisa de Preços">
      <formula>NOT(ISERROR(SEARCH("Pesquisa de Preços",E54)))</formula>
    </cfRule>
  </conditionalFormatting>
  <conditionalFormatting sqref="E206">
    <cfRule type="containsText" dxfId="2395" priority="7006" operator="containsText" text="Pesquisa de Preços">
      <formula>NOT(ISERROR(SEARCH("Pesquisa de Preços",E206)))</formula>
    </cfRule>
  </conditionalFormatting>
  <conditionalFormatting sqref="E205">
    <cfRule type="containsText" dxfId="2394" priority="7005" operator="containsText" text="Pesquisa de Preços">
      <formula>NOT(ISERROR(SEARCH("Pesquisa de Preços",E205)))</formula>
    </cfRule>
  </conditionalFormatting>
  <conditionalFormatting sqref="E103:E104">
    <cfRule type="containsText" dxfId="2393" priority="7004" operator="containsText" text="Pesquisa de Preços">
      <formula>NOT(ISERROR(SEARCH("Pesquisa de Preços",E103)))</formula>
    </cfRule>
  </conditionalFormatting>
  <conditionalFormatting sqref="E102">
    <cfRule type="containsText" dxfId="2392" priority="7003" operator="containsText" text="Pesquisa de Preços">
      <formula>NOT(ISERROR(SEARCH("Pesquisa de Preços",E102)))</formula>
    </cfRule>
  </conditionalFormatting>
  <conditionalFormatting sqref="E423:E424">
    <cfRule type="containsText" dxfId="2391" priority="7002" operator="containsText" text="Pesquisa de Preços">
      <formula>NOT(ISERROR(SEARCH("Pesquisa de Preços",E423)))</formula>
    </cfRule>
  </conditionalFormatting>
  <conditionalFormatting sqref="E422">
    <cfRule type="containsText" dxfId="2390" priority="7001" operator="containsText" text="Pesquisa de Preços">
      <formula>NOT(ISERROR(SEARCH("Pesquisa de Preços",E422)))</formula>
    </cfRule>
  </conditionalFormatting>
  <conditionalFormatting sqref="E425:E427">
    <cfRule type="containsText" dxfId="2389" priority="7000" operator="containsText" text="Pesquisa de Preços">
      <formula>NOT(ISERROR(SEARCH("Pesquisa de Preços",E425)))</formula>
    </cfRule>
  </conditionalFormatting>
  <conditionalFormatting sqref="E616 E620">
    <cfRule type="containsText" dxfId="2388" priority="6999" operator="containsText" text="Pesquisa de Preços">
      <formula>NOT(ISERROR(SEARCH("Pesquisa de Preços",E616)))</formula>
    </cfRule>
  </conditionalFormatting>
  <conditionalFormatting sqref="E615">
    <cfRule type="containsText" dxfId="2387" priority="6998" operator="containsText" text="Pesquisa de Preços">
      <formula>NOT(ISERROR(SEARCH("Pesquisa de Preços",E615)))</formula>
    </cfRule>
  </conditionalFormatting>
  <conditionalFormatting sqref="E589 E595">
    <cfRule type="containsText" dxfId="2386" priority="6997" operator="containsText" text="Pesquisa de Preços">
      <formula>NOT(ISERROR(SEARCH("Pesquisa de Preços",E589)))</formula>
    </cfRule>
  </conditionalFormatting>
  <conditionalFormatting sqref="E588">
    <cfRule type="containsText" dxfId="2385" priority="6996" operator="containsText" text="Pesquisa de Preços">
      <formula>NOT(ISERROR(SEARCH("Pesquisa de Preços",E588)))</formula>
    </cfRule>
  </conditionalFormatting>
  <conditionalFormatting sqref="E638:E639 E642:E643">
    <cfRule type="containsText" dxfId="2384" priority="6995" operator="containsText" text="Pesquisa de Preços">
      <formula>NOT(ISERROR(SEARCH("Pesquisa de Preços",E638)))</formula>
    </cfRule>
  </conditionalFormatting>
  <conditionalFormatting sqref="E637">
    <cfRule type="containsText" dxfId="2383" priority="6994" operator="containsText" text="Pesquisa de Preços">
      <formula>NOT(ISERROR(SEARCH("Pesquisa de Preços",E637)))</formula>
    </cfRule>
  </conditionalFormatting>
  <conditionalFormatting sqref="E640:E641">
    <cfRule type="containsText" dxfId="2382" priority="6993" operator="containsText" text="Pesquisa de Preços">
      <formula>NOT(ISERROR(SEARCH("Pesquisa de Preços",E640)))</formula>
    </cfRule>
  </conditionalFormatting>
  <conditionalFormatting sqref="E226">
    <cfRule type="containsText" dxfId="2381" priority="6992" operator="containsText" text="Pesquisa de Preços">
      <formula>NOT(ISERROR(SEARCH("Pesquisa de Preços",E226)))</formula>
    </cfRule>
  </conditionalFormatting>
  <conditionalFormatting sqref="E151:E152">
    <cfRule type="containsText" dxfId="2380" priority="6991" operator="containsText" text="Pesquisa de Preços">
      <formula>NOT(ISERROR(SEARCH("Pesquisa de Preços",E151)))</formula>
    </cfRule>
  </conditionalFormatting>
  <conditionalFormatting sqref="E163:E164">
    <cfRule type="containsText" dxfId="2379" priority="6990" operator="containsText" text="Pesquisa de Preços">
      <formula>NOT(ISERROR(SEARCH("Pesquisa de Preços",E163)))</formula>
    </cfRule>
  </conditionalFormatting>
  <conditionalFormatting sqref="E55:E57">
    <cfRule type="containsText" dxfId="2378" priority="6988" operator="containsText" text="Pesquisa de Preços">
      <formula>NOT(ISERROR(SEARCH("Pesquisa de Preços",E55)))</formula>
    </cfRule>
  </conditionalFormatting>
  <conditionalFormatting sqref="E30:E31">
    <cfRule type="containsText" dxfId="2377" priority="6987" operator="containsText" text="Pesquisa de Preços">
      <formula>NOT(ISERROR(SEARCH("Pesquisa de Preços",E30)))</formula>
    </cfRule>
  </conditionalFormatting>
  <conditionalFormatting sqref="E25:E26">
    <cfRule type="containsText" dxfId="2376" priority="6986" operator="containsText" text="Pesquisa de Preços">
      <formula>NOT(ISERROR(SEARCH("Pesquisa de Preços",E25)))</formula>
    </cfRule>
  </conditionalFormatting>
  <conditionalFormatting sqref="E181">
    <cfRule type="containsText" dxfId="2375" priority="6985" operator="containsText" text="Pesquisa de Preços">
      <formula>NOT(ISERROR(SEARCH("Pesquisa de Preços",E181)))</formula>
    </cfRule>
  </conditionalFormatting>
  <conditionalFormatting sqref="E128:E129">
    <cfRule type="containsText" dxfId="2374" priority="6984" operator="containsText" text="Pesquisa de Preços">
      <formula>NOT(ISERROR(SEARCH("Pesquisa de Preços",E128)))</formula>
    </cfRule>
  </conditionalFormatting>
  <conditionalFormatting sqref="E1922">
    <cfRule type="containsText" dxfId="2373" priority="6909" operator="containsText" text="Pesquisa de Preços">
      <formula>NOT(ISERROR(SEARCH("Pesquisa de Preços",E1922)))</formula>
    </cfRule>
  </conditionalFormatting>
  <conditionalFormatting sqref="E84">
    <cfRule type="containsText" dxfId="2372" priority="6983" operator="containsText" text="Pesquisa de Preços">
      <formula>NOT(ISERROR(SEARCH("Pesquisa de Preços",E84)))</formula>
    </cfRule>
  </conditionalFormatting>
  <conditionalFormatting sqref="E85">
    <cfRule type="containsText" dxfId="2371" priority="6982" operator="containsText" text="Pesquisa de Preços">
      <formula>NOT(ISERROR(SEARCH("Pesquisa de Preços",E85)))</formula>
    </cfRule>
  </conditionalFormatting>
  <conditionalFormatting sqref="E61">
    <cfRule type="containsText" dxfId="2370" priority="6981" operator="containsText" text="Pesquisa de Preços">
      <formula>NOT(ISERROR(SEARCH("Pesquisa de Preços",E61)))</formula>
    </cfRule>
  </conditionalFormatting>
  <conditionalFormatting sqref="E62">
    <cfRule type="containsText" dxfId="2369" priority="6980" operator="containsText" text="Pesquisa de Preços">
      <formula>NOT(ISERROR(SEARCH("Pesquisa de Preços",E62)))</formula>
    </cfRule>
  </conditionalFormatting>
  <conditionalFormatting sqref="E2351">
    <cfRule type="containsText" dxfId="2368" priority="6906" operator="containsText" text="Pesquisa de Preços">
      <formula>NOT(ISERROR(SEARCH("Pesquisa de Preços",E2351)))</formula>
    </cfRule>
  </conditionalFormatting>
  <conditionalFormatting sqref="E44:E45">
    <cfRule type="containsText" dxfId="2367" priority="6979" operator="containsText" text="Pesquisa de Preços">
      <formula>NOT(ISERROR(SEARCH("Pesquisa de Preços",E44)))</formula>
    </cfRule>
  </conditionalFormatting>
  <conditionalFormatting sqref="E311">
    <cfRule type="containsText" dxfId="2366" priority="6978" operator="containsText" text="Pesquisa de Preços">
      <formula>NOT(ISERROR(SEARCH("Pesquisa de Preços",E311)))</formula>
    </cfRule>
  </conditionalFormatting>
  <conditionalFormatting sqref="E297">
    <cfRule type="containsText" dxfId="2365" priority="6977" operator="containsText" text="Pesquisa de Preços">
      <formula>NOT(ISERROR(SEARCH("Pesquisa de Preços",E297)))</formula>
    </cfRule>
  </conditionalFormatting>
  <conditionalFormatting sqref="E457">
    <cfRule type="containsText" dxfId="2364" priority="6976" operator="containsText" text="Pesquisa de Preços">
      <formula>NOT(ISERROR(SEARCH("Pesquisa de Preços",E457)))</formula>
    </cfRule>
  </conditionalFormatting>
  <conditionalFormatting sqref="E500:E501">
    <cfRule type="containsText" dxfId="2363" priority="6973" operator="containsText" text="Pesquisa de Preços">
      <formula>NOT(ISERROR(SEARCH("Pesquisa de Preços",E500)))</formula>
    </cfRule>
  </conditionalFormatting>
  <conditionalFormatting sqref="E467">
    <cfRule type="containsText" dxfId="2362" priority="6975" operator="containsText" text="Pesquisa de Preços">
      <formula>NOT(ISERROR(SEARCH("Pesquisa de Preços",E467)))</formula>
    </cfRule>
  </conditionalFormatting>
  <conditionalFormatting sqref="E499 E502">
    <cfRule type="containsText" dxfId="2361" priority="6974" operator="containsText" text="Pesquisa de Preços">
      <formula>NOT(ISERROR(SEARCH("Pesquisa de Preços",E499)))</formula>
    </cfRule>
  </conditionalFormatting>
  <conditionalFormatting sqref="E623">
    <cfRule type="containsText" dxfId="2360" priority="6972" operator="containsText" text="Pesquisa de Preços">
      <formula>NOT(ISERROR(SEARCH("Pesquisa de Preços",E623)))</formula>
    </cfRule>
  </conditionalFormatting>
  <conditionalFormatting sqref="E624:E626">
    <cfRule type="containsText" dxfId="2359" priority="6971" operator="containsText" text="Pesquisa de Preços">
      <formula>NOT(ISERROR(SEARCH("Pesquisa de Preços",E624)))</formula>
    </cfRule>
  </conditionalFormatting>
  <conditionalFormatting sqref="E997">
    <cfRule type="containsText" dxfId="2358" priority="6970" operator="containsText" text="Pesquisa de Preços">
      <formula>NOT(ISERROR(SEARCH("Pesquisa de Preços",E997)))</formula>
    </cfRule>
  </conditionalFormatting>
  <conditionalFormatting sqref="E614">
    <cfRule type="containsText" dxfId="2357" priority="6954" operator="containsText" text="Pesquisa de Preços">
      <formula>NOT(ISERROR(SEARCH("Pesquisa de Preços",E614)))</formula>
    </cfRule>
  </conditionalFormatting>
  <conditionalFormatting sqref="E737">
    <cfRule type="containsText" dxfId="2356" priority="6953" operator="containsText" text="Pesquisa de Preços">
      <formula>NOT(ISERROR(SEARCH("Pesquisa de Preços",E737)))</formula>
    </cfRule>
  </conditionalFormatting>
  <conditionalFormatting sqref="E1499">
    <cfRule type="containsText" dxfId="2355" priority="6967" operator="containsText" text="Pesquisa de Preços">
      <formula>NOT(ISERROR(SEARCH("Pesquisa de Preços",E1499)))</formula>
    </cfRule>
  </conditionalFormatting>
  <conditionalFormatting sqref="E591:E593">
    <cfRule type="containsText" dxfId="2354" priority="6958" operator="containsText" text="Pesquisa de Preços">
      <formula>NOT(ISERROR(SEARCH("Pesquisa de Preços",E591)))</formula>
    </cfRule>
  </conditionalFormatting>
  <conditionalFormatting sqref="E1626:E1627">
    <cfRule type="containsText" dxfId="2353" priority="6963" operator="containsText" text="Pesquisa de Preços">
      <formula>NOT(ISERROR(SEARCH("Pesquisa de Preços",E1626)))</formula>
    </cfRule>
  </conditionalFormatting>
  <conditionalFormatting sqref="E1631">
    <cfRule type="containsText" dxfId="2352" priority="6966" operator="containsText" text="Pesquisa de Preços">
      <formula>NOT(ISERROR(SEARCH("Pesquisa de Preços",E1631)))</formula>
    </cfRule>
  </conditionalFormatting>
  <conditionalFormatting sqref="E1632:E1633">
    <cfRule type="containsText" dxfId="2351" priority="6965" operator="containsText" text="Pesquisa de Preços">
      <formula>NOT(ISERROR(SEARCH("Pesquisa de Preços",E1632)))</formula>
    </cfRule>
  </conditionalFormatting>
  <conditionalFormatting sqref="E1625">
    <cfRule type="containsText" dxfId="2350" priority="6964" operator="containsText" text="Pesquisa de Preços">
      <formula>NOT(ISERROR(SEARCH("Pesquisa de Preços",E1625)))</formula>
    </cfRule>
  </conditionalFormatting>
  <conditionalFormatting sqref="E1748">
    <cfRule type="containsText" dxfId="2349" priority="6962" operator="containsText" text="Pesquisa de Preços">
      <formula>NOT(ISERROR(SEARCH("Pesquisa de Preços",E1748)))</formula>
    </cfRule>
  </conditionalFormatting>
  <conditionalFormatting sqref="E381">
    <cfRule type="containsText" dxfId="2348" priority="6957" operator="containsText" text="Pesquisa de Preços">
      <formula>NOT(ISERROR(SEARCH("Pesquisa de Preços",E381)))</formula>
    </cfRule>
  </conditionalFormatting>
  <conditionalFormatting sqref="E1071:E1072">
    <cfRule type="containsText" dxfId="2347" priority="6879" operator="containsText" text="Pesquisa de Preços">
      <formula>NOT(ISERROR(SEARCH("Pesquisa de Preços",E1071)))</formula>
    </cfRule>
  </conditionalFormatting>
  <conditionalFormatting sqref="E605">
    <cfRule type="containsText" dxfId="2346" priority="6955" operator="containsText" text="Pesquisa de Preços">
      <formula>NOT(ISERROR(SEARCH("Pesquisa de Preços",E605)))</formula>
    </cfRule>
  </conditionalFormatting>
  <conditionalFormatting sqref="E1084:E1088">
    <cfRule type="containsText" dxfId="2345" priority="6878" operator="containsText" text="Pesquisa de Preços">
      <formula>NOT(ISERROR(SEARCH("Pesquisa de Preços",E1084)))</formula>
    </cfRule>
  </conditionalFormatting>
  <conditionalFormatting sqref="E736">
    <cfRule type="containsText" dxfId="2344" priority="6952" operator="containsText" text="Pesquisa de Preços">
      <formula>NOT(ISERROR(SEARCH("Pesquisa de Preços",E736)))</formula>
    </cfRule>
  </conditionalFormatting>
  <conditionalFormatting sqref="E631">
    <cfRule type="containsText" dxfId="2343" priority="6949" operator="containsText" text="Pesquisa de Preços">
      <formula>NOT(ISERROR(SEARCH("Pesquisa de Preços",E631)))</formula>
    </cfRule>
  </conditionalFormatting>
  <conditionalFormatting sqref="E630 E635:E636">
    <cfRule type="containsText" dxfId="2342" priority="6951" operator="containsText" text="Pesquisa de Preços">
      <formula>NOT(ISERROR(SEARCH("Pesquisa de Preços",E630)))</formula>
    </cfRule>
  </conditionalFormatting>
  <conditionalFormatting sqref="E629">
    <cfRule type="containsText" dxfId="2341" priority="6950" operator="containsText" text="Pesquisa de Preços">
      <formula>NOT(ISERROR(SEARCH("Pesquisa de Preços",E629)))</formula>
    </cfRule>
  </conditionalFormatting>
  <conditionalFormatting sqref="E1257:E1258 E1253:E1254">
    <cfRule type="containsText" dxfId="2340" priority="6947" operator="containsText" text="Pesquisa de Preços">
      <formula>NOT(ISERROR(SEARCH("Pesquisa de Preços",E1253)))</formula>
    </cfRule>
  </conditionalFormatting>
  <conditionalFormatting sqref="E632:E634">
    <cfRule type="containsText" dxfId="2339" priority="6948" operator="containsText" text="Pesquisa de Preços">
      <formula>NOT(ISERROR(SEARCH("Pesquisa de Preços",E632)))</formula>
    </cfRule>
  </conditionalFormatting>
  <conditionalFormatting sqref="E1252">
    <cfRule type="containsText" dxfId="2338" priority="6946" operator="containsText" text="Pesquisa de Preços">
      <formula>NOT(ISERROR(SEARCH("Pesquisa de Preços",E1252)))</formula>
    </cfRule>
  </conditionalFormatting>
  <conditionalFormatting sqref="E1255:E1256">
    <cfRule type="containsText" dxfId="2337" priority="6945" operator="containsText" text="Pesquisa de Preços">
      <formula>NOT(ISERROR(SEARCH("Pesquisa de Preços",E1255)))</formula>
    </cfRule>
  </conditionalFormatting>
  <conditionalFormatting sqref="E1159 E1163:E1164">
    <cfRule type="containsText" dxfId="2336" priority="6944" operator="containsText" text="Pesquisa de Preços">
      <formula>NOT(ISERROR(SEARCH("Pesquisa de Preços",E1159)))</formula>
    </cfRule>
  </conditionalFormatting>
  <conditionalFormatting sqref="E1158">
    <cfRule type="containsText" dxfId="2335" priority="6943" operator="containsText" text="Pesquisa de Preços">
      <formula>NOT(ISERROR(SEARCH("Pesquisa de Preços",E1158)))</formula>
    </cfRule>
  </conditionalFormatting>
  <conditionalFormatting sqref="E1219:E1220 E1215:E1216">
    <cfRule type="containsText" dxfId="2334" priority="6942" operator="containsText" text="Pesquisa de Preços">
      <formula>NOT(ISERROR(SEARCH("Pesquisa de Preços",E1215)))</formula>
    </cfRule>
  </conditionalFormatting>
  <conditionalFormatting sqref="E1214">
    <cfRule type="containsText" dxfId="2333" priority="6941" operator="containsText" text="Pesquisa de Preços">
      <formula>NOT(ISERROR(SEARCH("Pesquisa de Preços",E1214)))</formula>
    </cfRule>
  </conditionalFormatting>
  <conditionalFormatting sqref="E1217:E1218">
    <cfRule type="containsText" dxfId="2332" priority="6940" operator="containsText" text="Pesquisa de Preços">
      <formula>NOT(ISERROR(SEARCH("Pesquisa de Preços",E1217)))</formula>
    </cfRule>
  </conditionalFormatting>
  <conditionalFormatting sqref="E1350">
    <cfRule type="containsText" dxfId="2331" priority="6877" operator="containsText" text="Pesquisa de Preços">
      <formula>NOT(ISERROR(SEARCH("Pesquisa de Preços",E1350)))</formula>
    </cfRule>
  </conditionalFormatting>
  <conditionalFormatting sqref="E865:E866">
    <cfRule type="containsText" dxfId="2330" priority="6937" operator="containsText" text="Pesquisa de Preços">
      <formula>NOT(ISERROR(SEARCH("Pesquisa de Preços",E865)))</formula>
    </cfRule>
  </conditionalFormatting>
  <conditionalFormatting sqref="E1511">
    <cfRule type="containsText" dxfId="2329" priority="6876" operator="containsText" text="Pesquisa de Preços">
      <formula>NOT(ISERROR(SEARCH("Pesquisa de Preços",E1511)))</formula>
    </cfRule>
  </conditionalFormatting>
  <conditionalFormatting sqref="E208">
    <cfRule type="containsText" dxfId="2328" priority="6932" operator="containsText" text="Pesquisa de Preços">
      <formula>NOT(ISERROR(SEARCH("Pesquisa de Preços",E208)))</formula>
    </cfRule>
  </conditionalFormatting>
  <conditionalFormatting sqref="E1620">
    <cfRule type="containsText" dxfId="2327" priority="6930" operator="containsText" text="Pesquisa de Preços">
      <formula>NOT(ISERROR(SEARCH("Pesquisa de Preços",E1620)))</formula>
    </cfRule>
  </conditionalFormatting>
  <conditionalFormatting sqref="E1687">
    <cfRule type="containsText" dxfId="2326" priority="6928" operator="containsText" text="Pesquisa de Preços">
      <formula>NOT(ISERROR(SEARCH("Pesquisa de Preços",E1687)))</formula>
    </cfRule>
  </conditionalFormatting>
  <conditionalFormatting sqref="E1615">
    <cfRule type="containsText" dxfId="2325" priority="6925" operator="containsText" text="Pesquisa de Preços">
      <formula>NOT(ISERROR(SEARCH("Pesquisa de Preços",E1615)))</formula>
    </cfRule>
  </conditionalFormatting>
  <conditionalFormatting sqref="E142">
    <cfRule type="containsText" dxfId="2324" priority="6924" operator="containsText" text="Pesquisa de Preços">
      <formula>NOT(ISERROR(SEARCH("Pesquisa de Preços",E142)))</formula>
    </cfRule>
  </conditionalFormatting>
  <conditionalFormatting sqref="E802">
    <cfRule type="containsText" dxfId="2323" priority="6923" operator="containsText" text="Pesquisa de Preços">
      <formula>NOT(ISERROR(SEARCH("Pesquisa de Preços",E802)))</formula>
    </cfRule>
  </conditionalFormatting>
  <conditionalFormatting sqref="E1005">
    <cfRule type="containsText" dxfId="2322" priority="6922" operator="containsText" text="Pesquisa de Preços">
      <formula>NOT(ISERROR(SEARCH("Pesquisa de Preços",E1005)))</formula>
    </cfRule>
  </conditionalFormatting>
  <conditionalFormatting sqref="E1010">
    <cfRule type="containsText" dxfId="2321" priority="6921" operator="containsText" text="Pesquisa de Preços">
      <formula>NOT(ISERROR(SEARCH("Pesquisa de Preços",E1010)))</formula>
    </cfRule>
  </conditionalFormatting>
  <conditionalFormatting sqref="E113">
    <cfRule type="containsText" dxfId="2320" priority="6920" operator="containsText" text="Pesquisa de Preços">
      <formula>NOT(ISERROR(SEARCH("Pesquisa de Preços",E113)))</formula>
    </cfRule>
  </conditionalFormatting>
  <conditionalFormatting sqref="E114">
    <cfRule type="containsText" dxfId="2319" priority="6919" operator="containsText" text="Pesquisa de Preços">
      <formula>NOT(ISERROR(SEARCH("Pesquisa de Preços",E114)))</formula>
    </cfRule>
  </conditionalFormatting>
  <conditionalFormatting sqref="E1482">
    <cfRule type="containsText" dxfId="2318" priority="6875" operator="containsText" text="Pesquisa de Preços">
      <formula>NOT(ISERROR(SEARCH("Pesquisa de Preços",E1482)))</formula>
    </cfRule>
  </conditionalFormatting>
  <conditionalFormatting sqref="E1694:E1695">
    <cfRule type="containsText" dxfId="2317" priority="6918" operator="containsText" text="Pesquisa de Preços">
      <formula>NOT(ISERROR(SEARCH("Pesquisa de Preços",E1694)))</formula>
    </cfRule>
  </conditionalFormatting>
  <conditionalFormatting sqref="E1660">
    <cfRule type="containsText" dxfId="2316" priority="6917" operator="containsText" text="Pesquisa de Preços">
      <formula>NOT(ISERROR(SEARCH("Pesquisa de Preços",E1660)))</formula>
    </cfRule>
  </conditionalFormatting>
  <conditionalFormatting sqref="E1743">
    <cfRule type="containsText" dxfId="2315" priority="6916" operator="containsText" text="Pesquisa de Preços">
      <formula>NOT(ISERROR(SEARCH("Pesquisa de Preços",E1743)))</formula>
    </cfRule>
  </conditionalFormatting>
  <conditionalFormatting sqref="E1825">
    <cfRule type="containsText" dxfId="2314" priority="6913" operator="containsText" text="Pesquisa de Preços">
      <formula>NOT(ISERROR(SEARCH("Pesquisa de Preços",E1825)))</formula>
    </cfRule>
  </conditionalFormatting>
  <conditionalFormatting sqref="E1839">
    <cfRule type="containsText" dxfId="2313" priority="6912" operator="containsText" text="Pesquisa de Preços">
      <formula>NOT(ISERROR(SEARCH("Pesquisa de Preços",E1839)))</formula>
    </cfRule>
  </conditionalFormatting>
  <conditionalFormatting sqref="E1838">
    <cfRule type="containsText" dxfId="2312" priority="6911" operator="containsText" text="Pesquisa de Preços">
      <formula>NOT(ISERROR(SEARCH("Pesquisa de Preços",E1838)))</formula>
    </cfRule>
  </conditionalFormatting>
  <conditionalFormatting sqref="E1840">
    <cfRule type="containsText" dxfId="2311" priority="6910" operator="containsText" text="Pesquisa de Preços">
      <formula>NOT(ISERROR(SEARCH("Pesquisa de Preços",E1840)))</formula>
    </cfRule>
  </conditionalFormatting>
  <conditionalFormatting sqref="E1921">
    <cfRule type="containsText" dxfId="2310" priority="6908" operator="containsText" text="Pesquisa de Preços">
      <formula>NOT(ISERROR(SEARCH("Pesquisa de Preços",E1921)))</formula>
    </cfRule>
  </conditionalFormatting>
  <conditionalFormatting sqref="E841">
    <cfRule type="containsText" dxfId="2309" priority="6907" operator="containsText" text="Pesquisa de Preços">
      <formula>NOT(ISERROR(SEARCH("Pesquisa de Preços",E841)))</formula>
    </cfRule>
  </conditionalFormatting>
  <conditionalFormatting sqref="E2387">
    <cfRule type="containsText" dxfId="2308" priority="6905" operator="containsText" text="Pesquisa de Preços">
      <formula>NOT(ISERROR(SEARCH("Pesquisa de Preços",E2387)))</formula>
    </cfRule>
  </conditionalFormatting>
  <conditionalFormatting sqref="E2257">
    <cfRule type="containsText" dxfId="2307" priority="6904" operator="containsText" text="Pesquisa de Preços">
      <formula>NOT(ISERROR(SEARCH("Pesquisa de Preços",E2257)))</formula>
    </cfRule>
  </conditionalFormatting>
  <conditionalFormatting sqref="E2258">
    <cfRule type="containsText" dxfId="2306" priority="6903" operator="containsText" text="Pesquisa de Preços">
      <formula>NOT(ISERROR(SEARCH("Pesquisa de Preços",E2258)))</formula>
    </cfRule>
  </conditionalFormatting>
  <conditionalFormatting sqref="E2380">
    <cfRule type="containsText" dxfId="2305" priority="6902" operator="containsText" text="Pesquisa de Preços">
      <formula>NOT(ISERROR(SEARCH("Pesquisa de Preços",E2380)))</formula>
    </cfRule>
  </conditionalFormatting>
  <conditionalFormatting sqref="E133">
    <cfRule type="containsText" dxfId="2304" priority="6901" operator="containsText" text="Pesquisa de Preços">
      <formula>NOT(ISERROR(SEARCH("Pesquisa de Preços",E133)))</formula>
    </cfRule>
  </conditionalFormatting>
  <conditionalFormatting sqref="E1119">
    <cfRule type="containsText" dxfId="2303" priority="6900" operator="containsText" text="Pesquisa de Preços">
      <formula>NOT(ISERROR(SEARCH("Pesquisa de Preços",E1119)))</formula>
    </cfRule>
  </conditionalFormatting>
  <conditionalFormatting sqref="E1643">
    <cfRule type="containsText" dxfId="2302" priority="6899" operator="containsText" text="Pesquisa de Preços">
      <formula>NOT(ISERROR(SEARCH("Pesquisa de Preços",E1643)))</formula>
    </cfRule>
  </conditionalFormatting>
  <conditionalFormatting sqref="E1642">
    <cfRule type="containsText" dxfId="2301" priority="6898" operator="containsText" text="Pesquisa de Preços">
      <formula>NOT(ISERROR(SEARCH("Pesquisa de Preços",E1642)))</formula>
    </cfRule>
  </conditionalFormatting>
  <conditionalFormatting sqref="E322">
    <cfRule type="containsText" dxfId="2300" priority="6897" operator="containsText" text="Pesquisa de Preços">
      <formula>NOT(ISERROR(SEARCH("Pesquisa de Preços",E322)))</formula>
    </cfRule>
  </conditionalFormatting>
  <conditionalFormatting sqref="E1958">
    <cfRule type="containsText" dxfId="2299" priority="6874" operator="containsText" text="Pesquisa de Preços">
      <formula>NOT(ISERROR(SEARCH("Pesquisa de Preços",E1958)))</formula>
    </cfRule>
  </conditionalFormatting>
  <conditionalFormatting sqref="E1961">
    <cfRule type="containsText" dxfId="2298" priority="6873" operator="containsText" text="Pesquisa de Preços">
      <formula>NOT(ISERROR(SEARCH("Pesquisa de Preços",E1961)))</formula>
    </cfRule>
  </conditionalFormatting>
  <conditionalFormatting sqref="E80">
    <cfRule type="containsText" dxfId="2297" priority="6896" operator="containsText" text="Pesquisa de Preços">
      <formula>NOT(ISERROR(SEARCH("Pesquisa de Preços",E80)))</formula>
    </cfRule>
  </conditionalFormatting>
  <conditionalFormatting sqref="E1136">
    <cfRule type="containsText" dxfId="2296" priority="6895" operator="containsText" text="Pesquisa de Preços">
      <formula>NOT(ISERROR(SEARCH("Pesquisa de Preços",E1136)))</formula>
    </cfRule>
  </conditionalFormatting>
  <conditionalFormatting sqref="E1135">
    <cfRule type="containsText" dxfId="2295" priority="6894" operator="containsText" text="Pesquisa de Preços">
      <formula>NOT(ISERROR(SEARCH("Pesquisa de Preços",E1135)))</formula>
    </cfRule>
  </conditionalFormatting>
  <conditionalFormatting sqref="E1134">
    <cfRule type="containsText" dxfId="2294" priority="6893" operator="containsText" text="Pesquisa de Preços">
      <formula>NOT(ISERROR(SEARCH("Pesquisa de Preços",E1134)))</formula>
    </cfRule>
  </conditionalFormatting>
  <conditionalFormatting sqref="E403:E413">
    <cfRule type="containsText" dxfId="2293" priority="6892" operator="containsText" text="Pesquisa de Preços">
      <formula>NOT(ISERROR(SEARCH("Pesquisa de Preços",E403)))</formula>
    </cfRule>
  </conditionalFormatting>
  <conditionalFormatting sqref="E2135:E2136">
    <cfRule type="containsText" dxfId="2292" priority="6872" operator="containsText" text="Pesquisa de Preços">
      <formula>NOT(ISERROR(SEARCH("Pesquisa de Preços",E2135)))</formula>
    </cfRule>
  </conditionalFormatting>
  <conditionalFormatting sqref="E195">
    <cfRule type="containsText" dxfId="2291" priority="6891" operator="containsText" text="Pesquisa de Preços">
      <formula>NOT(ISERROR(SEARCH("Pesquisa de Preços",E195)))</formula>
    </cfRule>
  </conditionalFormatting>
  <conditionalFormatting sqref="E834:E838">
    <cfRule type="containsText" dxfId="2290" priority="6890" operator="containsText" text="Pesquisa de Preços">
      <formula>NOT(ISERROR(SEARCH("Pesquisa de Preços",E834)))</formula>
    </cfRule>
  </conditionalFormatting>
  <conditionalFormatting sqref="E834:E838">
    <cfRule type="containsText" dxfId="2289" priority="6889" operator="containsText" text="Pesquisa de Preços">
      <formula>NOT(ISERROR(SEARCH("Pesquisa de Preços",E834)))</formula>
    </cfRule>
  </conditionalFormatting>
  <conditionalFormatting sqref="E1931">
    <cfRule type="containsText" dxfId="2288" priority="6888" operator="containsText" text="Pesquisa de Preços">
      <formula>NOT(ISERROR(SEARCH("Pesquisa de Preços",E1931)))</formula>
    </cfRule>
  </conditionalFormatting>
  <conditionalFormatting sqref="E1932">
    <cfRule type="containsText" dxfId="2287" priority="6887" operator="containsText" text="Pesquisa de Preços">
      <formula>NOT(ISERROR(SEARCH("Pesquisa de Preços",E1932)))</formula>
    </cfRule>
  </conditionalFormatting>
  <conditionalFormatting sqref="E812">
    <cfRule type="containsText" dxfId="2286" priority="6886" operator="containsText" text="Pesquisa de Preços">
      <formula>NOT(ISERROR(SEARCH("Pesquisa de Preços",E812)))</formula>
    </cfRule>
  </conditionalFormatting>
  <conditionalFormatting sqref="E769">
    <cfRule type="containsText" dxfId="2285" priority="6885" operator="containsText" text="Pesquisa de Preços">
      <formula>NOT(ISERROR(SEARCH("Pesquisa de Preços",E769)))</formula>
    </cfRule>
  </conditionalFormatting>
  <conditionalFormatting sqref="E768">
    <cfRule type="containsText" dxfId="2284" priority="6884" operator="containsText" text="Pesquisa de Preços">
      <formula>NOT(ISERROR(SEARCH("Pesquisa de Preços",E768)))</formula>
    </cfRule>
  </conditionalFormatting>
  <conditionalFormatting sqref="E852">
    <cfRule type="containsText" dxfId="2283" priority="6883" operator="containsText" text="Pesquisa de Preços">
      <formula>NOT(ISERROR(SEARCH("Pesquisa de Preços",E852)))</formula>
    </cfRule>
  </conditionalFormatting>
  <conditionalFormatting sqref="E871:E872">
    <cfRule type="containsText" dxfId="2282" priority="6882" operator="containsText" text="Pesquisa de Preços">
      <formula>NOT(ISERROR(SEARCH("Pesquisa de Preços",E871)))</formula>
    </cfRule>
  </conditionalFormatting>
  <conditionalFormatting sqref="E2162">
    <cfRule type="containsText" dxfId="2281" priority="6871" operator="containsText" text="Pesquisa de Preços">
      <formula>NOT(ISERROR(SEARCH("Pesquisa de Preços",E2162)))</formula>
    </cfRule>
  </conditionalFormatting>
  <conditionalFormatting sqref="E869">
    <cfRule type="containsText" dxfId="2280" priority="6881" operator="containsText" text="Pesquisa de Preços">
      <formula>NOT(ISERROR(SEARCH("Pesquisa de Preços",E869)))</formula>
    </cfRule>
  </conditionalFormatting>
  <conditionalFormatting sqref="E894">
    <cfRule type="containsText" dxfId="2279" priority="6880" operator="containsText" text="Pesquisa de Preços">
      <formula>NOT(ISERROR(SEARCH("Pesquisa de Preços",E894)))</formula>
    </cfRule>
  </conditionalFormatting>
  <conditionalFormatting sqref="E171">
    <cfRule type="containsText" dxfId="2278" priority="6869" operator="containsText" text="Pesquisa de Preços">
      <formula>NOT(ISERROR(SEARCH("Pesquisa de Preços",E171)))</formula>
    </cfRule>
  </conditionalFormatting>
  <conditionalFormatting sqref="E172:E173">
    <cfRule type="containsText" dxfId="2277" priority="6870" operator="containsText" text="Pesquisa de Preços">
      <formula>NOT(ISERROR(SEARCH("Pesquisa de Preços",E172)))</formula>
    </cfRule>
  </conditionalFormatting>
  <conditionalFormatting sqref="E4897:E4900">
    <cfRule type="containsText" dxfId="2276" priority="6707" operator="containsText" text="Pesquisa de Preços">
      <formula>NOT(ISERROR(SEARCH("Pesquisa de Preços",E4897)))</formula>
    </cfRule>
  </conditionalFormatting>
  <conditionalFormatting sqref="E4903">
    <cfRule type="containsText" dxfId="2275" priority="6699" operator="containsText" text="Pesquisa de Preços">
      <formula>NOT(ISERROR(SEARCH("Pesquisa de Preços",E4903)))</formula>
    </cfRule>
  </conditionalFormatting>
  <conditionalFormatting sqref="E4908:E4909">
    <cfRule type="containsText" dxfId="2274" priority="6695" operator="containsText" text="Pesquisa de Preços">
      <formula>NOT(ISERROR(SEARCH("Pesquisa de Preços",E4908)))</formula>
    </cfRule>
  </conditionalFormatting>
  <conditionalFormatting sqref="E4893">
    <cfRule type="containsText" dxfId="2273" priority="6708" operator="containsText" text="Pesquisa de Preços">
      <formula>NOT(ISERROR(SEARCH("Pesquisa de Preços",E4893)))</formula>
    </cfRule>
  </conditionalFormatting>
  <conditionalFormatting sqref="E4894:E4895 E4902">
    <cfRule type="containsText" dxfId="2272" priority="6709" operator="containsText" text="Pesquisa de Preços">
      <formula>NOT(ISERROR(SEARCH("Pesquisa de Preços",E4894)))</formula>
    </cfRule>
  </conditionalFormatting>
  <conditionalFormatting sqref="E4904:E4905 E4911">
    <cfRule type="containsText" dxfId="2271" priority="6700" operator="containsText" text="Pesquisa de Preços">
      <formula>NOT(ISERROR(SEARCH("Pesquisa de Preços",E4904)))</formula>
    </cfRule>
  </conditionalFormatting>
  <conditionalFormatting sqref="E1041">
    <cfRule type="containsText" dxfId="2270" priority="6694" operator="containsText" text="Pesquisa de Preços">
      <formula>NOT(ISERROR(SEARCH("Pesquisa de Preços",E1041)))</formula>
    </cfRule>
  </conditionalFormatting>
  <conditionalFormatting sqref="E1042">
    <cfRule type="containsText" dxfId="2269" priority="6693" operator="containsText" text="Pesquisa de Preços">
      <formula>NOT(ISERROR(SEARCH("Pesquisa de Preços",E1042)))</formula>
    </cfRule>
  </conditionalFormatting>
  <conditionalFormatting sqref="E4974 E4979">
    <cfRule type="containsText" dxfId="2268" priority="6642" operator="containsText" text="Pesquisa de Preços">
      <formula>NOT(ISERROR(SEARCH("Pesquisa de Preços",E4974)))</formula>
    </cfRule>
  </conditionalFormatting>
  <conditionalFormatting sqref="E4953:E4954 E4958">
    <cfRule type="containsText" dxfId="2267" priority="6663" operator="containsText" text="Pesquisa de Preços">
      <formula>NOT(ISERROR(SEARCH("Pesquisa de Preços",E4953)))</formula>
    </cfRule>
  </conditionalFormatting>
  <conditionalFormatting sqref="E4952">
    <cfRule type="containsText" dxfId="2266" priority="6662" operator="containsText" text="Pesquisa de Preços">
      <formula>NOT(ISERROR(SEARCH("Pesquisa de Preços",E4952)))</formula>
    </cfRule>
  </conditionalFormatting>
  <conditionalFormatting sqref="E4960:E4961 E4965">
    <cfRule type="containsText" dxfId="2265" priority="6656" operator="containsText" text="Pesquisa de Preços">
      <formula>NOT(ISERROR(SEARCH("Pesquisa de Preços",E4960)))</formula>
    </cfRule>
  </conditionalFormatting>
  <conditionalFormatting sqref="E4959">
    <cfRule type="containsText" dxfId="2264" priority="6655" operator="containsText" text="Pesquisa de Preços">
      <formula>NOT(ISERROR(SEARCH("Pesquisa de Preços",E4959)))</formula>
    </cfRule>
  </conditionalFormatting>
  <conditionalFormatting sqref="E4966">
    <cfRule type="containsText" dxfId="2263" priority="6648" operator="containsText" text="Pesquisa de Preços">
      <formula>NOT(ISERROR(SEARCH("Pesquisa de Preços",E4966)))</formula>
    </cfRule>
  </conditionalFormatting>
  <conditionalFormatting sqref="E4967:E4968 E4972">
    <cfRule type="containsText" dxfId="2262" priority="6649" operator="containsText" text="Pesquisa de Preços">
      <formula>NOT(ISERROR(SEARCH("Pesquisa de Preços",E4967)))</formula>
    </cfRule>
  </conditionalFormatting>
  <conditionalFormatting sqref="E5016">
    <cfRule type="containsText" dxfId="2261" priority="6595" operator="containsText" text="Pesquisa de Preços">
      <formula>NOT(ISERROR(SEARCH("Pesquisa de Preços",E5016)))</formula>
    </cfRule>
  </conditionalFormatting>
  <conditionalFormatting sqref="E4973">
    <cfRule type="containsText" dxfId="2260" priority="6641" operator="containsText" text="Pesquisa de Preços">
      <formula>NOT(ISERROR(SEARCH("Pesquisa de Preços",E4973)))</formula>
    </cfRule>
  </conditionalFormatting>
  <conditionalFormatting sqref="E5010 E5015">
    <cfRule type="containsText" dxfId="2259" priority="6605" operator="containsText" text="Pesquisa de Preços">
      <formula>NOT(ISERROR(SEARCH("Pesquisa de Preços",E5010)))</formula>
    </cfRule>
  </conditionalFormatting>
  <conditionalFormatting sqref="E4982">
    <cfRule type="containsText" dxfId="2258" priority="6625" operator="containsText" text="Pesquisa de Preços">
      <formula>NOT(ISERROR(SEARCH("Pesquisa de Preços",E4982)))</formula>
    </cfRule>
  </conditionalFormatting>
  <conditionalFormatting sqref="E4998 E5002">
    <cfRule type="containsText" dxfId="2257" priority="6614" operator="containsText" text="Pesquisa de Preços">
      <formula>NOT(ISERROR(SEARCH("Pesquisa de Preços",E4998)))</formula>
    </cfRule>
  </conditionalFormatting>
  <conditionalFormatting sqref="E4997">
    <cfRule type="containsText" dxfId="2256" priority="6613" operator="containsText" text="Pesquisa de Preços">
      <formula>NOT(ISERROR(SEARCH("Pesquisa de Preços",E4997)))</formula>
    </cfRule>
  </conditionalFormatting>
  <conditionalFormatting sqref="E5006:E5007">
    <cfRule type="containsText" dxfId="2255" priority="6615" operator="containsText" text="Pesquisa de Preços">
      <formula>NOT(ISERROR(SEARCH("Pesquisa de Preços",E5006)))</formula>
    </cfRule>
  </conditionalFormatting>
  <conditionalFormatting sqref="E5003">
    <cfRule type="containsText" dxfId="2254" priority="6616" operator="containsText" text="Pesquisa de Preços">
      <formula>NOT(ISERROR(SEARCH("Pesquisa de Preços",E5003)))</formula>
    </cfRule>
  </conditionalFormatting>
  <conditionalFormatting sqref="E5004">
    <cfRule type="containsText" dxfId="2253" priority="6617" operator="containsText" text="Pesquisa de Preços">
      <formula>NOT(ISERROR(SEARCH("Pesquisa de Preços",E5004)))</formula>
    </cfRule>
  </conditionalFormatting>
  <conditionalFormatting sqref="E5009">
    <cfRule type="containsText" dxfId="2252" priority="6604" operator="containsText" text="Pesquisa de Preços">
      <formula>NOT(ISERROR(SEARCH("Pesquisa de Preços",E5009)))</formula>
    </cfRule>
  </conditionalFormatting>
  <conditionalFormatting sqref="E5029">
    <cfRule type="containsText" dxfId="2251" priority="6577" operator="containsText" text="Pesquisa de Preços">
      <formula>NOT(ISERROR(SEARCH("Pesquisa de Preços",E5029)))</formula>
    </cfRule>
  </conditionalFormatting>
  <conditionalFormatting sqref="E5017:E5018 E5020">
    <cfRule type="containsText" dxfId="2250" priority="6596" operator="containsText" text="Pesquisa de Preços">
      <formula>NOT(ISERROR(SEARCH("Pesquisa de Preços",E5017)))</formula>
    </cfRule>
  </conditionalFormatting>
  <conditionalFormatting sqref="E5030:E5031 E5034">
    <cfRule type="containsText" dxfId="2249" priority="6578" operator="containsText" text="Pesquisa de Preços">
      <formula>NOT(ISERROR(SEARCH("Pesquisa de Preços",E5030)))</formula>
    </cfRule>
  </conditionalFormatting>
  <conditionalFormatting sqref="E5035">
    <cfRule type="containsText" dxfId="2248" priority="6559" operator="containsText" text="Pesquisa de Preços">
      <formula>NOT(ISERROR(SEARCH("Pesquisa de Preços",E5035)))</formula>
    </cfRule>
  </conditionalFormatting>
  <conditionalFormatting sqref="E5036:E5038">
    <cfRule type="containsText" dxfId="2247" priority="6560" operator="containsText" text="Pesquisa de Preços">
      <formula>NOT(ISERROR(SEARCH("Pesquisa de Preços",E5036)))</formula>
    </cfRule>
  </conditionalFormatting>
  <conditionalFormatting sqref="E5039">
    <cfRule type="containsText" dxfId="2246" priority="6548" operator="containsText" text="Pesquisa de Preços">
      <formula>NOT(ISERROR(SEARCH("Pesquisa de Preços",E5039)))</formula>
    </cfRule>
  </conditionalFormatting>
  <conditionalFormatting sqref="E5040:E5041 E5044">
    <cfRule type="containsText" dxfId="2245" priority="6549" operator="containsText" text="Pesquisa de Preços">
      <formula>NOT(ISERROR(SEARCH("Pesquisa de Preços",E5040)))</formula>
    </cfRule>
  </conditionalFormatting>
  <conditionalFormatting sqref="E5045">
    <cfRule type="containsText" dxfId="2244" priority="6526" operator="containsText" text="Pesquisa de Preços">
      <formula>NOT(ISERROR(SEARCH("Pesquisa de Preços",E5045)))</formula>
    </cfRule>
  </conditionalFormatting>
  <conditionalFormatting sqref="E5052:E5053 E5058">
    <cfRule type="containsText" dxfId="2243" priority="6518" operator="containsText" text="Pesquisa de Preços">
      <formula>NOT(ISERROR(SEARCH("Pesquisa de Preços",E5052)))</formula>
    </cfRule>
  </conditionalFormatting>
  <conditionalFormatting sqref="E5046:E5047 E5050">
    <cfRule type="containsText" dxfId="2242" priority="6527" operator="containsText" text="Pesquisa de Preços">
      <formula>NOT(ISERROR(SEARCH("Pesquisa de Preços",E5046)))</formula>
    </cfRule>
  </conditionalFormatting>
  <conditionalFormatting sqref="E5053 E5055">
    <cfRule type="containsText" dxfId="2241" priority="6523" operator="containsText" text="Pesquisa de Preços">
      <formula>NOT(ISERROR(SEARCH("Pesquisa de Preços",E5053)))</formula>
    </cfRule>
  </conditionalFormatting>
  <conditionalFormatting sqref="E5051">
    <cfRule type="containsText" dxfId="2240" priority="6517" operator="containsText" text="Pesquisa de Preços">
      <formula>NOT(ISERROR(SEARCH("Pesquisa de Preços",E5051)))</formula>
    </cfRule>
  </conditionalFormatting>
  <conditionalFormatting sqref="E5055:E5057">
    <cfRule type="containsText" dxfId="2239" priority="6516" operator="containsText" text="Pesquisa de Preços">
      <formula>NOT(ISERROR(SEARCH("Pesquisa de Preços",E5055)))</formula>
    </cfRule>
  </conditionalFormatting>
  <conditionalFormatting sqref="E5063">
    <cfRule type="containsText" dxfId="2238" priority="6499" operator="containsText" text="Pesquisa de Preços">
      <formula>NOT(ISERROR(SEARCH("Pesquisa de Preços",E5063)))</formula>
    </cfRule>
  </conditionalFormatting>
  <conditionalFormatting sqref="E5060 E5065">
    <cfRule type="containsText" dxfId="2237" priority="6509" operator="containsText" text="Pesquisa de Preços">
      <formula>NOT(ISERROR(SEARCH("Pesquisa de Preços",E5060)))</formula>
    </cfRule>
  </conditionalFormatting>
  <conditionalFormatting sqref="E5082:E5083">
    <cfRule type="containsText" dxfId="2236" priority="6458" operator="containsText" text="Pesquisa de Preços">
      <formula>NOT(ISERROR(SEARCH("Pesquisa de Preços",E5082)))</formula>
    </cfRule>
  </conditionalFormatting>
  <conditionalFormatting sqref="E5059">
    <cfRule type="containsText" dxfId="2235" priority="6508" operator="containsText" text="Pesquisa de Preços">
      <formula>NOT(ISERROR(SEARCH("Pesquisa de Preços",E5059)))</formula>
    </cfRule>
  </conditionalFormatting>
  <conditionalFormatting sqref="E5064">
    <cfRule type="containsText" dxfId="2234" priority="6507" operator="containsText" text="Pesquisa de Preços">
      <formula>NOT(ISERROR(SEARCH("Pesquisa de Preços",E5064)))</formula>
    </cfRule>
  </conditionalFormatting>
  <conditionalFormatting sqref="E1327">
    <cfRule type="containsText" dxfId="2233" priority="6480" operator="containsText" text="Pesquisa de Preços">
      <formula>NOT(ISERROR(SEARCH("Pesquisa de Preços",E1327)))</formula>
    </cfRule>
  </conditionalFormatting>
  <conditionalFormatting sqref="E1326">
    <cfRule type="containsText" dxfId="2232" priority="6479" operator="containsText" text="Pesquisa de Preços">
      <formula>NOT(ISERROR(SEARCH("Pesquisa de Preços",E1326)))</formula>
    </cfRule>
  </conditionalFormatting>
  <conditionalFormatting sqref="E1333">
    <cfRule type="containsText" dxfId="2231" priority="6474" operator="containsText" text="Pesquisa de Preços">
      <formula>NOT(ISERROR(SEARCH("Pesquisa de Preços",E1333)))</formula>
    </cfRule>
  </conditionalFormatting>
  <conditionalFormatting sqref="E1332">
    <cfRule type="containsText" dxfId="2230" priority="6473" operator="containsText" text="Pesquisa de Preços">
      <formula>NOT(ISERROR(SEARCH("Pesquisa de Preços",E1332)))</formula>
    </cfRule>
  </conditionalFormatting>
  <conditionalFormatting sqref="E1339">
    <cfRule type="containsText" dxfId="2229" priority="6468" operator="containsText" text="Pesquisa de Preços">
      <formula>NOT(ISERROR(SEARCH("Pesquisa de Preços",E1339)))</formula>
    </cfRule>
  </conditionalFormatting>
  <conditionalFormatting sqref="E1338">
    <cfRule type="containsText" dxfId="2228" priority="6467" operator="containsText" text="Pesquisa de Preços">
      <formula>NOT(ISERROR(SEARCH("Pesquisa de Preços",E1338)))</formula>
    </cfRule>
  </conditionalFormatting>
  <conditionalFormatting sqref="E5087">
    <cfRule type="containsText" dxfId="2227" priority="6459" operator="containsText" text="Pesquisa de Preços">
      <formula>NOT(ISERROR(SEARCH("Pesquisa de Preços",E5087)))</formula>
    </cfRule>
  </conditionalFormatting>
  <conditionalFormatting sqref="E5081">
    <cfRule type="containsText" dxfId="2226" priority="6457" operator="containsText" text="Pesquisa de Preços">
      <formula>NOT(ISERROR(SEARCH("Pesquisa de Preços",E5081)))</formula>
    </cfRule>
  </conditionalFormatting>
  <conditionalFormatting sqref="E5088:E5089">
    <cfRule type="containsText" dxfId="2225" priority="6460" operator="containsText" text="Pesquisa de Preços">
      <formula>NOT(ISERROR(SEARCH("Pesquisa de Preços",E5088)))</formula>
    </cfRule>
  </conditionalFormatting>
  <conditionalFormatting sqref="E5091">
    <cfRule type="containsText" dxfId="2224" priority="6452" operator="containsText" text="Pesquisa de Preços">
      <formula>NOT(ISERROR(SEARCH("Pesquisa de Preços",E5091)))</formula>
    </cfRule>
  </conditionalFormatting>
  <conditionalFormatting sqref="E5090">
    <cfRule type="containsText" dxfId="2223" priority="6451" operator="containsText" text="Pesquisa de Preços">
      <formula>NOT(ISERROR(SEARCH("Pesquisa de Preços",E5090)))</formula>
    </cfRule>
  </conditionalFormatting>
  <conditionalFormatting sqref="E5085">
    <cfRule type="containsText" dxfId="2222" priority="6446" operator="containsText" text="Pesquisa de Preços">
      <formula>NOT(ISERROR(SEARCH("Pesquisa de Preços",E5085)))</formula>
    </cfRule>
  </conditionalFormatting>
  <conditionalFormatting sqref="E5084">
    <cfRule type="containsText" dxfId="2221" priority="6445" operator="containsText" text="Pesquisa de Preços">
      <formula>NOT(ISERROR(SEARCH("Pesquisa de Preços",E5084)))</formula>
    </cfRule>
  </conditionalFormatting>
  <conditionalFormatting sqref="E5094 E5098">
    <cfRule type="containsText" dxfId="2220" priority="6437" operator="containsText" text="Pesquisa de Preços">
      <formula>NOT(ISERROR(SEARCH("Pesquisa de Preços",E5094)))</formula>
    </cfRule>
  </conditionalFormatting>
  <conditionalFormatting sqref="E5093">
    <cfRule type="containsText" dxfId="2219" priority="6436" operator="containsText" text="Pesquisa de Preços">
      <formula>NOT(ISERROR(SEARCH("Pesquisa de Preços",E5093)))</formula>
    </cfRule>
  </conditionalFormatting>
  <conditionalFormatting sqref="E5095">
    <cfRule type="containsText" dxfId="2218" priority="6435" operator="containsText" text="Pesquisa de Preços">
      <formula>NOT(ISERROR(SEARCH("Pesquisa de Preços",E5095)))</formula>
    </cfRule>
  </conditionalFormatting>
  <conditionalFormatting sqref="E5096:E5097">
    <cfRule type="containsText" dxfId="2217" priority="6434" operator="containsText" text="Pesquisa de Preços">
      <formula>NOT(ISERROR(SEARCH("Pesquisa de Preços",E5096)))</formula>
    </cfRule>
  </conditionalFormatting>
  <conditionalFormatting sqref="E5100 E5104">
    <cfRule type="containsText" dxfId="2216" priority="6426" operator="containsText" text="Pesquisa de Preços">
      <formula>NOT(ISERROR(SEARCH("Pesquisa de Preços",E5100)))</formula>
    </cfRule>
  </conditionalFormatting>
  <conditionalFormatting sqref="E5099">
    <cfRule type="containsText" dxfId="2215" priority="6425" operator="containsText" text="Pesquisa de Preços">
      <formula>NOT(ISERROR(SEARCH("Pesquisa de Preços",E5099)))</formula>
    </cfRule>
  </conditionalFormatting>
  <conditionalFormatting sqref="E5101">
    <cfRule type="containsText" dxfId="2214" priority="6424" operator="containsText" text="Pesquisa de Preços">
      <formula>NOT(ISERROR(SEARCH("Pesquisa de Preços",E5101)))</formula>
    </cfRule>
  </conditionalFormatting>
  <conditionalFormatting sqref="E5102:E5103">
    <cfRule type="containsText" dxfId="2213" priority="6423" operator="containsText" text="Pesquisa de Preços">
      <formula>NOT(ISERROR(SEARCH("Pesquisa de Preços",E5102)))</formula>
    </cfRule>
  </conditionalFormatting>
  <conditionalFormatting sqref="E5106:E5107 E5111">
    <cfRule type="containsText" dxfId="2212" priority="6415" operator="containsText" text="Pesquisa de Preços">
      <formula>NOT(ISERROR(SEARCH("Pesquisa de Preços",E5106)))</formula>
    </cfRule>
  </conditionalFormatting>
  <conditionalFormatting sqref="E5105">
    <cfRule type="containsText" dxfId="2211" priority="6414" operator="containsText" text="Pesquisa de Preços">
      <formula>NOT(ISERROR(SEARCH("Pesquisa de Preços",E5105)))</formula>
    </cfRule>
  </conditionalFormatting>
  <conditionalFormatting sqref="E5005">
    <cfRule type="containsText" dxfId="2210" priority="6404" operator="containsText" text="Pesquisa de Preços">
      <formula>NOT(ISERROR(SEARCH("Pesquisa de Preços",E5005)))</formula>
    </cfRule>
  </conditionalFormatting>
  <conditionalFormatting sqref="E2293">
    <cfRule type="containsText" dxfId="2209" priority="6394" operator="containsText" text="Pesquisa de Preços">
      <formula>NOT(ISERROR(SEARCH("Pesquisa de Preços",E2293)))</formula>
    </cfRule>
  </conditionalFormatting>
  <conditionalFormatting sqref="E2294:E2295">
    <cfRule type="containsText" dxfId="2208" priority="6382" operator="containsText" text="Pesquisa de Preços">
      <formula>NOT(ISERROR(SEARCH("Pesquisa de Preços",E2294)))</formula>
    </cfRule>
  </conditionalFormatting>
  <conditionalFormatting sqref="E2248">
    <cfRule type="containsText" dxfId="2207" priority="6357" operator="containsText" text="Pesquisa de Preços">
      <formula>NOT(ISERROR(SEARCH("Pesquisa de Preços",E2248)))</formula>
    </cfRule>
  </conditionalFormatting>
  <conditionalFormatting sqref="E5113 E5118">
    <cfRule type="containsText" dxfId="2206" priority="6336" operator="containsText" text="Pesquisa de Preços">
      <formula>NOT(ISERROR(SEARCH("Pesquisa de Preços",E5113)))</formula>
    </cfRule>
  </conditionalFormatting>
  <conditionalFormatting sqref="E5112">
    <cfRule type="containsText" dxfId="2205" priority="6335" operator="containsText" text="Pesquisa de Preços">
      <formula>NOT(ISERROR(SEARCH("Pesquisa de Preços",E5112)))</formula>
    </cfRule>
  </conditionalFormatting>
  <conditionalFormatting sqref="E5119">
    <cfRule type="containsText" dxfId="2204" priority="6325" operator="containsText" text="Pesquisa de Preços">
      <formula>NOT(ISERROR(SEARCH("Pesquisa de Preços",E5119)))</formula>
    </cfRule>
  </conditionalFormatting>
  <conditionalFormatting sqref="E5120 E5129">
    <cfRule type="containsText" dxfId="2203" priority="6326" operator="containsText" text="Pesquisa de Preços">
      <formula>NOT(ISERROR(SEARCH("Pesquisa de Preços",E5120)))</formula>
    </cfRule>
  </conditionalFormatting>
  <conditionalFormatting sqref="E5274">
    <cfRule type="containsText" dxfId="2202" priority="6053" operator="containsText" text="Pesquisa de Preços">
      <formula>NOT(ISERROR(SEARCH("Pesquisa de Preços",E5274)))</formula>
    </cfRule>
  </conditionalFormatting>
  <conditionalFormatting sqref="E5286">
    <cfRule type="containsText" dxfId="2201" priority="6045" operator="containsText" text="Pesquisa de Preços">
      <formula>NOT(ISERROR(SEARCH("Pesquisa de Preços",E5286)))</formula>
    </cfRule>
  </conditionalFormatting>
  <conditionalFormatting sqref="E5300">
    <cfRule type="containsText" dxfId="2200" priority="6037" operator="containsText" text="Pesquisa de Preços">
      <formula>NOT(ISERROR(SEARCH("Pesquisa de Preços",E5300)))</formula>
    </cfRule>
  </conditionalFormatting>
  <conditionalFormatting sqref="E1064">
    <cfRule type="containsText" dxfId="2199" priority="6018" operator="containsText" text="Pesquisa de Preços">
      <formula>NOT(ISERROR(SEARCH("Pesquisa de Preços",E1064)))</formula>
    </cfRule>
  </conditionalFormatting>
  <conditionalFormatting sqref="E1063">
    <cfRule type="containsText" dxfId="2198" priority="6017" operator="containsText" text="Pesquisa de Preços">
      <formula>NOT(ISERROR(SEARCH("Pesquisa de Preços",E1063)))</formula>
    </cfRule>
  </conditionalFormatting>
  <conditionalFormatting sqref="E1162">
    <cfRule type="containsText" dxfId="2197" priority="6016" operator="containsText" text="Pesquisa de Preços">
      <formula>NOT(ISERROR(SEARCH("Pesquisa de Preços",E1162)))</formula>
    </cfRule>
  </conditionalFormatting>
  <conditionalFormatting sqref="E1160:E1161">
    <cfRule type="containsText" dxfId="2196" priority="6015" operator="containsText" text="Pesquisa de Preços">
      <formula>NOT(ISERROR(SEARCH("Pesquisa de Preços",E1160)))</formula>
    </cfRule>
  </conditionalFormatting>
  <conditionalFormatting sqref="E1177">
    <cfRule type="containsText" dxfId="2195" priority="6014" operator="containsText" text="Pesquisa de Preços">
      <formula>NOT(ISERROR(SEARCH("Pesquisa de Preços",E1177)))</formula>
    </cfRule>
  </conditionalFormatting>
  <conditionalFormatting sqref="E1175:E1176">
    <cfRule type="containsText" dxfId="2194" priority="6013" operator="containsText" text="Pesquisa de Preços">
      <formula>NOT(ISERROR(SEARCH("Pesquisa de Preços",E1175)))</formula>
    </cfRule>
  </conditionalFormatting>
  <conditionalFormatting sqref="E1191">
    <cfRule type="containsText" dxfId="2193" priority="6012" operator="containsText" text="Pesquisa de Preços">
      <formula>NOT(ISERROR(SEARCH("Pesquisa de Preços",E1191)))</formula>
    </cfRule>
  </conditionalFormatting>
  <conditionalFormatting sqref="E1189:E1190">
    <cfRule type="containsText" dxfId="2192" priority="6011" operator="containsText" text="Pesquisa de Preços">
      <formula>NOT(ISERROR(SEARCH("Pesquisa de Preços",E1189)))</formula>
    </cfRule>
  </conditionalFormatting>
  <conditionalFormatting sqref="E1198">
    <cfRule type="containsText" dxfId="2191" priority="6010" operator="containsText" text="Pesquisa de Preços">
      <formula>NOT(ISERROR(SEARCH("Pesquisa de Preços",E1198)))</formula>
    </cfRule>
  </conditionalFormatting>
  <conditionalFormatting sqref="E1196:E1197">
    <cfRule type="containsText" dxfId="2190" priority="6009" operator="containsText" text="Pesquisa de Preços">
      <formula>NOT(ISERROR(SEARCH("Pesquisa de Preços",E1196)))</formula>
    </cfRule>
  </conditionalFormatting>
  <conditionalFormatting sqref="E1205">
    <cfRule type="containsText" dxfId="2189" priority="6008" operator="containsText" text="Pesquisa de Preços">
      <formula>NOT(ISERROR(SEARCH("Pesquisa de Preços",E1205)))</formula>
    </cfRule>
  </conditionalFormatting>
  <conditionalFormatting sqref="E1203:E1204">
    <cfRule type="containsText" dxfId="2188" priority="6007" operator="containsText" text="Pesquisa de Preços">
      <formula>NOT(ISERROR(SEARCH("Pesquisa de Preços",E1203)))</formula>
    </cfRule>
  </conditionalFormatting>
  <conditionalFormatting sqref="E619">
    <cfRule type="containsText" dxfId="2187" priority="5991" operator="containsText" text="Pesquisa de Preços">
      <formula>NOT(ISERROR(SEARCH("Pesquisa de Preços",E619)))</formula>
    </cfRule>
  </conditionalFormatting>
  <conditionalFormatting sqref="E617:E618">
    <cfRule type="containsText" dxfId="2186" priority="5990" operator="containsText" text="Pesquisa de Preços">
      <formula>NOT(ISERROR(SEARCH("Pesquisa de Preços",E617)))</formula>
    </cfRule>
  </conditionalFormatting>
  <conditionalFormatting sqref="E266">
    <cfRule type="containsText" dxfId="2185" priority="5977" operator="containsText" text="Pesquisa de Preços">
      <formula>NOT(ISERROR(SEARCH("Pesquisa de Preços",E266)))</formula>
    </cfRule>
  </conditionalFormatting>
  <conditionalFormatting sqref="E2132">
    <cfRule type="containsText" dxfId="2184" priority="5973" operator="containsText" text="Pesquisa de Preços">
      <formula>NOT(ISERROR(SEARCH("Pesquisa de Preços",E2132)))</formula>
    </cfRule>
  </conditionalFormatting>
  <conditionalFormatting sqref="E5287">
    <cfRule type="containsText" dxfId="2183" priority="5953" operator="containsText" text="Pesquisa de Preços">
      <formula>NOT(ISERROR(SEARCH("Pesquisa de Preços",E5287)))</formula>
    </cfRule>
  </conditionalFormatting>
  <conditionalFormatting sqref="E5294">
    <cfRule type="containsText" dxfId="2182" priority="5957" operator="containsText" text="Pesquisa de Preços">
      <formula>NOT(ISERROR(SEARCH("Pesquisa de Preços",E5294)))</formula>
    </cfRule>
  </conditionalFormatting>
  <conditionalFormatting sqref="E2407">
    <cfRule type="containsText" dxfId="2181" priority="5902" operator="containsText" text="Pesquisa de Preços">
      <formula>NOT(ISERROR(SEARCH("Pesquisa de Preços",E2407)))</formula>
    </cfRule>
  </conditionalFormatting>
  <conditionalFormatting sqref="E2411">
    <cfRule type="containsText" dxfId="2180" priority="5897" operator="containsText" text="Pesquisa de Preços">
      <formula>NOT(ISERROR(SEARCH("Pesquisa de Preços",E2411)))</formula>
    </cfRule>
  </conditionalFormatting>
  <conditionalFormatting sqref="E2419">
    <cfRule type="containsText" dxfId="2179" priority="5892" operator="containsText" text="Pesquisa de Preços">
      <formula>NOT(ISERROR(SEARCH("Pesquisa de Preços",E2419)))</formula>
    </cfRule>
  </conditionalFormatting>
  <conditionalFormatting sqref="E2423">
    <cfRule type="containsText" dxfId="2178" priority="5887" operator="containsText" text="Pesquisa de Preços">
      <formula>NOT(ISERROR(SEARCH("Pesquisa de Preços",E2423)))</formula>
    </cfRule>
  </conditionalFormatting>
  <conditionalFormatting sqref="E2427">
    <cfRule type="containsText" dxfId="2177" priority="5882" operator="containsText" text="Pesquisa de Preços">
      <formula>NOT(ISERROR(SEARCH("Pesquisa de Preços",E2427)))</formula>
    </cfRule>
  </conditionalFormatting>
  <conditionalFormatting sqref="E2431">
    <cfRule type="containsText" dxfId="2176" priority="5877" operator="containsText" text="Pesquisa de Preços">
      <formula>NOT(ISERROR(SEARCH("Pesquisa de Preços",E2431)))</formula>
    </cfRule>
  </conditionalFormatting>
  <conditionalFormatting sqref="E2435">
    <cfRule type="containsText" dxfId="2175" priority="5872" operator="containsText" text="Pesquisa de Preços">
      <formula>NOT(ISERROR(SEARCH("Pesquisa de Preços",E2435)))</formula>
    </cfRule>
  </conditionalFormatting>
  <conditionalFormatting sqref="E2439">
    <cfRule type="containsText" dxfId="2174" priority="5867" operator="containsText" text="Pesquisa de Preços">
      <formula>NOT(ISERROR(SEARCH("Pesquisa de Preços",E2439)))</formula>
    </cfRule>
  </conditionalFormatting>
  <conditionalFormatting sqref="E118">
    <cfRule type="containsText" dxfId="2173" priority="4893" operator="containsText" text="Pesquisa de Preços">
      <formula>NOT(ISERROR(SEARCH("Pesquisa de Preços",E118)))</formula>
    </cfRule>
  </conditionalFormatting>
  <conditionalFormatting sqref="E119">
    <cfRule type="containsText" dxfId="2172" priority="4892" operator="containsText" text="Pesquisa de Preços">
      <formula>NOT(ISERROR(SEARCH("Pesquisa de Preços",E119)))</formula>
    </cfRule>
  </conditionalFormatting>
  <conditionalFormatting sqref="E692:E693">
    <cfRule type="containsText" dxfId="2171" priority="4885" operator="containsText" text="Pesquisa de Preços">
      <formula>NOT(ISERROR(SEARCH("Pesquisa de Preços",E692)))</formula>
    </cfRule>
  </conditionalFormatting>
  <conditionalFormatting sqref="E860">
    <cfRule type="containsText" dxfId="2170" priority="4881" operator="containsText" text="Pesquisa de Preços">
      <formula>NOT(ISERROR(SEARCH("Pesquisa de Preços",E860)))</formula>
    </cfRule>
  </conditionalFormatting>
  <conditionalFormatting sqref="E864">
    <cfRule type="containsText" dxfId="2169" priority="4879" operator="containsText" text="Pesquisa de Preços">
      <formula>NOT(ISERROR(SEARCH("Pesquisa de Preços",E864)))</formula>
    </cfRule>
  </conditionalFormatting>
  <conditionalFormatting sqref="E877">
    <cfRule type="containsText" dxfId="2168" priority="4875" operator="containsText" text="Pesquisa de Preços">
      <formula>NOT(ISERROR(SEARCH("Pesquisa de Preços",E877)))</formula>
    </cfRule>
  </conditionalFormatting>
  <conditionalFormatting sqref="E883">
    <cfRule type="containsText" dxfId="2167" priority="4870" operator="containsText" text="Pesquisa de Preços">
      <formula>NOT(ISERROR(SEARCH("Pesquisa de Preços",E883)))</formula>
    </cfRule>
  </conditionalFormatting>
  <conditionalFormatting sqref="E884 E888">
    <cfRule type="containsText" dxfId="2166" priority="4871" operator="containsText" text="Pesquisa de Preços">
      <formula>NOT(ISERROR(SEARCH("Pesquisa de Preços",E884)))</formula>
    </cfRule>
  </conditionalFormatting>
  <conditionalFormatting sqref="E885">
    <cfRule type="containsText" dxfId="2165" priority="4865" operator="containsText" text="Pesquisa de Preços">
      <formula>NOT(ISERROR(SEARCH("Pesquisa de Preços",E885)))</formula>
    </cfRule>
  </conditionalFormatting>
  <conditionalFormatting sqref="E5370 E5363">
    <cfRule type="containsText" dxfId="2164" priority="4809" operator="containsText" text="Pesquisa de Preços">
      <formula>NOT(ISERROR(SEARCH("Pesquisa de Preços",E5363)))</formula>
    </cfRule>
  </conditionalFormatting>
  <conditionalFormatting sqref="E5351:E5352 E5355:E5356">
    <cfRule type="containsText" dxfId="2163" priority="4759" operator="containsText" text="Pesquisa de Preços">
      <formula>NOT(ISERROR(SEARCH("Pesquisa de Preços",E5351)))</formula>
    </cfRule>
  </conditionalFormatting>
  <conditionalFormatting sqref="E5350">
    <cfRule type="containsText" dxfId="2162" priority="4758" operator="containsText" text="Pesquisa de Preços">
      <formula>NOT(ISERROR(SEARCH("Pesquisa de Preços",E5350)))</formula>
    </cfRule>
  </conditionalFormatting>
  <conditionalFormatting sqref="E5353:E5354">
    <cfRule type="containsText" dxfId="2161" priority="4757" operator="containsText" text="Pesquisa de Preços">
      <formula>NOT(ISERROR(SEARCH("Pesquisa de Preços",E5353)))</formula>
    </cfRule>
  </conditionalFormatting>
  <conditionalFormatting sqref="E5358:E5359">
    <cfRule type="containsText" dxfId="2160" priority="4742" operator="containsText" text="Pesquisa de Preços">
      <formula>NOT(ISERROR(SEARCH("Pesquisa de Preços",E5358)))</formula>
    </cfRule>
  </conditionalFormatting>
  <conditionalFormatting sqref="E5357">
    <cfRule type="containsText" dxfId="2159" priority="4741" operator="containsText" text="Pesquisa de Preços">
      <formula>NOT(ISERROR(SEARCH("Pesquisa de Preços",E5357)))</formula>
    </cfRule>
  </conditionalFormatting>
  <conditionalFormatting sqref="E5360">
    <cfRule type="containsText" dxfId="2158" priority="4740" operator="containsText" text="Pesquisa de Preços">
      <formula>NOT(ISERROR(SEARCH("Pesquisa de Preços",E5360)))</formula>
    </cfRule>
  </conditionalFormatting>
  <conditionalFormatting sqref="E5365:E5366">
    <cfRule type="containsText" dxfId="2157" priority="4732" operator="containsText" text="Pesquisa de Preços">
      <formula>NOT(ISERROR(SEARCH("Pesquisa de Preços",E5365)))</formula>
    </cfRule>
  </conditionalFormatting>
  <conditionalFormatting sqref="E5364">
    <cfRule type="containsText" dxfId="2156" priority="4731" operator="containsText" text="Pesquisa de Preços">
      <formula>NOT(ISERROR(SEARCH("Pesquisa de Preços",E5364)))</formula>
    </cfRule>
  </conditionalFormatting>
  <conditionalFormatting sqref="E5367:E5368">
    <cfRule type="containsText" dxfId="2155" priority="4730" operator="containsText" text="Pesquisa de Preços">
      <formula>NOT(ISERROR(SEARCH("Pesquisa de Preços",E5367)))</formula>
    </cfRule>
  </conditionalFormatting>
  <conditionalFormatting sqref="E5362">
    <cfRule type="containsText" dxfId="2154" priority="4727" operator="containsText" text="Pesquisa de Preços">
      <formula>NOT(ISERROR(SEARCH("Pesquisa de Preços",E5362)))</formula>
    </cfRule>
  </conditionalFormatting>
  <conditionalFormatting sqref="E5369">
    <cfRule type="containsText" dxfId="2153" priority="4725" operator="containsText" text="Pesquisa de Preços">
      <formula>NOT(ISERROR(SEARCH("Pesquisa de Preços",E5369)))</formula>
    </cfRule>
  </conditionalFormatting>
  <conditionalFormatting sqref="E5361">
    <cfRule type="containsText" dxfId="2152" priority="4713" operator="containsText" text="Pesquisa de Preços">
      <formula>NOT(ISERROR(SEARCH("Pesquisa de Preços",E5361)))</formula>
    </cfRule>
  </conditionalFormatting>
  <conditionalFormatting sqref="E5385">
    <cfRule type="containsText" dxfId="2151" priority="4679" operator="containsText" text="Pesquisa de Preços">
      <formula>NOT(ISERROR(SEARCH("Pesquisa de Preços",E5385)))</formula>
    </cfRule>
  </conditionalFormatting>
  <conditionalFormatting sqref="E5373">
    <cfRule type="containsText" dxfId="2150" priority="4696" operator="containsText" text="Pesquisa de Preços">
      <formula>NOT(ISERROR(SEARCH("Pesquisa de Preços",E5373)))</formula>
    </cfRule>
  </conditionalFormatting>
  <conditionalFormatting sqref="E5382">
    <cfRule type="containsText" dxfId="2149" priority="4689" operator="containsText" text="Pesquisa de Preços">
      <formula>NOT(ISERROR(SEARCH("Pesquisa de Preços",E5382)))</formula>
    </cfRule>
  </conditionalFormatting>
  <conditionalFormatting sqref="E5383">
    <cfRule type="containsText" dxfId="2148" priority="4680" operator="containsText" text="Pesquisa de Preços">
      <formula>NOT(ISERROR(SEARCH("Pesquisa de Preços",E5383)))</formula>
    </cfRule>
  </conditionalFormatting>
  <conditionalFormatting sqref="E5384 E5388:E5389">
    <cfRule type="containsText" dxfId="2147" priority="4681" operator="containsText" text="Pesquisa de Preços">
      <formula>NOT(ISERROR(SEARCH("Pesquisa de Preços",E5384)))</formula>
    </cfRule>
  </conditionalFormatting>
  <conditionalFormatting sqref="E5387">
    <cfRule type="containsText" dxfId="2146" priority="4678" operator="containsText" text="Pesquisa de Preços">
      <formula>NOT(ISERROR(SEARCH("Pesquisa de Preços",E5387)))</formula>
    </cfRule>
  </conditionalFormatting>
  <conditionalFormatting sqref="E5392">
    <cfRule type="containsText" dxfId="2145" priority="4669" operator="containsText" text="Pesquisa de Preços">
      <formula>NOT(ISERROR(SEARCH("Pesquisa de Preços",E5392)))</formula>
    </cfRule>
  </conditionalFormatting>
  <conditionalFormatting sqref="E5397 E5401">
    <cfRule type="containsText" dxfId="2144" priority="4662" operator="containsText" text="Pesquisa de Preços">
      <formula>NOT(ISERROR(SEARCH("Pesquisa de Preços",E5397)))</formula>
    </cfRule>
  </conditionalFormatting>
  <conditionalFormatting sqref="E5390">
    <cfRule type="containsText" dxfId="2143" priority="4670" operator="containsText" text="Pesquisa de Preços">
      <formula>NOT(ISERROR(SEARCH("Pesquisa de Preços",E5390)))</formula>
    </cfRule>
  </conditionalFormatting>
  <conditionalFormatting sqref="E5391 E5395">
    <cfRule type="containsText" dxfId="2142" priority="4671" operator="containsText" text="Pesquisa de Preços">
      <formula>NOT(ISERROR(SEARCH("Pesquisa de Preços",E5391)))</formula>
    </cfRule>
  </conditionalFormatting>
  <conditionalFormatting sqref="E5398">
    <cfRule type="containsText" dxfId="2141" priority="4660" operator="containsText" text="Pesquisa de Preços">
      <formula>NOT(ISERROR(SEARCH("Pesquisa de Preços",E5398)))</formula>
    </cfRule>
  </conditionalFormatting>
  <conditionalFormatting sqref="E5396">
    <cfRule type="containsText" dxfId="2140" priority="4661" operator="containsText" text="Pesquisa de Preços">
      <formula>NOT(ISERROR(SEARCH("Pesquisa de Preços",E5396)))</formula>
    </cfRule>
  </conditionalFormatting>
  <conditionalFormatting sqref="E5402">
    <cfRule type="containsText" dxfId="2139" priority="4654" operator="containsText" text="Pesquisa de Preços">
      <formula>NOT(ISERROR(SEARCH("Pesquisa de Preços",E5402)))</formula>
    </cfRule>
  </conditionalFormatting>
  <conditionalFormatting sqref="E5403 E5409">
    <cfRule type="containsText" dxfId="2138" priority="4655" operator="containsText" text="Pesquisa de Preços">
      <formula>NOT(ISERROR(SEARCH("Pesquisa de Preços",E5403)))</formula>
    </cfRule>
  </conditionalFormatting>
  <conditionalFormatting sqref="E5404">
    <cfRule type="containsText" dxfId="2137" priority="4653" operator="containsText" text="Pesquisa de Preços">
      <formula>NOT(ISERROR(SEARCH("Pesquisa de Preços",E5404)))</formula>
    </cfRule>
  </conditionalFormatting>
  <conditionalFormatting sqref="E5410">
    <cfRule type="containsText" dxfId="2136" priority="4647" operator="containsText" text="Pesquisa de Preços">
      <formula>NOT(ISERROR(SEARCH("Pesquisa de Preços",E5410)))</formula>
    </cfRule>
  </conditionalFormatting>
  <conditionalFormatting sqref="E5411 E5417">
    <cfRule type="containsText" dxfId="2135" priority="4648" operator="containsText" text="Pesquisa de Preços">
      <formula>NOT(ISERROR(SEARCH("Pesquisa de Preços",E5411)))</formula>
    </cfRule>
  </conditionalFormatting>
  <conditionalFormatting sqref="E5412">
    <cfRule type="containsText" dxfId="2134" priority="4646" operator="containsText" text="Pesquisa de Preços">
      <formula>NOT(ISERROR(SEARCH("Pesquisa de Preços",E5412)))</formula>
    </cfRule>
  </conditionalFormatting>
  <conditionalFormatting sqref="E5418">
    <cfRule type="containsText" dxfId="2133" priority="4640" operator="containsText" text="Pesquisa de Preços">
      <formula>NOT(ISERROR(SEARCH("Pesquisa de Preços",E5418)))</formula>
    </cfRule>
  </conditionalFormatting>
  <conditionalFormatting sqref="E5419 E5425">
    <cfRule type="containsText" dxfId="2132" priority="4641" operator="containsText" text="Pesquisa de Preços">
      <formula>NOT(ISERROR(SEARCH("Pesquisa de Preços",E5419)))</formula>
    </cfRule>
  </conditionalFormatting>
  <conditionalFormatting sqref="E5420">
    <cfRule type="containsText" dxfId="2131" priority="4639" operator="containsText" text="Pesquisa de Preços">
      <formula>NOT(ISERROR(SEARCH("Pesquisa de Preços",E5420)))</formula>
    </cfRule>
  </conditionalFormatting>
  <conditionalFormatting sqref="E5448">
    <cfRule type="containsText" dxfId="2130" priority="4626" operator="containsText" text="Pesquisa de Preços">
      <formula>NOT(ISERROR(SEARCH("Pesquisa de Preços",E5448)))</formula>
    </cfRule>
  </conditionalFormatting>
  <conditionalFormatting sqref="E5460">
    <cfRule type="containsText" dxfId="2129" priority="4608" operator="containsText" text="Pesquisa de Preços">
      <formula>NOT(ISERROR(SEARCH("Pesquisa de Preços",E5460)))</formula>
    </cfRule>
  </conditionalFormatting>
  <conditionalFormatting sqref="E5461">
    <cfRule type="containsText" dxfId="2128" priority="4583" operator="containsText" text="Pesquisa de Preços">
      <formula>NOT(ISERROR(SEARCH("Pesquisa de Preços",E5461)))</formula>
    </cfRule>
  </conditionalFormatting>
  <conditionalFormatting sqref="E5462 E5466">
    <cfRule type="containsText" dxfId="2127" priority="4584" operator="containsText" text="Pesquisa de Preços">
      <formula>NOT(ISERROR(SEARCH("Pesquisa de Preços",E5462)))</formula>
    </cfRule>
  </conditionalFormatting>
  <conditionalFormatting sqref="E5463">
    <cfRule type="containsText" dxfId="2126" priority="4582" operator="containsText" text="Pesquisa de Preços">
      <formula>NOT(ISERROR(SEARCH("Pesquisa de Preços",E5463)))</formula>
    </cfRule>
  </conditionalFormatting>
  <conditionalFormatting sqref="E5467">
    <cfRule type="containsText" dxfId="2125" priority="4575" operator="containsText" text="Pesquisa de Preços">
      <formula>NOT(ISERROR(SEARCH("Pesquisa de Preços",E5467)))</formula>
    </cfRule>
  </conditionalFormatting>
  <conditionalFormatting sqref="E5468 E5472">
    <cfRule type="containsText" dxfId="2124" priority="4576" operator="containsText" text="Pesquisa de Preços">
      <formula>NOT(ISERROR(SEARCH("Pesquisa de Preços",E5468)))</formula>
    </cfRule>
  </conditionalFormatting>
  <conditionalFormatting sqref="E5469">
    <cfRule type="containsText" dxfId="2123" priority="4574" operator="containsText" text="Pesquisa de Preços">
      <formula>NOT(ISERROR(SEARCH("Pesquisa de Preços",E5469)))</formula>
    </cfRule>
  </conditionalFormatting>
  <conditionalFormatting sqref="E5474 E5478:E5479">
    <cfRule type="containsText" dxfId="2122" priority="4568" operator="containsText" text="Pesquisa de Preços">
      <formula>NOT(ISERROR(SEARCH("Pesquisa de Preços",E5474)))</formula>
    </cfRule>
  </conditionalFormatting>
  <conditionalFormatting sqref="E5473">
    <cfRule type="containsText" dxfId="2121" priority="4567" operator="containsText" text="Pesquisa de Preços">
      <formula>NOT(ISERROR(SEARCH("Pesquisa de Preços",E5473)))</formula>
    </cfRule>
  </conditionalFormatting>
  <conditionalFormatting sqref="E5477">
    <cfRule type="containsText" dxfId="2120" priority="4565" operator="containsText" text="Pesquisa de Preços">
      <formula>NOT(ISERROR(SEARCH("Pesquisa de Preços",E5477)))</formula>
    </cfRule>
  </conditionalFormatting>
  <conditionalFormatting sqref="E5475">
    <cfRule type="containsText" dxfId="2119" priority="4566" operator="containsText" text="Pesquisa de Preços">
      <formula>NOT(ISERROR(SEARCH("Pesquisa de Preços",E5475)))</formula>
    </cfRule>
  </conditionalFormatting>
  <conditionalFormatting sqref="E5480">
    <cfRule type="containsText" dxfId="2118" priority="4556" operator="containsText" text="Pesquisa de Preços">
      <formula>NOT(ISERROR(SEARCH("Pesquisa de Preços",E5480)))</formula>
    </cfRule>
  </conditionalFormatting>
  <conditionalFormatting sqref="E5481 E5485">
    <cfRule type="containsText" dxfId="2117" priority="4557" operator="containsText" text="Pesquisa de Preços">
      <formula>NOT(ISERROR(SEARCH("Pesquisa de Preços",E5481)))</formula>
    </cfRule>
  </conditionalFormatting>
  <conditionalFormatting sqref="E5482">
    <cfRule type="containsText" dxfId="2116" priority="4555" operator="containsText" text="Pesquisa de Preços">
      <formula>NOT(ISERROR(SEARCH("Pesquisa de Preços",E5482)))</formula>
    </cfRule>
  </conditionalFormatting>
  <conditionalFormatting sqref="E5486">
    <cfRule type="containsText" dxfId="2115" priority="4548" operator="containsText" text="Pesquisa de Preços">
      <formula>NOT(ISERROR(SEARCH("Pesquisa de Preços",E5486)))</formula>
    </cfRule>
  </conditionalFormatting>
  <conditionalFormatting sqref="E5487 E5491">
    <cfRule type="containsText" dxfId="2114" priority="4549" operator="containsText" text="Pesquisa de Preços">
      <formula>NOT(ISERROR(SEARCH("Pesquisa de Preços",E5487)))</formula>
    </cfRule>
  </conditionalFormatting>
  <conditionalFormatting sqref="E5488">
    <cfRule type="containsText" dxfId="2113" priority="4546" operator="containsText" text="Pesquisa de Preços">
      <formula>NOT(ISERROR(SEARCH("Pesquisa de Preços",E5488)))</formula>
    </cfRule>
  </conditionalFormatting>
  <conditionalFormatting sqref="E5493 E5497">
    <cfRule type="containsText" dxfId="2112" priority="4540" operator="containsText" text="Pesquisa de Preços">
      <formula>NOT(ISERROR(SEARCH("Pesquisa de Preços",E5493)))</formula>
    </cfRule>
  </conditionalFormatting>
  <conditionalFormatting sqref="E5494">
    <cfRule type="containsText" dxfId="2111" priority="4538" operator="containsText" text="Pesquisa de Preços">
      <formula>NOT(ISERROR(SEARCH("Pesquisa de Preços",E5494)))</formula>
    </cfRule>
  </conditionalFormatting>
  <conditionalFormatting sqref="E5492">
    <cfRule type="containsText" dxfId="2110" priority="4539" operator="containsText" text="Pesquisa de Preços">
      <formula>NOT(ISERROR(SEARCH("Pesquisa de Preços",E5492)))</formula>
    </cfRule>
  </conditionalFormatting>
  <conditionalFormatting sqref="E5495">
    <cfRule type="containsText" dxfId="2109" priority="4533" operator="containsText" text="Pesquisa de Preços">
      <formula>NOT(ISERROR(SEARCH("Pesquisa de Preços",E5495)))</formula>
    </cfRule>
  </conditionalFormatting>
  <conditionalFormatting sqref="E5499 E5501">
    <cfRule type="containsText" dxfId="2108" priority="4529" operator="containsText" text="Pesquisa de Preços">
      <formula>NOT(ISERROR(SEARCH("Pesquisa de Preços",E5499)))</formula>
    </cfRule>
  </conditionalFormatting>
  <conditionalFormatting sqref="E5500">
    <cfRule type="containsText" dxfId="2107" priority="4527" operator="containsText" text="Pesquisa de Preços">
      <formula>NOT(ISERROR(SEARCH("Pesquisa de Preços",E5500)))</formula>
    </cfRule>
  </conditionalFormatting>
  <conditionalFormatting sqref="E5498">
    <cfRule type="containsText" dxfId="2106" priority="4528" operator="containsText" text="Pesquisa de Preços">
      <formula>NOT(ISERROR(SEARCH("Pesquisa de Preços",E5498)))</formula>
    </cfRule>
  </conditionalFormatting>
  <conditionalFormatting sqref="E5510 E5512">
    <cfRule type="containsText" dxfId="2105" priority="4521" operator="containsText" text="Pesquisa de Preços">
      <formula>NOT(ISERROR(SEARCH("Pesquisa de Preços",E5510)))</formula>
    </cfRule>
  </conditionalFormatting>
  <conditionalFormatting sqref="E5511">
    <cfRule type="containsText" dxfId="2104" priority="4519" operator="containsText" text="Pesquisa de Preços">
      <formula>NOT(ISERROR(SEARCH("Pesquisa de Preços",E5511)))</formula>
    </cfRule>
  </conditionalFormatting>
  <conditionalFormatting sqref="E5509">
    <cfRule type="containsText" dxfId="2103" priority="4520" operator="containsText" text="Pesquisa de Preços">
      <formula>NOT(ISERROR(SEARCH("Pesquisa de Preços",E5509)))</formula>
    </cfRule>
  </conditionalFormatting>
  <conditionalFormatting sqref="E5503 E5508">
    <cfRule type="containsText" dxfId="2102" priority="4508" operator="containsText" text="Pesquisa de Preços">
      <formula>NOT(ISERROR(SEARCH("Pesquisa de Preços",E5503)))</formula>
    </cfRule>
  </conditionalFormatting>
  <conditionalFormatting sqref="E5505:E5506">
    <cfRule type="containsText" dxfId="2101" priority="4496" operator="containsText" text="Pesquisa de Preços">
      <formula>NOT(ISERROR(SEARCH("Pesquisa de Preços",E5505)))</formula>
    </cfRule>
  </conditionalFormatting>
  <conditionalFormatting sqref="E5504">
    <cfRule type="containsText" dxfId="2100" priority="4497" operator="containsText" text="Pesquisa de Preços">
      <formula>NOT(ISERROR(SEARCH("Pesquisa de Preços",E5504)))</formula>
    </cfRule>
  </conditionalFormatting>
  <conditionalFormatting sqref="E5502">
    <cfRule type="containsText" dxfId="2099" priority="4507" operator="containsText" text="Pesquisa de Preços">
      <formula>NOT(ISERROR(SEARCH("Pesquisa de Preços",E5502)))</formula>
    </cfRule>
  </conditionalFormatting>
  <conditionalFormatting sqref="E6404">
    <cfRule type="containsText" dxfId="2098" priority="4297" operator="containsText" text="Pesquisa de Preços">
      <formula>NOT(ISERROR(SEARCH("Pesquisa de Preços",E6404)))</formula>
    </cfRule>
  </conditionalFormatting>
  <conditionalFormatting sqref="E6411">
    <cfRule type="containsText" dxfId="2097" priority="4291" operator="containsText" text="Pesquisa de Preços">
      <formula>NOT(ISERROR(SEARCH("Pesquisa de Preços",E6411)))</formula>
    </cfRule>
  </conditionalFormatting>
  <conditionalFormatting sqref="E6402">
    <cfRule type="containsText" dxfId="2096" priority="4298" operator="containsText" text="Pesquisa de Preços">
      <formula>NOT(ISERROR(SEARCH("Pesquisa de Preços",E6402)))</formula>
    </cfRule>
  </conditionalFormatting>
  <conditionalFormatting sqref="E6403 E6408">
    <cfRule type="containsText" dxfId="2095" priority="4299" operator="containsText" text="Pesquisa de Preços">
      <formula>NOT(ISERROR(SEARCH("Pesquisa de Preços",E6403)))</formula>
    </cfRule>
  </conditionalFormatting>
  <conditionalFormatting sqref="E6409">
    <cfRule type="containsText" dxfId="2094" priority="4292" operator="containsText" text="Pesquisa de Preços">
      <formula>NOT(ISERROR(SEARCH("Pesquisa de Preços",E6409)))</formula>
    </cfRule>
  </conditionalFormatting>
  <conditionalFormatting sqref="E6410 E6414">
    <cfRule type="containsText" dxfId="2093" priority="4293" operator="containsText" text="Pesquisa de Preços">
      <formula>NOT(ISERROR(SEARCH("Pesquisa de Preços",E6410)))</formula>
    </cfRule>
  </conditionalFormatting>
  <conditionalFormatting sqref="E6397:E6398">
    <cfRule type="containsText" dxfId="2092" priority="4280" operator="containsText" text="Pesquisa de Preços">
      <formula>NOT(ISERROR(SEARCH("Pesquisa de Preços",E6397)))</formula>
    </cfRule>
  </conditionalFormatting>
  <conditionalFormatting sqref="E6183">
    <cfRule type="containsText" dxfId="2091" priority="4257" operator="containsText" text="Pesquisa de Preços">
      <formula>NOT(ISERROR(SEARCH("Pesquisa de Preços",E6183)))</formula>
    </cfRule>
  </conditionalFormatting>
  <conditionalFormatting sqref="E6194">
    <cfRule type="containsText" dxfId="2090" priority="4230" operator="containsText" text="Pesquisa de Preços">
      <formula>NOT(ISERROR(SEARCH("Pesquisa de Preços",E6194)))</formula>
    </cfRule>
  </conditionalFormatting>
  <conditionalFormatting sqref="E1234:E1235">
    <cfRule type="containsText" dxfId="2089" priority="4060" operator="containsText" text="Pesquisa de Preços">
      <formula>NOT(ISERROR(SEARCH("Pesquisa de Preços",E1234)))</formula>
    </cfRule>
  </conditionalFormatting>
  <conditionalFormatting sqref="E1233">
    <cfRule type="containsText" dxfId="2088" priority="4059" operator="containsText" text="Pesquisa de Preços">
      <formula>NOT(ISERROR(SEARCH("Pesquisa de Preços",E1233)))</formula>
    </cfRule>
  </conditionalFormatting>
  <conditionalFormatting sqref="E1240:E1241">
    <cfRule type="containsText" dxfId="2087" priority="4056" operator="containsText" text="Pesquisa de Preços">
      <formula>NOT(ISERROR(SEARCH("Pesquisa de Preços",E1240)))</formula>
    </cfRule>
  </conditionalFormatting>
  <conditionalFormatting sqref="E1239">
    <cfRule type="containsText" dxfId="2086" priority="4055" operator="containsText" text="Pesquisa de Preços">
      <formula>NOT(ISERROR(SEARCH("Pesquisa de Preços",E1239)))</formula>
    </cfRule>
  </conditionalFormatting>
  <conditionalFormatting sqref="E1980">
    <cfRule type="containsText" dxfId="2085" priority="4053" operator="containsText" text="Pesquisa de Preços">
      <formula>NOT(ISERROR(SEARCH("Pesquisa de Preços",E1980)))</formula>
    </cfRule>
  </conditionalFormatting>
  <conditionalFormatting sqref="E1981">
    <cfRule type="containsText" dxfId="2084" priority="4052" operator="containsText" text="Pesquisa de Preços">
      <formula>NOT(ISERROR(SEARCH("Pesquisa de Preços",E1981)))</formula>
    </cfRule>
  </conditionalFormatting>
  <conditionalFormatting sqref="E1982">
    <cfRule type="containsText" dxfId="2083" priority="4051" operator="containsText" text="Pesquisa de Preços">
      <formula>NOT(ISERROR(SEARCH("Pesquisa de Preços",E1982)))</formula>
    </cfRule>
  </conditionalFormatting>
  <conditionalFormatting sqref="E1988">
    <cfRule type="containsText" dxfId="2082" priority="4050" operator="containsText" text="Pesquisa de Preços">
      <formula>NOT(ISERROR(SEARCH("Pesquisa de Preços",E1988)))</formula>
    </cfRule>
  </conditionalFormatting>
  <conditionalFormatting sqref="E1989">
    <cfRule type="containsText" dxfId="2081" priority="4049" operator="containsText" text="Pesquisa de Preços">
      <formula>NOT(ISERROR(SEARCH("Pesquisa de Preços",E1989)))</formula>
    </cfRule>
  </conditionalFormatting>
  <conditionalFormatting sqref="E1990">
    <cfRule type="containsText" dxfId="2080" priority="4048" operator="containsText" text="Pesquisa de Preços">
      <formula>NOT(ISERROR(SEARCH("Pesquisa de Preços",E1990)))</formula>
    </cfRule>
  </conditionalFormatting>
  <conditionalFormatting sqref="E2006">
    <cfRule type="containsText" dxfId="2079" priority="4047" operator="containsText" text="Pesquisa de Preços">
      <formula>NOT(ISERROR(SEARCH("Pesquisa de Preços",E2006)))</formula>
    </cfRule>
  </conditionalFormatting>
  <conditionalFormatting sqref="E2013">
    <cfRule type="containsText" dxfId="2078" priority="4046" operator="containsText" text="Pesquisa de Preços">
      <formula>NOT(ISERROR(SEARCH("Pesquisa de Preços",E2013)))</formula>
    </cfRule>
  </conditionalFormatting>
  <conditionalFormatting sqref="E2020">
    <cfRule type="containsText" dxfId="2077" priority="4045" operator="containsText" text="Pesquisa de Preços">
      <formula>NOT(ISERROR(SEARCH("Pesquisa de Preços",E2020)))</formula>
    </cfRule>
  </conditionalFormatting>
  <conditionalFormatting sqref="E1321">
    <cfRule type="containsText" dxfId="2076" priority="4040" operator="containsText" text="Pesquisa de Preços">
      <formula>NOT(ISERROR(SEARCH("Pesquisa de Preços",E1321)))</formula>
    </cfRule>
  </conditionalFormatting>
  <conditionalFormatting sqref="E1320">
    <cfRule type="containsText" dxfId="2075" priority="4039" operator="containsText" text="Pesquisa de Preços">
      <formula>NOT(ISERROR(SEARCH("Pesquisa de Preços",E1320)))</formula>
    </cfRule>
  </conditionalFormatting>
  <conditionalFormatting sqref="E4906">
    <cfRule type="containsText" dxfId="2074" priority="4000" operator="containsText" text="Pesquisa de Preços">
      <formula>NOT(ISERROR(SEARCH("Pesquisa de Preços",E4906)))</formula>
    </cfRule>
  </conditionalFormatting>
  <conditionalFormatting sqref="E4975">
    <cfRule type="containsText" dxfId="2073" priority="3997" operator="containsText" text="Pesquisa de Preços">
      <formula>NOT(ISERROR(SEARCH("Pesquisa de Preços",E4975)))</formula>
    </cfRule>
  </conditionalFormatting>
  <conditionalFormatting sqref="E5054">
    <cfRule type="containsText" dxfId="2072" priority="3991" operator="containsText" text="Pesquisa de Preços">
      <formula>NOT(ISERROR(SEARCH("Pesquisa de Preços",E5054)))</formula>
    </cfRule>
  </conditionalFormatting>
  <conditionalFormatting sqref="E5054">
    <cfRule type="containsText" dxfId="2071" priority="3993" operator="containsText" text="Pesquisa de Preços">
      <formula>NOT(ISERROR(SEARCH("Pesquisa de Preços",E5054)))</formula>
    </cfRule>
  </conditionalFormatting>
  <conditionalFormatting sqref="E879:E880">
    <cfRule type="containsText" dxfId="2070" priority="3990" operator="containsText" text="Pesquisa de Preços">
      <formula>NOT(ISERROR(SEARCH("Pesquisa de Preços",E879)))</formula>
    </cfRule>
  </conditionalFormatting>
  <conditionalFormatting sqref="E886:E887">
    <cfRule type="containsText" dxfId="2069" priority="3984" operator="containsText" text="Pesquisa de Preços">
      <formula>NOT(ISERROR(SEARCH("Pesquisa de Preços",E886)))</formula>
    </cfRule>
  </conditionalFormatting>
  <conditionalFormatting sqref="E6439">
    <cfRule type="containsText" dxfId="2068" priority="3972" operator="containsText" text="Pesquisa de Preços">
      <formula>NOT(ISERROR(SEARCH("Pesquisa de Preços",E6439)))</formula>
    </cfRule>
  </conditionalFormatting>
  <conditionalFormatting sqref="E6440 E6443">
    <cfRule type="containsText" dxfId="2067" priority="3973" operator="containsText" text="Pesquisa de Preços">
      <formula>NOT(ISERROR(SEARCH("Pesquisa de Preços",E6440)))</formula>
    </cfRule>
  </conditionalFormatting>
  <conditionalFormatting sqref="E6446">
    <cfRule type="containsText" dxfId="2066" priority="3962" operator="containsText" text="Pesquisa de Preços">
      <formula>NOT(ISERROR(SEARCH("Pesquisa de Preços",E6446)))</formula>
    </cfRule>
  </conditionalFormatting>
  <conditionalFormatting sqref="E6444">
    <cfRule type="containsText" dxfId="2065" priority="3963" operator="containsText" text="Pesquisa de Preços">
      <formula>NOT(ISERROR(SEARCH("Pesquisa de Preços",E6444)))</formula>
    </cfRule>
  </conditionalFormatting>
  <conditionalFormatting sqref="E6445 E6448">
    <cfRule type="containsText" dxfId="2064" priority="3964" operator="containsText" text="Pesquisa de Preços">
      <formula>NOT(ISERROR(SEARCH("Pesquisa de Preços",E6445)))</formula>
    </cfRule>
  </conditionalFormatting>
  <conditionalFormatting sqref="E6417">
    <cfRule type="containsText" dxfId="2063" priority="3945" operator="containsText" text="Pesquisa de Preços">
      <formula>NOT(ISERROR(SEARCH("Pesquisa de Preços",E6417)))</formula>
    </cfRule>
  </conditionalFormatting>
  <conditionalFormatting sqref="E6415">
    <cfRule type="containsText" dxfId="2062" priority="3946" operator="containsText" text="Pesquisa de Preços">
      <formula>NOT(ISERROR(SEARCH("Pesquisa de Preços",E6415)))</formula>
    </cfRule>
  </conditionalFormatting>
  <conditionalFormatting sqref="E6416 E6421">
    <cfRule type="containsText" dxfId="2061" priority="3947" operator="containsText" text="Pesquisa de Preços">
      <formula>NOT(ISERROR(SEARCH("Pesquisa de Preços",E6416)))</formula>
    </cfRule>
  </conditionalFormatting>
  <conditionalFormatting sqref="E6422">
    <cfRule type="containsText" dxfId="2060" priority="3933" operator="containsText" text="Pesquisa de Preços">
      <formula>NOT(ISERROR(SEARCH("Pesquisa de Preços",E6422)))</formula>
    </cfRule>
  </conditionalFormatting>
  <conditionalFormatting sqref="E6423 E6425">
    <cfRule type="containsText" dxfId="2059" priority="3934" operator="containsText" text="Pesquisa de Preços">
      <formula>NOT(ISERROR(SEARCH("Pesquisa de Preços",E6423)))</formula>
    </cfRule>
  </conditionalFormatting>
  <conditionalFormatting sqref="E6426">
    <cfRule type="containsText" dxfId="2058" priority="3919" operator="containsText" text="Pesquisa de Preços">
      <formula>NOT(ISERROR(SEARCH("Pesquisa de Preços",E6426)))</formula>
    </cfRule>
  </conditionalFormatting>
  <conditionalFormatting sqref="E6427 E6430">
    <cfRule type="containsText" dxfId="2057" priority="3920" operator="containsText" text="Pesquisa de Preços">
      <formula>NOT(ISERROR(SEARCH("Pesquisa de Preços",E6427)))</formula>
    </cfRule>
  </conditionalFormatting>
  <conditionalFormatting sqref="E6435">
    <cfRule type="containsText" dxfId="2056" priority="3890" operator="containsText" text="Pesquisa de Preços">
      <formula>NOT(ISERROR(SEARCH("Pesquisa de Preços",E6435)))</formula>
    </cfRule>
  </conditionalFormatting>
  <conditionalFormatting sqref="E6431">
    <cfRule type="containsText" dxfId="2055" priority="3900" operator="containsText" text="Pesquisa de Preços">
      <formula>NOT(ISERROR(SEARCH("Pesquisa de Preços",E6431)))</formula>
    </cfRule>
  </conditionalFormatting>
  <conditionalFormatting sqref="E6432 E6434">
    <cfRule type="containsText" dxfId="2054" priority="3901" operator="containsText" text="Pesquisa de Preços">
      <formula>NOT(ISERROR(SEARCH("Pesquisa de Preços",E6432)))</formula>
    </cfRule>
  </conditionalFormatting>
  <conditionalFormatting sqref="E6436 E6438">
    <cfRule type="containsText" dxfId="2053" priority="3891" operator="containsText" text="Pesquisa de Preços">
      <formula>NOT(ISERROR(SEARCH("Pesquisa de Preços",E6436)))</formula>
    </cfRule>
  </conditionalFormatting>
  <conditionalFormatting sqref="E1949">
    <cfRule type="containsText" dxfId="2052" priority="3874" operator="containsText" text="Pesquisa de Preços">
      <formula>NOT(ISERROR(SEARCH("Pesquisa de Preços",E1949)))</formula>
    </cfRule>
  </conditionalFormatting>
  <conditionalFormatting sqref="E1948">
    <cfRule type="containsText" dxfId="2051" priority="3872" operator="containsText" text="Pesquisa de Preços">
      <formula>NOT(ISERROR(SEARCH("Pesquisa de Preços",E1948)))</formula>
    </cfRule>
  </conditionalFormatting>
  <conditionalFormatting sqref="E2233">
    <cfRule type="containsText" dxfId="2050" priority="3866" operator="containsText" text="Pesquisa de Preços">
      <formula>NOT(ISERROR(SEARCH("Pesquisa de Preços",E2233)))</formula>
    </cfRule>
  </conditionalFormatting>
  <conditionalFormatting sqref="E6461">
    <cfRule type="containsText" dxfId="2049" priority="3853" operator="containsText" text="Pesquisa de Preços">
      <formula>NOT(ISERROR(SEARCH("Pesquisa de Preços",E6461)))</formula>
    </cfRule>
  </conditionalFormatting>
  <conditionalFormatting sqref="E6462 E6465">
    <cfRule type="containsText" dxfId="2048" priority="3854" operator="containsText" text="Pesquisa de Preços">
      <formula>NOT(ISERROR(SEARCH("Pesquisa de Preços",E6462)))</formula>
    </cfRule>
  </conditionalFormatting>
  <conditionalFormatting sqref="E6468">
    <cfRule type="containsText" dxfId="2047" priority="3841" operator="containsText" text="Pesquisa de Preços">
      <formula>NOT(ISERROR(SEARCH("Pesquisa de Preços",E6468)))</formula>
    </cfRule>
  </conditionalFormatting>
  <conditionalFormatting sqref="E6466">
    <cfRule type="containsText" dxfId="2046" priority="3842" operator="containsText" text="Pesquisa de Preços">
      <formula>NOT(ISERROR(SEARCH("Pesquisa de Preços",E6466)))</formula>
    </cfRule>
  </conditionalFormatting>
  <conditionalFormatting sqref="E6467 E6474">
    <cfRule type="containsText" dxfId="2045" priority="3843" operator="containsText" text="Pesquisa de Preços">
      <formula>NOT(ISERROR(SEARCH("Pesquisa de Preços",E6467)))</formula>
    </cfRule>
  </conditionalFormatting>
  <conditionalFormatting sqref="E6477">
    <cfRule type="containsText" dxfId="2044" priority="3818" operator="containsText" text="Pesquisa de Preços">
      <formula>NOT(ISERROR(SEARCH("Pesquisa de Preços",E6477)))</formula>
    </cfRule>
  </conditionalFormatting>
  <conditionalFormatting sqref="E6475">
    <cfRule type="containsText" dxfId="2043" priority="3825" operator="containsText" text="Pesquisa de Preços">
      <formula>NOT(ISERROR(SEARCH("Pesquisa de Preços",E6475)))</formula>
    </cfRule>
  </conditionalFormatting>
  <conditionalFormatting sqref="E6476 E6481">
    <cfRule type="containsText" dxfId="2042" priority="3826" operator="containsText" text="Pesquisa de Preços">
      <formula>NOT(ISERROR(SEARCH("Pesquisa de Preços",E6476)))</formula>
    </cfRule>
  </conditionalFormatting>
  <conditionalFormatting sqref="E6482">
    <cfRule type="containsText" dxfId="2041" priority="3806" operator="containsText" text="Pesquisa de Preços">
      <formula>NOT(ISERROR(SEARCH("Pesquisa de Preços",E6482)))</formula>
    </cfRule>
  </conditionalFormatting>
  <conditionalFormatting sqref="E6483 E6488">
    <cfRule type="containsText" dxfId="2040" priority="3807" operator="containsText" text="Pesquisa de Preços">
      <formula>NOT(ISERROR(SEARCH("Pesquisa de Preços",E6483)))</formula>
    </cfRule>
  </conditionalFormatting>
  <conditionalFormatting sqref="E6489">
    <cfRule type="containsText" dxfId="2039" priority="3792" operator="containsText" text="Pesquisa de Preços">
      <formula>NOT(ISERROR(SEARCH("Pesquisa de Preços",E6489)))</formula>
    </cfRule>
  </conditionalFormatting>
  <conditionalFormatting sqref="E6490">
    <cfRule type="containsText" dxfId="2038" priority="3793" operator="containsText" text="Pesquisa de Preços">
      <formula>NOT(ISERROR(SEARCH("Pesquisa de Preços",E6490)))</formula>
    </cfRule>
  </conditionalFormatting>
  <conditionalFormatting sqref="E6484">
    <cfRule type="containsText" dxfId="2037" priority="3784" operator="containsText" text="Pesquisa de Preços">
      <formula>NOT(ISERROR(SEARCH("Pesquisa de Preços",E6484)))</formula>
    </cfRule>
  </conditionalFormatting>
  <conditionalFormatting sqref="E6495">
    <cfRule type="containsText" dxfId="2036" priority="3772" operator="containsText" text="Pesquisa de Preços">
      <formula>NOT(ISERROR(SEARCH("Pesquisa de Preços",E6495)))</formula>
    </cfRule>
  </conditionalFormatting>
  <conditionalFormatting sqref="E6514">
    <cfRule type="containsText" dxfId="2035" priority="3750" operator="containsText" text="Pesquisa de Preços">
      <formula>NOT(ISERROR(SEARCH("Pesquisa de Preços",E6514)))</formula>
    </cfRule>
  </conditionalFormatting>
  <conditionalFormatting sqref="E6515 E6517">
    <cfRule type="containsText" dxfId="2034" priority="3751" operator="containsText" text="Pesquisa de Preços">
      <formula>NOT(ISERROR(SEARCH("Pesquisa de Preços",E6515)))</formula>
    </cfRule>
  </conditionalFormatting>
  <conditionalFormatting sqref="E6518">
    <cfRule type="containsText" dxfId="2033" priority="3740" operator="containsText" text="Pesquisa de Preços">
      <formula>NOT(ISERROR(SEARCH("Pesquisa de Preços",E6518)))</formula>
    </cfRule>
  </conditionalFormatting>
  <conditionalFormatting sqref="E6519 E6521">
    <cfRule type="containsText" dxfId="2032" priority="3741" operator="containsText" text="Pesquisa de Preços">
      <formula>NOT(ISERROR(SEARCH("Pesquisa de Preços",E6519)))</formula>
    </cfRule>
  </conditionalFormatting>
  <conditionalFormatting sqref="E6522">
    <cfRule type="containsText" dxfId="2031" priority="3730" operator="containsText" text="Pesquisa de Preços">
      <formula>NOT(ISERROR(SEARCH("Pesquisa de Preços",E6522)))</formula>
    </cfRule>
  </conditionalFormatting>
  <conditionalFormatting sqref="E6523 E6525">
    <cfRule type="containsText" dxfId="2030" priority="3731" operator="containsText" text="Pesquisa de Preços">
      <formula>NOT(ISERROR(SEARCH("Pesquisa de Preços",E6523)))</formula>
    </cfRule>
  </conditionalFormatting>
  <conditionalFormatting sqref="E6526">
    <cfRule type="containsText" dxfId="2029" priority="3700" operator="containsText" text="Pesquisa de Preços">
      <formula>NOT(ISERROR(SEARCH("Pesquisa de Preços",E6526)))</formula>
    </cfRule>
  </conditionalFormatting>
  <conditionalFormatting sqref="E6527 E6529">
    <cfRule type="containsText" dxfId="2028" priority="3701" operator="containsText" text="Pesquisa de Preços">
      <formula>NOT(ISERROR(SEARCH("Pesquisa de Preços",E6527)))</formula>
    </cfRule>
  </conditionalFormatting>
  <conditionalFormatting sqref="E6530">
    <cfRule type="containsText" dxfId="2027" priority="3690" operator="containsText" text="Pesquisa de Preços">
      <formula>NOT(ISERROR(SEARCH("Pesquisa de Preços",E6530)))</formula>
    </cfRule>
  </conditionalFormatting>
  <conditionalFormatting sqref="E6531 E6533">
    <cfRule type="containsText" dxfId="2026" priority="3691" operator="containsText" text="Pesquisa de Preços">
      <formula>NOT(ISERROR(SEARCH("Pesquisa de Preços",E6531)))</formula>
    </cfRule>
  </conditionalFormatting>
  <conditionalFormatting sqref="E6534">
    <cfRule type="containsText" dxfId="2025" priority="3680" operator="containsText" text="Pesquisa de Preços">
      <formula>NOT(ISERROR(SEARCH("Pesquisa de Preços",E6534)))</formula>
    </cfRule>
  </conditionalFormatting>
  <conditionalFormatting sqref="E6535 E6537">
    <cfRule type="containsText" dxfId="2024" priority="3681" operator="containsText" text="Pesquisa de Preços">
      <formula>NOT(ISERROR(SEARCH("Pesquisa de Preços",E6535)))</formula>
    </cfRule>
  </conditionalFormatting>
  <conditionalFormatting sqref="E6538">
    <cfRule type="containsText" dxfId="2023" priority="3670" operator="containsText" text="Pesquisa de Preços">
      <formula>NOT(ISERROR(SEARCH("Pesquisa de Preços",E6538)))</formula>
    </cfRule>
  </conditionalFormatting>
  <conditionalFormatting sqref="E6539 E6541">
    <cfRule type="containsText" dxfId="2022" priority="3671" operator="containsText" text="Pesquisa de Preços">
      <formula>NOT(ISERROR(SEARCH("Pesquisa de Preços",E6539)))</formula>
    </cfRule>
  </conditionalFormatting>
  <conditionalFormatting sqref="E6542">
    <cfRule type="containsText" dxfId="2021" priority="3660" operator="containsText" text="Pesquisa de Preços">
      <formula>NOT(ISERROR(SEARCH("Pesquisa de Preços",E6542)))</formula>
    </cfRule>
  </conditionalFormatting>
  <conditionalFormatting sqref="E6543 E6545">
    <cfRule type="containsText" dxfId="2020" priority="3661" operator="containsText" text="Pesquisa de Preços">
      <formula>NOT(ISERROR(SEARCH("Pesquisa de Preços",E6543)))</formula>
    </cfRule>
  </conditionalFormatting>
  <conditionalFormatting sqref="E6546">
    <cfRule type="containsText" dxfId="2019" priority="3640" operator="containsText" text="Pesquisa de Preços">
      <formula>NOT(ISERROR(SEARCH("Pesquisa de Preços",E6546)))</formula>
    </cfRule>
  </conditionalFormatting>
  <conditionalFormatting sqref="E6547 E6549">
    <cfRule type="containsText" dxfId="2018" priority="3641" operator="containsText" text="Pesquisa de Preços">
      <formula>NOT(ISERROR(SEARCH("Pesquisa de Preços",E6547)))</formula>
    </cfRule>
  </conditionalFormatting>
  <conditionalFormatting sqref="E6550">
    <cfRule type="containsText" dxfId="2017" priority="3630" operator="containsText" text="Pesquisa de Preços">
      <formula>NOT(ISERROR(SEARCH("Pesquisa de Preços",E6550)))</formula>
    </cfRule>
  </conditionalFormatting>
  <conditionalFormatting sqref="E6551 E6553">
    <cfRule type="containsText" dxfId="2016" priority="3631" operator="containsText" text="Pesquisa de Preços">
      <formula>NOT(ISERROR(SEARCH("Pesquisa de Preços",E6551)))</formula>
    </cfRule>
  </conditionalFormatting>
  <conditionalFormatting sqref="E6558">
    <cfRule type="containsText" dxfId="2015" priority="3620" operator="containsText" text="Pesquisa de Preços">
      <formula>NOT(ISERROR(SEARCH("Pesquisa de Preços",E6558)))</formula>
    </cfRule>
  </conditionalFormatting>
  <conditionalFormatting sqref="E6559 E6561">
    <cfRule type="containsText" dxfId="2014" priority="3621" operator="containsText" text="Pesquisa de Preços">
      <formula>NOT(ISERROR(SEARCH("Pesquisa de Preços",E6559)))</formula>
    </cfRule>
  </conditionalFormatting>
  <conditionalFormatting sqref="E6562">
    <cfRule type="containsText" dxfId="2013" priority="3610" operator="containsText" text="Pesquisa de Preços">
      <formula>NOT(ISERROR(SEARCH("Pesquisa de Preços",E6562)))</formula>
    </cfRule>
  </conditionalFormatting>
  <conditionalFormatting sqref="E6563 E6565">
    <cfRule type="containsText" dxfId="2012" priority="3611" operator="containsText" text="Pesquisa de Preços">
      <formula>NOT(ISERROR(SEARCH("Pesquisa de Preços",E6563)))</formula>
    </cfRule>
  </conditionalFormatting>
  <conditionalFormatting sqref="E6566">
    <cfRule type="containsText" dxfId="2011" priority="3600" operator="containsText" text="Pesquisa de Preços">
      <formula>NOT(ISERROR(SEARCH("Pesquisa de Preços",E6566)))</formula>
    </cfRule>
  </conditionalFormatting>
  <conditionalFormatting sqref="E6567 E6569">
    <cfRule type="containsText" dxfId="2010" priority="3601" operator="containsText" text="Pesquisa de Preços">
      <formula>NOT(ISERROR(SEARCH("Pesquisa de Preços",E6567)))</formula>
    </cfRule>
  </conditionalFormatting>
  <conditionalFormatting sqref="E6570">
    <cfRule type="containsText" dxfId="2009" priority="3580" operator="containsText" text="Pesquisa de Preços">
      <formula>NOT(ISERROR(SEARCH("Pesquisa de Preços",E6570)))</formula>
    </cfRule>
  </conditionalFormatting>
  <conditionalFormatting sqref="E6571 E6573">
    <cfRule type="containsText" dxfId="2008" priority="3581" operator="containsText" text="Pesquisa de Preços">
      <formula>NOT(ISERROR(SEARCH("Pesquisa de Preços",E6571)))</formula>
    </cfRule>
  </conditionalFormatting>
  <conditionalFormatting sqref="E6578">
    <cfRule type="containsText" dxfId="2007" priority="3520" operator="containsText" text="Pesquisa de Preços">
      <formula>NOT(ISERROR(SEARCH("Pesquisa de Preços",E6578)))</formula>
    </cfRule>
  </conditionalFormatting>
  <conditionalFormatting sqref="E6579 E6581">
    <cfRule type="containsText" dxfId="2006" priority="3521" operator="containsText" text="Pesquisa de Preços">
      <formula>NOT(ISERROR(SEARCH("Pesquisa de Preços",E6579)))</formula>
    </cfRule>
  </conditionalFormatting>
  <conditionalFormatting sqref="E6582">
    <cfRule type="containsText" dxfId="2005" priority="3460" operator="containsText" text="Pesquisa de Preços">
      <formula>NOT(ISERROR(SEARCH("Pesquisa de Preços",E6582)))</formula>
    </cfRule>
  </conditionalFormatting>
  <conditionalFormatting sqref="E6583 E6585">
    <cfRule type="containsText" dxfId="2004" priority="3461" operator="containsText" text="Pesquisa de Preços">
      <formula>NOT(ISERROR(SEARCH("Pesquisa de Preços",E6583)))</formula>
    </cfRule>
  </conditionalFormatting>
  <conditionalFormatting sqref="E6586">
    <cfRule type="containsText" dxfId="2003" priority="3450" operator="containsText" text="Pesquisa de Preços">
      <formula>NOT(ISERROR(SEARCH("Pesquisa de Preços",E6586)))</formula>
    </cfRule>
  </conditionalFormatting>
  <conditionalFormatting sqref="E6587 E6589">
    <cfRule type="containsText" dxfId="2002" priority="3451" operator="containsText" text="Pesquisa de Preços">
      <formula>NOT(ISERROR(SEARCH("Pesquisa de Preços",E6587)))</formula>
    </cfRule>
  </conditionalFormatting>
  <conditionalFormatting sqref="E6590">
    <cfRule type="containsText" dxfId="2001" priority="3440" operator="containsText" text="Pesquisa de Preços">
      <formula>NOT(ISERROR(SEARCH("Pesquisa de Preços",E6590)))</formula>
    </cfRule>
  </conditionalFormatting>
  <conditionalFormatting sqref="E6591 E6593">
    <cfRule type="containsText" dxfId="2000" priority="3441" operator="containsText" text="Pesquisa de Preços">
      <formula>NOT(ISERROR(SEARCH("Pesquisa de Preços",E6591)))</formula>
    </cfRule>
  </conditionalFormatting>
  <conditionalFormatting sqref="E6594">
    <cfRule type="containsText" dxfId="1999" priority="3430" operator="containsText" text="Pesquisa de Preços">
      <formula>NOT(ISERROR(SEARCH("Pesquisa de Preços",E6594)))</formula>
    </cfRule>
  </conditionalFormatting>
  <conditionalFormatting sqref="E6595 E6597">
    <cfRule type="containsText" dxfId="1998" priority="3431" operator="containsText" text="Pesquisa de Preços">
      <formula>NOT(ISERROR(SEARCH("Pesquisa de Preços",E6595)))</formula>
    </cfRule>
  </conditionalFormatting>
  <conditionalFormatting sqref="E6598">
    <cfRule type="containsText" dxfId="1997" priority="3420" operator="containsText" text="Pesquisa de Preços">
      <formula>NOT(ISERROR(SEARCH("Pesquisa de Preços",E6598)))</formula>
    </cfRule>
  </conditionalFormatting>
  <conditionalFormatting sqref="E6599 E6601">
    <cfRule type="containsText" dxfId="1996" priority="3421" operator="containsText" text="Pesquisa de Preços">
      <formula>NOT(ISERROR(SEARCH("Pesquisa de Preços",E6599)))</formula>
    </cfRule>
  </conditionalFormatting>
  <conditionalFormatting sqref="E6606">
    <cfRule type="containsText" dxfId="1995" priority="3410" operator="containsText" text="Pesquisa de Preços">
      <formula>NOT(ISERROR(SEARCH("Pesquisa de Preços",E6606)))</formula>
    </cfRule>
  </conditionalFormatting>
  <conditionalFormatting sqref="E6607 E6609">
    <cfRule type="containsText" dxfId="1994" priority="3411" operator="containsText" text="Pesquisa de Preços">
      <formula>NOT(ISERROR(SEARCH("Pesquisa de Preços",E6607)))</formula>
    </cfRule>
  </conditionalFormatting>
  <conditionalFormatting sqref="E6610">
    <cfRule type="containsText" dxfId="1993" priority="3400" operator="containsText" text="Pesquisa de Preços">
      <formula>NOT(ISERROR(SEARCH("Pesquisa de Preços",E6610)))</formula>
    </cfRule>
  </conditionalFormatting>
  <conditionalFormatting sqref="E6611 E6613">
    <cfRule type="containsText" dxfId="1992" priority="3401" operator="containsText" text="Pesquisa de Preços">
      <formula>NOT(ISERROR(SEARCH("Pesquisa de Preços",E6611)))</formula>
    </cfRule>
  </conditionalFormatting>
  <conditionalFormatting sqref="E6614">
    <cfRule type="containsText" dxfId="1991" priority="3390" operator="containsText" text="Pesquisa de Preços">
      <formula>NOT(ISERROR(SEARCH("Pesquisa de Preços",E6614)))</formula>
    </cfRule>
  </conditionalFormatting>
  <conditionalFormatting sqref="E6615 E6617">
    <cfRule type="containsText" dxfId="1990" priority="3391" operator="containsText" text="Pesquisa de Preços">
      <formula>NOT(ISERROR(SEARCH("Pesquisa de Preços",E6615)))</formula>
    </cfRule>
  </conditionalFormatting>
  <conditionalFormatting sqref="E6618">
    <cfRule type="containsText" dxfId="1989" priority="3380" operator="containsText" text="Pesquisa de Preços">
      <formula>NOT(ISERROR(SEARCH("Pesquisa de Preços",E6618)))</formula>
    </cfRule>
  </conditionalFormatting>
  <conditionalFormatting sqref="E6619 E6621">
    <cfRule type="containsText" dxfId="1988" priority="3381" operator="containsText" text="Pesquisa de Preços">
      <formula>NOT(ISERROR(SEARCH("Pesquisa de Preços",E6619)))</formula>
    </cfRule>
  </conditionalFormatting>
  <conditionalFormatting sqref="E6622">
    <cfRule type="containsText" dxfId="1987" priority="3370" operator="containsText" text="Pesquisa de Preços">
      <formula>NOT(ISERROR(SEARCH("Pesquisa de Preços",E6622)))</formula>
    </cfRule>
  </conditionalFormatting>
  <conditionalFormatting sqref="E6623 E6625">
    <cfRule type="containsText" dxfId="1986" priority="3371" operator="containsText" text="Pesquisa de Preços">
      <formula>NOT(ISERROR(SEARCH("Pesquisa de Preços",E6623)))</formula>
    </cfRule>
  </conditionalFormatting>
  <conditionalFormatting sqref="E6626">
    <cfRule type="containsText" dxfId="1985" priority="3360" operator="containsText" text="Pesquisa de Preços">
      <formula>NOT(ISERROR(SEARCH("Pesquisa de Preços",E6626)))</formula>
    </cfRule>
  </conditionalFormatting>
  <conditionalFormatting sqref="E6627 E6629">
    <cfRule type="containsText" dxfId="1984" priority="3361" operator="containsText" text="Pesquisa de Preços">
      <formula>NOT(ISERROR(SEARCH("Pesquisa de Preços",E6627)))</formula>
    </cfRule>
  </conditionalFormatting>
  <conditionalFormatting sqref="E6630">
    <cfRule type="containsText" dxfId="1983" priority="3350" operator="containsText" text="Pesquisa de Preços">
      <formula>NOT(ISERROR(SEARCH("Pesquisa de Preços",E6630)))</formula>
    </cfRule>
  </conditionalFormatting>
  <conditionalFormatting sqref="E6631 E6633">
    <cfRule type="containsText" dxfId="1982" priority="3351" operator="containsText" text="Pesquisa de Preços">
      <formula>NOT(ISERROR(SEARCH("Pesquisa de Preços",E6631)))</formula>
    </cfRule>
  </conditionalFormatting>
  <conditionalFormatting sqref="E6634">
    <cfRule type="containsText" dxfId="1981" priority="3340" operator="containsText" text="Pesquisa de Preços">
      <formula>NOT(ISERROR(SEARCH("Pesquisa de Preços",E6634)))</formula>
    </cfRule>
  </conditionalFormatting>
  <conditionalFormatting sqref="E6635 E6637">
    <cfRule type="containsText" dxfId="1980" priority="3341" operator="containsText" text="Pesquisa de Preços">
      <formula>NOT(ISERROR(SEARCH("Pesquisa de Preços",E6635)))</formula>
    </cfRule>
  </conditionalFormatting>
  <conditionalFormatting sqref="E6638">
    <cfRule type="containsText" dxfId="1979" priority="3330" operator="containsText" text="Pesquisa de Preços">
      <formula>NOT(ISERROR(SEARCH("Pesquisa de Preços",E6638)))</formula>
    </cfRule>
  </conditionalFormatting>
  <conditionalFormatting sqref="E6639 E6641">
    <cfRule type="containsText" dxfId="1978" priority="3331" operator="containsText" text="Pesquisa de Preços">
      <formula>NOT(ISERROR(SEARCH("Pesquisa de Preços",E6639)))</formula>
    </cfRule>
  </conditionalFormatting>
  <conditionalFormatting sqref="E6654">
    <cfRule type="containsText" dxfId="1977" priority="3300" operator="containsText" text="Pesquisa de Preços">
      <formula>NOT(ISERROR(SEARCH("Pesquisa de Preços",E6654)))</formula>
    </cfRule>
  </conditionalFormatting>
  <conditionalFormatting sqref="E6655 E6657">
    <cfRule type="containsText" dxfId="1976" priority="3301" operator="containsText" text="Pesquisa de Preços">
      <formula>NOT(ISERROR(SEARCH("Pesquisa de Preços",E6655)))</formula>
    </cfRule>
  </conditionalFormatting>
  <conditionalFormatting sqref="E6658">
    <cfRule type="containsText" dxfId="1975" priority="3290" operator="containsText" text="Pesquisa de Preços">
      <formula>NOT(ISERROR(SEARCH("Pesquisa de Preços",E6658)))</formula>
    </cfRule>
  </conditionalFormatting>
  <conditionalFormatting sqref="E6659 E6661">
    <cfRule type="containsText" dxfId="1974" priority="3291" operator="containsText" text="Pesquisa de Preços">
      <formula>NOT(ISERROR(SEARCH("Pesquisa de Preços",E6659)))</formula>
    </cfRule>
  </conditionalFormatting>
  <conditionalFormatting sqref="E6662">
    <cfRule type="containsText" dxfId="1973" priority="3280" operator="containsText" text="Pesquisa de Preços">
      <formula>NOT(ISERROR(SEARCH("Pesquisa de Preços",E6662)))</formula>
    </cfRule>
  </conditionalFormatting>
  <conditionalFormatting sqref="E6663 E6665">
    <cfRule type="containsText" dxfId="1972" priority="3281" operator="containsText" text="Pesquisa de Preços">
      <formula>NOT(ISERROR(SEARCH("Pesquisa de Preços",E6663)))</formula>
    </cfRule>
  </conditionalFormatting>
  <conditionalFormatting sqref="E6678">
    <cfRule type="containsText" dxfId="1971" priority="3240" operator="containsText" text="Pesquisa de Preços">
      <formula>NOT(ISERROR(SEARCH("Pesquisa de Preços",E6678)))</formula>
    </cfRule>
  </conditionalFormatting>
  <conditionalFormatting sqref="E6679 E6681">
    <cfRule type="containsText" dxfId="1970" priority="3241" operator="containsText" text="Pesquisa de Preços">
      <formula>NOT(ISERROR(SEARCH("Pesquisa de Preços",E6679)))</formula>
    </cfRule>
  </conditionalFormatting>
  <conditionalFormatting sqref="E6682">
    <cfRule type="containsText" dxfId="1969" priority="3230" operator="containsText" text="Pesquisa de Preços">
      <formula>NOT(ISERROR(SEARCH("Pesquisa de Preços",E6682)))</formula>
    </cfRule>
  </conditionalFormatting>
  <conditionalFormatting sqref="E6683 E6685">
    <cfRule type="containsText" dxfId="1968" priority="3231" operator="containsText" text="Pesquisa de Preços">
      <formula>NOT(ISERROR(SEARCH("Pesquisa de Preços",E6683)))</formula>
    </cfRule>
  </conditionalFormatting>
  <conditionalFormatting sqref="E6686">
    <cfRule type="containsText" dxfId="1967" priority="3220" operator="containsText" text="Pesquisa de Preços">
      <formula>NOT(ISERROR(SEARCH("Pesquisa de Preços",E6686)))</formula>
    </cfRule>
  </conditionalFormatting>
  <conditionalFormatting sqref="E6687 E6689">
    <cfRule type="containsText" dxfId="1966" priority="3221" operator="containsText" text="Pesquisa de Preços">
      <formula>NOT(ISERROR(SEARCH("Pesquisa de Preços",E6687)))</formula>
    </cfRule>
  </conditionalFormatting>
  <conditionalFormatting sqref="E6690">
    <cfRule type="containsText" dxfId="1965" priority="3210" operator="containsText" text="Pesquisa de Preços">
      <formula>NOT(ISERROR(SEARCH("Pesquisa de Preços",E6690)))</formula>
    </cfRule>
  </conditionalFormatting>
  <conditionalFormatting sqref="E6691 E6693">
    <cfRule type="containsText" dxfId="1964" priority="3211" operator="containsText" text="Pesquisa de Preços">
      <formula>NOT(ISERROR(SEARCH("Pesquisa de Preços",E6691)))</formula>
    </cfRule>
  </conditionalFormatting>
  <conditionalFormatting sqref="E6694">
    <cfRule type="containsText" dxfId="1963" priority="3200" operator="containsText" text="Pesquisa de Preços">
      <formula>NOT(ISERROR(SEARCH("Pesquisa de Preços",E6694)))</formula>
    </cfRule>
  </conditionalFormatting>
  <conditionalFormatting sqref="E6695 E6697">
    <cfRule type="containsText" dxfId="1962" priority="3201" operator="containsText" text="Pesquisa de Preços">
      <formula>NOT(ISERROR(SEARCH("Pesquisa de Preços",E6695)))</formula>
    </cfRule>
  </conditionalFormatting>
  <conditionalFormatting sqref="E6886">
    <cfRule type="containsText" dxfId="1961" priority="3130" operator="containsText" text="Pesquisa de Preços">
      <formula>NOT(ISERROR(SEARCH("Pesquisa de Preços",E6886)))</formula>
    </cfRule>
  </conditionalFormatting>
  <conditionalFormatting sqref="E6887 E6889">
    <cfRule type="containsText" dxfId="1960" priority="3131" operator="containsText" text="Pesquisa de Preços">
      <formula>NOT(ISERROR(SEARCH("Pesquisa de Preços",E6887)))</formula>
    </cfRule>
  </conditionalFormatting>
  <conditionalFormatting sqref="E6890">
    <cfRule type="containsText" dxfId="1959" priority="3120" operator="containsText" text="Pesquisa de Preços">
      <formula>NOT(ISERROR(SEARCH("Pesquisa de Preços",E6890)))</formula>
    </cfRule>
  </conditionalFormatting>
  <conditionalFormatting sqref="E6891 E6893">
    <cfRule type="containsText" dxfId="1958" priority="3121" operator="containsText" text="Pesquisa de Preços">
      <formula>NOT(ISERROR(SEARCH("Pesquisa de Preços",E6891)))</formula>
    </cfRule>
  </conditionalFormatting>
  <conditionalFormatting sqref="E6894">
    <cfRule type="containsText" dxfId="1957" priority="3110" operator="containsText" text="Pesquisa de Preços">
      <formula>NOT(ISERROR(SEARCH("Pesquisa de Preços",E6894)))</formula>
    </cfRule>
  </conditionalFormatting>
  <conditionalFormatting sqref="E6895 E6897">
    <cfRule type="containsText" dxfId="1956" priority="3111" operator="containsText" text="Pesquisa de Preços">
      <formula>NOT(ISERROR(SEARCH("Pesquisa de Preços",E6895)))</formula>
    </cfRule>
  </conditionalFormatting>
  <conditionalFormatting sqref="E6898">
    <cfRule type="containsText" dxfId="1955" priority="3100" operator="containsText" text="Pesquisa de Preços">
      <formula>NOT(ISERROR(SEARCH("Pesquisa de Preços",E6898)))</formula>
    </cfRule>
  </conditionalFormatting>
  <conditionalFormatting sqref="E6899 E6901">
    <cfRule type="containsText" dxfId="1954" priority="3101" operator="containsText" text="Pesquisa de Preços">
      <formula>NOT(ISERROR(SEARCH("Pesquisa de Preços",E6899)))</formula>
    </cfRule>
  </conditionalFormatting>
  <conditionalFormatting sqref="E6902">
    <cfRule type="containsText" dxfId="1953" priority="3090" operator="containsText" text="Pesquisa de Preços">
      <formula>NOT(ISERROR(SEARCH("Pesquisa de Preços",E6902)))</formula>
    </cfRule>
  </conditionalFormatting>
  <conditionalFormatting sqref="E6903 E6905">
    <cfRule type="containsText" dxfId="1952" priority="3091" operator="containsText" text="Pesquisa de Preços">
      <formula>NOT(ISERROR(SEARCH("Pesquisa de Preços",E6903)))</formula>
    </cfRule>
  </conditionalFormatting>
  <conditionalFormatting sqref="E6906">
    <cfRule type="containsText" dxfId="1951" priority="3080" operator="containsText" text="Pesquisa de Preços">
      <formula>NOT(ISERROR(SEARCH("Pesquisa de Preços",E6906)))</formula>
    </cfRule>
  </conditionalFormatting>
  <conditionalFormatting sqref="E6907 E6909">
    <cfRule type="containsText" dxfId="1950" priority="3081" operator="containsText" text="Pesquisa de Preços">
      <formula>NOT(ISERROR(SEARCH("Pesquisa de Preços",E6907)))</formula>
    </cfRule>
  </conditionalFormatting>
  <conditionalFormatting sqref="E6938">
    <cfRule type="containsText" dxfId="1949" priority="3050" operator="containsText" text="Pesquisa de Preços">
      <formula>NOT(ISERROR(SEARCH("Pesquisa de Preços",E6938)))</formula>
    </cfRule>
  </conditionalFormatting>
  <conditionalFormatting sqref="E6918">
    <cfRule type="containsText" dxfId="1948" priority="3060" operator="containsText" text="Pesquisa de Preços">
      <formula>NOT(ISERROR(SEARCH("Pesquisa de Preços",E6918)))</formula>
    </cfRule>
  </conditionalFormatting>
  <conditionalFormatting sqref="E6919 E6921">
    <cfRule type="containsText" dxfId="1947" priority="3061" operator="containsText" text="Pesquisa de Preços">
      <formula>NOT(ISERROR(SEARCH("Pesquisa de Preços",E6919)))</formula>
    </cfRule>
  </conditionalFormatting>
  <conditionalFormatting sqref="E6917">
    <cfRule type="containsText" dxfId="1946" priority="3071" operator="containsText" text="Pesquisa de Preços">
      <formula>NOT(ISERROR(SEARCH("Pesquisa de Preços",E6917)))</formula>
    </cfRule>
  </conditionalFormatting>
  <conditionalFormatting sqref="E6958">
    <cfRule type="containsText" dxfId="1945" priority="3020" operator="containsText" text="Pesquisa de Preços">
      <formula>NOT(ISERROR(SEARCH("Pesquisa de Preços",E6958)))</formula>
    </cfRule>
  </conditionalFormatting>
  <conditionalFormatting sqref="E6939 E6941">
    <cfRule type="containsText" dxfId="1944" priority="3051" operator="containsText" text="Pesquisa de Preços">
      <formula>NOT(ISERROR(SEARCH("Pesquisa de Preços",E6939)))</formula>
    </cfRule>
  </conditionalFormatting>
  <conditionalFormatting sqref="E6950">
    <cfRule type="containsText" dxfId="1943" priority="3040" operator="containsText" text="Pesquisa de Preços">
      <formula>NOT(ISERROR(SEARCH("Pesquisa de Preços",E6950)))</formula>
    </cfRule>
  </conditionalFormatting>
  <conditionalFormatting sqref="E6951 E6953">
    <cfRule type="containsText" dxfId="1942" priority="3041" operator="containsText" text="Pesquisa de Preços">
      <formula>NOT(ISERROR(SEARCH("Pesquisa de Preços",E6951)))</formula>
    </cfRule>
  </conditionalFormatting>
  <conditionalFormatting sqref="E6959 E6961">
    <cfRule type="containsText" dxfId="1941" priority="3021" operator="containsText" text="Pesquisa de Preços">
      <formula>NOT(ISERROR(SEARCH("Pesquisa de Preços",E6959)))</formula>
    </cfRule>
  </conditionalFormatting>
  <conditionalFormatting sqref="E6954">
    <cfRule type="containsText" dxfId="1940" priority="3030" operator="containsText" text="Pesquisa de Preços">
      <formula>NOT(ISERROR(SEARCH("Pesquisa de Preços",E6954)))</formula>
    </cfRule>
  </conditionalFormatting>
  <conditionalFormatting sqref="E6955 E6957">
    <cfRule type="containsText" dxfId="1939" priority="3031" operator="containsText" text="Pesquisa de Preços">
      <formula>NOT(ISERROR(SEARCH("Pesquisa de Preços",E6955)))</formula>
    </cfRule>
  </conditionalFormatting>
  <conditionalFormatting sqref="E6974">
    <cfRule type="containsText" dxfId="1938" priority="2980" operator="containsText" text="Pesquisa de Preços">
      <formula>NOT(ISERROR(SEARCH("Pesquisa de Preços",E6974)))</formula>
    </cfRule>
  </conditionalFormatting>
  <conditionalFormatting sqref="E6975 E6977">
    <cfRule type="containsText" dxfId="1937" priority="2981" operator="containsText" text="Pesquisa de Preços">
      <formula>NOT(ISERROR(SEARCH("Pesquisa de Preços",E6975)))</formula>
    </cfRule>
  </conditionalFormatting>
  <conditionalFormatting sqref="E6962">
    <cfRule type="containsText" dxfId="1936" priority="3010" operator="containsText" text="Pesquisa de Preços">
      <formula>NOT(ISERROR(SEARCH("Pesquisa de Preços",E6962)))</formula>
    </cfRule>
  </conditionalFormatting>
  <conditionalFormatting sqref="E6963 E6965">
    <cfRule type="containsText" dxfId="1935" priority="3011" operator="containsText" text="Pesquisa de Preços">
      <formula>NOT(ISERROR(SEARCH("Pesquisa de Preços",E6963)))</formula>
    </cfRule>
  </conditionalFormatting>
  <conditionalFormatting sqref="E6966">
    <cfRule type="containsText" dxfId="1934" priority="3000" operator="containsText" text="Pesquisa de Preços">
      <formula>NOT(ISERROR(SEARCH("Pesquisa de Preços",E6966)))</formula>
    </cfRule>
  </conditionalFormatting>
  <conditionalFormatting sqref="E6967 E6969">
    <cfRule type="containsText" dxfId="1933" priority="3001" operator="containsText" text="Pesquisa de Preços">
      <formula>NOT(ISERROR(SEARCH("Pesquisa de Preços",E6967)))</formula>
    </cfRule>
  </conditionalFormatting>
  <conditionalFormatting sqref="E6970">
    <cfRule type="containsText" dxfId="1932" priority="2990" operator="containsText" text="Pesquisa de Preços">
      <formula>NOT(ISERROR(SEARCH("Pesquisa de Preços",E6970)))</formula>
    </cfRule>
  </conditionalFormatting>
  <conditionalFormatting sqref="E6971 E6973">
    <cfRule type="containsText" dxfId="1931" priority="2991" operator="containsText" text="Pesquisa de Preços">
      <formula>NOT(ISERROR(SEARCH("Pesquisa de Preços",E6971)))</formula>
    </cfRule>
  </conditionalFormatting>
  <conditionalFormatting sqref="E6978">
    <cfRule type="containsText" dxfId="1930" priority="2970" operator="containsText" text="Pesquisa de Preços">
      <formula>NOT(ISERROR(SEARCH("Pesquisa de Preços",E6978)))</formula>
    </cfRule>
  </conditionalFormatting>
  <conditionalFormatting sqref="E6979 E6981">
    <cfRule type="containsText" dxfId="1929" priority="2971" operator="containsText" text="Pesquisa de Preços">
      <formula>NOT(ISERROR(SEARCH("Pesquisa de Preços",E6979)))</formula>
    </cfRule>
  </conditionalFormatting>
  <conditionalFormatting sqref="E6650">
    <cfRule type="containsText" dxfId="1928" priority="2901" operator="containsText" text="Pesquisa de Preços">
      <formula>NOT(ISERROR(SEARCH("Pesquisa de Preços",E6650)))</formula>
    </cfRule>
  </conditionalFormatting>
  <conditionalFormatting sqref="E6651 E6653">
    <cfRule type="containsText" dxfId="1927" priority="2902" operator="containsText" text="Pesquisa de Preços">
      <formula>NOT(ISERROR(SEARCH("Pesquisa de Preços",E6651)))</formula>
    </cfRule>
  </conditionalFormatting>
  <conditionalFormatting sqref="E6510">
    <cfRule type="containsText" dxfId="1926" priority="2891" operator="containsText" text="Pesquisa de Preços">
      <formula>NOT(ISERROR(SEARCH("Pesquisa de Preços",E6510)))</formula>
    </cfRule>
  </conditionalFormatting>
  <conditionalFormatting sqref="E6511 E6513">
    <cfRule type="containsText" dxfId="1925" priority="2892" operator="containsText" text="Pesquisa de Preços">
      <formula>NOT(ISERROR(SEARCH("Pesquisa de Preços",E6511)))</formula>
    </cfRule>
  </conditionalFormatting>
  <conditionalFormatting sqref="E6554">
    <cfRule type="containsText" dxfId="1924" priority="2885" operator="containsText" text="Pesquisa de Preços">
      <formula>NOT(ISERROR(SEARCH("Pesquisa de Preços",E6554)))</formula>
    </cfRule>
  </conditionalFormatting>
  <conditionalFormatting sqref="E6555 E6557">
    <cfRule type="containsText" dxfId="1923" priority="2886" operator="containsText" text="Pesquisa de Preços">
      <formula>NOT(ISERROR(SEARCH("Pesquisa de Preços",E6555)))</formula>
    </cfRule>
  </conditionalFormatting>
  <conditionalFormatting sqref="E6602">
    <cfRule type="containsText" dxfId="1922" priority="2877" operator="containsText" text="Pesquisa de Preços">
      <formula>NOT(ISERROR(SEARCH("Pesquisa de Preços",E6602)))</formula>
    </cfRule>
  </conditionalFormatting>
  <conditionalFormatting sqref="E6603 E6605">
    <cfRule type="containsText" dxfId="1921" priority="2878" operator="containsText" text="Pesquisa de Preços">
      <formula>NOT(ISERROR(SEARCH("Pesquisa de Preços",E6603)))</formula>
    </cfRule>
  </conditionalFormatting>
  <conditionalFormatting sqref="E6666">
    <cfRule type="containsText" dxfId="1920" priority="2867" operator="containsText" text="Pesquisa de Preços">
      <formula>NOT(ISERROR(SEARCH("Pesquisa de Preços",E6666)))</formula>
    </cfRule>
  </conditionalFormatting>
  <conditionalFormatting sqref="E6667 E6669">
    <cfRule type="containsText" dxfId="1919" priority="2868" operator="containsText" text="Pesquisa de Preços">
      <formula>NOT(ISERROR(SEARCH("Pesquisa de Preços",E6667)))</formula>
    </cfRule>
  </conditionalFormatting>
  <conditionalFormatting sqref="E6670">
    <cfRule type="containsText" dxfId="1918" priority="2861" operator="containsText" text="Pesquisa de Preços">
      <formula>NOT(ISERROR(SEARCH("Pesquisa de Preços",E6670)))</formula>
    </cfRule>
  </conditionalFormatting>
  <conditionalFormatting sqref="E6671 E6673">
    <cfRule type="containsText" dxfId="1917" priority="2862" operator="containsText" text="Pesquisa de Preços">
      <formula>NOT(ISERROR(SEARCH("Pesquisa de Preços",E6671)))</formula>
    </cfRule>
  </conditionalFormatting>
  <conditionalFormatting sqref="E6674">
    <cfRule type="containsText" dxfId="1916" priority="2855" operator="containsText" text="Pesquisa de Preços">
      <formula>NOT(ISERROR(SEARCH("Pesquisa de Preços",E6674)))</formula>
    </cfRule>
  </conditionalFormatting>
  <conditionalFormatting sqref="E6675 E6677">
    <cfRule type="containsText" dxfId="1915" priority="2856" operator="containsText" text="Pesquisa de Preços">
      <formula>NOT(ISERROR(SEARCH("Pesquisa de Preços",E6675)))</formula>
    </cfRule>
  </conditionalFormatting>
  <conditionalFormatting sqref="E6646">
    <cfRule type="containsText" dxfId="1914" priority="2845" operator="containsText" text="Pesquisa de Preços">
      <formula>NOT(ISERROR(SEARCH("Pesquisa de Preços",E6646)))</formula>
    </cfRule>
  </conditionalFormatting>
  <conditionalFormatting sqref="E6647 E6649">
    <cfRule type="containsText" dxfId="1913" priority="2846" operator="containsText" text="Pesquisa de Preços">
      <formula>NOT(ISERROR(SEARCH("Pesquisa de Preços",E6647)))</formula>
    </cfRule>
  </conditionalFormatting>
  <conditionalFormatting sqref="E6642">
    <cfRule type="containsText" dxfId="1912" priority="2835" operator="containsText" text="Pesquisa de Preços">
      <formula>NOT(ISERROR(SEARCH("Pesquisa de Preços",E6642)))</formula>
    </cfRule>
  </conditionalFormatting>
  <conditionalFormatting sqref="E6643 E6645">
    <cfRule type="containsText" dxfId="1911" priority="2836" operator="containsText" text="Pesquisa de Preços">
      <formula>NOT(ISERROR(SEARCH("Pesquisa de Preços",E6643)))</formula>
    </cfRule>
  </conditionalFormatting>
  <conditionalFormatting sqref="E6698 E6702 E6706 E6710 E6714 E6718 E6722 E6726 E6730 E6734 E6742 E6746 E6750 E6754 E6758 E6762 E6766 E6770 E6774 E6778 E6782 E6786 E6790 E6794 E6798 E6802 E6806 E6810 E6814 E6818 E6822 E6826 E6830 E6834 E6838 E6842 E6846 E6850 E6854 E6858 E6862 E6878 E6882">
    <cfRule type="containsText" dxfId="1910" priority="2827" operator="containsText" text="Pesquisa de Preços">
      <formula>NOT(ISERROR(SEARCH("Pesquisa de Preços",E6698)))</formula>
    </cfRule>
  </conditionalFormatting>
  <conditionalFormatting sqref="E6699 E6703 E6707 E6711 E6715 E6719 E6723 E6727 E6731 E6735 E6743 E6747 E6751 E6755 E6759 E6763 E6767 E6771 E6775 E6779 E6783 E6787 E6791 E6795 E6799 E6803 E6807 E6811 E6815 E6819 E6823 E6827 E6831 E6835 E6839 E6843 E6847 E6851 E6855 E6859 E6863 E6879 E6883 E6701 E6705 E6709 E6713 E6717 E6721 E6725 E6729 E6733 E6737 E6745 E6749 E6753 E6757 E6761 E6765 E6769 E6773 E6777 E6781 E6785 E6789 E6793 E6797 E6801 E6805 E6809 E6813 E6817 E6821 E6825 E6829 E6833 E6837 E6841 E6845 E6849 E6853 E6857 E6861 E6865 E6881 E6885">
    <cfRule type="containsText" dxfId="1909" priority="2828" operator="containsText" text="Pesquisa de Preços">
      <formula>NOT(ISERROR(SEARCH("Pesquisa de Preços",E6699)))</formula>
    </cfRule>
  </conditionalFormatting>
  <conditionalFormatting sqref="E6922">
    <cfRule type="containsText" dxfId="1908" priority="2819" operator="containsText" text="Pesquisa de Preços">
      <formula>NOT(ISERROR(SEARCH("Pesquisa de Preços",E6922)))</formula>
    </cfRule>
  </conditionalFormatting>
  <conditionalFormatting sqref="E6923 E6925">
    <cfRule type="containsText" dxfId="1907" priority="2820" operator="containsText" text="Pesquisa de Preços">
      <formula>NOT(ISERROR(SEARCH("Pesquisa de Preços",E6923)))</formula>
    </cfRule>
  </conditionalFormatting>
  <conditionalFormatting sqref="E6926">
    <cfRule type="containsText" dxfId="1906" priority="2813" operator="containsText" text="Pesquisa de Preços">
      <formula>NOT(ISERROR(SEARCH("Pesquisa de Preços",E6926)))</formula>
    </cfRule>
  </conditionalFormatting>
  <conditionalFormatting sqref="E6927 E6929">
    <cfRule type="containsText" dxfId="1905" priority="2814" operator="containsText" text="Pesquisa de Preços">
      <formula>NOT(ISERROR(SEARCH("Pesquisa de Preços",E6927)))</formula>
    </cfRule>
  </conditionalFormatting>
  <conditionalFormatting sqref="E6930">
    <cfRule type="containsText" dxfId="1904" priority="2805" operator="containsText" text="Pesquisa de Preços">
      <formula>NOT(ISERROR(SEARCH("Pesquisa de Preços",E6930)))</formula>
    </cfRule>
  </conditionalFormatting>
  <conditionalFormatting sqref="E6931 E6933">
    <cfRule type="containsText" dxfId="1903" priority="2806" operator="containsText" text="Pesquisa de Preços">
      <formula>NOT(ISERROR(SEARCH("Pesquisa de Preços",E6931)))</formula>
    </cfRule>
  </conditionalFormatting>
  <conditionalFormatting sqref="E6946">
    <cfRule type="containsText" dxfId="1902" priority="2797" operator="containsText" text="Pesquisa de Preços">
      <formula>NOT(ISERROR(SEARCH("Pesquisa de Preços",E6946)))</formula>
    </cfRule>
  </conditionalFormatting>
  <conditionalFormatting sqref="E6947 E6949">
    <cfRule type="containsText" dxfId="1901" priority="2798" operator="containsText" text="Pesquisa de Preços">
      <formula>NOT(ISERROR(SEARCH("Pesquisa de Preços",E6947)))</formula>
    </cfRule>
  </conditionalFormatting>
  <conditionalFormatting sqref="E6942">
    <cfRule type="containsText" dxfId="1900" priority="2789" operator="containsText" text="Pesquisa de Preços">
      <formula>NOT(ISERROR(SEARCH("Pesquisa de Preços",E6942)))</formula>
    </cfRule>
  </conditionalFormatting>
  <conditionalFormatting sqref="E6943 E6945">
    <cfRule type="containsText" dxfId="1899" priority="2790" operator="containsText" text="Pesquisa de Preços">
      <formula>NOT(ISERROR(SEARCH("Pesquisa de Preços",E6943)))</formula>
    </cfRule>
  </conditionalFormatting>
  <conditionalFormatting sqref="E6982 E6986 E6994 E6998 E7002 E7006 E7010 E7014 E7018 E7022 E7026 E7030 E7038 E7042 E7046 E7050 E7054 E7058 E7074">
    <cfRule type="containsText" dxfId="1898" priority="2781" operator="containsText" text="Pesquisa de Preços">
      <formula>NOT(ISERROR(SEARCH("Pesquisa de Preços",E6982)))</formula>
    </cfRule>
  </conditionalFormatting>
  <conditionalFormatting sqref="E6983 E6987 E6995 E6999 E7003 E7007 E7011 E7015 E7019 E7023 E7027 E7031 E7039 E7043 E7047 E7051 E7055 E7059 E7075 E6985 E6989 E6997 E7001 E7005 E7009 E7013 E7017 E7021 E7025 E7029 E7033 E7041 E7045 E7049 E7053 E7057 E7061 E7077">
    <cfRule type="containsText" dxfId="1897" priority="2782" operator="containsText" text="Pesquisa de Preços">
      <formula>NOT(ISERROR(SEARCH("Pesquisa de Preços",E6983)))</formula>
    </cfRule>
  </conditionalFormatting>
  <conditionalFormatting sqref="E7078 E7082 E7086 E7090 E7094 E7098 E7102 E7106 E7110 E7114 E7118 E7122 E7126 E7130 E7134 E7138 E7142 E7146 E7150 E7154 E7158 E7162 E7166 E7238">
    <cfRule type="containsText" dxfId="1896" priority="2773" operator="containsText" text="Pesquisa de Preços">
      <formula>NOT(ISERROR(SEARCH("Pesquisa de Preços",E7078)))</formula>
    </cfRule>
  </conditionalFormatting>
  <conditionalFormatting sqref="E7079 E7083 E7087 E7091 E7095 E7099 E7103 E7107 E7111 E7115 E7119 E7123 E7127 E7131 E7135 E7139 E7143 E7147 E7151 E7155 E7159 E7163 E7167 E7239 E7081 E7085 E7089 E7093 E7097 E7101 E7105 E7109 E7113 E7117 E7121 E7125 E7129 E7133 E7137 E7141 E7145 E7149 E7153 E7157 E7161 E7165 E7169 E7241">
    <cfRule type="containsText" dxfId="1895" priority="2774" operator="containsText" text="Pesquisa de Preços">
      <formula>NOT(ISERROR(SEARCH("Pesquisa de Preços",E7079)))</formula>
    </cfRule>
  </conditionalFormatting>
  <conditionalFormatting sqref="E7062">
    <cfRule type="containsText" dxfId="1894" priority="2765" operator="containsText" text="Pesquisa de Preços">
      <formula>NOT(ISERROR(SEARCH("Pesquisa de Preços",E7062)))</formula>
    </cfRule>
  </conditionalFormatting>
  <conditionalFormatting sqref="E7063 E7065">
    <cfRule type="containsText" dxfId="1893" priority="2766" operator="containsText" text="Pesquisa de Preços">
      <formula>NOT(ISERROR(SEARCH("Pesquisa de Preços",E7063)))</formula>
    </cfRule>
  </conditionalFormatting>
  <conditionalFormatting sqref="E7066">
    <cfRule type="containsText" dxfId="1892" priority="2757" operator="containsText" text="Pesquisa de Preços">
      <formula>NOT(ISERROR(SEARCH("Pesquisa de Preços",E7066)))</formula>
    </cfRule>
  </conditionalFormatting>
  <conditionalFormatting sqref="E7067 E7069">
    <cfRule type="containsText" dxfId="1891" priority="2758" operator="containsText" text="Pesquisa de Preços">
      <formula>NOT(ISERROR(SEARCH("Pesquisa de Preços",E7067)))</formula>
    </cfRule>
  </conditionalFormatting>
  <conditionalFormatting sqref="E7070">
    <cfRule type="containsText" dxfId="1890" priority="2749" operator="containsText" text="Pesquisa de Preços">
      <formula>NOT(ISERROR(SEARCH("Pesquisa de Preços",E7070)))</formula>
    </cfRule>
  </conditionalFormatting>
  <conditionalFormatting sqref="E7071 E7073">
    <cfRule type="containsText" dxfId="1889" priority="2750" operator="containsText" text="Pesquisa de Preços">
      <formula>NOT(ISERROR(SEARCH("Pesquisa de Preços",E7071)))</formula>
    </cfRule>
  </conditionalFormatting>
  <conditionalFormatting sqref="E6866">
    <cfRule type="containsText" dxfId="1888" priority="2741" operator="containsText" text="Pesquisa de Preços">
      <formula>NOT(ISERROR(SEARCH("Pesquisa de Preços",E6866)))</formula>
    </cfRule>
  </conditionalFormatting>
  <conditionalFormatting sqref="E6867 E6869">
    <cfRule type="containsText" dxfId="1887" priority="2742" operator="containsText" text="Pesquisa de Preços">
      <formula>NOT(ISERROR(SEARCH("Pesquisa de Preços",E6867)))</formula>
    </cfRule>
  </conditionalFormatting>
  <conditionalFormatting sqref="E6738">
    <cfRule type="containsText" dxfId="1886" priority="2733" operator="containsText" text="Pesquisa de Preços">
      <formula>NOT(ISERROR(SEARCH("Pesquisa de Preços",E6738)))</formula>
    </cfRule>
  </conditionalFormatting>
  <conditionalFormatting sqref="E6739 E6741">
    <cfRule type="containsText" dxfId="1885" priority="2734" operator="containsText" text="Pesquisa de Preços">
      <formula>NOT(ISERROR(SEARCH("Pesquisa de Preços",E6739)))</formula>
    </cfRule>
  </conditionalFormatting>
  <conditionalFormatting sqref="E6574">
    <cfRule type="containsText" dxfId="1884" priority="2723" operator="containsText" text="Pesquisa de Preços">
      <formula>NOT(ISERROR(SEARCH("Pesquisa de Preços",E6574)))</formula>
    </cfRule>
  </conditionalFormatting>
  <conditionalFormatting sqref="E6575 E6577">
    <cfRule type="containsText" dxfId="1883" priority="2724" operator="containsText" text="Pesquisa de Preços">
      <formula>NOT(ISERROR(SEARCH("Pesquisa de Preços",E6575)))</formula>
    </cfRule>
  </conditionalFormatting>
  <conditionalFormatting sqref="E6910">
    <cfRule type="containsText" dxfId="1882" priority="2715" operator="containsText" text="Pesquisa de Preços">
      <formula>NOT(ISERROR(SEARCH("Pesquisa de Preços",E6910)))</formula>
    </cfRule>
  </conditionalFormatting>
  <conditionalFormatting sqref="E6911 E6913">
    <cfRule type="containsText" dxfId="1881" priority="2716" operator="containsText" text="Pesquisa de Preços">
      <formula>NOT(ISERROR(SEARCH("Pesquisa de Preços",E6911)))</formula>
    </cfRule>
  </conditionalFormatting>
  <conditionalFormatting sqref="E6914">
    <cfRule type="containsText" dxfId="1880" priority="2709" operator="containsText" text="Pesquisa de Preços">
      <formula>NOT(ISERROR(SEARCH("Pesquisa de Preços",E6914)))</formula>
    </cfRule>
  </conditionalFormatting>
  <conditionalFormatting sqref="E6915">
    <cfRule type="containsText" dxfId="1879" priority="2710" operator="containsText" text="Pesquisa de Preços">
      <formula>NOT(ISERROR(SEARCH("Pesquisa de Preços",E6915)))</formula>
    </cfRule>
  </conditionalFormatting>
  <conditionalFormatting sqref="E7034">
    <cfRule type="containsText" dxfId="1878" priority="2703" operator="containsText" text="Pesquisa de Preços">
      <formula>NOT(ISERROR(SEARCH("Pesquisa de Preços",E7034)))</formula>
    </cfRule>
  </conditionalFormatting>
  <conditionalFormatting sqref="E7035 E7037">
    <cfRule type="containsText" dxfId="1877" priority="2704" operator="containsText" text="Pesquisa de Preços">
      <formula>NOT(ISERROR(SEARCH("Pesquisa de Preços",E7035)))</formula>
    </cfRule>
  </conditionalFormatting>
  <conditionalFormatting sqref="E6870 E6874">
    <cfRule type="containsText" dxfId="1876" priority="2687" operator="containsText" text="Pesquisa de Preços">
      <formula>NOT(ISERROR(SEARCH("Pesquisa de Preços",E6870)))</formula>
    </cfRule>
  </conditionalFormatting>
  <conditionalFormatting sqref="E6871 E6875 E6873 E6877">
    <cfRule type="containsText" dxfId="1875" priority="2688" operator="containsText" text="Pesquisa de Preços">
      <formula>NOT(ISERROR(SEARCH("Pesquisa de Preços",E6871)))</formula>
    </cfRule>
  </conditionalFormatting>
  <conditionalFormatting sqref="E7242">
    <cfRule type="containsText" dxfId="1874" priority="2679" operator="containsText" text="Pesquisa de Preços">
      <formula>NOT(ISERROR(SEARCH("Pesquisa de Preços",E7242)))</formula>
    </cfRule>
  </conditionalFormatting>
  <conditionalFormatting sqref="E7243 E7245">
    <cfRule type="containsText" dxfId="1873" priority="2680" operator="containsText" text="Pesquisa de Preços">
      <formula>NOT(ISERROR(SEARCH("Pesquisa de Preços",E7243)))</formula>
    </cfRule>
  </conditionalFormatting>
  <conditionalFormatting sqref="E7230">
    <cfRule type="containsText" dxfId="1872" priority="2671" operator="containsText" text="Pesquisa de Preços">
      <formula>NOT(ISERROR(SEARCH("Pesquisa de Preços",E7230)))</formula>
    </cfRule>
  </conditionalFormatting>
  <conditionalFormatting sqref="E7231 E7233">
    <cfRule type="containsText" dxfId="1871" priority="2672" operator="containsText" text="Pesquisa de Preços">
      <formula>NOT(ISERROR(SEARCH("Pesquisa de Preços",E7231)))</formula>
    </cfRule>
  </conditionalFormatting>
  <conditionalFormatting sqref="E7234">
    <cfRule type="containsText" dxfId="1870" priority="2663" operator="containsText" text="Pesquisa de Preços">
      <formula>NOT(ISERROR(SEARCH("Pesquisa de Preços",E7234)))</formula>
    </cfRule>
  </conditionalFormatting>
  <conditionalFormatting sqref="E7235 E7237">
    <cfRule type="containsText" dxfId="1869" priority="2664" operator="containsText" text="Pesquisa de Preços">
      <formula>NOT(ISERROR(SEARCH("Pesquisa de Preços",E7235)))</formula>
    </cfRule>
  </conditionalFormatting>
  <conditionalFormatting sqref="E6934">
    <cfRule type="containsText" dxfId="1868" priority="2615" operator="containsText" text="Pesquisa de Preços">
      <formula>NOT(ISERROR(SEARCH("Pesquisa de Preços",E6934)))</formula>
    </cfRule>
  </conditionalFormatting>
  <conditionalFormatting sqref="E6935 E6937">
    <cfRule type="containsText" dxfId="1867" priority="2616" operator="containsText" text="Pesquisa de Preços">
      <formula>NOT(ISERROR(SEARCH("Pesquisa de Preços",E6935)))</formula>
    </cfRule>
  </conditionalFormatting>
  <conditionalFormatting sqref="E6990">
    <cfRule type="containsText" dxfId="1866" priority="2442" operator="containsText" text="Pesquisa de Preços">
      <formula>NOT(ISERROR(SEARCH("Pesquisa de Preços",E6990)))</formula>
    </cfRule>
  </conditionalFormatting>
  <conditionalFormatting sqref="E6991 E6993">
    <cfRule type="containsText" dxfId="1865" priority="2443" operator="containsText" text="Pesquisa de Preços">
      <formula>NOT(ISERROR(SEARCH("Pesquisa de Preços",E6991)))</formula>
    </cfRule>
  </conditionalFormatting>
  <conditionalFormatting sqref="E307">
    <cfRule type="containsText" dxfId="1864" priority="2437" operator="containsText" text="Pesquisa de Preços">
      <formula>NOT(ISERROR(SEARCH("Pesquisa de Preços",E307)))</formula>
    </cfRule>
  </conditionalFormatting>
  <conditionalFormatting sqref="E7261">
    <cfRule type="containsText" dxfId="1863" priority="2412" operator="containsText" text="Pesquisa de Preços">
      <formula>NOT(ISERROR(SEARCH("Pesquisa de Preços",E7261)))</formula>
    </cfRule>
  </conditionalFormatting>
  <conditionalFormatting sqref="E7246">
    <cfRule type="containsText" dxfId="1862" priority="2404" operator="containsText" text="Pesquisa de Preços">
      <formula>NOT(ISERROR(SEARCH("Pesquisa de Preços",E7246)))</formula>
    </cfRule>
  </conditionalFormatting>
  <conditionalFormatting sqref="E7249">
    <cfRule type="containsText" dxfId="1861" priority="2403" operator="containsText" text="Pesquisa de Preços">
      <formula>NOT(ISERROR(SEARCH("Pesquisa de Preços",E7249)))</formula>
    </cfRule>
  </conditionalFormatting>
  <conditionalFormatting sqref="E7247:E7248 E7250:E7251">
    <cfRule type="containsText" dxfId="1860" priority="2405" operator="containsText" text="Pesquisa de Preços">
      <formula>NOT(ISERROR(SEARCH("Pesquisa de Preços",E7247)))</formula>
    </cfRule>
  </conditionalFormatting>
  <conditionalFormatting sqref="E7262">
    <cfRule type="containsText" dxfId="1859" priority="2392" operator="containsText" text="Pesquisa de Preços">
      <formula>NOT(ISERROR(SEARCH("Pesquisa de Preços",E7262)))</formula>
    </cfRule>
  </conditionalFormatting>
  <conditionalFormatting sqref="E7263">
    <cfRule type="containsText" dxfId="1858" priority="2391" operator="containsText" text="Pesquisa de Preços">
      <formula>NOT(ISERROR(SEARCH("Pesquisa de Preços",E7263)))</formula>
    </cfRule>
  </conditionalFormatting>
  <conditionalFormatting sqref="E7292">
    <cfRule type="containsText" dxfId="1857" priority="2374" operator="containsText" text="Pesquisa de Preços">
      <formula>NOT(ISERROR(SEARCH("Pesquisa de Preços",E7292)))</formula>
    </cfRule>
  </conditionalFormatting>
  <conditionalFormatting sqref="E7293 E7295">
    <cfRule type="containsText" dxfId="1856" priority="2375" operator="containsText" text="Pesquisa de Preços">
      <formula>NOT(ISERROR(SEARCH("Pesquisa de Preços",E7293)))</formula>
    </cfRule>
  </conditionalFormatting>
  <conditionalFormatting sqref="E7296">
    <cfRule type="containsText" dxfId="1855" priority="2366" operator="containsText" text="Pesquisa de Preços">
      <formula>NOT(ISERROR(SEARCH("Pesquisa de Preços",E7296)))</formula>
    </cfRule>
  </conditionalFormatting>
  <conditionalFormatting sqref="E7297 E7299">
    <cfRule type="containsText" dxfId="1854" priority="2367" operator="containsText" text="Pesquisa de Preços">
      <formula>NOT(ISERROR(SEARCH("Pesquisa de Preços",E7297)))</formula>
    </cfRule>
  </conditionalFormatting>
  <conditionalFormatting sqref="E7280">
    <cfRule type="containsText" dxfId="1853" priority="2202" operator="containsText" text="Pesquisa de Preços">
      <formula>NOT(ISERROR(SEARCH("Pesquisa de Preços",E7280)))</formula>
    </cfRule>
  </conditionalFormatting>
  <conditionalFormatting sqref="E7281 E7283">
    <cfRule type="containsText" dxfId="1852" priority="2203" operator="containsText" text="Pesquisa de Preços">
      <formula>NOT(ISERROR(SEARCH("Pesquisa de Preços",E7281)))</formula>
    </cfRule>
  </conditionalFormatting>
  <conditionalFormatting sqref="E7284">
    <cfRule type="containsText" dxfId="1851" priority="2196" operator="containsText" text="Pesquisa de Preços">
      <formula>NOT(ISERROR(SEARCH("Pesquisa de Preços",E7284)))</formula>
    </cfRule>
  </conditionalFormatting>
  <conditionalFormatting sqref="E7285 E7287">
    <cfRule type="containsText" dxfId="1850" priority="2197" operator="containsText" text="Pesquisa de Preços">
      <formula>NOT(ISERROR(SEARCH("Pesquisa de Preços",E7285)))</formula>
    </cfRule>
  </conditionalFormatting>
  <conditionalFormatting sqref="E7265">
    <cfRule type="containsText" dxfId="1849" priority="2177" operator="containsText" text="Pesquisa de Preços">
      <formula>NOT(ISERROR(SEARCH("Pesquisa de Preços",E7265)))</formula>
    </cfRule>
  </conditionalFormatting>
  <conditionalFormatting sqref="E7266 E7269">
    <cfRule type="containsText" dxfId="1848" priority="2178" operator="containsText" text="Pesquisa de Preços">
      <formula>NOT(ISERROR(SEARCH("Pesquisa de Preços",E7266)))</formula>
    </cfRule>
  </conditionalFormatting>
  <conditionalFormatting sqref="E7270">
    <cfRule type="containsText" dxfId="1847" priority="2171" operator="containsText" text="Pesquisa de Preços">
      <formula>NOT(ISERROR(SEARCH("Pesquisa de Preços",E7270)))</formula>
    </cfRule>
  </conditionalFormatting>
  <conditionalFormatting sqref="E7271 E7274">
    <cfRule type="containsText" dxfId="1846" priority="2172" operator="containsText" text="Pesquisa de Preços">
      <formula>NOT(ISERROR(SEARCH("Pesquisa de Preços",E7271)))</formula>
    </cfRule>
  </conditionalFormatting>
  <conditionalFormatting sqref="E7272:E7273">
    <cfRule type="containsText" dxfId="1845" priority="2143" operator="containsText" text="Pesquisa de Preços">
      <formula>NOT(ISERROR(SEARCH("Pesquisa de Preços",E7272)))</formula>
    </cfRule>
  </conditionalFormatting>
  <conditionalFormatting sqref="E7277:E7278">
    <cfRule type="containsText" dxfId="1844" priority="2142" operator="containsText" text="Pesquisa de Preços">
      <formula>NOT(ISERROR(SEARCH("Pesquisa de Preços",E7277)))</formula>
    </cfRule>
  </conditionalFormatting>
  <conditionalFormatting sqref="E7350">
    <cfRule type="containsText" dxfId="1843" priority="2134" operator="containsText" text="Pesquisa de Preços">
      <formula>NOT(ISERROR(SEARCH("Pesquisa de Preços",E7350)))</formula>
    </cfRule>
  </conditionalFormatting>
  <conditionalFormatting sqref="E7351">
    <cfRule type="containsText" dxfId="1842" priority="2133" operator="containsText" text="Pesquisa de Preços">
      <formula>NOT(ISERROR(SEARCH("Pesquisa de Preços",E7351)))</formula>
    </cfRule>
  </conditionalFormatting>
  <conditionalFormatting sqref="E7343">
    <cfRule type="containsText" dxfId="1841" priority="2120" operator="containsText" text="Pesquisa de Preços">
      <formula>NOT(ISERROR(SEARCH("Pesquisa de Preços",E7343)))</formula>
    </cfRule>
  </conditionalFormatting>
  <conditionalFormatting sqref="E7344">
    <cfRule type="containsText" dxfId="1840" priority="2119" operator="containsText" text="Pesquisa de Preços">
      <formula>NOT(ISERROR(SEARCH("Pesquisa de Preços",E7344)))</formula>
    </cfRule>
  </conditionalFormatting>
  <conditionalFormatting sqref="E7345">
    <cfRule type="containsText" dxfId="1839" priority="2118" operator="containsText" text="Pesquisa de Preços">
      <formula>NOT(ISERROR(SEARCH("Pesquisa de Preços",E7345)))</formula>
    </cfRule>
  </conditionalFormatting>
  <conditionalFormatting sqref="E7356">
    <cfRule type="containsText" dxfId="1838" priority="2106" operator="containsText" text="Pesquisa de Preços">
      <formula>NOT(ISERROR(SEARCH("Pesquisa de Preços",E7356)))</formula>
    </cfRule>
  </conditionalFormatting>
  <conditionalFormatting sqref="E7357">
    <cfRule type="containsText" dxfId="1837" priority="2105" operator="containsText" text="Pesquisa de Preços">
      <formula>NOT(ISERROR(SEARCH("Pesquisa de Preços",E7357)))</formula>
    </cfRule>
  </conditionalFormatting>
  <conditionalFormatting sqref="E7358">
    <cfRule type="containsText" dxfId="1836" priority="2096" operator="containsText" text="Pesquisa de Preços">
      <formula>NOT(ISERROR(SEARCH("Pesquisa de Preços",E7358)))</formula>
    </cfRule>
  </conditionalFormatting>
  <conditionalFormatting sqref="E7364">
    <cfRule type="containsText" dxfId="1835" priority="2081" operator="containsText" text="Pesquisa de Preços">
      <formula>NOT(ISERROR(SEARCH("Pesquisa de Preços",E7364)))</formula>
    </cfRule>
  </conditionalFormatting>
  <conditionalFormatting sqref="E7377">
    <cfRule type="containsText" dxfId="1834" priority="2035" operator="containsText" text="Pesquisa de Preços">
      <formula>NOT(ISERROR(SEARCH("Pesquisa de Preços",E7377)))</formula>
    </cfRule>
  </conditionalFormatting>
  <conditionalFormatting sqref="E7359">
    <cfRule type="containsText" dxfId="1833" priority="2089" operator="containsText" text="Pesquisa de Preços">
      <formula>NOT(ISERROR(SEARCH("Pesquisa de Preços",E7359)))</formula>
    </cfRule>
  </conditionalFormatting>
  <conditionalFormatting sqref="E7365">
    <cfRule type="containsText" dxfId="1832" priority="2080" operator="containsText" text="Pesquisa de Preços">
      <formula>NOT(ISERROR(SEARCH("Pesquisa de Preços",E7365)))</formula>
    </cfRule>
  </conditionalFormatting>
  <conditionalFormatting sqref="E7366">
    <cfRule type="containsText" dxfId="1831" priority="2071" operator="containsText" text="Pesquisa de Preços">
      <formula>NOT(ISERROR(SEARCH("Pesquisa de Preços",E7366)))</formula>
    </cfRule>
  </conditionalFormatting>
  <conditionalFormatting sqref="E7373">
    <cfRule type="containsText" dxfId="1830" priority="2056" operator="containsText" text="Pesquisa de Preços">
      <formula>NOT(ISERROR(SEARCH("Pesquisa de Preços",E7373)))</formula>
    </cfRule>
  </conditionalFormatting>
  <conditionalFormatting sqref="E7367">
    <cfRule type="containsText" dxfId="1829" priority="2065" operator="containsText" text="Pesquisa de Preços">
      <formula>NOT(ISERROR(SEARCH("Pesquisa de Preços",E7367)))</formula>
    </cfRule>
  </conditionalFormatting>
  <conditionalFormatting sqref="E7372">
    <cfRule type="containsText" dxfId="1828" priority="2057" operator="containsText" text="Pesquisa de Preços">
      <formula>NOT(ISERROR(SEARCH("Pesquisa de Preços",E7372)))</formula>
    </cfRule>
  </conditionalFormatting>
  <conditionalFormatting sqref="E7371">
    <cfRule type="containsText" dxfId="1827" priority="2051" operator="containsText" text="Pesquisa de Preços">
      <formula>NOT(ISERROR(SEARCH("Pesquisa de Preços",E7371)))</formula>
    </cfRule>
  </conditionalFormatting>
  <conditionalFormatting sqref="E7378">
    <cfRule type="containsText" dxfId="1826" priority="2044" operator="containsText" text="Pesquisa de Preços">
      <formula>NOT(ISERROR(SEARCH("Pesquisa de Preços",E7378)))</formula>
    </cfRule>
  </conditionalFormatting>
  <conditionalFormatting sqref="E7377">
    <cfRule type="containsText" dxfId="1825" priority="2038" operator="containsText" text="Pesquisa de Preços">
      <formula>NOT(ISERROR(SEARCH("Pesquisa de Preços",E7377)))</formula>
    </cfRule>
  </conditionalFormatting>
  <conditionalFormatting sqref="E7378">
    <cfRule type="containsText" dxfId="1824" priority="2034" operator="containsText" text="Pesquisa de Preços">
      <formula>NOT(ISERROR(SEARCH("Pesquisa de Preços",E7378)))</formula>
    </cfRule>
  </conditionalFormatting>
  <conditionalFormatting sqref="E7382">
    <cfRule type="containsText" dxfId="1823" priority="2020" operator="containsText" text="Pesquisa de Preços">
      <formula>NOT(ISERROR(SEARCH("Pesquisa de Preços",E7382)))</formula>
    </cfRule>
  </conditionalFormatting>
  <conditionalFormatting sqref="E7383">
    <cfRule type="containsText" dxfId="1822" priority="2028" operator="containsText" text="Pesquisa de Preços">
      <formula>NOT(ISERROR(SEARCH("Pesquisa de Preços",E7383)))</formula>
    </cfRule>
  </conditionalFormatting>
  <conditionalFormatting sqref="E7382">
    <cfRule type="containsText" dxfId="1821" priority="2023" operator="containsText" text="Pesquisa de Preços">
      <formula>NOT(ISERROR(SEARCH("Pesquisa de Preços",E7382)))</formula>
    </cfRule>
  </conditionalFormatting>
  <conditionalFormatting sqref="E7383">
    <cfRule type="containsText" dxfId="1820" priority="2019" operator="containsText" text="Pesquisa de Preços">
      <formula>NOT(ISERROR(SEARCH("Pesquisa de Preços",E7383)))</formula>
    </cfRule>
  </conditionalFormatting>
  <conditionalFormatting sqref="E7386 E7391">
    <cfRule type="containsText" dxfId="1819" priority="2013" operator="containsText" text="Pesquisa de Preços">
      <formula>NOT(ISERROR(SEARCH("Pesquisa de Preços",E7386)))</formula>
    </cfRule>
  </conditionalFormatting>
  <conditionalFormatting sqref="E7385">
    <cfRule type="containsText" dxfId="1818" priority="2012" operator="containsText" text="Pesquisa de Preços">
      <formula>NOT(ISERROR(SEARCH("Pesquisa de Preços",E7385)))</formula>
    </cfRule>
  </conditionalFormatting>
  <conditionalFormatting sqref="E7410">
    <cfRule type="containsText" dxfId="1817" priority="1975" operator="containsText" text="Pesquisa de Preços">
      <formula>NOT(ISERROR(SEARCH("Pesquisa de Preços",E7410)))</formula>
    </cfRule>
  </conditionalFormatting>
  <conditionalFormatting sqref="E7411">
    <cfRule type="containsText" dxfId="1816" priority="1974" operator="containsText" text="Pesquisa de Preços">
      <formula>NOT(ISERROR(SEARCH("Pesquisa de Preços",E7411)))</formula>
    </cfRule>
  </conditionalFormatting>
  <conditionalFormatting sqref="E7425">
    <cfRule type="containsText" dxfId="1815" priority="1965" operator="containsText" text="Pesquisa de Preços">
      <formula>NOT(ISERROR(SEARCH("Pesquisa de Preços",E7425)))</formula>
    </cfRule>
  </conditionalFormatting>
  <conditionalFormatting sqref="E7421">
    <cfRule type="containsText" dxfId="1814" priority="1964" operator="containsText" text="Pesquisa de Preços">
      <formula>NOT(ISERROR(SEARCH("Pesquisa de Preços",E7421)))</formula>
    </cfRule>
  </conditionalFormatting>
  <conditionalFormatting sqref="E7431">
    <cfRule type="containsText" dxfId="1813" priority="1957" operator="containsText" text="Pesquisa de Preços">
      <formula>NOT(ISERROR(SEARCH("Pesquisa de Preços",E7431)))</formula>
    </cfRule>
  </conditionalFormatting>
  <conditionalFormatting sqref="E7427">
    <cfRule type="containsText" dxfId="1812" priority="1956" operator="containsText" text="Pesquisa de Preços">
      <formula>NOT(ISERROR(SEARCH("Pesquisa de Preços",E7427)))</formula>
    </cfRule>
  </conditionalFormatting>
  <conditionalFormatting sqref="E7437">
    <cfRule type="containsText" dxfId="1811" priority="1949" operator="containsText" text="Pesquisa de Preços">
      <formula>NOT(ISERROR(SEARCH("Pesquisa de Preços",E7437)))</formula>
    </cfRule>
  </conditionalFormatting>
  <conditionalFormatting sqref="E7433">
    <cfRule type="containsText" dxfId="1810" priority="1948" operator="containsText" text="Pesquisa de Preços">
      <formula>NOT(ISERROR(SEARCH("Pesquisa de Preços",E7433)))</formula>
    </cfRule>
  </conditionalFormatting>
  <conditionalFormatting sqref="E7443">
    <cfRule type="containsText" dxfId="1809" priority="1941" operator="containsText" text="Pesquisa de Preços">
      <formula>NOT(ISERROR(SEARCH("Pesquisa de Preços",E7443)))</formula>
    </cfRule>
  </conditionalFormatting>
  <conditionalFormatting sqref="E7439">
    <cfRule type="containsText" dxfId="1808" priority="1940" operator="containsText" text="Pesquisa de Preços">
      <formula>NOT(ISERROR(SEARCH("Pesquisa de Preços",E7439)))</formula>
    </cfRule>
  </conditionalFormatting>
  <conditionalFormatting sqref="E7414 E7419">
    <cfRule type="containsText" dxfId="1807" priority="1918" operator="containsText" text="Pesquisa de Preços">
      <formula>NOT(ISERROR(SEARCH("Pesquisa de Preços",E7414)))</formula>
    </cfRule>
  </conditionalFormatting>
  <conditionalFormatting sqref="E7413">
    <cfRule type="containsText" dxfId="1806" priority="1917" operator="containsText" text="Pesquisa de Preços">
      <formula>NOT(ISERROR(SEARCH("Pesquisa de Preços",E7413)))</formula>
    </cfRule>
  </conditionalFormatting>
  <conditionalFormatting sqref="E7461">
    <cfRule type="containsText" dxfId="1805" priority="1794" operator="containsText" text="Pesquisa de Preços">
      <formula>NOT(ISERROR(SEARCH("Pesquisa de Preços",E7461)))</formula>
    </cfRule>
  </conditionalFormatting>
  <conditionalFormatting sqref="E7460">
    <cfRule type="containsText" dxfId="1804" priority="1795" operator="containsText" text="Pesquisa de Preços">
      <formula>NOT(ISERROR(SEARCH("Pesquisa de Preços",E7460)))</formula>
    </cfRule>
  </conditionalFormatting>
  <conditionalFormatting sqref="E7459">
    <cfRule type="containsText" dxfId="1803" priority="1789" operator="containsText" text="Pesquisa de Preços">
      <formula>NOT(ISERROR(SEARCH("Pesquisa de Preços",E7459)))</formula>
    </cfRule>
  </conditionalFormatting>
  <conditionalFormatting sqref="D3392 D262 D2415 D2254 D4907:D4908 D5020 D5034 D5279 D5286 D861 D878 D888 D6198:D6200">
    <cfRule type="containsText" dxfId="1802" priority="1787" operator="containsText" text="Pesquisa de Preços">
      <formula>NOT(ISERROR(SEARCH("Pesquisa de Preços",D262)))</formula>
    </cfRule>
  </conditionalFormatting>
  <conditionalFormatting sqref="D9">
    <cfRule type="containsText" dxfId="1801" priority="1786" operator="containsText" text="Pesquisa de Preços">
      <formula>NOT(ISERROR(SEARCH("Pesquisa de Preços",D9)))</formula>
    </cfRule>
  </conditionalFormatting>
  <conditionalFormatting sqref="D7">
    <cfRule type="containsText" dxfId="1800" priority="1785" operator="containsText" text="Pesquisa de Preços">
      <formula>NOT(ISERROR(SEARCH("Pesquisa de Preços",D7)))</formula>
    </cfRule>
  </conditionalFormatting>
  <conditionalFormatting sqref="D6 D10 D14 D18 D23 D28 D33 D37 D42 D47 D52 D59 D64 D69 D77 D82 D87 D92 D97 D102 D106 D111 D116 D121 D126 D131 D135 D139 D144 D149 D154 D161 D166 D171 D175 D179 D183 D190 D197 D201 D205 D210 D214 D219 D224 D228 D232 D236 D240 D248 D263 D268 D276 D283 D290 D305 D320 D326 D341 D351 D365 D371 D380 D394 D401 D415 D422 D434 D440 D446 D454 D464 D471 D483 D489 D497 D504 D511 D517 D524 D531 D537 D545 D553 D561 D569 D579 D588 D596 D606 D615 D621 D629 D637 D644 D648 D652 D656 D660 D664 D668 D676 D686 D696 D704 D714 D723 D730 D736 D744 D748 D755 D766 D772 D783 D790 D804 D814 D818 D823 D827 D832 D839 D845 D850 D856 D862 D867 D875 D883 D891 D896 D903 D907 D913 D922 D929 D938 D947 D953 D959 D966 D973 D980 D991 D1002 D1007 D1012 D1021 D1026 D1036 D1045 D1052 D1059 D1066 D1073 D1082 D1090 D1098 D1108 D1116 D1121 D1126 D1132 D1137 D1144 D1151 D1158 D1165 D1172 D1179 D1186 D1193 D1200 D1207 D1214 D1221 D1227 D1233 D1245 D1252 D1259 D1266 D1272 D1279 D1286 D1293 D1300 D1308 D1317 D1323 D1329 D1335 D1341 D1348 D1354 D1361 D1367 D1373 D1380 D1386 D1392 D1398 D1405 D1420 D1435 D1450 D1465 D1480 D1495 D1510 D1518 D1526 D1534 D1542 D1550 D1557 D1564 D1571 D1578 D1593 D1599 D1605 D1611 D1618 D1623 D1629 D1635 D1640 D1646 D1652 D1658 D1664 D1669 D1674 D1679 D1685 D1692 D1699 D1705 D1713 D1724 D1735 D1746 D1757 D1764 D1771 D1778 D1785 D1792 D1799 D1806 D1813 D1818 D1823 D1829 D1835 D1842 D1848 D1854 D1860 D1866 D1872 D1878 D1884 D1890 D1896 D1902 D1908 D1914 D1919 D1924 D1929 D1935 D1940 D1945 D1952 D1958 D1964 D1971 D1978 D1986 D1994 D2001 D2008 D2015 D2022 D2028 D2036 D2044 D2052 D2060 D2068 D2076 D2084 D2092 D2100 D2108 D2116 D2122 D2128 D2134 D2140 D2146 D2154 D2162 D2170 D2178 D2186 D2194 D2202 D2210 D2215 D2222 D2229 D2235 D2241 D2255 D2261 D2271 D2281 D2291 D2301 D2311 D2318 D2325 D2331 D2337 D2343 D2349 D2354 D2359 D2364 D2370 D2378 D2385 D2391 D2398 D2412 D2440 D2560 D2564 D2568 D2572 D2576 D2580 D2588 D2596 D2604 D2608 D2612 D2616 D2620 D2624 D2628 D2632 D2636 D2640 D2644 D2656 D2664 D2670 D2676 D2682 D2688 D2694 D2700 D2706 D2712 D2718 D2780 D2785 D2795 D2811 D2821 D2826 D2831 D2836 D2843 D2848 D2853 D2858 D2863 D2868 D2873 D2878 D2883 D2890 D2895 D2900 D2905 D2913 D2921 D2929 D2937 D2945 D2950 D2955 D2960 D2965 D2970 D2975 D2980 D2985 D2990 D2995 D3005 D3010 D3015 D3020 D3025 D3030 D3035 D3040 D3045 D3050 D3058 D3063 D3071 D3075 D3083 D3088 D3096 D3101 D3106 D3111 D3116 D3121 D3126 D3131 D3136 D3141 D3147 D3153 D3159 D3165 D3170 D3176 D3181 D3190 D3198 D3206 D3211 D3215 D3222 D3235 D3241 D3247 D3253 D3263 D3268 D3275 D3282 D3289 D3296 D3303 D3310 D3317 D3324 D3331 D3338 D3344 D3350 D3359 D3364 D3371 D3378 D3385 D3389 D3393 D3398 D3402 D3406 D3413 D3420 D3427 D3432 D3437 D3442 D3446 D3450 D3460 D3482 D3490 D3507 D3515 D3532 D3551 D3558 D3574 D3580 D3586 D3594 D3601 D3606 D3614 D3620 D3627 D3633 D3643 D3648 D3653 D3661 D3665 D3671 D3686 D3694 D3706 D3719 D3730 D3734 D3744 D3749 D3758 D3765 D3769 D3773 D3831 D3837 D3842 D3853 D3863 D3872 D3880 D3892 D3907 D3914 D3932 D3938 D3946 D3952 D3959 D3968 D3976 D3986 D3993 D4001 D4014 D4027 D4032 D4036 D4040 D4049 D4058 D4067 D4076 D4085 D4094 D4100 D4106 D4113 D4119 D4123 D4130 D4138 D4146 D4154 D4158 D4165 D4176 D4187 D4191 D4198 D4205 D4211 D4217 D4223 D4233 D4239 D4247 D4255 D4264 D4271 D4276 D4284 D4293 D4309 D4336 D4343 D4354 D4363 D4372 D4381 D4390 D4400 D4408 D4416 D4426 D4436 D4446 D4454 D4466 D4478 D4484 D4504 D4512 D4520 D4526 D4531 D4536 D4544 D4552 D4557 D4563 D4575 D4587 D4606 D4614 D4623 D4631 D4637 D4649 D4657 D4663 D4671 D4679 D4689 D4695 D4703 D4712 D4728 D4734 D4778 D4789">
    <cfRule type="containsText" dxfId="1799" priority="1784" operator="containsText" text="Pesquisa de Preços">
      <formula>NOT(ISERROR(SEARCH("Pesquisa de Preços",D6)))</formula>
    </cfRule>
  </conditionalFormatting>
  <conditionalFormatting sqref="D8">
    <cfRule type="containsText" dxfId="1798" priority="1783" operator="containsText" text="Pesquisa de Preços">
      <formula>NOT(ISERROR(SEARCH("Pesquisa de Preços",D8)))</formula>
    </cfRule>
  </conditionalFormatting>
  <conditionalFormatting sqref="D15">
    <cfRule type="containsText" dxfId="1797" priority="1782" operator="containsText" text="Pesquisa de Preços">
      <formula>NOT(ISERROR(SEARCH("Pesquisa de Preços",D15)))</formula>
    </cfRule>
  </conditionalFormatting>
  <conditionalFormatting sqref="D16">
    <cfRule type="containsText" dxfId="1796" priority="1781" operator="containsText" text="Pesquisa de Preços">
      <formula>NOT(ISERROR(SEARCH("Pesquisa de Preços",D16)))</formula>
    </cfRule>
  </conditionalFormatting>
  <conditionalFormatting sqref="D12">
    <cfRule type="containsText" dxfId="1795" priority="1780" operator="containsText" text="Pesquisa de Preços">
      <formula>NOT(ISERROR(SEARCH("Pesquisa de Preços",D12)))</formula>
    </cfRule>
  </conditionalFormatting>
  <conditionalFormatting sqref="D94:D95">
    <cfRule type="containsText" dxfId="1794" priority="1298" operator="containsText" text="Pesquisa de Preços">
      <formula>NOT(ISERROR(SEARCH("Pesquisa de Preços",D94)))</formula>
    </cfRule>
  </conditionalFormatting>
  <conditionalFormatting sqref="D13">
    <cfRule type="containsText" dxfId="1793" priority="1779" operator="containsText" text="Pesquisa de Preços">
      <formula>NOT(ISERROR(SEARCH("Pesquisa de Preços",D13)))</formula>
    </cfRule>
  </conditionalFormatting>
  <conditionalFormatting sqref="D11">
    <cfRule type="containsText" dxfId="1792" priority="1778" operator="containsText" text="Pesquisa de Preços">
      <formula>NOT(ISERROR(SEARCH("Pesquisa de Preços",D11)))</formula>
    </cfRule>
  </conditionalFormatting>
  <conditionalFormatting sqref="D225">
    <cfRule type="containsText" dxfId="1791" priority="1776" operator="containsText" text="Pesquisa de Preços">
      <formula>NOT(ISERROR(SEARCH("Pesquisa de Preços",D225)))</formula>
    </cfRule>
  </conditionalFormatting>
  <conditionalFormatting sqref="D227">
    <cfRule type="containsText" dxfId="1790" priority="1777" operator="containsText" text="Pesquisa de Preços">
      <formula>NOT(ISERROR(SEARCH("Pesquisa de Preços",D227)))</formula>
    </cfRule>
  </conditionalFormatting>
  <conditionalFormatting sqref="D1383">
    <cfRule type="containsText" dxfId="1789" priority="1294" operator="containsText" text="Pesquisa de Preços">
      <formula>NOT(ISERROR(SEARCH("Pesquisa de Preços",D1383)))</formula>
    </cfRule>
  </conditionalFormatting>
  <conditionalFormatting sqref="D514">
    <cfRule type="containsText" dxfId="1788" priority="1682" operator="containsText" text="Pesquisa de Preços">
      <formula>NOT(ISERROR(SEARCH("Pesquisa de Preços",D514)))</formula>
    </cfRule>
  </conditionalFormatting>
  <conditionalFormatting sqref="D150">
    <cfRule type="containsText" dxfId="1787" priority="1772" operator="containsText" text="Pesquisa de Preços">
      <formula>NOT(ISERROR(SEARCH("Pesquisa de Preços",D150)))</formula>
    </cfRule>
  </conditionalFormatting>
  <conditionalFormatting sqref="D490:D491 D493:D496">
    <cfRule type="containsText" dxfId="1786" priority="1680" operator="containsText" text="Pesquisa de Preços">
      <formula>NOT(ISERROR(SEARCH("Pesquisa de Preços",D490)))</formula>
    </cfRule>
  </conditionalFormatting>
  <conditionalFormatting sqref="D78">
    <cfRule type="containsText" dxfId="1785" priority="1773" operator="containsText" text="Pesquisa de Preços">
      <formula>NOT(ISERROR(SEARCH("Pesquisa de Preços",D78)))</formula>
    </cfRule>
  </conditionalFormatting>
  <conditionalFormatting sqref="D162">
    <cfRule type="containsText" dxfId="1784" priority="1771" operator="containsText" text="Pesquisa de Preços">
      <formula>NOT(ISERROR(SEARCH("Pesquisa de Preços",D162)))</formula>
    </cfRule>
  </conditionalFormatting>
  <conditionalFormatting sqref="D79">
    <cfRule type="containsText" dxfId="1783" priority="1775" operator="containsText" text="Pesquisa de Preços">
      <formula>NOT(ISERROR(SEARCH("Pesquisa de Preços",D79)))</formula>
    </cfRule>
  </conditionalFormatting>
  <conditionalFormatting sqref="D81">
    <cfRule type="containsText" dxfId="1782" priority="1774" operator="containsText" text="Pesquisa de Preços">
      <formula>NOT(ISERROR(SEARCH("Pesquisa de Preços",D81)))</formula>
    </cfRule>
  </conditionalFormatting>
  <conditionalFormatting sqref="D88">
    <cfRule type="containsText" dxfId="1781" priority="1770" operator="containsText" text="Pesquisa de Preços">
      <formula>NOT(ISERROR(SEARCH("Pesquisa de Preços",D88)))</formula>
    </cfRule>
  </conditionalFormatting>
  <conditionalFormatting sqref="D60">
    <cfRule type="containsText" dxfId="1780" priority="1769" operator="containsText" text="Pesquisa de Preços">
      <formula>NOT(ISERROR(SEARCH("Pesquisa de Preços",D60)))</formula>
    </cfRule>
  </conditionalFormatting>
  <conditionalFormatting sqref="D53">
    <cfRule type="containsText" dxfId="1779" priority="1768" operator="containsText" text="Pesquisa de Preços">
      <formula>NOT(ISERROR(SEARCH("Pesquisa de Preços",D53)))</formula>
    </cfRule>
  </conditionalFormatting>
  <conditionalFormatting sqref="D34:D35">
    <cfRule type="containsText" dxfId="1778" priority="1767" operator="containsText" text="Pesquisa de Preços">
      <formula>NOT(ISERROR(SEARCH("Pesquisa de Preços",D34)))</formula>
    </cfRule>
  </conditionalFormatting>
  <conditionalFormatting sqref="D98:D99">
    <cfRule type="containsText" dxfId="1777" priority="1765" operator="containsText" text="Pesquisa de Preços">
      <formula>NOT(ISERROR(SEARCH("Pesquisa de Preços",D98)))</formula>
    </cfRule>
  </conditionalFormatting>
  <conditionalFormatting sqref="D29">
    <cfRule type="containsText" dxfId="1776" priority="1766" operator="containsText" text="Pesquisa de Preços">
      <formula>NOT(ISERROR(SEARCH("Pesquisa de Preços",D29)))</formula>
    </cfRule>
  </conditionalFormatting>
  <conditionalFormatting sqref="D145:D146">
    <cfRule type="containsText" dxfId="1775" priority="1763" operator="containsText" text="Pesquisa de Preços">
      <formula>NOT(ISERROR(SEARCH("Pesquisa de Preços",D145)))</formula>
    </cfRule>
  </conditionalFormatting>
  <conditionalFormatting sqref="D100">
    <cfRule type="containsText" dxfId="1774" priority="1764" operator="containsText" text="Pesquisa de Preços">
      <formula>NOT(ISERROR(SEARCH("Pesquisa de Preços",D100)))</formula>
    </cfRule>
  </conditionalFormatting>
  <conditionalFormatting sqref="D180">
    <cfRule type="containsText" dxfId="1773" priority="1758" operator="containsText" text="Pesquisa de Preços">
      <formula>NOT(ISERROR(SEARCH("Pesquisa de Preços",D180)))</formula>
    </cfRule>
  </conditionalFormatting>
  <conditionalFormatting sqref="D24">
    <cfRule type="containsText" dxfId="1772" priority="1760" operator="containsText" text="Pesquisa de Preços">
      <formula>NOT(ISERROR(SEARCH("Pesquisa de Preços",D24)))</formula>
    </cfRule>
  </conditionalFormatting>
  <conditionalFormatting sqref="D147">
    <cfRule type="containsText" dxfId="1771" priority="1762" operator="containsText" text="Pesquisa de Preços">
      <formula>NOT(ISERROR(SEARCH("Pesquisa de Preços",D147)))</formula>
    </cfRule>
  </conditionalFormatting>
  <conditionalFormatting sqref="D43:D45">
    <cfRule type="containsText" dxfId="1770" priority="1761" operator="containsText" text="Pesquisa de Preços">
      <formula>NOT(ISERROR(SEARCH("Pesquisa de Preços",D43)))</formula>
    </cfRule>
  </conditionalFormatting>
  <conditionalFormatting sqref="D117">
    <cfRule type="containsText" dxfId="1769" priority="1757" operator="containsText" text="Pesquisa de Preços">
      <formula>NOT(ISERROR(SEARCH("Pesquisa de Preços",D117)))</formula>
    </cfRule>
  </conditionalFormatting>
  <conditionalFormatting sqref="D38:D40">
    <cfRule type="containsText" dxfId="1768" priority="1759" operator="containsText" text="Pesquisa de Preços">
      <formula>NOT(ISERROR(SEARCH("Pesquisa de Preços",D38)))</formula>
    </cfRule>
  </conditionalFormatting>
  <conditionalFormatting sqref="D677">
    <cfRule type="containsText" dxfId="1767" priority="1665" operator="containsText" text="Pesquisa de Preços">
      <formula>NOT(ISERROR(SEARCH("Pesquisa de Preços",D677)))</formula>
    </cfRule>
  </conditionalFormatting>
  <conditionalFormatting sqref="D669">
    <cfRule type="containsText" dxfId="1766" priority="1664" operator="containsText" text="Pesquisa de Preços">
      <formula>NOT(ISERROR(SEARCH("Pesquisa de Preços",D669)))</formula>
    </cfRule>
  </conditionalFormatting>
  <conditionalFormatting sqref="D176:D177">
    <cfRule type="containsText" dxfId="1765" priority="1756" operator="containsText" text="Pesquisa de Preços">
      <formula>NOT(ISERROR(SEARCH("Pesquisa de Preços",D176)))</formula>
    </cfRule>
  </conditionalFormatting>
  <conditionalFormatting sqref="D220:D221">
    <cfRule type="containsText" dxfId="1764" priority="1755" operator="containsText" text="Pesquisa de Preços">
      <formula>NOT(ISERROR(SEARCH("Pesquisa de Preços",D220)))</formula>
    </cfRule>
  </conditionalFormatting>
  <conditionalFormatting sqref="D687:D688 D694:D695">
    <cfRule type="containsText" dxfId="1763" priority="1663" operator="containsText" text="Pesquisa de Preços">
      <formula>NOT(ISERROR(SEARCH("Pesquisa de Preços",D687)))</formula>
    </cfRule>
  </conditionalFormatting>
  <conditionalFormatting sqref="D222">
    <cfRule type="containsText" dxfId="1762" priority="1754" operator="containsText" text="Pesquisa de Preços">
      <formula>NOT(ISERROR(SEARCH("Pesquisa de Preços",D222)))</formula>
    </cfRule>
  </conditionalFormatting>
  <conditionalFormatting sqref="D127">
    <cfRule type="containsText" dxfId="1761" priority="1753" operator="containsText" text="Pesquisa de Preços">
      <formula>NOT(ISERROR(SEARCH("Pesquisa de Preços",D127)))</formula>
    </cfRule>
  </conditionalFormatting>
  <conditionalFormatting sqref="D715">
    <cfRule type="containsText" dxfId="1760" priority="1661" operator="containsText" text="Pesquisa de Preços">
      <formula>NOT(ISERROR(SEARCH("Pesquisa de Preços",D715)))</formula>
    </cfRule>
  </conditionalFormatting>
  <conditionalFormatting sqref="D167:D168">
    <cfRule type="containsText" dxfId="1759" priority="1752" operator="containsText" text="Pesquisa de Preços">
      <formula>NOT(ISERROR(SEARCH("Pesquisa de Preços",D167)))</formula>
    </cfRule>
  </conditionalFormatting>
  <conditionalFormatting sqref="D731">
    <cfRule type="containsText" dxfId="1758" priority="1660" operator="containsText" text="Pesquisa de Preços">
      <formula>NOT(ISERROR(SEARCH("Pesquisa de Preços",D731)))</formula>
    </cfRule>
  </conditionalFormatting>
  <conditionalFormatting sqref="D169">
    <cfRule type="containsText" dxfId="1757" priority="1751" operator="containsText" text="Pesquisa de Preços">
      <formula>NOT(ISERROR(SEARCH("Pesquisa de Preços",D169)))</formula>
    </cfRule>
  </conditionalFormatting>
  <conditionalFormatting sqref="D83">
    <cfRule type="containsText" dxfId="1756" priority="1750" operator="containsText" text="Pesquisa de Preços">
      <formula>NOT(ISERROR(SEARCH("Pesquisa de Preços",D83)))</formula>
    </cfRule>
  </conditionalFormatting>
  <conditionalFormatting sqref="D112">
    <cfRule type="containsText" dxfId="1755" priority="1749" operator="containsText" text="Pesquisa de Preços">
      <formula>NOT(ISERROR(SEARCH("Pesquisa de Preços",D112)))</formula>
    </cfRule>
  </conditionalFormatting>
  <conditionalFormatting sqref="D211:D212">
    <cfRule type="containsText" dxfId="1754" priority="1748" operator="containsText" text="Pesquisa de Preços">
      <formula>NOT(ISERROR(SEARCH("Pesquisa de Preços",D211)))</formula>
    </cfRule>
  </conditionalFormatting>
  <conditionalFormatting sqref="D202">
    <cfRule type="containsText" dxfId="1753" priority="1747" operator="containsText" text="Pesquisa de Preços">
      <formula>NOT(ISERROR(SEARCH("Pesquisa de Preços",D202)))</formula>
    </cfRule>
  </conditionalFormatting>
  <conditionalFormatting sqref="D198:D199">
    <cfRule type="containsText" dxfId="1752" priority="1745" operator="containsText" text="Pesquisa de Preços">
      <formula>NOT(ISERROR(SEARCH("Pesquisa de Preços",D198)))</formula>
    </cfRule>
  </conditionalFormatting>
  <conditionalFormatting sqref="D203:D204">
    <cfRule type="containsText" dxfId="1751" priority="1746" operator="containsText" text="Pesquisa de Preços">
      <formula>NOT(ISERROR(SEARCH("Pesquisa de Preços",D203)))</formula>
    </cfRule>
  </conditionalFormatting>
  <conditionalFormatting sqref="D70:D71 D75:D76">
    <cfRule type="containsText" dxfId="1750" priority="1744" operator="containsText" text="Pesquisa de Preços">
      <formula>NOT(ISERROR(SEARCH("Pesquisa de Preços",D70)))</formula>
    </cfRule>
  </conditionalFormatting>
  <conditionalFormatting sqref="D72:D74">
    <cfRule type="containsText" dxfId="1749" priority="1743" operator="containsText" text="Pesquisa de Preços">
      <formula>NOT(ISERROR(SEARCH("Pesquisa de Preços",D72)))</formula>
    </cfRule>
  </conditionalFormatting>
  <conditionalFormatting sqref="D136:D137">
    <cfRule type="containsText" dxfId="1748" priority="1742" operator="containsText" text="Pesquisa de Preços">
      <formula>NOT(ISERROR(SEARCH("Pesquisa de Preços",D136)))</formula>
    </cfRule>
  </conditionalFormatting>
  <conditionalFormatting sqref="D140:D141">
    <cfRule type="containsText" dxfId="1747" priority="1741" operator="containsText" text="Pesquisa de Preços">
      <formula>NOT(ISERROR(SEARCH("Pesquisa de Preços",D140)))</formula>
    </cfRule>
  </conditionalFormatting>
  <conditionalFormatting sqref="D791 D793:D802">
    <cfRule type="containsText" dxfId="1746" priority="1657" operator="containsText" text="Pesquisa de Preços">
      <formula>NOT(ISERROR(SEARCH("Pesquisa de Preços",D791)))</formula>
    </cfRule>
  </conditionalFormatting>
  <conditionalFormatting sqref="D155:D157">
    <cfRule type="containsText" dxfId="1745" priority="1740" operator="containsText" text="Pesquisa de Preços">
      <formula>NOT(ISERROR(SEARCH("Pesquisa de Preços",D155)))</formula>
    </cfRule>
  </conditionalFormatting>
  <conditionalFormatting sqref="D833">
    <cfRule type="containsText" dxfId="1744" priority="1656" operator="containsText" text="Pesquisa de Preços">
      <formula>NOT(ISERROR(SEARCH("Pesquisa de Preços",D833)))</formula>
    </cfRule>
  </conditionalFormatting>
  <conditionalFormatting sqref="D93">
    <cfRule type="containsText" dxfId="1743" priority="1739" operator="containsText" text="Pesquisa de Preços">
      <formula>NOT(ISERROR(SEARCH("Pesquisa de Preços",D93)))</formula>
    </cfRule>
  </conditionalFormatting>
  <conditionalFormatting sqref="D815:D816">
    <cfRule type="containsText" dxfId="1742" priority="1655" operator="containsText" text="Pesquisa de Preços">
      <formula>NOT(ISERROR(SEARCH("Pesquisa de Preços",D815)))</formula>
    </cfRule>
  </conditionalFormatting>
  <conditionalFormatting sqref="D48:D49">
    <cfRule type="containsText" dxfId="1741" priority="1738" operator="containsText" text="Pesquisa de Preços">
      <formula>NOT(ISERROR(SEARCH("Pesquisa de Preços",D48)))</formula>
    </cfRule>
  </conditionalFormatting>
  <conditionalFormatting sqref="D50">
    <cfRule type="containsText" dxfId="1740" priority="1737" operator="containsText" text="Pesquisa de Preços">
      <formula>NOT(ISERROR(SEARCH("Pesquisa de Preços",D50)))</formula>
    </cfRule>
  </conditionalFormatting>
  <conditionalFormatting sqref="D191:D192">
    <cfRule type="containsText" dxfId="1739" priority="1736" operator="containsText" text="Pesquisa de Preços">
      <formula>NOT(ISERROR(SEARCH("Pesquisa de Preços",D191)))</formula>
    </cfRule>
  </conditionalFormatting>
  <conditionalFormatting sqref="D749:D750 D753:D754">
    <cfRule type="containsText" dxfId="1738" priority="1654" operator="containsText" text="Pesquisa de Preços">
      <formula>NOT(ISERROR(SEARCH("Pesquisa de Preços",D749)))</formula>
    </cfRule>
  </conditionalFormatting>
  <conditionalFormatting sqref="D193">
    <cfRule type="containsText" dxfId="1737" priority="1735" operator="containsText" text="Pesquisa de Preços">
      <formula>NOT(ISERROR(SEARCH("Pesquisa de Preços",D193)))</formula>
    </cfRule>
  </conditionalFormatting>
  <conditionalFormatting sqref="D215">
    <cfRule type="containsText" dxfId="1736" priority="1734" operator="containsText" text="Pesquisa de Preços">
      <formula>NOT(ISERROR(SEARCH("Pesquisa de Preços",D215)))</formula>
    </cfRule>
  </conditionalFormatting>
  <conditionalFormatting sqref="D217">
    <cfRule type="containsText" dxfId="1735" priority="1733" operator="containsText" text="Pesquisa de Preços">
      <formula>NOT(ISERROR(SEARCH("Pesquisa de Preços",D217)))</formula>
    </cfRule>
  </conditionalFormatting>
  <conditionalFormatting sqref="D122">
    <cfRule type="containsText" dxfId="1734" priority="1732" operator="containsText" text="Pesquisa de Preços">
      <formula>NOT(ISERROR(SEARCH("Pesquisa de Preços",D122)))</formula>
    </cfRule>
  </conditionalFormatting>
  <conditionalFormatting sqref="D756:D757">
    <cfRule type="containsText" dxfId="1733" priority="1652" operator="containsText" text="Pesquisa de Preços">
      <formula>NOT(ISERROR(SEARCH("Pesquisa de Preços",D756)))</formula>
    </cfRule>
  </conditionalFormatting>
  <conditionalFormatting sqref="D124">
    <cfRule type="containsText" dxfId="1732" priority="1731" operator="containsText" text="Pesquisa de Preços">
      <formula>NOT(ISERROR(SEARCH("Pesquisa de Preços",D124)))</formula>
    </cfRule>
  </conditionalFormatting>
  <conditionalFormatting sqref="D107:D108">
    <cfRule type="containsText" dxfId="1731" priority="1730" operator="containsText" text="Pesquisa de Preços">
      <formula>NOT(ISERROR(SEARCH("Pesquisa de Preços",D107)))</formula>
    </cfRule>
  </conditionalFormatting>
  <conditionalFormatting sqref="D824 D826">
    <cfRule type="containsText" dxfId="1730" priority="1650" operator="containsText" text="Pesquisa de Preços">
      <formula>NOT(ISERROR(SEARCH("Pesquisa de Preços",D824)))</formula>
    </cfRule>
  </conditionalFormatting>
  <conditionalFormatting sqref="D109">
    <cfRule type="containsText" dxfId="1729" priority="1729" operator="containsText" text="Pesquisa de Preços">
      <formula>NOT(ISERROR(SEARCH("Pesquisa de Preços",D109)))</formula>
    </cfRule>
  </conditionalFormatting>
  <conditionalFormatting sqref="D132">
    <cfRule type="containsText" dxfId="1728" priority="1728" operator="containsText" text="Pesquisa de Preços">
      <formula>NOT(ISERROR(SEARCH("Pesquisa de Preços",D132)))</formula>
    </cfRule>
  </conditionalFormatting>
  <conditionalFormatting sqref="D828">
    <cfRule type="containsText" dxfId="1727" priority="1649" operator="containsText" text="Pesquisa de Preços">
      <formula>NOT(ISERROR(SEARCH("Pesquisa de Preços",D828)))</formula>
    </cfRule>
  </conditionalFormatting>
  <conditionalFormatting sqref="D65">
    <cfRule type="containsText" dxfId="1726" priority="1727" operator="containsText" text="Pesquisa de Preços">
      <formula>NOT(ISERROR(SEARCH("Pesquisa de Preços",D65)))</formula>
    </cfRule>
  </conditionalFormatting>
  <conditionalFormatting sqref="D805">
    <cfRule type="containsText" dxfId="1725" priority="1648" operator="containsText" text="Pesquisa de Preços">
      <formula>NOT(ISERROR(SEARCH("Pesquisa de Preços",D805)))</formula>
    </cfRule>
  </conditionalFormatting>
  <conditionalFormatting sqref="D67">
    <cfRule type="containsText" dxfId="1724" priority="1726" operator="containsText" text="Pesquisa de Preços">
      <formula>NOT(ISERROR(SEARCH("Pesquisa de Preços",D67)))</formula>
    </cfRule>
  </conditionalFormatting>
  <conditionalFormatting sqref="D321">
    <cfRule type="containsText" dxfId="1723" priority="1715" operator="containsText" text="Pesquisa de Preços">
      <formula>NOT(ISERROR(SEARCH("Pesquisa de Preços",D321)))</formula>
    </cfRule>
  </conditionalFormatting>
  <conditionalFormatting sqref="D342">
    <cfRule type="containsText" dxfId="1722" priority="1712" operator="containsText" text="Pesquisa de Preços">
      <formula>NOT(ISERROR(SEARCH("Pesquisa de Preços",D342)))</formula>
    </cfRule>
  </conditionalFormatting>
  <conditionalFormatting sqref="D327:D328">
    <cfRule type="containsText" dxfId="1721" priority="1707" operator="containsText" text="Pesquisa de Preços">
      <formula>NOT(ISERROR(SEARCH("Pesquisa de Preços",D327)))</formula>
    </cfRule>
  </conditionalFormatting>
  <conditionalFormatting sqref="D416 D421">
    <cfRule type="containsText" dxfId="1720" priority="1700" operator="containsText" text="Pesquisa de Preços">
      <formula>NOT(ISERROR(SEARCH("Pesquisa de Preços",D416)))</formula>
    </cfRule>
  </conditionalFormatting>
  <conditionalFormatting sqref="D247">
    <cfRule type="containsText" dxfId="1719" priority="1725" operator="containsText" text="Pesquisa de Preços">
      <formula>NOT(ISERROR(SEARCH("Pesquisa de Preços",D247)))</formula>
    </cfRule>
  </conditionalFormatting>
  <conditionalFormatting sqref="D249:D250">
    <cfRule type="containsText" dxfId="1718" priority="1724" operator="containsText" text="Pesquisa de Preços">
      <formula>NOT(ISERROR(SEARCH("Pesquisa de Preços",D249)))</formula>
    </cfRule>
  </conditionalFormatting>
  <conditionalFormatting sqref="D1093:D1094">
    <cfRule type="containsText" dxfId="1717" priority="1612" operator="containsText" text="Pesquisa de Preços">
      <formula>NOT(ISERROR(SEARCH("Pesquisa de Preços",D1093)))</formula>
    </cfRule>
  </conditionalFormatting>
  <conditionalFormatting sqref="D251:D256 D258:D261">
    <cfRule type="containsText" dxfId="1716" priority="1723" operator="containsText" text="Pesquisa de Preços">
      <formula>NOT(ISERROR(SEARCH("Pesquisa de Preços",D251)))</formula>
    </cfRule>
  </conditionalFormatting>
  <conditionalFormatting sqref="D264:D265">
    <cfRule type="containsText" dxfId="1715" priority="1722" operator="containsText" text="Pesquisa de Preços">
      <formula>NOT(ISERROR(SEARCH("Pesquisa de Preços",D264)))</formula>
    </cfRule>
  </conditionalFormatting>
  <conditionalFormatting sqref="D277:D278 D282">
    <cfRule type="containsText" dxfId="1714" priority="1721" operator="containsText" text="Pesquisa de Preços">
      <formula>NOT(ISERROR(SEARCH("Pesquisa de Preços",D277)))</formula>
    </cfRule>
  </conditionalFormatting>
  <conditionalFormatting sqref="D279:D280">
    <cfRule type="containsText" dxfId="1713" priority="1720" operator="containsText" text="Pesquisa de Preços">
      <formula>NOT(ISERROR(SEARCH("Pesquisa de Preços",D279)))</formula>
    </cfRule>
  </conditionalFormatting>
  <conditionalFormatting sqref="D284:D285 D289">
    <cfRule type="containsText" dxfId="1712" priority="1719" operator="containsText" text="Pesquisa de Preços">
      <formula>NOT(ISERROR(SEARCH("Pesquisa de Preços",D284)))</formula>
    </cfRule>
  </conditionalFormatting>
  <conditionalFormatting sqref="D286:D287">
    <cfRule type="containsText" dxfId="1711" priority="1718" operator="containsText" text="Pesquisa de Preços">
      <formula>NOT(ISERROR(SEARCH("Pesquisa de Preços",D286)))</formula>
    </cfRule>
  </conditionalFormatting>
  <conditionalFormatting sqref="D269:D270 D274:D275">
    <cfRule type="containsText" dxfId="1710" priority="1717" operator="containsText" text="Pesquisa de Preços">
      <formula>NOT(ISERROR(SEARCH("Pesquisa de Preços",D269)))</formula>
    </cfRule>
  </conditionalFormatting>
  <conditionalFormatting sqref="D271:D272">
    <cfRule type="containsText" dxfId="1709" priority="1716" operator="containsText" text="Pesquisa de Preços">
      <formula>NOT(ISERROR(SEARCH("Pesquisa de Preços",D271)))</formula>
    </cfRule>
  </conditionalFormatting>
  <conditionalFormatting sqref="D532 D536">
    <cfRule type="containsText" dxfId="1708" priority="1681" operator="containsText" text="Pesquisa de Preços">
      <formula>NOT(ISERROR(SEARCH("Pesquisa de Preços",D532)))</formula>
    </cfRule>
  </conditionalFormatting>
  <conditionalFormatting sqref="D306">
    <cfRule type="containsText" dxfId="1707" priority="1714" operator="containsText" text="Pesquisa de Preços">
      <formula>NOT(ISERROR(SEARCH("Pesquisa de Preços",D306)))</formula>
    </cfRule>
  </conditionalFormatting>
  <conditionalFormatting sqref="D312:D314">
    <cfRule type="containsText" dxfId="1706" priority="1713" operator="containsText" text="Pesquisa de Preços">
      <formula>NOT(ISERROR(SEARCH("Pesquisa de Preços",D312)))</formula>
    </cfRule>
  </conditionalFormatting>
  <conditionalFormatting sqref="D352">
    <cfRule type="containsText" dxfId="1705" priority="1711" operator="containsText" text="Pesquisa de Preços">
      <formula>NOT(ISERROR(SEARCH("Pesquisa de Preços",D352)))</formula>
    </cfRule>
  </conditionalFormatting>
  <conditionalFormatting sqref="D355:D358">
    <cfRule type="containsText" dxfId="1704" priority="1710" operator="containsText" text="Pesquisa de Preços">
      <formula>NOT(ISERROR(SEARCH("Pesquisa de Preços",D355)))</formula>
    </cfRule>
  </conditionalFormatting>
  <conditionalFormatting sqref="D291">
    <cfRule type="containsText" dxfId="1703" priority="1709" operator="containsText" text="Pesquisa de Preços">
      <formula>NOT(ISERROR(SEARCH("Pesquisa de Preços",D291)))</formula>
    </cfRule>
  </conditionalFormatting>
  <conditionalFormatting sqref="D298:D299">
    <cfRule type="containsText" dxfId="1702" priority="1708" operator="containsText" text="Pesquisa de Preços">
      <formula>NOT(ISERROR(SEARCH("Pesquisa de Preços",D298)))</formula>
    </cfRule>
  </conditionalFormatting>
  <conditionalFormatting sqref="D329:D339">
    <cfRule type="containsText" dxfId="1701" priority="1706" operator="containsText" text="Pesquisa de Preços">
      <formula>NOT(ISERROR(SEARCH("Pesquisa de Preços",D329)))</formula>
    </cfRule>
  </conditionalFormatting>
  <conditionalFormatting sqref="D366:D367 D369:D370">
    <cfRule type="containsText" dxfId="1700" priority="1705" operator="containsText" text="Pesquisa de Preços">
      <formula>NOT(ISERROR(SEARCH("Pesquisa de Preços",D366)))</formula>
    </cfRule>
  </conditionalFormatting>
  <conditionalFormatting sqref="D368">
    <cfRule type="containsText" dxfId="1699" priority="1704" operator="containsText" text="Pesquisa de Preços">
      <formula>NOT(ISERROR(SEARCH("Pesquisa de Preços",D368)))</formula>
    </cfRule>
  </conditionalFormatting>
  <conditionalFormatting sqref="D372 D378:D379">
    <cfRule type="containsText" dxfId="1698" priority="1703" operator="containsText" text="Pesquisa de Preços">
      <formula>NOT(ISERROR(SEARCH("Pesquisa de Preços",D372)))</formula>
    </cfRule>
  </conditionalFormatting>
  <conditionalFormatting sqref="D374:D377">
    <cfRule type="containsText" dxfId="1697" priority="1702" operator="containsText" text="Pesquisa de Preços">
      <formula>NOT(ISERROR(SEARCH("Pesquisa de Preços",D374)))</formula>
    </cfRule>
  </conditionalFormatting>
  <conditionalFormatting sqref="D402">
    <cfRule type="containsText" dxfId="1696" priority="1701" operator="containsText" text="Pesquisa de Preços">
      <formula>NOT(ISERROR(SEARCH("Pesquisa de Preços",D402)))</formula>
    </cfRule>
  </conditionalFormatting>
  <conditionalFormatting sqref="D441:D442 D444:D445">
    <cfRule type="containsText" dxfId="1695" priority="1699" operator="containsText" text="Pesquisa de Preços">
      <formula>NOT(ISERROR(SEARCH("Pesquisa de Preços",D441)))</formula>
    </cfRule>
  </conditionalFormatting>
  <conditionalFormatting sqref="D443">
    <cfRule type="containsText" dxfId="1694" priority="1698" operator="containsText" text="Pesquisa de Preços">
      <formula>NOT(ISERROR(SEARCH("Pesquisa de Preços",D443)))</formula>
    </cfRule>
  </conditionalFormatting>
  <conditionalFormatting sqref="D435:D436 D438:D439">
    <cfRule type="containsText" dxfId="1693" priority="1697" operator="containsText" text="Pesquisa de Preços">
      <formula>NOT(ISERROR(SEARCH("Pesquisa de Preços",D435)))</formula>
    </cfRule>
  </conditionalFormatting>
  <conditionalFormatting sqref="D437">
    <cfRule type="containsText" dxfId="1692" priority="1696" operator="containsText" text="Pesquisa de Preços">
      <formula>NOT(ISERROR(SEARCH("Pesquisa de Preços",D437)))</formula>
    </cfRule>
  </conditionalFormatting>
  <conditionalFormatting sqref="D455:D456 D459:D463">
    <cfRule type="containsText" dxfId="1691" priority="1695" operator="containsText" text="Pesquisa de Preços">
      <formula>NOT(ISERROR(SEARCH("Pesquisa de Preços",D455)))</formula>
    </cfRule>
  </conditionalFormatting>
  <conditionalFormatting sqref="D458">
    <cfRule type="containsText" dxfId="1690" priority="1694" operator="containsText" text="Pesquisa de Preços">
      <formula>NOT(ISERROR(SEARCH("Pesquisa de Preços",D458)))</formula>
    </cfRule>
  </conditionalFormatting>
  <conditionalFormatting sqref="D465:D466 D469:D470">
    <cfRule type="containsText" dxfId="1689" priority="1693" operator="containsText" text="Pesquisa de Preços">
      <formula>NOT(ISERROR(SEARCH("Pesquisa de Preços",D465)))</formula>
    </cfRule>
  </conditionalFormatting>
  <conditionalFormatting sqref="D468">
    <cfRule type="containsText" dxfId="1688" priority="1692" operator="containsText" text="Pesquisa de Preços">
      <formula>NOT(ISERROR(SEARCH("Pesquisa de Preços",D468)))</formula>
    </cfRule>
  </conditionalFormatting>
  <conditionalFormatting sqref="D472 D482">
    <cfRule type="containsText" dxfId="1687" priority="1691" operator="containsText" text="Pesquisa de Preços">
      <formula>NOT(ISERROR(SEARCH("Pesquisa de Preços",D472)))</formula>
    </cfRule>
  </conditionalFormatting>
  <conditionalFormatting sqref="D447 D451 D453">
    <cfRule type="containsText" dxfId="1686" priority="1690" operator="containsText" text="Pesquisa de Preços">
      <formula>NOT(ISERROR(SEARCH("Pesquisa de Preços",D447)))</formula>
    </cfRule>
  </conditionalFormatting>
  <conditionalFormatting sqref="D484:D485 D488">
    <cfRule type="containsText" dxfId="1685" priority="1689" operator="containsText" text="Pesquisa de Preços">
      <formula>NOT(ISERROR(SEARCH("Pesquisa de Preços",D484)))</formula>
    </cfRule>
  </conditionalFormatting>
  <conditionalFormatting sqref="D486">
    <cfRule type="containsText" dxfId="1684" priority="1688" operator="containsText" text="Pesquisa de Preços">
      <formula>NOT(ISERROR(SEARCH("Pesquisa de Preços",D486)))</formula>
    </cfRule>
  </conditionalFormatting>
  <conditionalFormatting sqref="D505:D506 D509:D510">
    <cfRule type="containsText" dxfId="1683" priority="1687" operator="containsText" text="Pesquisa de Preços">
      <formula>NOT(ISERROR(SEARCH("Pesquisa de Preços",D505)))</formula>
    </cfRule>
  </conditionalFormatting>
  <conditionalFormatting sqref="D507:D508">
    <cfRule type="containsText" dxfId="1682" priority="1686" operator="containsText" text="Pesquisa de Preços">
      <formula>NOT(ISERROR(SEARCH("Pesquisa de Preços",D507)))</formula>
    </cfRule>
  </conditionalFormatting>
  <conditionalFormatting sqref="D502:D503 D498:D499">
    <cfRule type="containsText" dxfId="1681" priority="1685" operator="containsText" text="Pesquisa de Preços">
      <formula>NOT(ISERROR(SEARCH("Pesquisa de Preços",D498)))</formula>
    </cfRule>
  </conditionalFormatting>
  <conditionalFormatting sqref="D500:D501">
    <cfRule type="containsText" dxfId="1680" priority="1684" operator="containsText" text="Pesquisa de Preços">
      <formula>NOT(ISERROR(SEARCH("Pesquisa de Preços",D500)))</formula>
    </cfRule>
  </conditionalFormatting>
  <conditionalFormatting sqref="D512:D513 D516">
    <cfRule type="containsText" dxfId="1679" priority="1683" operator="containsText" text="Pesquisa de Preços">
      <formula>NOT(ISERROR(SEARCH("Pesquisa de Preços",D512)))</formula>
    </cfRule>
  </conditionalFormatting>
  <conditionalFormatting sqref="D525 D530">
    <cfRule type="containsText" dxfId="1678" priority="1679" operator="containsText" text="Pesquisa de Preços">
      <formula>NOT(ISERROR(SEARCH("Pesquisa de Preços",D525)))</formula>
    </cfRule>
  </conditionalFormatting>
  <conditionalFormatting sqref="D518 D523">
    <cfRule type="containsText" dxfId="1677" priority="1678" operator="containsText" text="Pesquisa de Preços">
      <formula>NOT(ISERROR(SEARCH("Pesquisa de Preços",D518)))</formula>
    </cfRule>
  </conditionalFormatting>
  <conditionalFormatting sqref="D546:D547 D552">
    <cfRule type="containsText" dxfId="1676" priority="1677" operator="containsText" text="Pesquisa de Preços">
      <formula>NOT(ISERROR(SEARCH("Pesquisa de Preços",D546)))</formula>
    </cfRule>
  </conditionalFormatting>
  <conditionalFormatting sqref="D548:D550">
    <cfRule type="containsText" dxfId="1675" priority="1676" operator="containsText" text="Pesquisa de Preços">
      <formula>NOT(ISERROR(SEARCH("Pesquisa de Preços",D548)))</formula>
    </cfRule>
  </conditionalFormatting>
  <conditionalFormatting sqref="D554:D555 D559:D560">
    <cfRule type="containsText" dxfId="1674" priority="1675" operator="containsText" text="Pesquisa de Preços">
      <formula>NOT(ISERROR(SEARCH("Pesquisa de Preços",D554)))</formula>
    </cfRule>
  </conditionalFormatting>
  <conditionalFormatting sqref="D557:D558">
    <cfRule type="containsText" dxfId="1673" priority="1674" operator="containsText" text="Pesquisa de Preços">
      <formula>NOT(ISERROR(SEARCH("Pesquisa de Preços",D557)))</formula>
    </cfRule>
  </conditionalFormatting>
  <conditionalFormatting sqref="D538:D539 D543:D544">
    <cfRule type="containsText" dxfId="1672" priority="1673" operator="containsText" text="Pesquisa de Preços">
      <formula>NOT(ISERROR(SEARCH("Pesquisa de Preços",D538)))</formula>
    </cfRule>
  </conditionalFormatting>
  <conditionalFormatting sqref="D540:D542">
    <cfRule type="containsText" dxfId="1671" priority="1672" operator="containsText" text="Pesquisa de Preços">
      <formula>NOT(ISERROR(SEARCH("Pesquisa de Preços",D540)))</formula>
    </cfRule>
  </conditionalFormatting>
  <conditionalFormatting sqref="D562:D563 D567:D568">
    <cfRule type="containsText" dxfId="1670" priority="1671" operator="containsText" text="Pesquisa de Preços">
      <formula>NOT(ISERROR(SEARCH("Pesquisa de Preços",D562)))</formula>
    </cfRule>
  </conditionalFormatting>
  <conditionalFormatting sqref="D564:D566">
    <cfRule type="containsText" dxfId="1669" priority="1670" operator="containsText" text="Pesquisa de Preços">
      <formula>NOT(ISERROR(SEARCH("Pesquisa de Preços",D564)))</formula>
    </cfRule>
  </conditionalFormatting>
  <conditionalFormatting sqref="D570:D571">
    <cfRule type="containsText" dxfId="1668" priority="1669" operator="containsText" text="Pesquisa de Preços">
      <formula>NOT(ISERROR(SEARCH("Pesquisa de Preços",D570)))</formula>
    </cfRule>
  </conditionalFormatting>
  <conditionalFormatting sqref="D580:D581 D584:D587">
    <cfRule type="containsText" dxfId="1667" priority="1668" operator="containsText" text="Pesquisa de Preços">
      <formula>NOT(ISERROR(SEARCH("Pesquisa de Preços",D580)))</formula>
    </cfRule>
  </conditionalFormatting>
  <conditionalFormatting sqref="D582:D583">
    <cfRule type="containsText" dxfId="1666" priority="1667" operator="containsText" text="Pesquisa de Preços">
      <formula>NOT(ISERROR(SEARCH("Pesquisa de Preços",D582)))</formula>
    </cfRule>
  </conditionalFormatting>
  <conditionalFormatting sqref="D622 D627:D628">
    <cfRule type="containsText" dxfId="1665" priority="1666" operator="containsText" text="Pesquisa de Preços">
      <formula>NOT(ISERROR(SEARCH("Pesquisa de Preços",D622)))</formula>
    </cfRule>
  </conditionalFormatting>
  <conditionalFormatting sqref="D758:D764">
    <cfRule type="containsText" dxfId="1664" priority="1651" operator="containsText" text="Pesquisa de Preços">
      <formula>NOT(ISERROR(SEARCH("Pesquisa de Preços",D758)))</formula>
    </cfRule>
  </conditionalFormatting>
  <conditionalFormatting sqref="D689:D691">
    <cfRule type="containsText" dxfId="1663" priority="1662" operator="containsText" text="Pesquisa de Preços">
      <formula>NOT(ISERROR(SEARCH("Pesquisa de Preços",D689)))</formula>
    </cfRule>
  </conditionalFormatting>
  <conditionalFormatting sqref="D724">
    <cfRule type="containsText" dxfId="1662" priority="1659" operator="containsText" text="Pesquisa de Preços">
      <formula>NOT(ISERROR(SEARCH("Pesquisa de Preços",D724)))</formula>
    </cfRule>
  </conditionalFormatting>
  <conditionalFormatting sqref="D767">
    <cfRule type="containsText" dxfId="1661" priority="1646" operator="containsText" text="Pesquisa de Preços">
      <formula>NOT(ISERROR(SEARCH("Pesquisa de Preços",D767)))</formula>
    </cfRule>
  </conditionalFormatting>
  <conditionalFormatting sqref="D745:D746">
    <cfRule type="containsText" dxfId="1660" priority="1658" operator="containsText" text="Pesquisa de Preços">
      <formula>NOT(ISERROR(SEARCH("Pesquisa de Preços",D745)))</formula>
    </cfRule>
  </conditionalFormatting>
  <conditionalFormatting sqref="D751:D752">
    <cfRule type="containsText" dxfId="1659" priority="1653" operator="containsText" text="Pesquisa de Preços">
      <formula>NOT(ISERROR(SEARCH("Pesquisa de Preços",D751)))</formula>
    </cfRule>
  </conditionalFormatting>
  <conditionalFormatting sqref="D948">
    <cfRule type="containsText" dxfId="1658" priority="1633" operator="containsText" text="Pesquisa de Preços">
      <formula>NOT(ISERROR(SEARCH("Pesquisa de Preços",D948)))</formula>
    </cfRule>
  </conditionalFormatting>
  <conditionalFormatting sqref="D819 D822">
    <cfRule type="containsText" dxfId="1657" priority="1647" operator="containsText" text="Pesquisa de Preços">
      <formula>NOT(ISERROR(SEARCH("Pesquisa de Preços",D819)))</formula>
    </cfRule>
  </conditionalFormatting>
  <conditionalFormatting sqref="D984:D988">
    <cfRule type="containsText" dxfId="1656" priority="1629" operator="containsText" text="Pesquisa de Preços">
      <formula>NOT(ISERROR(SEARCH("Pesquisa de Preços",D984)))</formula>
    </cfRule>
  </conditionalFormatting>
  <conditionalFormatting sqref="D184:D185">
    <cfRule type="containsText" dxfId="1655" priority="1645" operator="containsText" text="Pesquisa de Preços">
      <formula>NOT(ISERROR(SEARCH("Pesquisa de Preços",D184)))</formula>
    </cfRule>
  </conditionalFormatting>
  <conditionalFormatting sqref="D1016:D1018">
    <cfRule type="containsText" dxfId="1654" priority="1625" operator="containsText" text="Pesquisa de Preços">
      <formula>NOT(ISERROR(SEARCH("Pesquisa de Preços",D1016)))</formula>
    </cfRule>
  </conditionalFormatting>
  <conditionalFormatting sqref="D186:D188">
    <cfRule type="containsText" dxfId="1653" priority="1644" operator="containsText" text="Pesquisa de Preços">
      <formula>NOT(ISERROR(SEARCH("Pesquisa de Preços",D186)))</formula>
    </cfRule>
  </conditionalFormatting>
  <conditionalFormatting sqref="D840 D843:D844">
    <cfRule type="containsText" dxfId="1652" priority="1643" operator="containsText" text="Pesquisa de Preços">
      <formula>NOT(ISERROR(SEARCH("Pesquisa de Preços",D840)))</formula>
    </cfRule>
  </conditionalFormatting>
  <conditionalFormatting sqref="D842">
    <cfRule type="containsText" dxfId="1651" priority="1642" operator="containsText" text="Pesquisa de Preços">
      <formula>NOT(ISERROR(SEARCH("Pesquisa de Preços",D842)))</formula>
    </cfRule>
  </conditionalFormatting>
  <conditionalFormatting sqref="D914:D919">
    <cfRule type="containsText" dxfId="1650" priority="1641" operator="containsText" text="Pesquisa de Preços">
      <formula>NOT(ISERROR(SEARCH("Pesquisa de Preços",D914)))</formula>
    </cfRule>
  </conditionalFormatting>
  <conditionalFormatting sqref="D939:D944">
    <cfRule type="containsText" dxfId="1649" priority="1640" operator="containsText" text="Pesquisa de Preços">
      <formula>NOT(ISERROR(SEARCH("Pesquisa de Preços",D939)))</formula>
    </cfRule>
  </conditionalFormatting>
  <conditionalFormatting sqref="D930">
    <cfRule type="containsText" dxfId="1648" priority="1639" operator="containsText" text="Pesquisa de Preços">
      <formula>NOT(ISERROR(SEARCH("Pesquisa de Preços",D930)))</formula>
    </cfRule>
  </conditionalFormatting>
  <conditionalFormatting sqref="D923 D928">
    <cfRule type="containsText" dxfId="1647" priority="1638" operator="containsText" text="Pesquisa de Preços">
      <formula>NOT(ISERROR(SEARCH("Pesquisa de Preços",D923)))</formula>
    </cfRule>
  </conditionalFormatting>
  <conditionalFormatting sqref="D969:D970">
    <cfRule type="containsText" dxfId="1646" priority="1636" operator="containsText" text="Pesquisa de Preços">
      <formula>NOT(ISERROR(SEARCH("Pesquisa de Preços",D969)))</formula>
    </cfRule>
  </conditionalFormatting>
  <conditionalFormatting sqref="D967:D968">
    <cfRule type="containsText" dxfId="1645" priority="1637" operator="containsText" text="Pesquisa de Preços">
      <formula>NOT(ISERROR(SEARCH("Pesquisa de Preços",D967)))</formula>
    </cfRule>
  </conditionalFormatting>
  <conditionalFormatting sqref="D960">
    <cfRule type="containsText" dxfId="1644" priority="1635" operator="containsText" text="Pesquisa de Preços">
      <formula>NOT(ISERROR(SEARCH("Pesquisa de Preços",D960)))</formula>
    </cfRule>
  </conditionalFormatting>
  <conditionalFormatting sqref="D954 D958">
    <cfRule type="containsText" dxfId="1643" priority="1634" operator="containsText" text="Pesquisa de Preços">
      <formula>NOT(ISERROR(SEARCH("Pesquisa de Preços",D954)))</formula>
    </cfRule>
  </conditionalFormatting>
  <conditionalFormatting sqref="D974:D975 D978:D979">
    <cfRule type="containsText" dxfId="1642" priority="1632" operator="containsText" text="Pesquisa de Preços">
      <formula>NOT(ISERROR(SEARCH("Pesquisa de Preços",D974)))</formula>
    </cfRule>
  </conditionalFormatting>
  <conditionalFormatting sqref="D976">
    <cfRule type="containsText" dxfId="1641" priority="1631" operator="containsText" text="Pesquisa de Preços">
      <formula>NOT(ISERROR(SEARCH("Pesquisa de Preços",D976)))</formula>
    </cfRule>
  </conditionalFormatting>
  <conditionalFormatting sqref="D981:D982 D989:D990">
    <cfRule type="containsText" dxfId="1640" priority="1630" operator="containsText" text="Pesquisa de Preços">
      <formula>NOT(ISERROR(SEARCH("Pesquisa de Preços",D981)))</formula>
    </cfRule>
  </conditionalFormatting>
  <conditionalFormatting sqref="D992:D993 D1000:D1001">
    <cfRule type="containsText" dxfId="1639" priority="1628" operator="containsText" text="Pesquisa de Preços">
      <formula>NOT(ISERROR(SEARCH("Pesquisa de Preços",D992)))</formula>
    </cfRule>
  </conditionalFormatting>
  <conditionalFormatting sqref="D995:D996 D998:D999">
    <cfRule type="containsText" dxfId="1638" priority="1627" operator="containsText" text="Pesquisa de Preços">
      <formula>NOT(ISERROR(SEARCH("Pesquisa de Preços",D995)))</formula>
    </cfRule>
  </conditionalFormatting>
  <conditionalFormatting sqref="D1013:D1014 D1019:D1020">
    <cfRule type="containsText" dxfId="1637" priority="1626" operator="containsText" text="Pesquisa de Preços">
      <formula>NOT(ISERROR(SEARCH("Pesquisa de Preços",D1013)))</formula>
    </cfRule>
  </conditionalFormatting>
  <conditionalFormatting sqref="D1003:D1004">
    <cfRule type="containsText" dxfId="1636" priority="1624" operator="containsText" text="Pesquisa de Preços">
      <formula>NOT(ISERROR(SEARCH("Pesquisa de Preços",D1003)))</formula>
    </cfRule>
  </conditionalFormatting>
  <conditionalFormatting sqref="D1008:D1009">
    <cfRule type="containsText" dxfId="1635" priority="1623" operator="containsText" text="Pesquisa de Preços">
      <formula>NOT(ISERROR(SEARCH("Pesquisa de Preços",D1008)))</formula>
    </cfRule>
  </conditionalFormatting>
  <conditionalFormatting sqref="D1027:D1028 D1035">
    <cfRule type="containsText" dxfId="1634" priority="1622" operator="containsText" text="Pesquisa de Preços">
      <formula>NOT(ISERROR(SEARCH("Pesquisa de Preços",D1027)))</formula>
    </cfRule>
  </conditionalFormatting>
  <conditionalFormatting sqref="D1030:D1032">
    <cfRule type="containsText" dxfId="1633" priority="1621" operator="containsText" text="Pesquisa de Preços">
      <formula>NOT(ISERROR(SEARCH("Pesquisa de Preços",D1030)))</formula>
    </cfRule>
  </conditionalFormatting>
  <conditionalFormatting sqref="D1037:D1038 D1043:D1044">
    <cfRule type="containsText" dxfId="1632" priority="1620" operator="containsText" text="Pesquisa de Preços">
      <formula>NOT(ISERROR(SEARCH("Pesquisa de Preços",D1037)))</formula>
    </cfRule>
  </conditionalFormatting>
  <conditionalFormatting sqref="D1022:D1023">
    <cfRule type="containsText" dxfId="1631" priority="1619" operator="containsText" text="Pesquisa de Preços">
      <formula>NOT(ISERROR(SEARCH("Pesquisa de Preços",D1022)))</formula>
    </cfRule>
  </conditionalFormatting>
  <conditionalFormatting sqref="D1024">
    <cfRule type="containsText" dxfId="1630" priority="1618" operator="containsText" text="Pesquisa de Preços">
      <formula>NOT(ISERROR(SEARCH("Pesquisa de Preços",D1024)))</formula>
    </cfRule>
  </conditionalFormatting>
  <conditionalFormatting sqref="D1099:D1100 D1107">
    <cfRule type="containsText" dxfId="1629" priority="1617" operator="containsText" text="Pesquisa de Preços">
      <formula>NOT(ISERROR(SEARCH("Pesquisa de Preços",D1099)))</formula>
    </cfRule>
  </conditionalFormatting>
  <conditionalFormatting sqref="D1046:D1047 D1050:D1051">
    <cfRule type="containsText" dxfId="1628" priority="1616" operator="containsText" text="Pesquisa de Preços">
      <formula>NOT(ISERROR(SEARCH("Pesquisa de Preços",D1046)))</formula>
    </cfRule>
  </conditionalFormatting>
  <conditionalFormatting sqref="D1048:D1049">
    <cfRule type="containsText" dxfId="1627" priority="1615" operator="containsText" text="Pesquisa de Preços">
      <formula>NOT(ISERROR(SEARCH("Pesquisa de Preços",D1048)))</formula>
    </cfRule>
  </conditionalFormatting>
  <conditionalFormatting sqref="D1060:D1061 D1065">
    <cfRule type="containsText" dxfId="1626" priority="1614" operator="containsText" text="Pesquisa de Preços">
      <formula>NOT(ISERROR(SEARCH("Pesquisa de Preços",D1060)))</formula>
    </cfRule>
  </conditionalFormatting>
  <conditionalFormatting sqref="D1091:D1092 D1097">
    <cfRule type="containsText" dxfId="1625" priority="1613" operator="containsText" text="Pesquisa de Preços">
      <formula>NOT(ISERROR(SEARCH("Pesquisa de Preços",D1091)))</formula>
    </cfRule>
  </conditionalFormatting>
  <conditionalFormatting sqref="D1053:D1054">
    <cfRule type="containsText" dxfId="1624" priority="1611" operator="containsText" text="Pesquisa de Preços">
      <formula>NOT(ISERROR(SEARCH("Pesquisa de Preços",D1053)))</formula>
    </cfRule>
  </conditionalFormatting>
  <conditionalFormatting sqref="D1055:D1057">
    <cfRule type="containsText" dxfId="1623" priority="1610" operator="containsText" text="Pesquisa de Preços">
      <formula>NOT(ISERROR(SEARCH("Pesquisa de Preços",D1055)))</formula>
    </cfRule>
  </conditionalFormatting>
  <conditionalFormatting sqref="D1067">
    <cfRule type="containsText" dxfId="1622" priority="1609" operator="containsText" text="Pesquisa de Preços">
      <formula>NOT(ISERROR(SEARCH("Pesquisa de Preços",D1067)))</formula>
    </cfRule>
  </conditionalFormatting>
  <conditionalFormatting sqref="D1083 D1089">
    <cfRule type="containsText" dxfId="1621" priority="1608" operator="containsText" text="Pesquisa de Preços">
      <formula>NOT(ISERROR(SEARCH("Pesquisa de Preços",D1083)))</formula>
    </cfRule>
  </conditionalFormatting>
  <conditionalFormatting sqref="D1074 D1081">
    <cfRule type="containsText" dxfId="1620" priority="1607" operator="containsText" text="Pesquisa de Preços">
      <formula>NOT(ISERROR(SEARCH("Pesquisa de Preços",D1074)))</formula>
    </cfRule>
  </conditionalFormatting>
  <conditionalFormatting sqref="D1122:D1123">
    <cfRule type="containsText" dxfId="1619" priority="1606" operator="containsText" text="Pesquisa de Preços">
      <formula>NOT(ISERROR(SEARCH("Pesquisa de Preços",D1122)))</formula>
    </cfRule>
  </conditionalFormatting>
  <conditionalFormatting sqref="D1117:D1118">
    <cfRule type="containsText" dxfId="1618" priority="1605" operator="containsText" text="Pesquisa de Preços">
      <formula>NOT(ISERROR(SEARCH("Pesquisa de Preços",D1117)))</formula>
    </cfRule>
  </conditionalFormatting>
  <conditionalFormatting sqref="D1244">
    <cfRule type="containsText" dxfId="1617" priority="1604" operator="containsText" text="Pesquisa de Preços">
      <formula>NOT(ISERROR(SEARCH("Pesquisa de Preços",D1244)))</formula>
    </cfRule>
  </conditionalFormatting>
  <conditionalFormatting sqref="D1234:D1235 D1238">
    <cfRule type="containsText" dxfId="1616" priority="1603" operator="containsText" text="Pesquisa de Preços">
      <formula>NOT(ISERROR(SEARCH("Pesquisa de Preços",D1234)))</formula>
    </cfRule>
  </conditionalFormatting>
  <conditionalFormatting sqref="D1228:D1229 D1232">
    <cfRule type="containsText" dxfId="1615" priority="1602" operator="containsText" text="Pesquisa de Preços">
      <formula>NOT(ISERROR(SEARCH("Pesquisa de Preços",D1228)))</formula>
    </cfRule>
  </conditionalFormatting>
  <conditionalFormatting sqref="D1222:D1223 D1226">
    <cfRule type="containsText" dxfId="1614" priority="1601" operator="containsText" text="Pesquisa de Preços">
      <formula>NOT(ISERROR(SEARCH("Pesquisa de Preços",D1222)))</formula>
    </cfRule>
  </conditionalFormatting>
  <conditionalFormatting sqref="D1138:D1139 D1142:D1143">
    <cfRule type="containsText" dxfId="1613" priority="1600" operator="containsText" text="Pesquisa de Preços">
      <formula>NOT(ISERROR(SEARCH("Pesquisa de Preços",D1138)))</formula>
    </cfRule>
  </conditionalFormatting>
  <conditionalFormatting sqref="D1127:D1128 D1130:D1131">
    <cfRule type="containsText" dxfId="1612" priority="1599" operator="containsText" text="Pesquisa de Preços">
      <formula>NOT(ISERROR(SEARCH("Pesquisa de Preços",D1127)))</formula>
    </cfRule>
  </conditionalFormatting>
  <conditionalFormatting sqref="D1260 D1265">
    <cfRule type="containsText" dxfId="1611" priority="1598" operator="containsText" text="Pesquisa de Preços">
      <formula>NOT(ISERROR(SEARCH("Pesquisa de Preços",D1260)))</formula>
    </cfRule>
  </conditionalFormatting>
  <conditionalFormatting sqref="D1246:D1247 D1250:D1251">
    <cfRule type="containsText" dxfId="1610" priority="1597" operator="containsText" text="Pesquisa de Preços">
      <formula>NOT(ISERROR(SEARCH("Pesquisa de Preços",D1246)))</formula>
    </cfRule>
  </conditionalFormatting>
  <conditionalFormatting sqref="D1152:D1153 D1156:D1157">
    <cfRule type="containsText" dxfId="1609" priority="1596" operator="containsText" text="Pesquisa de Preços">
      <formula>NOT(ISERROR(SEARCH("Pesquisa de Preços",D1152)))</formula>
    </cfRule>
  </conditionalFormatting>
  <conditionalFormatting sqref="D1187:D1188 D1191:D1192">
    <cfRule type="containsText" dxfId="1608" priority="1595" operator="containsText" text="Pesquisa de Preços">
      <formula>NOT(ISERROR(SEARCH("Pesquisa de Preços",D1187)))</formula>
    </cfRule>
  </conditionalFormatting>
  <conditionalFormatting sqref="D1194:D1195 D1198:D1199">
    <cfRule type="containsText" dxfId="1607" priority="1594" operator="containsText" text="Pesquisa de Preços">
      <formula>NOT(ISERROR(SEARCH("Pesquisa de Preços",D1194)))</formula>
    </cfRule>
  </conditionalFormatting>
  <conditionalFormatting sqref="D1201:D1202 D1205:D1206">
    <cfRule type="containsText" dxfId="1606" priority="1593" operator="containsText" text="Pesquisa de Preços">
      <formula>NOT(ISERROR(SEARCH("Pesquisa de Preços",D1201)))</formula>
    </cfRule>
  </conditionalFormatting>
  <conditionalFormatting sqref="D1180:D1181 D1184:D1185">
    <cfRule type="containsText" dxfId="1605" priority="1592" operator="containsText" text="Pesquisa de Preços">
      <formula>NOT(ISERROR(SEARCH("Pesquisa de Preços",D1180)))</formula>
    </cfRule>
  </conditionalFormatting>
  <conditionalFormatting sqref="D1145:D1146 D1150">
    <cfRule type="containsText" dxfId="1604" priority="1591" operator="containsText" text="Pesquisa de Preços">
      <formula>NOT(ISERROR(SEARCH("Pesquisa de Preços",D1145)))</formula>
    </cfRule>
  </conditionalFormatting>
  <conditionalFormatting sqref="D1148">
    <cfRule type="containsText" dxfId="1603" priority="1590" operator="containsText" text="Pesquisa de Preços">
      <formula>NOT(ISERROR(SEARCH("Pesquisa de Preços",D1148)))</formula>
    </cfRule>
  </conditionalFormatting>
  <conditionalFormatting sqref="D1166:D1167 D1170:D1171">
    <cfRule type="containsText" dxfId="1602" priority="1589" operator="containsText" text="Pesquisa de Preços">
      <formula>NOT(ISERROR(SEARCH("Pesquisa de Preços",D1166)))</formula>
    </cfRule>
  </conditionalFormatting>
  <conditionalFormatting sqref="D1173 D1178">
    <cfRule type="containsText" dxfId="1601" priority="1588" operator="containsText" text="Pesquisa de Preços">
      <formula>NOT(ISERROR(SEARCH("Pesquisa de Preços",D1173)))</formula>
    </cfRule>
  </conditionalFormatting>
  <conditionalFormatting sqref="D1208:D1209 D1213">
    <cfRule type="containsText" dxfId="1600" priority="1587" operator="containsText" text="Pesquisa de Preços">
      <formula>NOT(ISERROR(SEARCH("Pesquisa de Preços",D1208)))</formula>
    </cfRule>
  </conditionalFormatting>
  <conditionalFormatting sqref="D1133">
    <cfRule type="containsText" dxfId="1599" priority="1586" operator="containsText" text="Pesquisa de Preços">
      <formula>NOT(ISERROR(SEARCH("Pesquisa de Preços",D1133)))</formula>
    </cfRule>
  </conditionalFormatting>
  <conditionalFormatting sqref="D1267:D1268 D1270:D1271">
    <cfRule type="containsText" dxfId="1598" priority="1585" operator="containsText" text="Pesquisa de Preços">
      <formula>NOT(ISERROR(SEARCH("Pesquisa de Preços",D1267)))</formula>
    </cfRule>
  </conditionalFormatting>
  <conditionalFormatting sqref="D1269">
    <cfRule type="containsText" dxfId="1597" priority="1584" operator="containsText" text="Pesquisa de Preços">
      <formula>NOT(ISERROR(SEARCH("Pesquisa de Preços",D1269)))</formula>
    </cfRule>
  </conditionalFormatting>
  <conditionalFormatting sqref="D1301:D1302 D1306:D1307">
    <cfRule type="containsText" dxfId="1596" priority="1583" operator="containsText" text="Pesquisa de Preços">
      <formula>NOT(ISERROR(SEARCH("Pesquisa de Preços",D1301)))</formula>
    </cfRule>
  </conditionalFormatting>
  <conditionalFormatting sqref="D1303:D1304">
    <cfRule type="containsText" dxfId="1595" priority="1582" operator="containsText" text="Pesquisa de Preços">
      <formula>NOT(ISERROR(SEARCH("Pesquisa de Preços",D1303)))</formula>
    </cfRule>
  </conditionalFormatting>
  <conditionalFormatting sqref="D1309 D1315:D1316">
    <cfRule type="containsText" dxfId="1594" priority="1581" operator="containsText" text="Pesquisa de Preços">
      <formula>NOT(ISERROR(SEARCH("Pesquisa de Preços",D1309)))</formula>
    </cfRule>
  </conditionalFormatting>
  <conditionalFormatting sqref="D1399:D1400 D1403:D1404">
    <cfRule type="containsText" dxfId="1593" priority="1565" operator="containsText" text="Pesquisa de Preços">
      <formula>NOT(ISERROR(SEARCH("Pesquisa de Preços",D1399)))</formula>
    </cfRule>
  </conditionalFormatting>
  <conditionalFormatting sqref="D1273:D1274">
    <cfRule type="containsText" dxfId="1592" priority="1580" operator="containsText" text="Pesquisa de Preços">
      <formula>NOT(ISERROR(SEARCH("Pesquisa de Preços",D1273)))</formula>
    </cfRule>
  </conditionalFormatting>
  <conditionalFormatting sqref="D1275:D1277">
    <cfRule type="containsText" dxfId="1591" priority="1579" operator="containsText" text="Pesquisa de Preços">
      <formula>NOT(ISERROR(SEARCH("Pesquisa de Preços",D1275)))</formula>
    </cfRule>
  </conditionalFormatting>
  <conditionalFormatting sqref="D1280:D1281 D1285">
    <cfRule type="containsText" dxfId="1590" priority="1578" operator="containsText" text="Pesquisa de Preços">
      <formula>NOT(ISERROR(SEARCH("Pesquisa de Preços",D1280)))</formula>
    </cfRule>
  </conditionalFormatting>
  <conditionalFormatting sqref="D1287:D1288 D1292">
    <cfRule type="containsText" dxfId="1589" priority="1577" operator="containsText" text="Pesquisa de Preços">
      <formula>NOT(ISERROR(SEARCH("Pesquisa de Preços",D1287)))</formula>
    </cfRule>
  </conditionalFormatting>
  <conditionalFormatting sqref="D1294 D1297 D1299">
    <cfRule type="containsText" dxfId="1588" priority="1576" operator="containsText" text="Pesquisa de Preços">
      <formula>NOT(ISERROR(SEARCH("Pesquisa de Preços",D1294)))</formula>
    </cfRule>
  </conditionalFormatting>
  <conditionalFormatting sqref="D1376">
    <cfRule type="containsText" dxfId="1587" priority="1558" operator="containsText" text="Pesquisa de Preços">
      <formula>NOT(ISERROR(SEARCH("Pesquisa de Preços",D1376)))</formula>
    </cfRule>
  </conditionalFormatting>
  <conditionalFormatting sqref="D1330:D1331">
    <cfRule type="containsText" dxfId="1586" priority="1574" operator="containsText" text="Pesquisa de Preços">
      <formula>NOT(ISERROR(SEARCH("Pesquisa de Preços",D1330)))</formula>
    </cfRule>
  </conditionalFormatting>
  <conditionalFormatting sqref="D1336:D1337">
    <cfRule type="containsText" dxfId="1585" priority="1575" operator="containsText" text="Pesquisa de Preços">
      <formula>NOT(ISERROR(SEARCH("Pesquisa de Preços",D1336)))</formula>
    </cfRule>
  </conditionalFormatting>
  <conditionalFormatting sqref="D1318:D1319">
    <cfRule type="containsText" dxfId="1584" priority="1572" operator="containsText" text="Pesquisa de Preços">
      <formula>NOT(ISERROR(SEARCH("Pesquisa de Preços",D1318)))</formula>
    </cfRule>
  </conditionalFormatting>
  <conditionalFormatting sqref="D1324:D1325">
    <cfRule type="containsText" dxfId="1583" priority="1573" operator="containsText" text="Pesquisa de Preços">
      <formula>NOT(ISERROR(SEARCH("Pesquisa de Preços",D1324)))</formula>
    </cfRule>
  </conditionalFormatting>
  <conditionalFormatting sqref="D1342:D1343 D1346:D1347">
    <cfRule type="containsText" dxfId="1582" priority="1571" operator="containsText" text="Pesquisa de Preços">
      <formula>NOT(ISERROR(SEARCH("Pesquisa de Preços",D1342)))</formula>
    </cfRule>
  </conditionalFormatting>
  <conditionalFormatting sqref="D1517">
    <cfRule type="containsText" dxfId="1581" priority="1550" operator="containsText" text="Pesquisa de Preços">
      <formula>NOT(ISERROR(SEARCH("Pesquisa de Preços",D1517)))</formula>
    </cfRule>
  </conditionalFormatting>
  <conditionalFormatting sqref="D1344:D1345">
    <cfRule type="containsText" dxfId="1580" priority="1570" operator="containsText" text="Pesquisa de Preços">
      <formula>NOT(ISERROR(SEARCH("Pesquisa de Preços",D1344)))</formula>
    </cfRule>
  </conditionalFormatting>
  <conditionalFormatting sqref="D1355:D1356 D1359:D1360">
    <cfRule type="containsText" dxfId="1579" priority="1569" operator="containsText" text="Pesquisa de Preços">
      <formula>NOT(ISERROR(SEARCH("Pesquisa de Preços",D1355)))</formula>
    </cfRule>
  </conditionalFormatting>
  <conditionalFormatting sqref="D1525">
    <cfRule type="containsText" dxfId="1578" priority="1551" operator="containsText" text="Pesquisa de Preços">
      <formula>NOT(ISERROR(SEARCH("Pesquisa de Preços",D1525)))</formula>
    </cfRule>
  </conditionalFormatting>
  <conditionalFormatting sqref="D1357:D1358">
    <cfRule type="containsText" dxfId="1577" priority="1568" operator="containsText" text="Pesquisa de Preços">
      <formula>NOT(ISERROR(SEARCH("Pesquisa de Preços",D1357)))</formula>
    </cfRule>
  </conditionalFormatting>
  <conditionalFormatting sqref="D1349 D1352:D1353">
    <cfRule type="containsText" dxfId="1576" priority="1567" operator="containsText" text="Pesquisa de Preços">
      <formula>NOT(ISERROR(SEARCH("Pesquisa de Preços",D1349)))</formula>
    </cfRule>
  </conditionalFormatting>
  <conditionalFormatting sqref="D1362 D1365:D1366">
    <cfRule type="containsText" dxfId="1575" priority="1566" operator="containsText" text="Pesquisa de Preços">
      <formula>NOT(ISERROR(SEARCH("Pesquisa de Preços",D1362)))</formula>
    </cfRule>
  </conditionalFormatting>
  <conditionalFormatting sqref="D1401:D1402">
    <cfRule type="containsText" dxfId="1574" priority="1564" operator="containsText" text="Pesquisa de Preços">
      <formula>NOT(ISERROR(SEARCH("Pesquisa de Preços",D1401)))</formula>
    </cfRule>
  </conditionalFormatting>
  <conditionalFormatting sqref="D1390:D1391 D1387:D1388">
    <cfRule type="containsText" dxfId="1573" priority="1563" operator="containsText" text="Pesquisa de Preços">
      <formula>NOT(ISERROR(SEARCH("Pesquisa de Preços",D1387)))</formula>
    </cfRule>
  </conditionalFormatting>
  <conditionalFormatting sqref="D1389">
    <cfRule type="containsText" dxfId="1572" priority="1562" operator="containsText" text="Pesquisa de Preços">
      <formula>NOT(ISERROR(SEARCH("Pesquisa de Preços",D1389)))</formula>
    </cfRule>
  </conditionalFormatting>
  <conditionalFormatting sqref="D1368:D1369 D1371:D1372">
    <cfRule type="containsText" dxfId="1571" priority="1561" operator="containsText" text="Pesquisa de Preços">
      <formula>NOT(ISERROR(SEARCH("Pesquisa de Preços",D1368)))</formula>
    </cfRule>
  </conditionalFormatting>
  <conditionalFormatting sqref="D1370">
    <cfRule type="containsText" dxfId="1570" priority="1560" operator="containsText" text="Pesquisa de Preços">
      <formula>NOT(ISERROR(SEARCH("Pesquisa de Preços",D1370)))</formula>
    </cfRule>
  </conditionalFormatting>
  <conditionalFormatting sqref="D1374:D1375 D1379">
    <cfRule type="containsText" dxfId="1569" priority="1559" operator="containsText" text="Pesquisa de Preços">
      <formula>NOT(ISERROR(SEARCH("Pesquisa de Preços",D1374)))</formula>
    </cfRule>
  </conditionalFormatting>
  <conditionalFormatting sqref="D1381 D1384:D1385">
    <cfRule type="containsText" dxfId="1568" priority="1557" operator="containsText" text="Pesquisa de Preços">
      <formula>NOT(ISERROR(SEARCH("Pesquisa de Preços",D1381)))</formula>
    </cfRule>
  </conditionalFormatting>
  <conditionalFormatting sqref="D1406 D1419">
    <cfRule type="containsText" dxfId="1567" priority="1543" operator="containsText" text="Pesquisa de Preços">
      <formula>NOT(ISERROR(SEARCH("Pesquisa de Preços",D1406)))</formula>
    </cfRule>
  </conditionalFormatting>
  <conditionalFormatting sqref="D1558:D1559">
    <cfRule type="containsText" dxfId="1566" priority="1556" operator="containsText" text="Pesquisa de Preços">
      <formula>NOT(ISERROR(SEARCH("Pesquisa de Preços",D1558)))</formula>
    </cfRule>
  </conditionalFormatting>
  <conditionalFormatting sqref="D1560 D1562">
    <cfRule type="containsText" dxfId="1565" priority="1555" operator="containsText" text="Pesquisa de Preços">
      <formula>NOT(ISERROR(SEARCH("Pesquisa de Preços",D1560)))</formula>
    </cfRule>
  </conditionalFormatting>
  <conditionalFormatting sqref="D1551:D1552">
    <cfRule type="containsText" dxfId="1564" priority="1554" operator="containsText" text="Pesquisa de Preços">
      <formula>NOT(ISERROR(SEARCH("Pesquisa de Preços",D1551)))</formula>
    </cfRule>
  </conditionalFormatting>
  <conditionalFormatting sqref="D1543 D1549">
    <cfRule type="containsText" dxfId="1563" priority="1553" operator="containsText" text="Pesquisa de Preços">
      <formula>NOT(ISERROR(SEARCH("Pesquisa de Preços",D1543)))</formula>
    </cfRule>
  </conditionalFormatting>
  <conditionalFormatting sqref="D1527">
    <cfRule type="containsText" dxfId="1562" priority="1552" operator="containsText" text="Pesquisa de Preços">
      <formula>NOT(ISERROR(SEARCH("Pesquisa de Preços",D1527)))</formula>
    </cfRule>
  </conditionalFormatting>
  <conditionalFormatting sqref="D1565:D1566 D1569:D1570">
    <cfRule type="containsText" dxfId="1561" priority="1546" operator="containsText" text="Pesquisa de Preços">
      <formula>NOT(ISERROR(SEARCH("Pesquisa de Preços",D1565)))</formula>
    </cfRule>
  </conditionalFormatting>
  <conditionalFormatting sqref="D1494">
    <cfRule type="containsText" dxfId="1560" priority="1538" operator="containsText" text="Pesquisa de Preços">
      <formula>NOT(ISERROR(SEARCH("Pesquisa de Preços",D1494)))</formula>
    </cfRule>
  </conditionalFormatting>
  <conditionalFormatting sqref="D1496 D1509">
    <cfRule type="containsText" dxfId="1559" priority="1544" operator="containsText" text="Pesquisa de Preços">
      <formula>NOT(ISERROR(SEARCH("Pesquisa de Preços",D1496)))</formula>
    </cfRule>
  </conditionalFormatting>
  <conditionalFormatting sqref="D1541">
    <cfRule type="containsText" dxfId="1558" priority="1549" operator="containsText" text="Pesquisa de Preços">
      <formula>NOT(ISERROR(SEARCH("Pesquisa de Preços",D1541)))</formula>
    </cfRule>
  </conditionalFormatting>
  <conditionalFormatting sqref="D1572:D1573 D1576:D1577">
    <cfRule type="containsText" dxfId="1557" priority="1548" operator="containsText" text="Pesquisa de Preços">
      <formula>NOT(ISERROR(SEARCH("Pesquisa de Preços",D1572)))</formula>
    </cfRule>
  </conditionalFormatting>
  <conditionalFormatting sqref="D1575">
    <cfRule type="containsText" dxfId="1556" priority="1547" operator="containsText" text="Pesquisa de Preços">
      <formula>NOT(ISERROR(SEARCH("Pesquisa de Preços",D1575)))</formula>
    </cfRule>
  </conditionalFormatting>
  <conditionalFormatting sqref="D1567:D1568">
    <cfRule type="containsText" dxfId="1555" priority="1545" operator="containsText" text="Pesquisa de Preços">
      <formula>NOT(ISERROR(SEARCH("Pesquisa de Preços",D1567)))</formula>
    </cfRule>
  </conditionalFormatting>
  <conditionalFormatting sqref="D1612 D1616:D1617">
    <cfRule type="containsText" dxfId="1554" priority="1521" operator="containsText" text="Pesquisa de Preços">
      <formula>NOT(ISERROR(SEARCH("Pesquisa de Preços",D1612)))</formula>
    </cfRule>
  </conditionalFormatting>
  <conditionalFormatting sqref="D1436 D1449">
    <cfRule type="containsText" dxfId="1553" priority="1542" operator="containsText" text="Pesquisa de Preços">
      <formula>NOT(ISERROR(SEARCH("Pesquisa de Preços",D1436)))</formula>
    </cfRule>
  </conditionalFormatting>
  <conditionalFormatting sqref="D1630 D1634">
    <cfRule type="containsText" dxfId="1552" priority="1527" operator="containsText" text="Pesquisa de Preços">
      <formula>NOT(ISERROR(SEARCH("Pesquisa de Preços",D1630)))</formula>
    </cfRule>
  </conditionalFormatting>
  <conditionalFormatting sqref="D1421 D1434">
    <cfRule type="containsText" dxfId="1551" priority="1541" operator="containsText" text="Pesquisa de Preços">
      <formula>NOT(ISERROR(SEARCH("Pesquisa de Preços",D1421)))</formula>
    </cfRule>
  </conditionalFormatting>
  <conditionalFormatting sqref="D1466 D1479">
    <cfRule type="containsText" dxfId="1550" priority="1540" operator="containsText" text="Pesquisa de Preços">
      <formula>NOT(ISERROR(SEARCH("Pesquisa de Preços",D1466)))</formula>
    </cfRule>
  </conditionalFormatting>
  <conditionalFormatting sqref="D1693 D1696:D1698">
    <cfRule type="containsText" dxfId="1549" priority="1528" operator="containsText" text="Pesquisa de Preços">
      <formula>NOT(ISERROR(SEARCH("Pesquisa de Preços",D1693)))</formula>
    </cfRule>
  </conditionalFormatting>
  <conditionalFormatting sqref="D1464">
    <cfRule type="containsText" dxfId="1548" priority="1539" operator="containsText" text="Pesquisa de Preços">
      <formula>NOT(ISERROR(SEARCH("Pesquisa de Preços",D1464)))</formula>
    </cfRule>
  </conditionalFormatting>
  <conditionalFormatting sqref="D1594 D1598">
    <cfRule type="containsText" dxfId="1547" priority="1533" operator="containsText" text="Pesquisa de Preços">
      <formula>NOT(ISERROR(SEARCH("Pesquisa de Preços",D1594)))</formula>
    </cfRule>
  </conditionalFormatting>
  <conditionalFormatting sqref="D1579:D1580 D1591:D1592">
    <cfRule type="containsText" dxfId="1546" priority="1537" operator="containsText" text="Pesquisa de Preços">
      <formula>NOT(ISERROR(SEARCH("Pesquisa de Preços",D1579)))</formula>
    </cfRule>
  </conditionalFormatting>
  <conditionalFormatting sqref="D1581:D1588 D1590">
    <cfRule type="containsText" dxfId="1545" priority="1536" operator="containsText" text="Pesquisa de Preços">
      <formula>NOT(ISERROR(SEARCH("Pesquisa de Preços",D1581)))</formula>
    </cfRule>
  </conditionalFormatting>
  <conditionalFormatting sqref="D1393:D1394 D1396:D1397">
    <cfRule type="containsText" dxfId="1544" priority="1535" operator="containsText" text="Pesquisa de Preços">
      <formula>NOT(ISERROR(SEARCH("Pesquisa de Preços",D1393)))</formula>
    </cfRule>
  </conditionalFormatting>
  <conditionalFormatting sqref="D1395">
    <cfRule type="containsText" dxfId="1543" priority="1534" operator="containsText" text="Pesquisa de Preços">
      <formula>NOT(ISERROR(SEARCH("Pesquisa de Preços",D1395)))</formula>
    </cfRule>
  </conditionalFormatting>
  <conditionalFormatting sqref="D1636 D1638:D1639">
    <cfRule type="containsText" dxfId="1542" priority="1524" operator="containsText" text="Pesquisa de Preços">
      <formula>NOT(ISERROR(SEARCH("Pesquisa de Preços",D1636)))</formula>
    </cfRule>
  </conditionalFormatting>
  <conditionalFormatting sqref="D1600 D1604">
    <cfRule type="containsText" dxfId="1541" priority="1532" operator="containsText" text="Pesquisa de Preços">
      <formula>NOT(ISERROR(SEARCH("Pesquisa de Preços",D1600)))</formula>
    </cfRule>
  </conditionalFormatting>
  <conditionalFormatting sqref="D1610">
    <cfRule type="containsText" dxfId="1540" priority="1531" operator="containsText" text="Pesquisa de Preços">
      <formula>NOT(ISERROR(SEARCH("Pesquisa de Preços",D1610)))</formula>
    </cfRule>
  </conditionalFormatting>
  <conditionalFormatting sqref="D1647:D1648">
    <cfRule type="containsText" dxfId="1539" priority="1530" operator="containsText" text="Pesquisa de Preços">
      <formula>NOT(ISERROR(SEARCH("Pesquisa de Preços",D1647)))</formula>
    </cfRule>
  </conditionalFormatting>
  <conditionalFormatting sqref="D1649:D1650">
    <cfRule type="containsText" dxfId="1538" priority="1529" operator="containsText" text="Pesquisa de Preços">
      <formula>NOT(ISERROR(SEARCH("Pesquisa de Preços",D1649)))</formula>
    </cfRule>
  </conditionalFormatting>
  <conditionalFormatting sqref="D1624 D1628">
    <cfRule type="containsText" dxfId="1537" priority="1526" operator="containsText" text="Pesquisa de Preços">
      <formula>NOT(ISERROR(SEARCH("Pesquisa de Preços",D1624)))</formula>
    </cfRule>
  </conditionalFormatting>
  <conditionalFormatting sqref="D1619 D1621:D1622">
    <cfRule type="containsText" dxfId="1536" priority="1525" operator="containsText" text="Pesquisa de Preços">
      <formula>NOT(ISERROR(SEARCH("Pesquisa de Preços",D1619)))</formula>
    </cfRule>
  </conditionalFormatting>
  <conditionalFormatting sqref="D1641 D1644:D1645">
    <cfRule type="containsText" dxfId="1535" priority="1523" operator="containsText" text="Pesquisa de Preços">
      <formula>NOT(ISERROR(SEARCH("Pesquisa de Preços",D1641)))</formula>
    </cfRule>
  </conditionalFormatting>
  <conditionalFormatting sqref="D1744:D1745 D1736:D1738">
    <cfRule type="containsText" dxfId="1534" priority="1515" operator="containsText" text="Pesquisa de Preços">
      <formula>NOT(ISERROR(SEARCH("Pesquisa de Preços",D1736)))</formula>
    </cfRule>
  </conditionalFormatting>
  <conditionalFormatting sqref="D1686 D1690:D1691">
    <cfRule type="containsText" dxfId="1533" priority="1522" operator="containsText" text="Pesquisa de Preços">
      <formula>NOT(ISERROR(SEARCH("Pesquisa de Preços",D1686)))</formula>
    </cfRule>
  </conditionalFormatting>
  <conditionalFormatting sqref="D1680 D1683:D1684">
    <cfRule type="containsText" dxfId="1532" priority="1520" operator="containsText" text="Pesquisa de Preços">
      <formula>NOT(ISERROR(SEARCH("Pesquisa de Preços",D1680)))</formula>
    </cfRule>
  </conditionalFormatting>
  <conditionalFormatting sqref="D1675 D1677:D1678">
    <cfRule type="containsText" dxfId="1531" priority="1519" operator="containsText" text="Pesquisa de Preços">
      <formula>NOT(ISERROR(SEARCH("Pesquisa de Preços",D1675)))</formula>
    </cfRule>
  </conditionalFormatting>
  <conditionalFormatting sqref="D1725:D1726 D1733:D1734">
    <cfRule type="containsText" dxfId="1530" priority="1512" operator="containsText" text="Pesquisa de Preços">
      <formula>NOT(ISERROR(SEARCH("Pesquisa de Preços",D1725)))</formula>
    </cfRule>
  </conditionalFormatting>
  <conditionalFormatting sqref="D1670">
    <cfRule type="containsText" dxfId="1529" priority="1517" operator="containsText" text="Pesquisa de Preços">
      <formula>NOT(ISERROR(SEARCH("Pesquisa de Preços",D1670)))</formula>
    </cfRule>
  </conditionalFormatting>
  <conditionalFormatting sqref="D1665">
    <cfRule type="containsText" dxfId="1528" priority="1518" operator="containsText" text="Pesquisa de Preços">
      <formula>NOT(ISERROR(SEARCH("Pesquisa de Preços",D1665)))</formula>
    </cfRule>
  </conditionalFormatting>
  <conditionalFormatting sqref="D1659 D1662:D1663">
    <cfRule type="containsText" dxfId="1527" priority="1516" operator="containsText" text="Pesquisa de Preços">
      <formula>NOT(ISERROR(SEARCH("Pesquisa de Preços",D1659)))</formula>
    </cfRule>
  </conditionalFormatting>
  <conditionalFormatting sqref="D1755:D1756 D1747:D1748">
    <cfRule type="containsText" dxfId="1526" priority="1514" operator="containsText" text="Pesquisa de Preços">
      <formula>NOT(ISERROR(SEARCH("Pesquisa de Preços",D1747)))</formula>
    </cfRule>
  </conditionalFormatting>
  <conditionalFormatting sqref="D1714:D1715 D1723">
    <cfRule type="containsText" dxfId="1525" priority="1513" operator="containsText" text="Pesquisa de Preços">
      <formula>NOT(ISERROR(SEARCH("Pesquisa de Preços",D1714)))</formula>
    </cfRule>
  </conditionalFormatting>
  <conditionalFormatting sqref="D1700:D1701 D1703:D1704">
    <cfRule type="containsText" dxfId="1524" priority="1511" operator="containsText" text="Pesquisa de Preços">
      <formula>NOT(ISERROR(SEARCH("Pesquisa de Preços",D1700)))</formula>
    </cfRule>
  </conditionalFormatting>
  <conditionalFormatting sqref="D1706">
    <cfRule type="containsText" dxfId="1523" priority="1510" operator="containsText" text="Pesquisa de Preços">
      <formula>NOT(ISERROR(SEARCH("Pesquisa de Preços",D1706)))</formula>
    </cfRule>
  </conditionalFormatting>
  <conditionalFormatting sqref="D1709:D1710">
    <cfRule type="containsText" dxfId="1522" priority="1509" operator="containsText" text="Pesquisa de Preços">
      <formula>NOT(ISERROR(SEARCH("Pesquisa de Preços",D1709)))</formula>
    </cfRule>
  </conditionalFormatting>
  <conditionalFormatting sqref="D1819">
    <cfRule type="containsText" dxfId="1521" priority="1508" operator="containsText" text="Pesquisa de Preços">
      <formula>NOT(ISERROR(SEARCH("Pesquisa de Preços",D1819)))</formula>
    </cfRule>
  </conditionalFormatting>
  <conditionalFormatting sqref="D1845">
    <cfRule type="containsText" dxfId="1520" priority="1502" operator="containsText" text="Pesquisa de Preços">
      <formula>NOT(ISERROR(SEARCH("Pesquisa de Preços",D1845)))</formula>
    </cfRule>
  </conditionalFormatting>
  <conditionalFormatting sqref="D1814">
    <cfRule type="containsText" dxfId="1519" priority="1507" operator="containsText" text="Pesquisa de Preços">
      <formula>NOT(ISERROR(SEARCH("Pesquisa de Preços",D1814)))</formula>
    </cfRule>
  </conditionalFormatting>
  <conditionalFormatting sqref="D1824 D1827:D1828">
    <cfRule type="containsText" dxfId="1518" priority="1506" operator="containsText" text="Pesquisa de Preços">
      <formula>NOT(ISERROR(SEARCH("Pesquisa de Preços",D1824)))</formula>
    </cfRule>
  </conditionalFormatting>
  <conditionalFormatting sqref="D1826">
    <cfRule type="containsText" dxfId="1517" priority="1505" operator="containsText" text="Pesquisa de Preços">
      <formula>NOT(ISERROR(SEARCH("Pesquisa de Preços",D1826)))</formula>
    </cfRule>
  </conditionalFormatting>
  <conditionalFormatting sqref="D1830 D1833:D1834">
    <cfRule type="containsText" dxfId="1516" priority="1504" operator="containsText" text="Pesquisa de Preços">
      <formula>NOT(ISERROR(SEARCH("Pesquisa de Preços",D1830)))</formula>
    </cfRule>
  </conditionalFormatting>
  <conditionalFormatting sqref="D1843:D1844 D1846:D1847">
    <cfRule type="containsText" dxfId="1515" priority="1503" operator="containsText" text="Pesquisa de Preços">
      <formula>NOT(ISERROR(SEARCH("Pesquisa de Preços",D1843)))</formula>
    </cfRule>
  </conditionalFormatting>
  <conditionalFormatting sqref="D1849:D1850 D1852:D1853">
    <cfRule type="containsText" dxfId="1514" priority="1501" operator="containsText" text="Pesquisa de Preços">
      <formula>NOT(ISERROR(SEARCH("Pesquisa de Preços",D1849)))</formula>
    </cfRule>
  </conditionalFormatting>
  <conditionalFormatting sqref="D1857">
    <cfRule type="containsText" dxfId="1513" priority="1497" operator="containsText" text="Pesquisa de Preços">
      <formula>NOT(ISERROR(SEARCH("Pesquisa de Preços",D1857)))</formula>
    </cfRule>
  </conditionalFormatting>
  <conditionalFormatting sqref="D1851">
    <cfRule type="containsText" dxfId="1512" priority="1500" operator="containsText" text="Pesquisa de Preços">
      <formula>NOT(ISERROR(SEARCH("Pesquisa de Preços",D1851)))</formula>
    </cfRule>
  </conditionalFormatting>
  <conditionalFormatting sqref="D1836:D1837 D1841">
    <cfRule type="containsText" dxfId="1511" priority="1499" operator="containsText" text="Pesquisa de Preços">
      <formula>NOT(ISERROR(SEARCH("Pesquisa de Preços",D1836)))</formula>
    </cfRule>
  </conditionalFormatting>
  <conditionalFormatting sqref="D1899">
    <cfRule type="containsText" dxfId="1510" priority="1494" operator="containsText" text="Pesquisa de Preços">
      <formula>NOT(ISERROR(SEARCH("Pesquisa de Preços",D1899)))</formula>
    </cfRule>
  </conditionalFormatting>
  <conditionalFormatting sqref="D1855:D1856 D1858:D1859">
    <cfRule type="containsText" dxfId="1509" priority="1498" operator="containsText" text="Pesquisa de Preços">
      <formula>NOT(ISERROR(SEARCH("Pesquisa de Preços",D1855)))</formula>
    </cfRule>
  </conditionalFormatting>
  <conditionalFormatting sqref="D1861 D1865">
    <cfRule type="containsText" dxfId="1508" priority="1496" operator="containsText" text="Pesquisa de Preços">
      <formula>NOT(ISERROR(SEARCH("Pesquisa de Preços",D1861)))</formula>
    </cfRule>
  </conditionalFormatting>
  <conditionalFormatting sqref="D1897:D1898 D1900:D1901">
    <cfRule type="containsText" dxfId="1507" priority="1495" operator="containsText" text="Pesquisa de Preços">
      <formula>NOT(ISERROR(SEARCH("Pesquisa de Preços",D1897)))</formula>
    </cfRule>
  </conditionalFormatting>
  <conditionalFormatting sqref="D1873:D1874 D1876:D1877">
    <cfRule type="containsText" dxfId="1506" priority="1493" operator="containsText" text="Pesquisa de Preços">
      <formula>NOT(ISERROR(SEARCH("Pesquisa de Preços",D1873)))</formula>
    </cfRule>
  </conditionalFormatting>
  <conditionalFormatting sqref="D1875">
    <cfRule type="containsText" dxfId="1505" priority="1492" operator="containsText" text="Pesquisa de Preços">
      <formula>NOT(ISERROR(SEARCH("Pesquisa de Preços",D1875)))</formula>
    </cfRule>
  </conditionalFormatting>
  <conditionalFormatting sqref="D1891 D1895">
    <cfRule type="containsText" dxfId="1504" priority="1491" operator="containsText" text="Pesquisa de Preços">
      <formula>NOT(ISERROR(SEARCH("Pesquisa de Preços",D1891)))</formula>
    </cfRule>
  </conditionalFormatting>
  <conditionalFormatting sqref="D1867:D1868 D1870:D1871">
    <cfRule type="containsText" dxfId="1503" priority="1490" operator="containsText" text="Pesquisa de Preços">
      <formula>NOT(ISERROR(SEARCH("Pesquisa de Preços",D1867)))</formula>
    </cfRule>
  </conditionalFormatting>
  <conditionalFormatting sqref="D1869">
    <cfRule type="containsText" dxfId="1502" priority="1489" operator="containsText" text="Pesquisa de Preços">
      <formula>NOT(ISERROR(SEARCH("Pesquisa de Preços",D1869)))</formula>
    </cfRule>
  </conditionalFormatting>
  <conditionalFormatting sqref="D1879:D1880 D1882:D1883">
    <cfRule type="containsText" dxfId="1501" priority="1488" operator="containsText" text="Pesquisa de Preços">
      <formula>NOT(ISERROR(SEARCH("Pesquisa de Preços",D1879)))</formula>
    </cfRule>
  </conditionalFormatting>
  <conditionalFormatting sqref="D1905">
    <cfRule type="containsText" dxfId="1500" priority="1484" operator="containsText" text="Pesquisa de Preços">
      <formula>NOT(ISERROR(SEARCH("Pesquisa de Preços",D1905)))</formula>
    </cfRule>
  </conditionalFormatting>
  <conditionalFormatting sqref="D1881">
    <cfRule type="containsText" dxfId="1499" priority="1487" operator="containsText" text="Pesquisa de Preços">
      <formula>NOT(ISERROR(SEARCH("Pesquisa de Preços",D1881)))</formula>
    </cfRule>
  </conditionalFormatting>
  <conditionalFormatting sqref="D1885 D1889">
    <cfRule type="containsText" dxfId="1498" priority="1486" operator="containsText" text="Pesquisa de Preços">
      <formula>NOT(ISERROR(SEARCH("Pesquisa de Preços",D1885)))</formula>
    </cfRule>
  </conditionalFormatting>
  <conditionalFormatting sqref="D1930 D1933:D1934">
    <cfRule type="containsText" dxfId="1497" priority="1478" operator="containsText" text="Pesquisa de Preços">
      <formula>NOT(ISERROR(SEARCH("Pesquisa de Preços",D1930)))</formula>
    </cfRule>
  </conditionalFormatting>
  <conditionalFormatting sqref="D1903:D1904 D1906:D1907">
    <cfRule type="containsText" dxfId="1496" priority="1485" operator="containsText" text="Pesquisa de Preços">
      <formula>NOT(ISERROR(SEARCH("Pesquisa de Preços",D1903)))</formula>
    </cfRule>
  </conditionalFormatting>
  <conditionalFormatting sqref="D1911">
    <cfRule type="containsText" dxfId="1495" priority="1482" operator="containsText" text="Pesquisa de Preços">
      <formula>NOT(ISERROR(SEARCH("Pesquisa de Preços",D1911)))</formula>
    </cfRule>
  </conditionalFormatting>
  <conditionalFormatting sqref="D1909:D1910 D1912:D1913">
    <cfRule type="containsText" dxfId="1494" priority="1483" operator="containsText" text="Pesquisa de Preços">
      <formula>NOT(ISERROR(SEARCH("Pesquisa de Preços",D1909)))</formula>
    </cfRule>
  </conditionalFormatting>
  <conditionalFormatting sqref="D1915">
    <cfRule type="containsText" dxfId="1493" priority="1481" operator="containsText" text="Pesquisa de Preços">
      <formula>NOT(ISERROR(SEARCH("Pesquisa de Preços",D1915)))</formula>
    </cfRule>
  </conditionalFormatting>
  <conditionalFormatting sqref="D1925:D1926 D1928">
    <cfRule type="containsText" dxfId="1492" priority="1480" operator="containsText" text="Pesquisa de Preços">
      <formula>NOT(ISERROR(SEARCH("Pesquisa de Preços",D1925)))</formula>
    </cfRule>
  </conditionalFormatting>
  <conditionalFormatting sqref="D1920">
    <cfRule type="containsText" dxfId="1491" priority="1479" operator="containsText" text="Pesquisa de Preços">
      <formula>NOT(ISERROR(SEARCH("Pesquisa de Preços",D1920)))</formula>
    </cfRule>
  </conditionalFormatting>
  <conditionalFormatting sqref="D1953:D1954 D1956:D1957">
    <cfRule type="containsText" dxfId="1490" priority="1477" operator="containsText" text="Pesquisa de Preços">
      <formula>NOT(ISERROR(SEARCH("Pesquisa de Preços",D1953)))</formula>
    </cfRule>
  </conditionalFormatting>
  <conditionalFormatting sqref="D1955">
    <cfRule type="containsText" dxfId="1489" priority="1476" operator="containsText" text="Pesquisa de Preços">
      <formula>NOT(ISERROR(SEARCH("Pesquisa de Preços",D1955)))</formula>
    </cfRule>
  </conditionalFormatting>
  <conditionalFormatting sqref="D1962:D1963">
    <cfRule type="containsText" dxfId="1488" priority="1475" operator="containsText" text="Pesquisa de Preços">
      <formula>NOT(ISERROR(SEARCH("Pesquisa de Preços",D1962)))</formula>
    </cfRule>
  </conditionalFormatting>
  <conditionalFormatting sqref="D1972:D1973 D1977">
    <cfRule type="containsText" dxfId="1487" priority="1472" operator="containsText" text="Pesquisa de Preços">
      <formula>NOT(ISERROR(SEARCH("Pesquisa de Preços",D1972)))</formula>
    </cfRule>
  </conditionalFormatting>
  <conditionalFormatting sqref="D1975">
    <cfRule type="containsText" dxfId="1486" priority="1471" operator="containsText" text="Pesquisa de Preços">
      <formula>NOT(ISERROR(SEARCH("Pesquisa de Preços",D1975)))</formula>
    </cfRule>
  </conditionalFormatting>
  <conditionalFormatting sqref="D1987:D1988 D1992:D1993">
    <cfRule type="containsText" dxfId="1485" priority="1474" operator="containsText" text="Pesquisa de Preços">
      <formula>NOT(ISERROR(SEARCH("Pesquisa de Preços",D1987)))</formula>
    </cfRule>
  </conditionalFormatting>
  <conditionalFormatting sqref="D1979 D1985">
    <cfRule type="containsText" dxfId="1484" priority="1473" operator="containsText" text="Pesquisa de Preços">
      <formula>NOT(ISERROR(SEARCH("Pesquisa de Preços",D1979)))</formula>
    </cfRule>
  </conditionalFormatting>
  <conditionalFormatting sqref="D1965:D1966 D1970">
    <cfRule type="containsText" dxfId="1483" priority="1470" operator="containsText" text="Pesquisa de Preços">
      <formula>NOT(ISERROR(SEARCH("Pesquisa de Preços",D1965)))</formula>
    </cfRule>
  </conditionalFormatting>
  <conditionalFormatting sqref="D1968">
    <cfRule type="containsText" dxfId="1482" priority="1469" operator="containsText" text="Pesquisa de Preços">
      <formula>NOT(ISERROR(SEARCH("Pesquisa de Preços",D1968)))</formula>
    </cfRule>
  </conditionalFormatting>
  <conditionalFormatting sqref="D2016 D2021">
    <cfRule type="containsText" dxfId="1481" priority="1468" operator="containsText" text="Pesquisa de Preços">
      <formula>NOT(ISERROR(SEARCH("Pesquisa de Preços",D2016)))</formula>
    </cfRule>
  </conditionalFormatting>
  <conditionalFormatting sqref="D2011:D2012">
    <cfRule type="containsText" dxfId="1480" priority="1466" operator="containsText" text="Pesquisa de Preços">
      <formula>NOT(ISERROR(SEARCH("Pesquisa de Preços",D2011)))</formula>
    </cfRule>
  </conditionalFormatting>
  <conditionalFormatting sqref="D2009 D2014">
    <cfRule type="containsText" dxfId="1479" priority="1467" operator="containsText" text="Pesquisa de Preços">
      <formula>NOT(ISERROR(SEARCH("Pesquisa de Preços",D2009)))</formula>
    </cfRule>
  </conditionalFormatting>
  <conditionalFormatting sqref="D2004:D2005">
    <cfRule type="containsText" dxfId="1478" priority="1464" operator="containsText" text="Pesquisa de Preços">
      <formula>NOT(ISERROR(SEARCH("Pesquisa de Preços",D2004)))</formula>
    </cfRule>
  </conditionalFormatting>
  <conditionalFormatting sqref="D2002 D2007">
    <cfRule type="containsText" dxfId="1477" priority="1465" operator="containsText" text="Pesquisa de Preços">
      <formula>NOT(ISERROR(SEARCH("Pesquisa de Preços",D2002)))</formula>
    </cfRule>
  </conditionalFormatting>
  <conditionalFormatting sqref="D1995 D2000">
    <cfRule type="containsText" dxfId="1476" priority="1463" operator="containsText" text="Pesquisa de Preços">
      <formula>NOT(ISERROR(SEARCH("Pesquisa de Preços",D1995)))</formula>
    </cfRule>
  </conditionalFormatting>
  <conditionalFormatting sqref="D2141">
    <cfRule type="containsText" dxfId="1475" priority="1462" operator="containsText" text="Pesquisa de Preços">
      <formula>NOT(ISERROR(SEARCH("Pesquisa de Preços",D2141)))</formula>
    </cfRule>
  </conditionalFormatting>
  <conditionalFormatting sqref="D2143:D2144">
    <cfRule type="containsText" dxfId="1474" priority="1461" operator="containsText" text="Pesquisa de Preços">
      <formula>NOT(ISERROR(SEARCH("Pesquisa de Preços",D2143)))</formula>
    </cfRule>
  </conditionalFormatting>
  <conditionalFormatting sqref="D2135">
    <cfRule type="containsText" dxfId="1473" priority="1460" operator="containsText" text="Pesquisa de Preços">
      <formula>NOT(ISERROR(SEARCH("Pesquisa de Preços",D2135)))</formula>
    </cfRule>
  </conditionalFormatting>
  <conditionalFormatting sqref="D2137">
    <cfRule type="containsText" dxfId="1472" priority="1459" operator="containsText" text="Pesquisa de Preços">
      <formula>NOT(ISERROR(SEARCH("Pesquisa de Preços",D2137)))</formula>
    </cfRule>
  </conditionalFormatting>
  <conditionalFormatting sqref="D2129">
    <cfRule type="containsText" dxfId="1471" priority="1458" operator="containsText" text="Pesquisa de Preços">
      <formula>NOT(ISERROR(SEARCH("Pesquisa de Preços",D2129)))</formula>
    </cfRule>
  </conditionalFormatting>
  <conditionalFormatting sqref="D2131">
    <cfRule type="containsText" dxfId="1470" priority="1457" operator="containsText" text="Pesquisa de Preços">
      <formula>NOT(ISERROR(SEARCH("Pesquisa de Preços",D2131)))</formula>
    </cfRule>
  </conditionalFormatting>
  <conditionalFormatting sqref="D2123">
    <cfRule type="containsText" dxfId="1469" priority="1456" operator="containsText" text="Pesquisa de Preços">
      <formula>NOT(ISERROR(SEARCH("Pesquisa de Preços",D2123)))</formula>
    </cfRule>
  </conditionalFormatting>
  <conditionalFormatting sqref="D2125:D2126">
    <cfRule type="containsText" dxfId="1468" priority="1455" operator="containsText" text="Pesquisa de Preços">
      <formula>NOT(ISERROR(SEARCH("Pesquisa de Preços",D2125)))</formula>
    </cfRule>
  </conditionalFormatting>
  <conditionalFormatting sqref="D2155 D2159:D2161">
    <cfRule type="containsText" dxfId="1467" priority="1454" operator="containsText" text="Pesquisa de Preços">
      <formula>NOT(ISERROR(SEARCH("Pesquisa de Preços",D2155)))</formula>
    </cfRule>
  </conditionalFormatting>
  <conditionalFormatting sqref="D2171 D2175:D2177">
    <cfRule type="containsText" dxfId="1466" priority="1453" operator="containsText" text="Pesquisa de Preços">
      <formula>NOT(ISERROR(SEARCH("Pesquisa de Preços",D2171)))</formula>
    </cfRule>
  </conditionalFormatting>
  <conditionalFormatting sqref="D2151:D2153">
    <cfRule type="containsText" dxfId="1465" priority="1452" operator="containsText" text="Pesquisa de Preços">
      <formula>NOT(ISERROR(SEARCH("Pesquisa de Preços",D2151)))</formula>
    </cfRule>
  </conditionalFormatting>
  <conditionalFormatting sqref="D2183:D2185">
    <cfRule type="containsText" dxfId="1464" priority="1451" operator="containsText" text="Pesquisa de Preços">
      <formula>NOT(ISERROR(SEARCH("Pesquisa de Preços",D2183)))</formula>
    </cfRule>
  </conditionalFormatting>
  <conditionalFormatting sqref="D2061 D2065:D2067">
    <cfRule type="containsText" dxfId="1463" priority="1447" operator="containsText" text="Pesquisa de Preços">
      <formula>NOT(ISERROR(SEARCH("Pesquisa de Preços",D2061)))</formula>
    </cfRule>
  </conditionalFormatting>
  <conditionalFormatting sqref="D2167:D2169">
    <cfRule type="containsText" dxfId="1462" priority="1450" operator="containsText" text="Pesquisa de Preços">
      <formula>NOT(ISERROR(SEARCH("Pesquisa de Preços",D2167)))</formula>
    </cfRule>
  </conditionalFormatting>
  <conditionalFormatting sqref="D2191:D2193">
    <cfRule type="containsText" dxfId="1461" priority="1449" operator="containsText" text="Pesquisa de Preços">
      <formula>NOT(ISERROR(SEARCH("Pesquisa de Preços",D2191)))</formula>
    </cfRule>
  </conditionalFormatting>
  <conditionalFormatting sqref="D2245:D2247 D2249">
    <cfRule type="containsText" dxfId="1460" priority="1425" operator="containsText" text="Pesquisa de Preços">
      <formula>NOT(ISERROR(SEARCH("Pesquisa de Preços",D2245)))</formula>
    </cfRule>
  </conditionalFormatting>
  <conditionalFormatting sqref="D2045 D2049:D2051">
    <cfRule type="containsText" dxfId="1459" priority="1448" operator="containsText" text="Pesquisa de Preços">
      <formula>NOT(ISERROR(SEARCH("Pesquisa de Preços",D2045)))</formula>
    </cfRule>
  </conditionalFormatting>
  <conditionalFormatting sqref="D2053 D2057:D2059">
    <cfRule type="containsText" dxfId="1458" priority="1444" operator="containsText" text="Pesquisa de Preços">
      <formula>NOT(ISERROR(SEARCH("Pesquisa de Preços",D2053)))</formula>
    </cfRule>
  </conditionalFormatting>
  <conditionalFormatting sqref="D2338:D2339 D2341:D2342">
    <cfRule type="containsText" dxfId="1457" priority="1420" operator="containsText" text="Pesquisa de Preços">
      <formula>NOT(ISERROR(SEARCH("Pesquisa de Preços",D2338)))</formula>
    </cfRule>
  </conditionalFormatting>
  <conditionalFormatting sqref="D2037 D2041:D2043">
    <cfRule type="containsText" dxfId="1456" priority="1446" operator="containsText" text="Pesquisa de Preços">
      <formula>NOT(ISERROR(SEARCH("Pesquisa de Preços",D2037)))</formula>
    </cfRule>
  </conditionalFormatting>
  <conditionalFormatting sqref="D2069 D2073:D2075">
    <cfRule type="containsText" dxfId="1455" priority="1445" operator="containsText" text="Pesquisa de Preços">
      <formula>NOT(ISERROR(SEARCH("Pesquisa de Preços",D2069)))</formula>
    </cfRule>
  </conditionalFormatting>
  <conditionalFormatting sqref="D2317">
    <cfRule type="containsText" dxfId="1454" priority="1422" operator="containsText" text="Pesquisa de Preços">
      <formula>NOT(ISERROR(SEARCH("Pesquisa de Preços",D2317)))</formula>
    </cfRule>
  </conditionalFormatting>
  <conditionalFormatting sqref="D2334">
    <cfRule type="containsText" dxfId="1453" priority="1417" operator="containsText" text="Pesquisa de Preços">
      <formula>NOT(ISERROR(SEARCH("Pesquisa de Preços",D2334)))</formula>
    </cfRule>
  </conditionalFormatting>
  <conditionalFormatting sqref="D2077 D2081:D2083">
    <cfRule type="containsText" dxfId="1452" priority="1443" operator="containsText" text="Pesquisa de Preços">
      <formula>NOT(ISERROR(SEARCH("Pesquisa de Preços",D2077)))</formula>
    </cfRule>
  </conditionalFormatting>
  <conditionalFormatting sqref="D2256">
    <cfRule type="containsText" dxfId="1451" priority="1431" operator="containsText" text="Pesquisa de Preços">
      <formula>NOT(ISERROR(SEARCH("Pesquisa de Preços",D2256)))</formula>
    </cfRule>
  </conditionalFormatting>
  <conditionalFormatting sqref="D2035">
    <cfRule type="containsText" dxfId="1450" priority="1442" operator="containsText" text="Pesquisa de Preços">
      <formula>NOT(ISERROR(SEARCH("Pesquisa de Preços",D2035)))</formula>
    </cfRule>
  </conditionalFormatting>
  <conditionalFormatting sqref="D2113:D2115">
    <cfRule type="containsText" dxfId="1449" priority="1441" operator="containsText" text="Pesquisa de Preços">
      <formula>NOT(ISERROR(SEARCH("Pesquisa de Preços",D2113)))</formula>
    </cfRule>
  </conditionalFormatting>
  <conditionalFormatting sqref="D2105:D2107">
    <cfRule type="containsText" dxfId="1448" priority="1440" operator="containsText" text="Pesquisa de Preços">
      <formula>NOT(ISERROR(SEARCH("Pesquisa de Preços",D2105)))</formula>
    </cfRule>
  </conditionalFormatting>
  <conditionalFormatting sqref="D2220">
    <cfRule type="containsText" dxfId="1447" priority="1434" operator="containsText" text="Pesquisa de Preços">
      <formula>NOT(ISERROR(SEARCH("Pesquisa de Preços",D2220)))</formula>
    </cfRule>
  </conditionalFormatting>
  <conditionalFormatting sqref="D2099">
    <cfRule type="containsText" dxfId="1446" priority="1439" operator="containsText" text="Pesquisa de Preços">
      <formula>NOT(ISERROR(SEARCH("Pesquisa de Preços",D2099)))</formula>
    </cfRule>
  </conditionalFormatting>
  <conditionalFormatting sqref="D2023:D2024 D2026:D2027">
    <cfRule type="containsText" dxfId="1445" priority="1438" operator="containsText" text="Pesquisa de Preços">
      <formula>NOT(ISERROR(SEARCH("Pesquisa de Preços",D2023)))</formula>
    </cfRule>
  </conditionalFormatting>
  <conditionalFormatting sqref="D2117">
    <cfRule type="containsText" dxfId="1444" priority="1437" operator="containsText" text="Pesquisa de Preços">
      <formula>NOT(ISERROR(SEARCH("Pesquisa de Preços",D2117)))</formula>
    </cfRule>
  </conditionalFormatting>
  <conditionalFormatting sqref="D2211:D2212">
    <cfRule type="containsText" dxfId="1443" priority="1436" operator="containsText" text="Pesquisa de Preços">
      <formula>NOT(ISERROR(SEARCH("Pesquisa de Preços",D2211)))</formula>
    </cfRule>
  </conditionalFormatting>
  <conditionalFormatting sqref="D2216:D2217">
    <cfRule type="containsText" dxfId="1442" priority="1435" operator="containsText" text="Pesquisa de Preços">
      <formula>NOT(ISERROR(SEARCH("Pesquisa de Preços",D2216)))</formula>
    </cfRule>
  </conditionalFormatting>
  <conditionalFormatting sqref="D2236 D2239:D2240">
    <cfRule type="containsText" dxfId="1441" priority="1433" operator="containsText" text="Pesquisa de Preços">
      <formula>NOT(ISERROR(SEARCH("Pesquisa de Preços",D2236)))</formula>
    </cfRule>
  </conditionalFormatting>
  <conditionalFormatting sqref="D2230 D2234">
    <cfRule type="containsText" dxfId="1440" priority="1432" operator="containsText" text="Pesquisa de Preços">
      <formula>NOT(ISERROR(SEARCH("Pesquisa de Preços",D2230)))</formula>
    </cfRule>
  </conditionalFormatting>
  <conditionalFormatting sqref="D2302">
    <cfRule type="containsText" dxfId="1439" priority="1429" operator="containsText" text="Pesquisa de Preços">
      <formula>NOT(ISERROR(SEARCH("Pesquisa de Preços",D2302)))</formula>
    </cfRule>
  </conditionalFormatting>
  <conditionalFormatting sqref="D2259">
    <cfRule type="containsText" dxfId="1438" priority="1430" operator="containsText" text="Pesquisa de Preços">
      <formula>NOT(ISERROR(SEARCH("Pesquisa de Preços",D2259)))</formula>
    </cfRule>
  </conditionalFormatting>
  <conditionalFormatting sqref="D2292">
    <cfRule type="containsText" dxfId="1437" priority="1428" operator="containsText" text="Pesquisa de Preços">
      <formula>NOT(ISERROR(SEARCH("Pesquisa de Preços",D2292)))</formula>
    </cfRule>
  </conditionalFormatting>
  <conditionalFormatting sqref="D2282 D2290">
    <cfRule type="containsText" dxfId="1436" priority="1427" operator="containsText" text="Pesquisa de Preços">
      <formula>NOT(ISERROR(SEARCH("Pesquisa de Preços",D2282)))</formula>
    </cfRule>
  </conditionalFormatting>
  <conditionalFormatting sqref="D2242:D2243">
    <cfRule type="containsText" dxfId="1435" priority="1426" operator="containsText" text="Pesquisa de Preços">
      <formula>NOT(ISERROR(SEARCH("Pesquisa de Preços",D2242)))</formula>
    </cfRule>
  </conditionalFormatting>
  <conditionalFormatting sqref="D2319:D2320">
    <cfRule type="containsText" dxfId="1434" priority="1424" operator="containsText" text="Pesquisa de Preços">
      <formula>NOT(ISERROR(SEARCH("Pesquisa de Preços",D2319)))</formula>
    </cfRule>
  </conditionalFormatting>
  <conditionalFormatting sqref="D2323">
    <cfRule type="containsText" dxfId="1433" priority="1423" operator="containsText" text="Pesquisa de Preços">
      <formula>NOT(ISERROR(SEARCH("Pesquisa de Preços",D2323)))</formula>
    </cfRule>
  </conditionalFormatting>
  <conditionalFormatting sqref="D2350">
    <cfRule type="containsText" dxfId="1432" priority="1421" operator="containsText" text="Pesquisa de Preços">
      <formula>NOT(ISERROR(SEARCH("Pesquisa de Preços",D2350)))</formula>
    </cfRule>
  </conditionalFormatting>
  <conditionalFormatting sqref="D2340">
    <cfRule type="containsText" dxfId="1431" priority="1419" operator="containsText" text="Pesquisa de Preços">
      <formula>NOT(ISERROR(SEARCH("Pesquisa de Preços",D2340)))</formula>
    </cfRule>
  </conditionalFormatting>
  <conditionalFormatting sqref="D2332:D2333 D2335:D2336">
    <cfRule type="containsText" dxfId="1430" priority="1418" operator="containsText" text="Pesquisa de Preços">
      <formula>NOT(ISERROR(SEARCH("Pesquisa de Preços",D2332)))</formula>
    </cfRule>
  </conditionalFormatting>
  <conditionalFormatting sqref="D2344:D2345 D2347:D2348">
    <cfRule type="containsText" dxfId="1429" priority="1416" operator="containsText" text="Pesquisa de Preços">
      <formula>NOT(ISERROR(SEARCH("Pesquisa de Preços",D2344)))</formula>
    </cfRule>
  </conditionalFormatting>
  <conditionalFormatting sqref="D2346">
    <cfRule type="containsText" dxfId="1428" priority="1415" operator="containsText" text="Pesquisa de Preços">
      <formula>NOT(ISERROR(SEARCH("Pesquisa de Preços",D2346)))</formula>
    </cfRule>
  </conditionalFormatting>
  <conditionalFormatting sqref="D2326 D2329:D2330">
    <cfRule type="containsText" dxfId="1427" priority="1414" operator="containsText" text="Pesquisa de Preços">
      <formula>NOT(ISERROR(SEARCH("Pesquisa de Preços",D2326)))</formula>
    </cfRule>
  </conditionalFormatting>
  <conditionalFormatting sqref="D2328">
    <cfRule type="containsText" dxfId="1426" priority="1413" operator="containsText" text="Pesquisa de Preços">
      <formula>NOT(ISERROR(SEARCH("Pesquisa de Preços",D2328)))</formula>
    </cfRule>
  </conditionalFormatting>
  <conditionalFormatting sqref="D2355:D2358">
    <cfRule type="containsText" dxfId="1425" priority="1412" operator="containsText" text="Pesquisa de Preços">
      <formula>NOT(ISERROR(SEARCH("Pesquisa de Preços",D2355)))</formula>
    </cfRule>
  </conditionalFormatting>
  <conditionalFormatting sqref="D2360 D2362:D2363">
    <cfRule type="containsText" dxfId="1424" priority="1411" operator="containsText" text="Pesquisa de Preços">
      <formula>NOT(ISERROR(SEARCH("Pesquisa de Preços",D2360)))</formula>
    </cfRule>
  </conditionalFormatting>
  <conditionalFormatting sqref="D897:D898 D900:D902">
    <cfRule type="containsText" dxfId="1423" priority="1410" operator="containsText" text="Pesquisa de Preços">
      <formula>NOT(ISERROR(SEARCH("Pesquisa de Preços",D897)))</formula>
    </cfRule>
  </conditionalFormatting>
  <conditionalFormatting sqref="D857:D858">
    <cfRule type="containsText" dxfId="1422" priority="1407" operator="containsText" text="Pesquisa de Preços">
      <formula>NOT(ISERROR(SEARCH("Pesquisa de Preços",D857)))</formula>
    </cfRule>
  </conditionalFormatting>
  <conditionalFormatting sqref="D876 D881:D882">
    <cfRule type="containsText" dxfId="1421" priority="1409" operator="containsText" text="Pesquisa de Preços">
      <formula>NOT(ISERROR(SEARCH("Pesquisa de Preços",D876)))</formula>
    </cfRule>
  </conditionalFormatting>
  <conditionalFormatting sqref="D884 D889:D890">
    <cfRule type="containsText" dxfId="1420" priority="1408" operator="containsText" text="Pesquisa de Preços">
      <formula>NOT(ISERROR(SEARCH("Pesquisa de Preços",D884)))</formula>
    </cfRule>
  </conditionalFormatting>
  <conditionalFormatting sqref="D858:D860">
    <cfRule type="containsText" dxfId="1419" priority="1406" operator="containsText" text="Pesquisa de Preços">
      <formula>NOT(ISERROR(SEARCH("Pesquisa de Preços",D858)))</formula>
    </cfRule>
  </conditionalFormatting>
  <conditionalFormatting sqref="D846 D848:D849">
    <cfRule type="containsText" dxfId="1418" priority="1405" operator="containsText" text="Pesquisa de Preços">
      <formula>NOT(ISERROR(SEARCH("Pesquisa de Preços",D846)))</formula>
    </cfRule>
  </conditionalFormatting>
  <conditionalFormatting sqref="D851 D854:D855">
    <cfRule type="containsText" dxfId="1417" priority="1404" operator="containsText" text="Pesquisa de Preços">
      <formula>NOT(ISERROR(SEARCH("Pesquisa de Preços",D851)))</formula>
    </cfRule>
  </conditionalFormatting>
  <conditionalFormatting sqref="D868">
    <cfRule type="containsText" dxfId="1416" priority="1403" operator="containsText" text="Pesquisa de Preços">
      <formula>NOT(ISERROR(SEARCH("Pesquisa de Preços",D868)))</formula>
    </cfRule>
  </conditionalFormatting>
  <conditionalFormatting sqref="D863">
    <cfRule type="containsText" dxfId="1415" priority="1402" operator="containsText" text="Pesquisa de Preços">
      <formula>NOT(ISERROR(SEARCH("Pesquisa de Preços",D863)))</formula>
    </cfRule>
  </conditionalFormatting>
  <conditionalFormatting sqref="D894">
    <cfRule type="containsText" dxfId="1414" priority="1400" operator="containsText" text="Pesquisa de Preços">
      <formula>NOT(ISERROR(SEARCH("Pesquisa de Preços",D894)))</formula>
    </cfRule>
  </conditionalFormatting>
  <conditionalFormatting sqref="D892:D893">
    <cfRule type="containsText" dxfId="1413" priority="1401" operator="containsText" text="Pesquisa de Preços">
      <formula>NOT(ISERROR(SEARCH("Pesquisa de Preços",D892)))</formula>
    </cfRule>
  </conditionalFormatting>
  <conditionalFormatting sqref="D904:D905">
    <cfRule type="containsText" dxfId="1412" priority="1399" operator="containsText" text="Pesquisa de Preços">
      <formula>NOT(ISERROR(SEARCH("Pesquisa de Preços",D904)))</formula>
    </cfRule>
  </conditionalFormatting>
  <conditionalFormatting sqref="D2371:D2372">
    <cfRule type="containsText" dxfId="1411" priority="1398" operator="containsText" text="Pesquisa de Preços">
      <formula>NOT(ISERROR(SEARCH("Pesquisa de Preços",D2371)))</formula>
    </cfRule>
  </conditionalFormatting>
  <conditionalFormatting sqref="D2379 D2382 D2384">
    <cfRule type="containsText" dxfId="1410" priority="1397" operator="containsText" text="Pesquisa de Preços">
      <formula>NOT(ISERROR(SEARCH("Pesquisa de Preços",D2379)))</formula>
    </cfRule>
  </conditionalFormatting>
  <conditionalFormatting sqref="D2365:D2366 D2368:D2369">
    <cfRule type="containsText" dxfId="1409" priority="1396" operator="containsText" text="Pesquisa de Preços">
      <formula>NOT(ISERROR(SEARCH("Pesquisa de Preços",D2365)))</formula>
    </cfRule>
  </conditionalFormatting>
  <conditionalFormatting sqref="D2392 D2396:D2397">
    <cfRule type="containsText" dxfId="1408" priority="1394" operator="containsText" text="Pesquisa de Preços">
      <formula>NOT(ISERROR(SEARCH("Pesquisa de Preços",D2392)))</formula>
    </cfRule>
  </conditionalFormatting>
  <conditionalFormatting sqref="D2367">
    <cfRule type="containsText" dxfId="1407" priority="1395" operator="containsText" text="Pesquisa de Preços">
      <formula>NOT(ISERROR(SEARCH("Pesquisa de Preços",D2367)))</formula>
    </cfRule>
  </conditionalFormatting>
  <conditionalFormatting sqref="D2386">
    <cfRule type="containsText" dxfId="1406" priority="1393" operator="containsText" text="Pesquisa de Preços">
      <formula>NOT(ISERROR(SEARCH("Pesquisa de Preços",D2386)))</formula>
    </cfRule>
  </conditionalFormatting>
  <conditionalFormatting sqref="D1772:D1773 D1776:D1777">
    <cfRule type="containsText" dxfId="1405" priority="1392" operator="containsText" text="Pesquisa de Preços">
      <formula>NOT(ISERROR(SEARCH("Pesquisa de Preços",D1772)))</formula>
    </cfRule>
  </conditionalFormatting>
  <conditionalFormatting sqref="D1774:D1775">
    <cfRule type="containsText" dxfId="1404" priority="1391" operator="containsText" text="Pesquisa de Preços">
      <formula>NOT(ISERROR(SEARCH("Pesquisa de Preços",D1774)))</formula>
    </cfRule>
  </conditionalFormatting>
  <conditionalFormatting sqref="D1786:D1787 D1790:D1791">
    <cfRule type="containsText" dxfId="1403" priority="1390" operator="containsText" text="Pesquisa de Preços">
      <formula>NOT(ISERROR(SEARCH("Pesquisa de Preços",D1786)))</formula>
    </cfRule>
  </conditionalFormatting>
  <conditionalFormatting sqref="D1788:D1789">
    <cfRule type="containsText" dxfId="1402" priority="1389" operator="containsText" text="Pesquisa de Preços">
      <formula>NOT(ISERROR(SEARCH("Pesquisa de Preços",D1788)))</formula>
    </cfRule>
  </conditionalFormatting>
  <conditionalFormatting sqref="D1800:D1801 D1804:D1805">
    <cfRule type="containsText" dxfId="1401" priority="1388" operator="containsText" text="Pesquisa de Preços">
      <formula>NOT(ISERROR(SEARCH("Pesquisa de Preços",D1800)))</formula>
    </cfRule>
  </conditionalFormatting>
  <conditionalFormatting sqref="D1802:D1803">
    <cfRule type="containsText" dxfId="1400" priority="1387" operator="containsText" text="Pesquisa de Preços">
      <formula>NOT(ISERROR(SEARCH("Pesquisa de Preços",D1802)))</formula>
    </cfRule>
  </conditionalFormatting>
  <conditionalFormatting sqref="D1758:D1759 D1762:D1763">
    <cfRule type="containsText" dxfId="1399" priority="1386" operator="containsText" text="Pesquisa de Preços">
      <formula>NOT(ISERROR(SEARCH("Pesquisa de Preços",D1758)))</formula>
    </cfRule>
  </conditionalFormatting>
  <conditionalFormatting sqref="D1760:D1761">
    <cfRule type="containsText" dxfId="1398" priority="1385" operator="containsText" text="Pesquisa de Preços">
      <formula>NOT(ISERROR(SEARCH("Pesquisa de Preços",D1760)))</formula>
    </cfRule>
  </conditionalFormatting>
  <conditionalFormatting sqref="D1765:D1766 D1769:D1770">
    <cfRule type="containsText" dxfId="1397" priority="1384" operator="containsText" text="Pesquisa de Preços">
      <formula>NOT(ISERROR(SEARCH("Pesquisa de Preços",D1765)))</formula>
    </cfRule>
  </conditionalFormatting>
  <conditionalFormatting sqref="D590 D594">
    <cfRule type="containsText" dxfId="1396" priority="1326" operator="containsText" text="Pesquisa de Preços">
      <formula>NOT(ISERROR(SEARCH("Pesquisa de Preços",D590)))</formula>
    </cfRule>
  </conditionalFormatting>
  <conditionalFormatting sqref="D1767:D1768">
    <cfRule type="containsText" dxfId="1395" priority="1383" operator="containsText" text="Pesquisa de Preços">
      <formula>NOT(ISERROR(SEARCH("Pesquisa de Preços",D1767)))</formula>
    </cfRule>
  </conditionalFormatting>
  <conditionalFormatting sqref="D1783:D1784 D1779:D1780">
    <cfRule type="containsText" dxfId="1394" priority="1382" operator="containsText" text="Pesquisa de Preços">
      <formula>NOT(ISERROR(SEARCH("Pesquisa de Preços",D1779)))</formula>
    </cfRule>
  </conditionalFormatting>
  <conditionalFormatting sqref="D1781:D1782">
    <cfRule type="containsText" dxfId="1393" priority="1381" operator="containsText" text="Pesquisa de Preços">
      <formula>NOT(ISERROR(SEARCH("Pesquisa de Preços",D1781)))</formula>
    </cfRule>
  </conditionalFormatting>
  <conditionalFormatting sqref="D1793:D1794 D1797:D1798">
    <cfRule type="containsText" dxfId="1392" priority="1380" operator="containsText" text="Pesquisa de Preços">
      <formula>NOT(ISERROR(SEARCH("Pesquisa de Preços",D1793)))</formula>
    </cfRule>
  </conditionalFormatting>
  <conditionalFormatting sqref="D1795:D1796">
    <cfRule type="containsText" dxfId="1391" priority="1379" operator="containsText" text="Pesquisa de Preços">
      <formula>NOT(ISERROR(SEARCH("Pesquisa de Preços",D1795)))</formula>
    </cfRule>
  </conditionalFormatting>
  <conditionalFormatting sqref="D1174">
    <cfRule type="containsText" dxfId="1390" priority="1378" operator="containsText" text="Pesquisa de Preços">
      <formula>NOT(ISERROR(SEARCH("Pesquisa de Preços",D1174)))</formula>
    </cfRule>
  </conditionalFormatting>
  <conditionalFormatting sqref="D1862 D1864">
    <cfRule type="containsText" dxfId="1389" priority="1377" operator="containsText" text="Pesquisa de Preços">
      <formula>NOT(ISERROR(SEARCH("Pesquisa de Preços",D1862)))</formula>
    </cfRule>
  </conditionalFormatting>
  <conditionalFormatting sqref="D1863">
    <cfRule type="containsText" dxfId="1388" priority="1376" operator="containsText" text="Pesquisa de Preços">
      <formula>NOT(ISERROR(SEARCH("Pesquisa de Preços",D1863)))</formula>
    </cfRule>
  </conditionalFormatting>
  <conditionalFormatting sqref="D1984">
    <cfRule type="containsText" dxfId="1387" priority="1375" operator="containsText" text="Pesquisa de Preços">
      <formula>NOT(ISERROR(SEARCH("Pesquisa de Preços",D1984)))</formula>
    </cfRule>
  </conditionalFormatting>
  <conditionalFormatting sqref="D2018:D2019">
    <cfRule type="containsText" dxfId="1386" priority="1374" operator="containsText" text="Pesquisa de Preços">
      <formula>NOT(ISERROR(SEARCH("Pesquisa de Preços",D2018)))</formula>
    </cfRule>
  </conditionalFormatting>
  <conditionalFormatting sqref="D1997:D1998">
    <cfRule type="containsText" dxfId="1385" priority="1373" operator="containsText" text="Pesquisa de Preços">
      <formula>NOT(ISERROR(SEARCH("Pesquisa de Preços",D1997)))</formula>
    </cfRule>
  </conditionalFormatting>
  <conditionalFormatting sqref="D2097:D2098">
    <cfRule type="containsText" dxfId="1384" priority="1372" operator="containsText" text="Pesquisa de Preços">
      <formula>NOT(ISERROR(SEARCH("Pesquisa de Preços",D2097)))</formula>
    </cfRule>
  </conditionalFormatting>
  <conditionalFormatting sqref="D2033:D2034">
    <cfRule type="containsText" dxfId="1383" priority="1371" operator="containsText" text="Pesquisa de Preços">
      <formula>NOT(ISERROR(SEARCH("Pesquisa de Preços",D2033)))</formula>
    </cfRule>
  </conditionalFormatting>
  <conditionalFormatting sqref="D829">
    <cfRule type="containsText" dxfId="1382" priority="1306" operator="containsText" text="Pesquisa de Preços">
      <formula>NOT(ISERROR(SEARCH("Pesquisa de Preços",D829)))</formula>
    </cfRule>
  </conditionalFormatting>
  <conditionalFormatting sqref="D830">
    <cfRule type="containsText" dxfId="1381" priority="1305" operator="containsText" text="Pesquisa de Preços">
      <formula>NOT(ISERROR(SEARCH("Pesquisa de Preços",D830)))</formula>
    </cfRule>
  </conditionalFormatting>
  <conditionalFormatting sqref="D1295">
    <cfRule type="containsText" dxfId="1380" priority="1302" operator="containsText" text="Pesquisa de Preços">
      <formula>NOT(ISERROR(SEARCH("Pesquisa de Preços",D1295)))</formula>
    </cfRule>
  </conditionalFormatting>
  <conditionalFormatting sqref="D1161">
    <cfRule type="containsText" dxfId="1379" priority="1299" operator="containsText" text="Pesquisa de Preços">
      <formula>NOT(ISERROR(SEARCH("Pesquisa de Preços",D1161)))</formula>
    </cfRule>
  </conditionalFormatting>
  <conditionalFormatting sqref="D1350">
    <cfRule type="containsText" dxfId="1378" priority="1301" operator="containsText" text="Pesquisa de Preços">
      <formula>NOT(ISERROR(SEARCH("Pesquisa de Preços",D1350)))</formula>
    </cfRule>
  </conditionalFormatting>
  <conditionalFormatting sqref="D1382">
    <cfRule type="containsText" dxfId="1377" priority="1295" operator="containsText" text="Pesquisa de Preços">
      <formula>NOT(ISERROR(SEARCH("Pesquisa de Preços",D1382)))</formula>
    </cfRule>
  </conditionalFormatting>
  <conditionalFormatting sqref="D207">
    <cfRule type="containsText" dxfId="1376" priority="1296" operator="containsText" text="Pesquisa de Preços">
      <formula>NOT(ISERROR(SEARCH("Pesquisa de Preços",D207)))</formula>
    </cfRule>
  </conditionalFormatting>
  <conditionalFormatting sqref="D1637">
    <cfRule type="containsText" dxfId="1375" priority="1292" operator="containsText" text="Pesquisa de Preços">
      <formula>NOT(ISERROR(SEARCH("Pesquisa de Preços",D1637)))</formula>
    </cfRule>
  </conditionalFormatting>
  <conditionalFormatting sqref="D1687">
    <cfRule type="containsText" dxfId="1374" priority="1291" operator="containsText" text="Pesquisa de Preços">
      <formula>NOT(ISERROR(SEARCH("Pesquisa de Preços",D1687)))</formula>
    </cfRule>
  </conditionalFormatting>
  <conditionalFormatting sqref="D1688">
    <cfRule type="containsText" dxfId="1373" priority="1290" operator="containsText" text="Pesquisa de Preços">
      <formula>NOT(ISERROR(SEARCH("Pesquisa de Preços",D1688)))</formula>
    </cfRule>
  </conditionalFormatting>
  <conditionalFormatting sqref="D1614">
    <cfRule type="containsText" dxfId="1372" priority="1288" operator="containsText" text="Pesquisa de Preços">
      <formula>NOT(ISERROR(SEARCH("Pesquisa de Preços",D1614)))</formula>
    </cfRule>
  </conditionalFormatting>
  <conditionalFormatting sqref="D1689">
    <cfRule type="containsText" dxfId="1371" priority="1286" operator="containsText" text="Pesquisa de Preços">
      <formula>NOT(ISERROR(SEARCH("Pesquisa de Preços",D1689)))</formula>
    </cfRule>
  </conditionalFormatting>
  <conditionalFormatting sqref="D820">
    <cfRule type="containsText" dxfId="1370" priority="1370" operator="containsText" text="Pesquisa de Preços">
      <formula>NOT(ISERROR(SEARCH("Pesquisa de Preços",D820)))</formula>
    </cfRule>
  </conditionalFormatting>
  <conditionalFormatting sqref="D821">
    <cfRule type="containsText" dxfId="1369" priority="1369" operator="containsText" text="Pesquisa de Preços">
      <formula>NOT(ISERROR(SEARCH("Pesquisa de Preços",D821)))</formula>
    </cfRule>
  </conditionalFormatting>
  <conditionalFormatting sqref="D54">
    <cfRule type="containsText" dxfId="1368" priority="1354" operator="containsText" text="Pesquisa de Preços">
      <formula>NOT(ISERROR(SEARCH("Pesquisa de Preços",D54)))</formula>
    </cfRule>
  </conditionalFormatting>
  <conditionalFormatting sqref="D450">
    <cfRule type="containsText" dxfId="1367" priority="1368" operator="containsText" text="Pesquisa de Preços">
      <formula>NOT(ISERROR(SEARCH("Pesquisa de Preços",D450)))</formula>
    </cfRule>
  </conditionalFormatting>
  <conditionalFormatting sqref="D449">
    <cfRule type="containsText" dxfId="1366" priority="1367" operator="containsText" text="Pesquisa de Preços">
      <formula>NOT(ISERROR(SEARCH("Pesquisa de Preços",D449)))</formula>
    </cfRule>
  </conditionalFormatting>
  <conditionalFormatting sqref="D448">
    <cfRule type="containsText" dxfId="1365" priority="1366" operator="containsText" text="Pesquisa de Preços">
      <formula>NOT(ISERROR(SEARCH("Pesquisa de Preços",D448)))</formula>
    </cfRule>
  </conditionalFormatting>
  <conditionalFormatting sqref="D206">
    <cfRule type="containsText" dxfId="1364" priority="1365" operator="containsText" text="Pesquisa de Preços">
      <formula>NOT(ISERROR(SEARCH("Pesquisa de Preços",D206)))</formula>
    </cfRule>
  </conditionalFormatting>
  <conditionalFormatting sqref="D103:D104">
    <cfRule type="containsText" dxfId="1363" priority="1364" operator="containsText" text="Pesquisa de Preços">
      <formula>NOT(ISERROR(SEARCH("Pesquisa de Preços",D103)))</formula>
    </cfRule>
  </conditionalFormatting>
  <conditionalFormatting sqref="D423:D424">
    <cfRule type="containsText" dxfId="1362" priority="1363" operator="containsText" text="Pesquisa de Preços">
      <formula>NOT(ISERROR(SEARCH("Pesquisa de Preços",D423)))</formula>
    </cfRule>
  </conditionalFormatting>
  <conditionalFormatting sqref="D425:D427">
    <cfRule type="containsText" dxfId="1361" priority="1362" operator="containsText" text="Pesquisa de Preços">
      <formula>NOT(ISERROR(SEARCH("Pesquisa de Preços",D425)))</formula>
    </cfRule>
  </conditionalFormatting>
  <conditionalFormatting sqref="D616 D620">
    <cfRule type="containsText" dxfId="1360" priority="1361" operator="containsText" text="Pesquisa de Preços">
      <formula>NOT(ISERROR(SEARCH("Pesquisa de Preços",D616)))</formula>
    </cfRule>
  </conditionalFormatting>
  <conditionalFormatting sqref="D589 D595">
    <cfRule type="containsText" dxfId="1359" priority="1360" operator="containsText" text="Pesquisa de Preços">
      <formula>NOT(ISERROR(SEARCH("Pesquisa de Preços",D589)))</formula>
    </cfRule>
  </conditionalFormatting>
  <conditionalFormatting sqref="D638:D639 D642:D643">
    <cfRule type="containsText" dxfId="1358" priority="1359" operator="containsText" text="Pesquisa de Preços">
      <formula>NOT(ISERROR(SEARCH("Pesquisa de Preços",D638)))</formula>
    </cfRule>
  </conditionalFormatting>
  <conditionalFormatting sqref="D641">
    <cfRule type="containsText" dxfId="1357" priority="1358" operator="containsText" text="Pesquisa de Preços">
      <formula>NOT(ISERROR(SEARCH("Pesquisa de Preços",D641)))</formula>
    </cfRule>
  </conditionalFormatting>
  <conditionalFormatting sqref="D1721">
    <cfRule type="containsText" dxfId="1356" priority="1272" operator="containsText" text="Pesquisa de Preços">
      <formula>NOT(ISERROR(SEARCH("Pesquisa de Preços",D1721)))</formula>
    </cfRule>
  </conditionalFormatting>
  <conditionalFormatting sqref="D226">
    <cfRule type="containsText" dxfId="1355" priority="1357" operator="containsText" text="Pesquisa de Preços">
      <formula>NOT(ISERROR(SEARCH("Pesquisa de Preços",D226)))</formula>
    </cfRule>
  </conditionalFormatting>
  <conditionalFormatting sqref="D152">
    <cfRule type="containsText" dxfId="1354" priority="1356" operator="containsText" text="Pesquisa de Preços">
      <formula>NOT(ISERROR(SEARCH("Pesquisa de Preços",D152)))</formula>
    </cfRule>
  </conditionalFormatting>
  <conditionalFormatting sqref="D164">
    <cfRule type="containsText" dxfId="1353" priority="1355" operator="containsText" text="Pesquisa de Preços">
      <formula>NOT(ISERROR(SEARCH("Pesquisa de Preços",D164)))</formula>
    </cfRule>
  </conditionalFormatting>
  <conditionalFormatting sqref="D55:D57">
    <cfRule type="containsText" dxfId="1352" priority="1353" operator="containsText" text="Pesquisa de Preços">
      <formula>NOT(ISERROR(SEARCH("Pesquisa de Preços",D55)))</formula>
    </cfRule>
  </conditionalFormatting>
  <conditionalFormatting sqref="D30:D31">
    <cfRule type="containsText" dxfId="1351" priority="1352" operator="containsText" text="Pesquisa de Preços">
      <formula>NOT(ISERROR(SEARCH("Pesquisa de Preços",D30)))</formula>
    </cfRule>
  </conditionalFormatting>
  <conditionalFormatting sqref="D25:D26">
    <cfRule type="containsText" dxfId="1350" priority="1351" operator="containsText" text="Pesquisa de Preços">
      <formula>NOT(ISERROR(SEARCH("Pesquisa de Preços",D25)))</formula>
    </cfRule>
  </conditionalFormatting>
  <conditionalFormatting sqref="D181">
    <cfRule type="containsText" dxfId="1349" priority="1350" operator="containsText" text="Pesquisa de Preços">
      <formula>NOT(ISERROR(SEARCH("Pesquisa de Preços",D181)))</formula>
    </cfRule>
  </conditionalFormatting>
  <conditionalFormatting sqref="D128:D129">
    <cfRule type="containsText" dxfId="1348" priority="1349" operator="containsText" text="Pesquisa de Preços">
      <formula>NOT(ISERROR(SEARCH("Pesquisa de Preços",D128)))</formula>
    </cfRule>
  </conditionalFormatting>
  <conditionalFormatting sqref="D1922">
    <cfRule type="containsText" dxfId="1347" priority="1264" operator="containsText" text="Pesquisa de Preços">
      <formula>NOT(ISERROR(SEARCH("Pesquisa de Preços",D1922)))</formula>
    </cfRule>
  </conditionalFormatting>
  <conditionalFormatting sqref="D84">
    <cfRule type="containsText" dxfId="1346" priority="1348" operator="containsText" text="Pesquisa de Preços">
      <formula>NOT(ISERROR(SEARCH("Pesquisa de Preços",D84)))</formula>
    </cfRule>
  </conditionalFormatting>
  <conditionalFormatting sqref="D85">
    <cfRule type="containsText" dxfId="1345" priority="1347" operator="containsText" text="Pesquisa de Preços">
      <formula>NOT(ISERROR(SEARCH("Pesquisa de Preços",D85)))</formula>
    </cfRule>
  </conditionalFormatting>
  <conditionalFormatting sqref="D61">
    <cfRule type="containsText" dxfId="1344" priority="1346" operator="containsText" text="Pesquisa de Preços">
      <formula>NOT(ISERROR(SEARCH("Pesquisa de Preços",D61)))</formula>
    </cfRule>
  </conditionalFormatting>
  <conditionalFormatting sqref="D62">
    <cfRule type="containsText" dxfId="1343" priority="1345" operator="containsText" text="Pesquisa de Preços">
      <formula>NOT(ISERROR(SEARCH("Pesquisa de Preços",D62)))</formula>
    </cfRule>
  </conditionalFormatting>
  <conditionalFormatting sqref="D2351">
    <cfRule type="containsText" dxfId="1342" priority="1261" operator="containsText" text="Pesquisa de Preços">
      <formula>NOT(ISERROR(SEARCH("Pesquisa de Preços",D2351)))</formula>
    </cfRule>
  </conditionalFormatting>
  <conditionalFormatting sqref="D311">
    <cfRule type="containsText" dxfId="1341" priority="1344" operator="containsText" text="Pesquisa de Preços">
      <formula>NOT(ISERROR(SEARCH("Pesquisa de Preços",D311)))</formula>
    </cfRule>
  </conditionalFormatting>
  <conditionalFormatting sqref="D297">
    <cfRule type="containsText" dxfId="1340" priority="1343" operator="containsText" text="Pesquisa de Preços">
      <formula>NOT(ISERROR(SEARCH("Pesquisa de Preços",D297)))</formula>
    </cfRule>
  </conditionalFormatting>
  <conditionalFormatting sqref="D457">
    <cfRule type="containsText" dxfId="1339" priority="1342" operator="containsText" text="Pesquisa de Preços">
      <formula>NOT(ISERROR(SEARCH("Pesquisa de Preços",D457)))</formula>
    </cfRule>
  </conditionalFormatting>
  <conditionalFormatting sqref="D467">
    <cfRule type="containsText" dxfId="1338" priority="1341" operator="containsText" text="Pesquisa de Preços">
      <formula>NOT(ISERROR(SEARCH("Pesquisa de Preços",D467)))</formula>
    </cfRule>
  </conditionalFormatting>
  <conditionalFormatting sqref="D623">
    <cfRule type="containsText" dxfId="1337" priority="1340" operator="containsText" text="Pesquisa de Preços">
      <formula>NOT(ISERROR(SEARCH("Pesquisa de Preços",D623)))</formula>
    </cfRule>
  </conditionalFormatting>
  <conditionalFormatting sqref="D624:D626">
    <cfRule type="containsText" dxfId="1336" priority="1339" operator="containsText" text="Pesquisa de Preços">
      <formula>NOT(ISERROR(SEARCH("Pesquisa de Preços",D624)))</formula>
    </cfRule>
  </conditionalFormatting>
  <conditionalFormatting sqref="D733:D734">
    <cfRule type="containsText" dxfId="1335" priority="1338" operator="containsText" text="Pesquisa de Preços">
      <formula>NOT(ISERROR(SEARCH("Pesquisa de Preços",D733)))</formula>
    </cfRule>
  </conditionalFormatting>
  <conditionalFormatting sqref="D732">
    <cfRule type="containsText" dxfId="1334" priority="1337" operator="containsText" text="Pesquisa de Preços">
      <formula>NOT(ISERROR(SEARCH("Pesquisa de Preços",D732)))</formula>
    </cfRule>
  </conditionalFormatting>
  <conditionalFormatting sqref="D997">
    <cfRule type="containsText" dxfId="1333" priority="1336" operator="containsText" text="Pesquisa de Preços">
      <formula>NOT(ISERROR(SEARCH("Pesquisa de Preços",D997)))</formula>
    </cfRule>
  </conditionalFormatting>
  <conditionalFormatting sqref="D607 D614">
    <cfRule type="containsText" dxfId="1332" priority="1320" operator="containsText" text="Pesquisa de Preços">
      <formula>NOT(ISERROR(SEARCH("Pesquisa de Preços",D607)))</formula>
    </cfRule>
  </conditionalFormatting>
  <conditionalFormatting sqref="D737">
    <cfRule type="containsText" dxfId="1331" priority="1317" operator="containsText" text="Pesquisa de Preços">
      <formula>NOT(ISERROR(SEARCH("Pesquisa de Preços",D737)))</formula>
    </cfRule>
  </conditionalFormatting>
  <conditionalFormatting sqref="D591:D593">
    <cfRule type="containsText" dxfId="1330" priority="1325" operator="containsText" text="Pesquisa de Preços">
      <formula>NOT(ISERROR(SEARCH("Pesquisa de Preços",D591)))</formula>
    </cfRule>
  </conditionalFormatting>
  <conditionalFormatting sqref="D1626:D1627">
    <cfRule type="containsText" dxfId="1329" priority="1331" operator="containsText" text="Pesquisa de Preços">
      <formula>NOT(ISERROR(SEARCH("Pesquisa de Preços",D1626)))</formula>
    </cfRule>
  </conditionalFormatting>
  <conditionalFormatting sqref="D1602">
    <cfRule type="containsText" dxfId="1328" priority="1335" operator="containsText" text="Pesquisa de Preços">
      <formula>NOT(ISERROR(SEARCH("Pesquisa de Preços",D1602)))</formula>
    </cfRule>
  </conditionalFormatting>
  <conditionalFormatting sqref="D1631">
    <cfRule type="containsText" dxfId="1327" priority="1334" operator="containsText" text="Pesquisa de Preços">
      <formula>NOT(ISERROR(SEARCH("Pesquisa de Preços",D1631)))</formula>
    </cfRule>
  </conditionalFormatting>
  <conditionalFormatting sqref="D1632:D1633">
    <cfRule type="containsText" dxfId="1326" priority="1333" operator="containsText" text="Pesquisa de Preços">
      <formula>NOT(ISERROR(SEARCH("Pesquisa de Preços",D1632)))</formula>
    </cfRule>
  </conditionalFormatting>
  <conditionalFormatting sqref="D1625">
    <cfRule type="containsText" dxfId="1325" priority="1332" operator="containsText" text="Pesquisa de Preços">
      <formula>NOT(ISERROR(SEARCH("Pesquisa de Preços",D1625)))</formula>
    </cfRule>
  </conditionalFormatting>
  <conditionalFormatting sqref="D1892 D1894">
    <cfRule type="containsText" dxfId="1324" priority="1330" operator="containsText" text="Pesquisa de Preços">
      <formula>NOT(ISERROR(SEARCH("Pesquisa de Preços",D1892)))</formula>
    </cfRule>
  </conditionalFormatting>
  <conditionalFormatting sqref="D1893">
    <cfRule type="containsText" dxfId="1323" priority="1329" operator="containsText" text="Pesquisa de Preços">
      <formula>NOT(ISERROR(SEARCH("Pesquisa de Preços",D1893)))</formula>
    </cfRule>
  </conditionalFormatting>
  <conditionalFormatting sqref="D1886 D1888">
    <cfRule type="containsText" dxfId="1322" priority="1328" operator="containsText" text="Pesquisa de Preços">
      <formula>NOT(ISERROR(SEARCH("Pesquisa de Preços",D1886)))</formula>
    </cfRule>
  </conditionalFormatting>
  <conditionalFormatting sqref="D1887">
    <cfRule type="containsText" dxfId="1321" priority="1327" operator="containsText" text="Pesquisa de Preços">
      <formula>NOT(ISERROR(SEARCH("Pesquisa de Preços",D1887)))</formula>
    </cfRule>
  </conditionalFormatting>
  <conditionalFormatting sqref="D382:D392">
    <cfRule type="containsText" dxfId="1320" priority="1323" operator="containsText" text="Pesquisa de Preços">
      <formula>NOT(ISERROR(SEARCH("Pesquisa de Preços",D382)))</formula>
    </cfRule>
  </conditionalFormatting>
  <conditionalFormatting sqref="D381">
    <cfRule type="containsText" dxfId="1319" priority="1324" operator="containsText" text="Pesquisa de Preços">
      <formula>NOT(ISERROR(SEARCH("Pesquisa de Preços",D381)))</formula>
    </cfRule>
  </conditionalFormatting>
  <conditionalFormatting sqref="D1071:D1072">
    <cfRule type="containsText" dxfId="1318" priority="1231" operator="containsText" text="Pesquisa de Preços">
      <formula>NOT(ISERROR(SEARCH("Pesquisa de Preços",D1071)))</formula>
    </cfRule>
  </conditionalFormatting>
  <conditionalFormatting sqref="D605">
    <cfRule type="containsText" dxfId="1317" priority="1322" operator="containsText" text="Pesquisa de Preços">
      <formula>NOT(ISERROR(SEARCH("Pesquisa de Preços",D605)))</formula>
    </cfRule>
  </conditionalFormatting>
  <conditionalFormatting sqref="D597">
    <cfRule type="containsText" dxfId="1316" priority="1321" operator="containsText" text="Pesquisa de Preços">
      <formula>NOT(ISERROR(SEARCH("Pesquisa de Preços",D597)))</formula>
    </cfRule>
  </conditionalFormatting>
  <conditionalFormatting sqref="D1084:D1086 D1088">
    <cfRule type="containsText" dxfId="1315" priority="1230" operator="containsText" text="Pesquisa de Preços">
      <formula>NOT(ISERROR(SEARCH("Pesquisa de Preços",D1084)))</formula>
    </cfRule>
  </conditionalFormatting>
  <conditionalFormatting sqref="D598">
    <cfRule type="containsText" dxfId="1314" priority="1319" operator="containsText" text="Pesquisa de Preços">
      <formula>NOT(ISERROR(SEARCH("Pesquisa de Preços",D598)))</formula>
    </cfRule>
  </conditionalFormatting>
  <conditionalFormatting sqref="D608">
    <cfRule type="containsText" dxfId="1313" priority="1318" operator="containsText" text="Pesquisa de Preços">
      <formula>NOT(ISERROR(SEARCH("Pesquisa de Preços",D608)))</formula>
    </cfRule>
  </conditionalFormatting>
  <conditionalFormatting sqref="D631">
    <cfRule type="containsText" dxfId="1312" priority="1315" operator="containsText" text="Pesquisa de Preços">
      <formula>NOT(ISERROR(SEARCH("Pesquisa de Preços",D631)))</formula>
    </cfRule>
  </conditionalFormatting>
  <conditionalFormatting sqref="D630 D635:D636">
    <cfRule type="containsText" dxfId="1311" priority="1316" operator="containsText" text="Pesquisa de Preços">
      <formula>NOT(ISERROR(SEARCH("Pesquisa de Preços",D630)))</formula>
    </cfRule>
  </conditionalFormatting>
  <conditionalFormatting sqref="D1253 D1257:D1258">
    <cfRule type="containsText" dxfId="1310" priority="1313" operator="containsText" text="Pesquisa de Preços">
      <formula>NOT(ISERROR(SEARCH("Pesquisa de Preços",D1253)))</formula>
    </cfRule>
  </conditionalFormatting>
  <conditionalFormatting sqref="D632:D634">
    <cfRule type="containsText" dxfId="1309" priority="1314" operator="containsText" text="Pesquisa de Preços">
      <formula>NOT(ISERROR(SEARCH("Pesquisa de Preços",D632)))</formula>
    </cfRule>
  </conditionalFormatting>
  <conditionalFormatting sqref="D1255">
    <cfRule type="containsText" dxfId="1308" priority="1312" operator="containsText" text="Pesquisa de Preços">
      <formula>NOT(ISERROR(SEARCH("Pesquisa de Preços",D1255)))</formula>
    </cfRule>
  </conditionalFormatting>
  <conditionalFormatting sqref="D1159 D1163:D1164">
    <cfRule type="containsText" dxfId="1307" priority="1311" operator="containsText" text="Pesquisa de Preços">
      <formula>NOT(ISERROR(SEARCH("Pesquisa de Preços",D1159)))</formula>
    </cfRule>
  </conditionalFormatting>
  <conditionalFormatting sqref="D1215 D1219:D1220">
    <cfRule type="containsText" dxfId="1306" priority="1310" operator="containsText" text="Pesquisa de Preços">
      <formula>NOT(ISERROR(SEARCH("Pesquisa de Preços",D1215)))</formula>
    </cfRule>
  </conditionalFormatting>
  <conditionalFormatting sqref="D1218">
    <cfRule type="containsText" dxfId="1305" priority="1309" operator="containsText" text="Pesquisa de Preços">
      <formula>NOT(ISERROR(SEARCH("Pesquisa de Preços",D1218)))</formula>
    </cfRule>
  </conditionalFormatting>
  <conditionalFormatting sqref="D670">
    <cfRule type="containsText" dxfId="1304" priority="1308" operator="containsText" text="Pesquisa de Preços">
      <formula>NOT(ISERROR(SEARCH("Pesquisa de Preços",D670)))</formula>
    </cfRule>
  </conditionalFormatting>
  <conditionalFormatting sqref="D738">
    <cfRule type="containsText" dxfId="1303" priority="1307" operator="containsText" text="Pesquisa de Preços">
      <formula>NOT(ISERROR(SEARCH("Pesquisa de Preços",D738)))</formula>
    </cfRule>
  </conditionalFormatting>
  <conditionalFormatting sqref="D865:D866">
    <cfRule type="containsText" dxfId="1302" priority="1304" operator="containsText" text="Pesquisa de Preços">
      <formula>NOT(ISERROR(SEARCH("Pesquisa de Preços",D865)))</formula>
    </cfRule>
  </conditionalFormatting>
  <conditionalFormatting sqref="D1296">
    <cfRule type="containsText" dxfId="1301" priority="1303" operator="containsText" text="Pesquisa de Preços">
      <formula>NOT(ISERROR(SEARCH("Pesquisa de Preços",D1296)))</formula>
    </cfRule>
  </conditionalFormatting>
  <conditionalFormatting sqref="D1351">
    <cfRule type="containsText" dxfId="1300" priority="1300" operator="containsText" text="Pesquisa de Preços">
      <formula>NOT(ISERROR(SEARCH("Pesquisa de Preços",D1351)))</formula>
    </cfRule>
  </conditionalFormatting>
  <conditionalFormatting sqref="D1511">
    <cfRule type="containsText" dxfId="1299" priority="1229" operator="containsText" text="Pesquisa de Preços">
      <formula>NOT(ISERROR(SEARCH("Pesquisa de Preços",D1511)))</formula>
    </cfRule>
  </conditionalFormatting>
  <conditionalFormatting sqref="D208">
    <cfRule type="containsText" dxfId="1298" priority="1297" operator="containsText" text="Pesquisa de Preços">
      <formula>NOT(ISERROR(SEARCH("Pesquisa de Preços",D208)))</formula>
    </cfRule>
  </conditionalFormatting>
  <conditionalFormatting sqref="D1620">
    <cfRule type="containsText" dxfId="1297" priority="1293" operator="containsText" text="Pesquisa de Preços">
      <formula>NOT(ISERROR(SEARCH("Pesquisa de Preços",D1620)))</formula>
    </cfRule>
  </conditionalFormatting>
  <conditionalFormatting sqref="D1613">
    <cfRule type="containsText" dxfId="1296" priority="1289" operator="containsText" text="Pesquisa de Preços">
      <formula>NOT(ISERROR(SEARCH("Pesquisa de Preços",D1613)))</formula>
    </cfRule>
  </conditionalFormatting>
  <conditionalFormatting sqref="D1676">
    <cfRule type="containsText" dxfId="1295" priority="1287" operator="containsText" text="Pesquisa de Preços">
      <formula>NOT(ISERROR(SEARCH("Pesquisa de Preços",D1676)))</formula>
    </cfRule>
  </conditionalFormatting>
  <conditionalFormatting sqref="D1615">
    <cfRule type="containsText" dxfId="1294" priority="1285" operator="containsText" text="Pesquisa de Preços">
      <formula>NOT(ISERROR(SEARCH("Pesquisa de Preços",D1615)))</formula>
    </cfRule>
  </conditionalFormatting>
  <conditionalFormatting sqref="D142">
    <cfRule type="containsText" dxfId="1293" priority="1284" operator="containsText" text="Pesquisa de Preços">
      <formula>NOT(ISERROR(SEARCH("Pesquisa de Preços",D142)))</formula>
    </cfRule>
  </conditionalFormatting>
  <conditionalFormatting sqref="D802">
    <cfRule type="containsText" dxfId="1292" priority="1283" operator="containsText" text="Pesquisa de Preços">
      <formula>NOT(ISERROR(SEARCH("Pesquisa de Preços",D802)))</formula>
    </cfRule>
  </conditionalFormatting>
  <conditionalFormatting sqref="D1005">
    <cfRule type="containsText" dxfId="1291" priority="1282" operator="containsText" text="Pesquisa de Preços">
      <formula>NOT(ISERROR(SEARCH("Pesquisa de Preços",D1005)))</formula>
    </cfRule>
  </conditionalFormatting>
  <conditionalFormatting sqref="D1010">
    <cfRule type="containsText" dxfId="1290" priority="1281" operator="containsText" text="Pesquisa de Preços">
      <formula>NOT(ISERROR(SEARCH("Pesquisa de Preços",D1010)))</formula>
    </cfRule>
  </conditionalFormatting>
  <conditionalFormatting sqref="D89">
    <cfRule type="containsText" dxfId="1289" priority="1280" operator="containsText" text="Pesquisa de Preços">
      <formula>NOT(ISERROR(SEARCH("Pesquisa de Preços",D89)))</formula>
    </cfRule>
  </conditionalFormatting>
  <conditionalFormatting sqref="D90">
    <cfRule type="containsText" dxfId="1288" priority="1279" operator="containsText" text="Pesquisa de Preços">
      <formula>NOT(ISERROR(SEARCH("Pesquisa de Preços",D90)))</formula>
    </cfRule>
  </conditionalFormatting>
  <conditionalFormatting sqref="D1459">
    <cfRule type="containsText" dxfId="1287" priority="1228" operator="containsText" text="Pesquisa de Preços">
      <formula>NOT(ISERROR(SEARCH("Pesquisa de Preços",D1459)))</formula>
    </cfRule>
  </conditionalFormatting>
  <conditionalFormatting sqref="D113">
    <cfRule type="containsText" dxfId="1286" priority="1278" operator="containsText" text="Pesquisa de Preços">
      <formula>NOT(ISERROR(SEARCH("Pesquisa de Preços",D113)))</formula>
    </cfRule>
  </conditionalFormatting>
  <conditionalFormatting sqref="D114">
    <cfRule type="containsText" dxfId="1285" priority="1277" operator="containsText" text="Pesquisa de Preços">
      <formula>NOT(ISERROR(SEARCH("Pesquisa de Preços",D114)))</formula>
    </cfRule>
  </conditionalFormatting>
  <conditionalFormatting sqref="D1482">
    <cfRule type="containsText" dxfId="1284" priority="1227" operator="containsText" text="Pesquisa de Preços">
      <formula>NOT(ISERROR(SEARCH("Pesquisa de Preços",D1482)))</formula>
    </cfRule>
  </conditionalFormatting>
  <conditionalFormatting sqref="D1694:D1695">
    <cfRule type="containsText" dxfId="1283" priority="1276" operator="containsText" text="Pesquisa de Preços">
      <formula>NOT(ISERROR(SEARCH("Pesquisa de Preços",D1694)))</formula>
    </cfRule>
  </conditionalFormatting>
  <conditionalFormatting sqref="D1660">
    <cfRule type="containsText" dxfId="1282" priority="1275" operator="containsText" text="Pesquisa de Preços">
      <formula>NOT(ISERROR(SEARCH("Pesquisa de Preços",D1660)))</formula>
    </cfRule>
  </conditionalFormatting>
  <conditionalFormatting sqref="D1743">
    <cfRule type="containsText" dxfId="1281" priority="1274" operator="containsText" text="Pesquisa de Preços">
      <formula>NOT(ISERROR(SEARCH("Pesquisa de Preços",D1743)))</formula>
    </cfRule>
  </conditionalFormatting>
  <conditionalFormatting sqref="D1722">
    <cfRule type="containsText" dxfId="1280" priority="1273" operator="containsText" text="Pesquisa de Preços">
      <formula>NOT(ISERROR(SEARCH("Pesquisa de Preços",D1722)))</formula>
    </cfRule>
  </conditionalFormatting>
  <conditionalFormatting sqref="D1707">
    <cfRule type="containsText" dxfId="1279" priority="1271" operator="containsText" text="Pesquisa de Preços">
      <formula>NOT(ISERROR(SEARCH("Pesquisa de Preços",D1707)))</formula>
    </cfRule>
  </conditionalFormatting>
  <conditionalFormatting sqref="D1708">
    <cfRule type="containsText" dxfId="1278" priority="1270" operator="containsText" text="Pesquisa de Preços">
      <formula>NOT(ISERROR(SEARCH("Pesquisa de Preços",D1708)))</formula>
    </cfRule>
  </conditionalFormatting>
  <conditionalFormatting sqref="D1825">
    <cfRule type="containsText" dxfId="1277" priority="1269" operator="containsText" text="Pesquisa de Preços">
      <formula>NOT(ISERROR(SEARCH("Pesquisa de Preços",D1825)))</formula>
    </cfRule>
  </conditionalFormatting>
  <conditionalFormatting sqref="D1832">
    <cfRule type="containsText" dxfId="1276" priority="1268" operator="containsText" text="Pesquisa de Preços">
      <formula>NOT(ISERROR(SEARCH("Pesquisa de Preços",D1832)))</formula>
    </cfRule>
  </conditionalFormatting>
  <conditionalFormatting sqref="D1831">
    <cfRule type="containsText" dxfId="1275" priority="1267" operator="containsText" text="Pesquisa de Preços">
      <formula>NOT(ISERROR(SEARCH("Pesquisa de Preços",D1831)))</formula>
    </cfRule>
  </conditionalFormatting>
  <conditionalFormatting sqref="D1839">
    <cfRule type="containsText" dxfId="1274" priority="1266" operator="containsText" text="Pesquisa de Preços">
      <formula>NOT(ISERROR(SEARCH("Pesquisa de Preços",D1839)))</formula>
    </cfRule>
  </conditionalFormatting>
  <conditionalFormatting sqref="D1838">
    <cfRule type="containsText" dxfId="1273" priority="1265" operator="containsText" text="Pesquisa de Preços">
      <formula>NOT(ISERROR(SEARCH("Pesquisa de Preços",D1838)))</formula>
    </cfRule>
  </conditionalFormatting>
  <conditionalFormatting sqref="D1921">
    <cfRule type="containsText" dxfId="1272" priority="1263" operator="containsText" text="Pesquisa de Preços">
      <formula>NOT(ISERROR(SEARCH("Pesquisa de Preços",D1921)))</formula>
    </cfRule>
  </conditionalFormatting>
  <conditionalFormatting sqref="D841">
    <cfRule type="containsText" dxfId="1271" priority="1262" operator="containsText" text="Pesquisa de Preços">
      <formula>NOT(ISERROR(SEARCH("Pesquisa de Preços",D841)))</formula>
    </cfRule>
  </conditionalFormatting>
  <conditionalFormatting sqref="D2388">
    <cfRule type="containsText" dxfId="1270" priority="1260" operator="containsText" text="Pesquisa de Preços">
      <formula>NOT(ISERROR(SEARCH("Pesquisa de Preços",D2388)))</formula>
    </cfRule>
  </conditionalFormatting>
  <conditionalFormatting sqref="D2387">
    <cfRule type="containsText" dxfId="1269" priority="1259" operator="containsText" text="Pesquisa de Preços">
      <formula>NOT(ISERROR(SEARCH("Pesquisa de Preços",D2387)))</formula>
    </cfRule>
  </conditionalFormatting>
  <conditionalFormatting sqref="D2258">
    <cfRule type="containsText" dxfId="1268" priority="1258" operator="containsText" text="Pesquisa de Preços">
      <formula>NOT(ISERROR(SEARCH("Pesquisa de Preços",D2258)))</formula>
    </cfRule>
  </conditionalFormatting>
  <conditionalFormatting sqref="D2257">
    <cfRule type="containsText" dxfId="1267" priority="1257" operator="containsText" text="Pesquisa de Preços">
      <formula>NOT(ISERROR(SEARCH("Pesquisa de Preços",D2257)))</formula>
    </cfRule>
  </conditionalFormatting>
  <conditionalFormatting sqref="D2380">
    <cfRule type="containsText" dxfId="1266" priority="1256" operator="containsText" text="Pesquisa de Preços">
      <formula>NOT(ISERROR(SEARCH("Pesquisa de Preços",D2380)))</formula>
    </cfRule>
  </conditionalFormatting>
  <conditionalFormatting sqref="D2381">
    <cfRule type="containsText" dxfId="1265" priority="1255" operator="containsText" text="Pesquisa de Preços">
      <formula>NOT(ISERROR(SEARCH("Pesquisa de Preços",D2381)))</formula>
    </cfRule>
  </conditionalFormatting>
  <conditionalFormatting sqref="D133">
    <cfRule type="containsText" dxfId="1264" priority="1254" operator="containsText" text="Pesquisa de Preços">
      <formula>NOT(ISERROR(SEARCH("Pesquisa de Preços",D133)))</formula>
    </cfRule>
  </conditionalFormatting>
  <conditionalFormatting sqref="D1642">
    <cfRule type="containsText" dxfId="1263" priority="1253" operator="containsText" text="Pesquisa de Preços">
      <formula>NOT(ISERROR(SEARCH("Pesquisa de Preços",D1642)))</formula>
    </cfRule>
  </conditionalFormatting>
  <conditionalFormatting sqref="D1643">
    <cfRule type="containsText" dxfId="1262" priority="1252" operator="containsText" text="Pesquisa de Preços">
      <formula>NOT(ISERROR(SEARCH("Pesquisa de Preços",D1643)))</formula>
    </cfRule>
  </conditionalFormatting>
  <conditionalFormatting sqref="D1961">
    <cfRule type="containsText" dxfId="1261" priority="1226" operator="containsText" text="Pesquisa de Preços">
      <formula>NOT(ISERROR(SEARCH("Pesquisa de Preços",D1961)))</formula>
    </cfRule>
  </conditionalFormatting>
  <conditionalFormatting sqref="D80">
    <cfRule type="containsText" dxfId="1260" priority="1251" operator="containsText" text="Pesquisa de Preços">
      <formula>NOT(ISERROR(SEARCH("Pesquisa de Preços",D80)))</formula>
    </cfRule>
  </conditionalFormatting>
  <conditionalFormatting sqref="D1135">
    <cfRule type="containsText" dxfId="1259" priority="1250" operator="containsText" text="Pesquisa de Preços">
      <formula>NOT(ISERROR(SEARCH("Pesquisa de Preços",D1135)))</formula>
    </cfRule>
  </conditionalFormatting>
  <conditionalFormatting sqref="D403:D413">
    <cfRule type="containsText" dxfId="1258" priority="1249" operator="containsText" text="Pesquisa de Preços">
      <formula>NOT(ISERROR(SEARCH("Pesquisa de Preços",D403)))</formula>
    </cfRule>
  </conditionalFormatting>
  <conditionalFormatting sqref="D417">
    <cfRule type="containsText" dxfId="1257" priority="1248" operator="containsText" text="Pesquisa de Preços">
      <formula>NOT(ISERROR(SEARCH("Pesquisa de Preços",D417)))</formula>
    </cfRule>
  </conditionalFormatting>
  <conditionalFormatting sqref="D418">
    <cfRule type="containsText" dxfId="1256" priority="1247" operator="containsText" text="Pesquisa de Preços">
      <formula>NOT(ISERROR(SEARCH("Pesquisa de Preços",D418)))</formula>
    </cfRule>
  </conditionalFormatting>
  <conditionalFormatting sqref="D417">
    <cfRule type="containsText" dxfId="1255" priority="1246" operator="containsText" text="Pesquisa de Preços">
      <formula>NOT(ISERROR(SEARCH("Pesquisa de Preços",D417)))</formula>
    </cfRule>
  </conditionalFormatting>
  <conditionalFormatting sqref="D418">
    <cfRule type="containsText" dxfId="1254" priority="1245" operator="containsText" text="Pesquisa de Preços">
      <formula>NOT(ISERROR(SEARCH("Pesquisa de Preços",D418)))</formula>
    </cfRule>
  </conditionalFormatting>
  <conditionalFormatting sqref="D419:D420">
    <cfRule type="containsText" dxfId="1253" priority="1244" operator="containsText" text="Pesquisa de Preços">
      <formula>NOT(ISERROR(SEARCH("Pesquisa de Preços",D419)))</formula>
    </cfRule>
  </conditionalFormatting>
  <conditionalFormatting sqref="D195">
    <cfRule type="containsText" dxfId="1252" priority="1243" operator="containsText" text="Pesquisa de Preços">
      <formula>NOT(ISERROR(SEARCH("Pesquisa de Preços",D195)))</formula>
    </cfRule>
  </conditionalFormatting>
  <conditionalFormatting sqref="D834:D838">
    <cfRule type="containsText" dxfId="1251" priority="1242" operator="containsText" text="Pesquisa de Preços">
      <formula>NOT(ISERROR(SEARCH("Pesquisa de Preços",D834)))</formula>
    </cfRule>
  </conditionalFormatting>
  <conditionalFormatting sqref="D834:D838">
    <cfRule type="containsText" dxfId="1250" priority="1241" operator="containsText" text="Pesquisa de Preços">
      <formula>NOT(ISERROR(SEARCH("Pesquisa de Preços",D834)))</formula>
    </cfRule>
  </conditionalFormatting>
  <conditionalFormatting sqref="D1931">
    <cfRule type="containsText" dxfId="1249" priority="1240" operator="containsText" text="Pesquisa de Preços">
      <formula>NOT(ISERROR(SEARCH("Pesquisa de Preços",D1931)))</formula>
    </cfRule>
  </conditionalFormatting>
  <conditionalFormatting sqref="D1932">
    <cfRule type="containsText" dxfId="1248" priority="1239" operator="containsText" text="Pesquisa de Preços">
      <formula>NOT(ISERROR(SEARCH("Pesquisa de Preços",D1932)))</formula>
    </cfRule>
  </conditionalFormatting>
  <conditionalFormatting sqref="D812">
    <cfRule type="containsText" dxfId="1247" priority="1238" operator="containsText" text="Pesquisa de Preços">
      <formula>NOT(ISERROR(SEARCH("Pesquisa de Preços",D812)))</formula>
    </cfRule>
  </conditionalFormatting>
  <conditionalFormatting sqref="D769">
    <cfRule type="containsText" dxfId="1246" priority="1237" operator="containsText" text="Pesquisa de Preços">
      <formula>NOT(ISERROR(SEARCH("Pesquisa de Preços",D769)))</formula>
    </cfRule>
  </conditionalFormatting>
  <conditionalFormatting sqref="D768">
    <cfRule type="containsText" dxfId="1245" priority="1236" operator="containsText" text="Pesquisa de Preços">
      <formula>NOT(ISERROR(SEARCH("Pesquisa de Preços",D768)))</formula>
    </cfRule>
  </conditionalFormatting>
  <conditionalFormatting sqref="D852">
    <cfRule type="containsText" dxfId="1244" priority="1235" operator="containsText" text="Pesquisa de Preços">
      <formula>NOT(ISERROR(SEARCH("Pesquisa de Preços",D852)))</formula>
    </cfRule>
  </conditionalFormatting>
  <conditionalFormatting sqref="D869">
    <cfRule type="containsText" dxfId="1243" priority="1234" operator="containsText" text="Pesquisa de Preços">
      <formula>NOT(ISERROR(SEARCH("Pesquisa de Preços",D869)))</formula>
    </cfRule>
  </conditionalFormatting>
  <conditionalFormatting sqref="D871:D872">
    <cfRule type="containsText" dxfId="1242" priority="1233" operator="containsText" text="Pesquisa de Preços">
      <formula>NOT(ISERROR(SEARCH("Pesquisa de Preços",D871)))</formula>
    </cfRule>
  </conditionalFormatting>
  <conditionalFormatting sqref="D847">
    <cfRule type="containsText" dxfId="1241" priority="1232" operator="containsText" text="Pesquisa de Preços">
      <formula>NOT(ISERROR(SEARCH("Pesquisa de Preços",D847)))</formula>
    </cfRule>
  </conditionalFormatting>
  <conditionalFormatting sqref="D172:D173">
    <cfRule type="containsText" dxfId="1240" priority="1225" operator="containsText" text="Pesquisa de Preços">
      <formula>NOT(ISERROR(SEARCH("Pesquisa de Preços",D172)))</formula>
    </cfRule>
  </conditionalFormatting>
  <conditionalFormatting sqref="D2801">
    <cfRule type="containsText" dxfId="1239" priority="1224" operator="containsText" text="Pesquisa de Preços">
      <formula>NOT(ISERROR(SEARCH("Pesquisa de Preços",D2801)))</formula>
    </cfRule>
  </conditionalFormatting>
  <conditionalFormatting sqref="D2806">
    <cfRule type="containsText" dxfId="1238" priority="1223" operator="containsText" text="Pesquisa de Preços">
      <formula>NOT(ISERROR(SEARCH("Pesquisa de Preços",D2806)))</formula>
    </cfRule>
  </conditionalFormatting>
  <conditionalFormatting sqref="D4794">
    <cfRule type="containsText" dxfId="1237" priority="1222" operator="containsText" text="Pesquisa de Preços">
      <formula>NOT(ISERROR(SEARCH("Pesquisa de Preços",D4794)))</formula>
    </cfRule>
  </conditionalFormatting>
  <conditionalFormatting sqref="D4804">
    <cfRule type="containsText" dxfId="1236" priority="1221" operator="containsText" text="Pesquisa de Preços">
      <formula>NOT(ISERROR(SEARCH("Pesquisa de Preços",D4804)))</formula>
    </cfRule>
  </conditionalFormatting>
  <conditionalFormatting sqref="D4814">
    <cfRule type="containsText" dxfId="1235" priority="1220" operator="containsText" text="Pesquisa de Preços">
      <formula>NOT(ISERROR(SEARCH("Pesquisa de Preços",D4814)))</formula>
    </cfRule>
  </conditionalFormatting>
  <conditionalFormatting sqref="D4819">
    <cfRule type="containsText" dxfId="1234" priority="1219" operator="containsText" text="Pesquisa de Preços">
      <formula>NOT(ISERROR(SEARCH("Pesquisa de Preços",D4819)))</formula>
    </cfRule>
  </conditionalFormatting>
  <conditionalFormatting sqref="D4824">
    <cfRule type="containsText" dxfId="1233" priority="1218" operator="containsText" text="Pesquisa de Preços">
      <formula>NOT(ISERROR(SEARCH("Pesquisa de Preços",D4824)))</formula>
    </cfRule>
  </conditionalFormatting>
  <conditionalFormatting sqref="D4894:D4895 D4902">
    <cfRule type="containsText" dxfId="1232" priority="1208" operator="containsText" text="Pesquisa de Preços">
      <formula>NOT(ISERROR(SEARCH("Pesquisa de Preços",D4894)))</formula>
    </cfRule>
  </conditionalFormatting>
  <conditionalFormatting sqref="D4829">
    <cfRule type="containsText" dxfId="1231" priority="1217" operator="containsText" text="Pesquisa de Preços">
      <formula>NOT(ISERROR(SEARCH("Pesquisa de Preços",D4829)))</formula>
    </cfRule>
  </conditionalFormatting>
  <conditionalFormatting sqref="D4837">
    <cfRule type="containsText" dxfId="1230" priority="1216" operator="containsText" text="Pesquisa de Preços">
      <formula>NOT(ISERROR(SEARCH("Pesquisa de Preços",D4837)))</formula>
    </cfRule>
  </conditionalFormatting>
  <conditionalFormatting sqref="D4903">
    <cfRule type="containsText" dxfId="1229" priority="1206" operator="containsText" text="Pesquisa de Preços">
      <formula>NOT(ISERROR(SEARCH("Pesquisa de Preços",D4903)))</formula>
    </cfRule>
  </conditionalFormatting>
  <conditionalFormatting sqref="D4845">
    <cfRule type="containsText" dxfId="1228" priority="1215" operator="containsText" text="Pesquisa de Preços">
      <formula>NOT(ISERROR(SEARCH("Pesquisa de Preços",D4845)))</formula>
    </cfRule>
  </conditionalFormatting>
  <conditionalFormatting sqref="D4853">
    <cfRule type="containsText" dxfId="1227" priority="1214" operator="containsText" text="Pesquisa de Preços">
      <formula>NOT(ISERROR(SEARCH("Pesquisa de Preços",D4853)))</formula>
    </cfRule>
  </conditionalFormatting>
  <conditionalFormatting sqref="D4861">
    <cfRule type="containsText" dxfId="1226" priority="1213" operator="containsText" text="Pesquisa de Preços">
      <formula>NOT(ISERROR(SEARCH("Pesquisa de Preços",D4861)))</formula>
    </cfRule>
  </conditionalFormatting>
  <conditionalFormatting sqref="D4912">
    <cfRule type="containsText" dxfId="1225" priority="1204" operator="containsText" text="Pesquisa de Preços">
      <formula>NOT(ISERROR(SEARCH("Pesquisa de Preços",D4912)))</formula>
    </cfRule>
  </conditionalFormatting>
  <conditionalFormatting sqref="D4869">
    <cfRule type="containsText" dxfId="1224" priority="1212" operator="containsText" text="Pesquisa de Preços">
      <formula>NOT(ISERROR(SEARCH("Pesquisa de Preços",D4869)))</formula>
    </cfRule>
  </conditionalFormatting>
  <conditionalFormatting sqref="D4919">
    <cfRule type="containsText" dxfId="1223" priority="1203" operator="containsText" text="Pesquisa de Preços">
      <formula>NOT(ISERROR(SEARCH("Pesquisa de Preços",D4919)))</formula>
    </cfRule>
  </conditionalFormatting>
  <conditionalFormatting sqref="D4877">
    <cfRule type="containsText" dxfId="1222" priority="1211" operator="containsText" text="Pesquisa de Preços">
      <formula>NOT(ISERROR(SEARCH("Pesquisa de Preços",D4877)))</formula>
    </cfRule>
  </conditionalFormatting>
  <conditionalFormatting sqref="D4885">
    <cfRule type="containsText" dxfId="1221" priority="1210" operator="containsText" text="Pesquisa de Preços">
      <formula>NOT(ISERROR(SEARCH("Pesquisa de Preços",D4885)))</formula>
    </cfRule>
  </conditionalFormatting>
  <conditionalFormatting sqref="D4893">
    <cfRule type="containsText" dxfId="1220" priority="1209" operator="containsText" text="Pesquisa de Preços">
      <formula>NOT(ISERROR(SEARCH("Pesquisa de Preços",D4893)))</formula>
    </cfRule>
  </conditionalFormatting>
  <conditionalFormatting sqref="D4926">
    <cfRule type="containsText" dxfId="1219" priority="1202" operator="containsText" text="Pesquisa de Preços">
      <formula>NOT(ISERROR(SEARCH("Pesquisa de Preços",D4926)))</formula>
    </cfRule>
  </conditionalFormatting>
  <conditionalFormatting sqref="D4897:D4899">
    <cfRule type="containsText" dxfId="1218" priority="1207" operator="containsText" text="Pesquisa de Preços">
      <formula>NOT(ISERROR(SEARCH("Pesquisa de Preços",D4897)))</formula>
    </cfRule>
  </conditionalFormatting>
  <conditionalFormatting sqref="D4904:D4905 D4911">
    <cfRule type="containsText" dxfId="1217" priority="1205" operator="containsText" text="Pesquisa de Preços">
      <formula>NOT(ISERROR(SEARCH("Pesquisa de Preços",D4904)))</formula>
    </cfRule>
  </conditionalFormatting>
  <conditionalFormatting sqref="D4953:D4954 D4957:D4958">
    <cfRule type="containsText" dxfId="1216" priority="1197" operator="containsText" text="Pesquisa de Preços">
      <formula>NOT(ISERROR(SEARCH("Pesquisa de Preços",D4953)))</formula>
    </cfRule>
  </conditionalFormatting>
  <conditionalFormatting sqref="D4933">
    <cfRule type="containsText" dxfId="1215" priority="1201" operator="containsText" text="Pesquisa de Preços">
      <formula>NOT(ISERROR(SEARCH("Pesquisa de Preços",D4933)))</formula>
    </cfRule>
  </conditionalFormatting>
  <conditionalFormatting sqref="D4982">
    <cfRule type="containsText" dxfId="1214" priority="1188" operator="containsText" text="Pesquisa de Preços">
      <formula>NOT(ISERROR(SEARCH("Pesquisa de Preços",D4982)))</formula>
    </cfRule>
  </conditionalFormatting>
  <conditionalFormatting sqref="D4940">
    <cfRule type="containsText" dxfId="1213" priority="1200" operator="containsText" text="Pesquisa de Preços">
      <formula>NOT(ISERROR(SEARCH("Pesquisa de Preços",D4940)))</formula>
    </cfRule>
  </conditionalFormatting>
  <conditionalFormatting sqref="D4947">
    <cfRule type="containsText" dxfId="1212" priority="1199" operator="containsText" text="Pesquisa de Preços">
      <formula>NOT(ISERROR(SEARCH("Pesquisa de Preços",D4947)))</formula>
    </cfRule>
  </conditionalFormatting>
  <conditionalFormatting sqref="D4952">
    <cfRule type="containsText" dxfId="1211" priority="1198" operator="containsText" text="Pesquisa de Preços">
      <formula>NOT(ISERROR(SEARCH("Pesquisa de Preços",D4952)))</formula>
    </cfRule>
  </conditionalFormatting>
  <conditionalFormatting sqref="D4959">
    <cfRule type="containsText" dxfId="1210" priority="1196" operator="containsText" text="Pesquisa de Preços">
      <formula>NOT(ISERROR(SEARCH("Pesquisa de Preços",D4959)))</formula>
    </cfRule>
  </conditionalFormatting>
  <conditionalFormatting sqref="D4974:D4975 D4978:D4979">
    <cfRule type="containsText" dxfId="1209" priority="1191" operator="containsText" text="Pesquisa de Preços">
      <formula>NOT(ISERROR(SEARCH("Pesquisa de Preços",D4974)))</formula>
    </cfRule>
  </conditionalFormatting>
  <conditionalFormatting sqref="D4960:D4961 D4964:D4965">
    <cfRule type="containsText" dxfId="1208" priority="1195" operator="containsText" text="Pesquisa de Preços">
      <formula>NOT(ISERROR(SEARCH("Pesquisa de Preços",D4960)))</formula>
    </cfRule>
  </conditionalFormatting>
  <conditionalFormatting sqref="D4967:D4968 D4971:D4972">
    <cfRule type="containsText" dxfId="1207" priority="1193" operator="containsText" text="Pesquisa de Preços">
      <formula>NOT(ISERROR(SEARCH("Pesquisa de Preços",D4967)))</formula>
    </cfRule>
  </conditionalFormatting>
  <conditionalFormatting sqref="D4966">
    <cfRule type="containsText" dxfId="1206" priority="1194" operator="containsText" text="Pesquisa de Preços">
      <formula>NOT(ISERROR(SEARCH("Pesquisa de Preços",D4966)))</formula>
    </cfRule>
  </conditionalFormatting>
  <conditionalFormatting sqref="D4973">
    <cfRule type="containsText" dxfId="1205" priority="1192" operator="containsText" text="Pesquisa de Preços">
      <formula>NOT(ISERROR(SEARCH("Pesquisa de Preços",D4973)))</formula>
    </cfRule>
  </conditionalFormatting>
  <conditionalFormatting sqref="D5004">
    <cfRule type="containsText" dxfId="1204" priority="1186" operator="containsText" text="Pesquisa de Preços">
      <formula>NOT(ISERROR(SEARCH("Pesquisa de Preços",D5004)))</formula>
    </cfRule>
  </conditionalFormatting>
  <conditionalFormatting sqref="D4980">
    <cfRule type="containsText" dxfId="1203" priority="1190" operator="containsText" text="Pesquisa de Preços">
      <formula>NOT(ISERROR(SEARCH("Pesquisa de Preços",D4980)))</formula>
    </cfRule>
  </conditionalFormatting>
  <conditionalFormatting sqref="D4983">
    <cfRule type="containsText" dxfId="1202" priority="1189" operator="containsText" text="Pesquisa de Preços">
      <formula>NOT(ISERROR(SEARCH("Pesquisa de Preços",D4983)))</formula>
    </cfRule>
  </conditionalFormatting>
  <conditionalFormatting sqref="D5010 D5014:D5015">
    <cfRule type="containsText" dxfId="1201" priority="1182" operator="containsText" text="Pesquisa de Preços">
      <formula>NOT(ISERROR(SEARCH("Pesquisa de Preços",D5010)))</formula>
    </cfRule>
  </conditionalFormatting>
  <conditionalFormatting sqref="D4985 D4991 D4997 D5003">
    <cfRule type="containsText" dxfId="1200" priority="1187" operator="containsText" text="Pesquisa de Preços">
      <formula>NOT(ISERROR(SEARCH("Pesquisa de Preços",D4985)))</formula>
    </cfRule>
  </conditionalFormatting>
  <conditionalFormatting sqref="D5006:D5007">
    <cfRule type="containsText" dxfId="1199" priority="1185" operator="containsText" text="Pesquisa de Preços">
      <formula>NOT(ISERROR(SEARCH("Pesquisa de Preços",D5006)))</formula>
    </cfRule>
  </conditionalFormatting>
  <conditionalFormatting sqref="D4998 D5002">
    <cfRule type="containsText" dxfId="1198" priority="1184" operator="containsText" text="Pesquisa de Preços">
      <formula>NOT(ISERROR(SEARCH("Pesquisa de Preços",D4998)))</formula>
    </cfRule>
  </conditionalFormatting>
  <conditionalFormatting sqref="D5009">
    <cfRule type="containsText" dxfId="1197" priority="1183" operator="containsText" text="Pesquisa de Preços">
      <formula>NOT(ISERROR(SEARCH("Pesquisa de Preços",D5009)))</formula>
    </cfRule>
  </conditionalFormatting>
  <conditionalFormatting sqref="D5016">
    <cfRule type="containsText" dxfId="1196" priority="1181" operator="containsText" text="Pesquisa de Preços">
      <formula>NOT(ISERROR(SEARCH("Pesquisa de Preços",D5016)))</formula>
    </cfRule>
  </conditionalFormatting>
  <conditionalFormatting sqref="D5017">
    <cfRule type="containsText" dxfId="1195" priority="1180" operator="containsText" text="Pesquisa de Preços">
      <formula>NOT(ISERROR(SEARCH("Pesquisa de Preços",D5017)))</formula>
    </cfRule>
  </conditionalFormatting>
  <conditionalFormatting sqref="D5012">
    <cfRule type="containsText" dxfId="1194" priority="1176" operator="containsText" text="Pesquisa de Preços">
      <formula>NOT(ISERROR(SEARCH("Pesquisa de Preços",D5012)))</formula>
    </cfRule>
  </conditionalFormatting>
  <conditionalFormatting sqref="D5029">
    <cfRule type="containsText" dxfId="1193" priority="1179" operator="containsText" text="Pesquisa de Preços">
      <formula>NOT(ISERROR(SEARCH("Pesquisa de Preços",D5029)))</formula>
    </cfRule>
  </conditionalFormatting>
  <conditionalFormatting sqref="D5030">
    <cfRule type="containsText" dxfId="1192" priority="1178" operator="containsText" text="Pesquisa de Preços">
      <formula>NOT(ISERROR(SEARCH("Pesquisa de Preços",D5030)))</formula>
    </cfRule>
  </conditionalFormatting>
  <conditionalFormatting sqref="D5021">
    <cfRule type="containsText" dxfId="1191" priority="1177" operator="containsText" text="Pesquisa de Preços">
      <formula>NOT(ISERROR(SEARCH("Pesquisa de Preços",D5021)))</formula>
    </cfRule>
  </conditionalFormatting>
  <conditionalFormatting sqref="D5038">
    <cfRule type="containsText" dxfId="1190" priority="1175" operator="containsText" text="Pesquisa de Preços">
      <formula>NOT(ISERROR(SEARCH("Pesquisa de Preços",D5038)))</formula>
    </cfRule>
  </conditionalFormatting>
  <conditionalFormatting sqref="D5035">
    <cfRule type="containsText" dxfId="1189" priority="1174" operator="containsText" text="Pesquisa de Preços">
      <formula>NOT(ISERROR(SEARCH("Pesquisa de Preços",D5035)))</formula>
    </cfRule>
  </conditionalFormatting>
  <conditionalFormatting sqref="D5036">
    <cfRule type="containsText" dxfId="1188" priority="1173" operator="containsText" text="Pesquisa de Preços">
      <formula>NOT(ISERROR(SEARCH("Pesquisa de Preços",D5036)))</formula>
    </cfRule>
  </conditionalFormatting>
  <conditionalFormatting sqref="D5044">
    <cfRule type="containsText" dxfId="1187" priority="1172" operator="containsText" text="Pesquisa de Preços">
      <formula>NOT(ISERROR(SEARCH("Pesquisa de Preços",D5044)))</formula>
    </cfRule>
  </conditionalFormatting>
  <conditionalFormatting sqref="D5039">
    <cfRule type="containsText" dxfId="1186" priority="1171" operator="containsText" text="Pesquisa de Preços">
      <formula>NOT(ISERROR(SEARCH("Pesquisa de Preços",D5039)))</formula>
    </cfRule>
  </conditionalFormatting>
  <conditionalFormatting sqref="D5040:D5041">
    <cfRule type="containsText" dxfId="1185" priority="1170" operator="containsText" text="Pesquisa de Preços">
      <formula>NOT(ISERROR(SEARCH("Pesquisa de Preços",D5040)))</formula>
    </cfRule>
  </conditionalFormatting>
  <conditionalFormatting sqref="D5051">
    <cfRule type="containsText" dxfId="1184" priority="1165" operator="containsText" text="Pesquisa de Preços">
      <formula>NOT(ISERROR(SEARCH("Pesquisa de Preços",D5051)))</formula>
    </cfRule>
  </conditionalFormatting>
  <conditionalFormatting sqref="D5052:D5053 D5058">
    <cfRule type="containsText" dxfId="1183" priority="1164" operator="containsText" text="Pesquisa de Preços">
      <formula>NOT(ISERROR(SEARCH("Pesquisa de Preços",D5052)))</formula>
    </cfRule>
  </conditionalFormatting>
  <conditionalFormatting sqref="D5050">
    <cfRule type="containsText" dxfId="1182" priority="1169" operator="containsText" text="Pesquisa de Preços">
      <formula>NOT(ISERROR(SEARCH("Pesquisa de Preços",D5050)))</formula>
    </cfRule>
  </conditionalFormatting>
  <conditionalFormatting sqref="D5045">
    <cfRule type="containsText" dxfId="1181" priority="1168" operator="containsText" text="Pesquisa de Preços">
      <formula>NOT(ISERROR(SEARCH("Pesquisa de Preços",D5045)))</formula>
    </cfRule>
  </conditionalFormatting>
  <conditionalFormatting sqref="D5046:D5047">
    <cfRule type="containsText" dxfId="1180" priority="1167" operator="containsText" text="Pesquisa de Preços">
      <formula>NOT(ISERROR(SEARCH("Pesquisa de Preços",D5046)))</formula>
    </cfRule>
  </conditionalFormatting>
  <conditionalFormatting sqref="D5055:D5056 D5053">
    <cfRule type="containsText" dxfId="1179" priority="1166" operator="containsText" text="Pesquisa de Preços">
      <formula>NOT(ISERROR(SEARCH("Pesquisa de Preços",D5053)))</formula>
    </cfRule>
  </conditionalFormatting>
  <conditionalFormatting sqref="D5059">
    <cfRule type="containsText" dxfId="1178" priority="1163" operator="containsText" text="Pesquisa de Preços">
      <formula>NOT(ISERROR(SEARCH("Pesquisa de Preços",D5059)))</formula>
    </cfRule>
  </conditionalFormatting>
  <conditionalFormatting sqref="D5060 D5065">
    <cfRule type="containsText" dxfId="1177" priority="1162" operator="containsText" text="Pesquisa de Preços">
      <formula>NOT(ISERROR(SEARCH("Pesquisa de Preços",D5060)))</formula>
    </cfRule>
  </conditionalFormatting>
  <conditionalFormatting sqref="D5063">
    <cfRule type="containsText" dxfId="1176" priority="1161" operator="containsText" text="Pesquisa de Preços">
      <formula>NOT(ISERROR(SEARCH("Pesquisa de Preços",D5063)))</formula>
    </cfRule>
  </conditionalFormatting>
  <conditionalFormatting sqref="D5073">
    <cfRule type="containsText" dxfId="1175" priority="1159" operator="containsText" text="Pesquisa de Preços">
      <formula>NOT(ISERROR(SEARCH("Pesquisa de Preços",D5073)))</formula>
    </cfRule>
  </conditionalFormatting>
  <conditionalFormatting sqref="D5066">
    <cfRule type="containsText" dxfId="1174" priority="1160" operator="containsText" text="Pesquisa de Preços">
      <formula>NOT(ISERROR(SEARCH("Pesquisa de Preços",D5066)))</formula>
    </cfRule>
  </conditionalFormatting>
  <conditionalFormatting sqref="D5078">
    <cfRule type="containsText" dxfId="1173" priority="1158" operator="containsText" text="Pesquisa de Preços">
      <formula>NOT(ISERROR(SEARCH("Pesquisa de Preços",D5078)))</formula>
    </cfRule>
  </conditionalFormatting>
  <conditionalFormatting sqref="D5076">
    <cfRule type="containsText" dxfId="1172" priority="1157" operator="containsText" text="Pesquisa de Preços">
      <formula>NOT(ISERROR(SEARCH("Pesquisa de Preços",D5076)))</formula>
    </cfRule>
  </conditionalFormatting>
  <conditionalFormatting sqref="D1327">
    <cfRule type="containsText" dxfId="1171" priority="1156" operator="containsText" text="Pesquisa de Preços">
      <formula>NOT(ISERROR(SEARCH("Pesquisa de Preços",D1327)))</formula>
    </cfRule>
  </conditionalFormatting>
  <conditionalFormatting sqref="D1333">
    <cfRule type="containsText" dxfId="1170" priority="1155" operator="containsText" text="Pesquisa de Preços">
      <formula>NOT(ISERROR(SEARCH("Pesquisa de Preços",D1333)))</formula>
    </cfRule>
  </conditionalFormatting>
  <conditionalFormatting sqref="D1339">
    <cfRule type="containsText" dxfId="1169" priority="1154" operator="containsText" text="Pesquisa de Preços">
      <formula>NOT(ISERROR(SEARCH("Pesquisa de Preços",D1339)))</formula>
    </cfRule>
  </conditionalFormatting>
  <conditionalFormatting sqref="D5081 D5087">
    <cfRule type="containsText" dxfId="1168" priority="1153" operator="containsText" text="Pesquisa de Preços">
      <formula>NOT(ISERROR(SEARCH("Pesquisa de Preços",D5081)))</formula>
    </cfRule>
  </conditionalFormatting>
  <conditionalFormatting sqref="D5082:D5083">
    <cfRule type="containsText" dxfId="1167" priority="1151" operator="containsText" text="Pesquisa de Preços">
      <formula>NOT(ISERROR(SEARCH("Pesquisa de Preços",D5082)))</formula>
    </cfRule>
  </conditionalFormatting>
  <conditionalFormatting sqref="D5088:D5089">
    <cfRule type="containsText" dxfId="1166" priority="1152" operator="containsText" text="Pesquisa de Preços">
      <formula>NOT(ISERROR(SEARCH("Pesquisa de Preços",D5088)))</formula>
    </cfRule>
  </conditionalFormatting>
  <conditionalFormatting sqref="D5091">
    <cfRule type="containsText" dxfId="1165" priority="1150" operator="containsText" text="Pesquisa de Preços">
      <formula>NOT(ISERROR(SEARCH("Pesquisa de Preços",D5091)))</formula>
    </cfRule>
  </conditionalFormatting>
  <conditionalFormatting sqref="D5085">
    <cfRule type="containsText" dxfId="1164" priority="1149" operator="containsText" text="Pesquisa de Preços">
      <formula>NOT(ISERROR(SEARCH("Pesquisa de Preços",D5085)))</formula>
    </cfRule>
  </conditionalFormatting>
  <conditionalFormatting sqref="D5093">
    <cfRule type="containsText" dxfId="1163" priority="1148" operator="containsText" text="Pesquisa de Preços">
      <formula>NOT(ISERROR(SEARCH("Pesquisa de Preços",D5093)))</formula>
    </cfRule>
  </conditionalFormatting>
  <conditionalFormatting sqref="D5094 D5098">
    <cfRule type="containsText" dxfId="1162" priority="1147" operator="containsText" text="Pesquisa de Preços">
      <formula>NOT(ISERROR(SEARCH("Pesquisa de Preços",D5094)))</formula>
    </cfRule>
  </conditionalFormatting>
  <conditionalFormatting sqref="D5095">
    <cfRule type="containsText" dxfId="1161" priority="1146" operator="containsText" text="Pesquisa de Preços">
      <formula>NOT(ISERROR(SEARCH("Pesquisa de Preços",D5095)))</formula>
    </cfRule>
  </conditionalFormatting>
  <conditionalFormatting sqref="D5096:D5097">
    <cfRule type="containsText" dxfId="1160" priority="1145" operator="containsText" text="Pesquisa de Preços">
      <formula>NOT(ISERROR(SEARCH("Pesquisa de Preços",D5096)))</formula>
    </cfRule>
  </conditionalFormatting>
  <conditionalFormatting sqref="D5099">
    <cfRule type="containsText" dxfId="1159" priority="1144" operator="containsText" text="Pesquisa de Preços">
      <formula>NOT(ISERROR(SEARCH("Pesquisa de Preços",D5099)))</formula>
    </cfRule>
  </conditionalFormatting>
  <conditionalFormatting sqref="D5100 D5104">
    <cfRule type="containsText" dxfId="1158" priority="1143" operator="containsText" text="Pesquisa de Preços">
      <formula>NOT(ISERROR(SEARCH("Pesquisa de Preços",D5100)))</formula>
    </cfRule>
  </conditionalFormatting>
  <conditionalFormatting sqref="D5101">
    <cfRule type="containsText" dxfId="1157" priority="1142" operator="containsText" text="Pesquisa de Preços">
      <formula>NOT(ISERROR(SEARCH("Pesquisa de Preços",D5101)))</formula>
    </cfRule>
  </conditionalFormatting>
  <conditionalFormatting sqref="D5102:D5103">
    <cfRule type="containsText" dxfId="1156" priority="1141" operator="containsText" text="Pesquisa de Preços">
      <formula>NOT(ISERROR(SEARCH("Pesquisa de Preços",D5102)))</formula>
    </cfRule>
  </conditionalFormatting>
  <conditionalFormatting sqref="D5106:D5107 D5110:D5111">
    <cfRule type="containsText" dxfId="1155" priority="1139" operator="containsText" text="Pesquisa de Preços">
      <formula>NOT(ISERROR(SEARCH("Pesquisa de Preços",D5106)))</formula>
    </cfRule>
  </conditionalFormatting>
  <conditionalFormatting sqref="D5105">
    <cfRule type="containsText" dxfId="1154" priority="1140" operator="containsText" text="Pesquisa de Preços">
      <formula>NOT(ISERROR(SEARCH("Pesquisa de Preços",D5105)))</formula>
    </cfRule>
  </conditionalFormatting>
  <conditionalFormatting sqref="D5005">
    <cfRule type="containsText" dxfId="1153" priority="1138" operator="containsText" text="Pesquisa de Preços">
      <formula>NOT(ISERROR(SEARCH("Pesquisa de Preços",D5005)))</formula>
    </cfRule>
  </conditionalFormatting>
  <conditionalFormatting sqref="D2293">
    <cfRule type="containsText" dxfId="1152" priority="1137" operator="containsText" text="Pesquisa de Preços">
      <formula>NOT(ISERROR(SEARCH("Pesquisa de Preços",D2293)))</formula>
    </cfRule>
  </conditionalFormatting>
  <conditionalFormatting sqref="D2294:D2295">
    <cfRule type="containsText" dxfId="1151" priority="1136" operator="containsText" text="Pesquisa de Preços">
      <formula>NOT(ISERROR(SEARCH("Pesquisa de Preços",D2294)))</formula>
    </cfRule>
  </conditionalFormatting>
  <conditionalFormatting sqref="D2248">
    <cfRule type="containsText" dxfId="1150" priority="1135" operator="containsText" text="Pesquisa de Preços">
      <formula>NOT(ISERROR(SEARCH("Pesquisa de Preços",D2248)))</formula>
    </cfRule>
  </conditionalFormatting>
  <conditionalFormatting sqref="D5064">
    <cfRule type="containsText" dxfId="1149" priority="1134" operator="containsText" text="Pesquisa de Preços">
      <formula>NOT(ISERROR(SEARCH("Pesquisa de Preços",D5064)))</formula>
    </cfRule>
  </conditionalFormatting>
  <conditionalFormatting sqref="D5113 D5118">
    <cfRule type="containsText" dxfId="1148" priority="1132" operator="containsText" text="Pesquisa de Preços">
      <formula>NOT(ISERROR(SEARCH("Pesquisa de Preços",D5113)))</formula>
    </cfRule>
  </conditionalFormatting>
  <conditionalFormatting sqref="D5112">
    <cfRule type="containsText" dxfId="1147" priority="1133" operator="containsText" text="Pesquisa de Preços">
      <formula>NOT(ISERROR(SEARCH("Pesquisa de Preços",D5112)))</formula>
    </cfRule>
  </conditionalFormatting>
  <conditionalFormatting sqref="D5119">
    <cfRule type="containsText" dxfId="1146" priority="1131" operator="containsText" text="Pesquisa de Preços">
      <formula>NOT(ISERROR(SEARCH("Pesquisa de Preços",D5119)))</formula>
    </cfRule>
  </conditionalFormatting>
  <conditionalFormatting sqref="D5120 D5129">
    <cfRule type="containsText" dxfId="1145" priority="1130" operator="containsText" text="Pesquisa de Preços">
      <formula>NOT(ISERROR(SEARCH("Pesquisa de Preços",D5120)))</formula>
    </cfRule>
  </conditionalFormatting>
  <conditionalFormatting sqref="D5130">
    <cfRule type="containsText" dxfId="1144" priority="1129" operator="containsText" text="Pesquisa de Preços">
      <formula>NOT(ISERROR(SEARCH("Pesquisa de Preços",D5130)))</formula>
    </cfRule>
  </conditionalFormatting>
  <conditionalFormatting sqref="D5133">
    <cfRule type="containsText" dxfId="1143" priority="1128" operator="containsText" text="Pesquisa de Preços">
      <formula>NOT(ISERROR(SEARCH("Pesquisa de Preços",D5133)))</formula>
    </cfRule>
  </conditionalFormatting>
  <conditionalFormatting sqref="D5136">
    <cfRule type="containsText" dxfId="1142" priority="1127" operator="containsText" text="Pesquisa de Preços">
      <formula>NOT(ISERROR(SEARCH("Pesquisa de Preços",D5136)))</formula>
    </cfRule>
  </conditionalFormatting>
  <conditionalFormatting sqref="D5141">
    <cfRule type="containsText" dxfId="1141" priority="1126" operator="containsText" text="Pesquisa de Preços">
      <formula>NOT(ISERROR(SEARCH("Pesquisa de Preços",D5141)))</formula>
    </cfRule>
  </conditionalFormatting>
  <conditionalFormatting sqref="D5139">
    <cfRule type="containsText" dxfId="1140" priority="1125" operator="containsText" text="Pesquisa de Preços">
      <formula>NOT(ISERROR(SEARCH("Pesquisa de Preços",D5139)))</formula>
    </cfRule>
  </conditionalFormatting>
  <conditionalFormatting sqref="D5144">
    <cfRule type="containsText" dxfId="1139" priority="1124" operator="containsText" text="Pesquisa de Preços">
      <formula>NOT(ISERROR(SEARCH("Pesquisa de Preços",D5144)))</formula>
    </cfRule>
  </conditionalFormatting>
  <conditionalFormatting sqref="D5149">
    <cfRule type="containsText" dxfId="1138" priority="1123" operator="containsText" text="Pesquisa de Preços">
      <formula>NOT(ISERROR(SEARCH("Pesquisa de Preços",D5149)))</formula>
    </cfRule>
  </conditionalFormatting>
  <conditionalFormatting sqref="D5147">
    <cfRule type="containsText" dxfId="1137" priority="1122" operator="containsText" text="Pesquisa de Preços">
      <formula>NOT(ISERROR(SEARCH("Pesquisa de Preços",D5147)))</formula>
    </cfRule>
  </conditionalFormatting>
  <conditionalFormatting sqref="D5152">
    <cfRule type="containsText" dxfId="1136" priority="1121" operator="containsText" text="Pesquisa de Preços">
      <formula>NOT(ISERROR(SEARCH("Pesquisa de Preços",D5152)))</formula>
    </cfRule>
  </conditionalFormatting>
  <conditionalFormatting sqref="D5157">
    <cfRule type="containsText" dxfId="1135" priority="1120" operator="containsText" text="Pesquisa de Preços">
      <formula>NOT(ISERROR(SEARCH("Pesquisa de Preços",D5157)))</formula>
    </cfRule>
  </conditionalFormatting>
  <conditionalFormatting sqref="D5155">
    <cfRule type="containsText" dxfId="1134" priority="1119" operator="containsText" text="Pesquisa de Preços">
      <formula>NOT(ISERROR(SEARCH("Pesquisa de Preços",D5155)))</formula>
    </cfRule>
  </conditionalFormatting>
  <conditionalFormatting sqref="D5160">
    <cfRule type="containsText" dxfId="1133" priority="1118" operator="containsText" text="Pesquisa de Preços">
      <formula>NOT(ISERROR(SEARCH("Pesquisa de Preços",D5160)))</formula>
    </cfRule>
  </conditionalFormatting>
  <conditionalFormatting sqref="D5165">
    <cfRule type="containsText" dxfId="1132" priority="1117" operator="containsText" text="Pesquisa de Preços">
      <formula>NOT(ISERROR(SEARCH("Pesquisa de Preços",D5165)))</formula>
    </cfRule>
  </conditionalFormatting>
  <conditionalFormatting sqref="D5163">
    <cfRule type="containsText" dxfId="1131" priority="1116" operator="containsText" text="Pesquisa de Preços">
      <formula>NOT(ISERROR(SEARCH("Pesquisa de Preços",D5163)))</formula>
    </cfRule>
  </conditionalFormatting>
  <conditionalFormatting sqref="D5168">
    <cfRule type="containsText" dxfId="1130" priority="1115" operator="containsText" text="Pesquisa de Preços">
      <formula>NOT(ISERROR(SEARCH("Pesquisa de Preços",D5168)))</formula>
    </cfRule>
  </conditionalFormatting>
  <conditionalFormatting sqref="D5172">
    <cfRule type="containsText" dxfId="1129" priority="1114" operator="containsText" text="Pesquisa de Preços">
      <formula>NOT(ISERROR(SEARCH("Pesquisa de Preços",D5172)))</formula>
    </cfRule>
  </conditionalFormatting>
  <conditionalFormatting sqref="D5170">
    <cfRule type="containsText" dxfId="1128" priority="1113" operator="containsText" text="Pesquisa de Preços">
      <formula>NOT(ISERROR(SEARCH("Pesquisa de Preços",D5170)))</formula>
    </cfRule>
  </conditionalFormatting>
  <conditionalFormatting sqref="D5174">
    <cfRule type="containsText" dxfId="1127" priority="1112" operator="containsText" text="Pesquisa de Preços">
      <formula>NOT(ISERROR(SEARCH("Pesquisa de Preços",D5174)))</formula>
    </cfRule>
  </conditionalFormatting>
  <conditionalFormatting sqref="D5179">
    <cfRule type="containsText" dxfId="1126" priority="1111" operator="containsText" text="Pesquisa de Preços">
      <formula>NOT(ISERROR(SEARCH("Pesquisa de Preços",D5179)))</formula>
    </cfRule>
  </conditionalFormatting>
  <conditionalFormatting sqref="D5177">
    <cfRule type="containsText" dxfId="1125" priority="1110" operator="containsText" text="Pesquisa de Preços">
      <formula>NOT(ISERROR(SEARCH("Pesquisa de Preços",D5177)))</formula>
    </cfRule>
  </conditionalFormatting>
  <conditionalFormatting sqref="D5182">
    <cfRule type="containsText" dxfId="1124" priority="1109" operator="containsText" text="Pesquisa de Preços">
      <formula>NOT(ISERROR(SEARCH("Pesquisa de Preços",D5182)))</formula>
    </cfRule>
  </conditionalFormatting>
  <conditionalFormatting sqref="D5186">
    <cfRule type="containsText" dxfId="1123" priority="1108" operator="containsText" text="Pesquisa de Preços">
      <formula>NOT(ISERROR(SEARCH("Pesquisa de Preços",D5186)))</formula>
    </cfRule>
  </conditionalFormatting>
  <conditionalFormatting sqref="D5184">
    <cfRule type="containsText" dxfId="1122" priority="1107" operator="containsText" text="Pesquisa de Preços">
      <formula>NOT(ISERROR(SEARCH("Pesquisa de Preços",D5184)))</formula>
    </cfRule>
  </conditionalFormatting>
  <conditionalFormatting sqref="D5188">
    <cfRule type="containsText" dxfId="1121" priority="1106" operator="containsText" text="Pesquisa de Preços">
      <formula>NOT(ISERROR(SEARCH("Pesquisa de Preços",D5188)))</formula>
    </cfRule>
  </conditionalFormatting>
  <conditionalFormatting sqref="D5193">
    <cfRule type="containsText" dxfId="1120" priority="1105" operator="containsText" text="Pesquisa de Preços">
      <formula>NOT(ISERROR(SEARCH("Pesquisa de Preços",D5193)))</formula>
    </cfRule>
  </conditionalFormatting>
  <conditionalFormatting sqref="D5191">
    <cfRule type="containsText" dxfId="1119" priority="1104" operator="containsText" text="Pesquisa de Preços">
      <formula>NOT(ISERROR(SEARCH("Pesquisa de Preços",D5191)))</formula>
    </cfRule>
  </conditionalFormatting>
  <conditionalFormatting sqref="D5196">
    <cfRule type="containsText" dxfId="1118" priority="1103" operator="containsText" text="Pesquisa de Preços">
      <formula>NOT(ISERROR(SEARCH("Pesquisa de Preços",D5196)))</formula>
    </cfRule>
  </conditionalFormatting>
  <conditionalFormatting sqref="D5201">
    <cfRule type="containsText" dxfId="1117" priority="1102" operator="containsText" text="Pesquisa de Preços">
      <formula>NOT(ISERROR(SEARCH("Pesquisa de Preços",D5201)))</formula>
    </cfRule>
  </conditionalFormatting>
  <conditionalFormatting sqref="D5199">
    <cfRule type="containsText" dxfId="1116" priority="1101" operator="containsText" text="Pesquisa de Preços">
      <formula>NOT(ISERROR(SEARCH("Pesquisa de Preços",D5199)))</formula>
    </cfRule>
  </conditionalFormatting>
  <conditionalFormatting sqref="D5204">
    <cfRule type="containsText" dxfId="1115" priority="1100" operator="containsText" text="Pesquisa de Preços">
      <formula>NOT(ISERROR(SEARCH("Pesquisa de Preços",D5204)))</formula>
    </cfRule>
  </conditionalFormatting>
  <conditionalFormatting sqref="D5209">
    <cfRule type="containsText" dxfId="1114" priority="1099" operator="containsText" text="Pesquisa de Preços">
      <formula>NOT(ISERROR(SEARCH("Pesquisa de Preços",D5209)))</formula>
    </cfRule>
  </conditionalFormatting>
  <conditionalFormatting sqref="D5207">
    <cfRule type="containsText" dxfId="1113" priority="1098" operator="containsText" text="Pesquisa de Preços">
      <formula>NOT(ISERROR(SEARCH("Pesquisa de Preços",D5207)))</formula>
    </cfRule>
  </conditionalFormatting>
  <conditionalFormatting sqref="D5212">
    <cfRule type="containsText" dxfId="1112" priority="1097" operator="containsText" text="Pesquisa de Preços">
      <formula>NOT(ISERROR(SEARCH("Pesquisa de Preços",D5212)))</formula>
    </cfRule>
  </conditionalFormatting>
  <conditionalFormatting sqref="D5217">
    <cfRule type="containsText" dxfId="1111" priority="1096" operator="containsText" text="Pesquisa de Preços">
      <formula>NOT(ISERROR(SEARCH("Pesquisa de Preços",D5217)))</formula>
    </cfRule>
  </conditionalFormatting>
  <conditionalFormatting sqref="D5215">
    <cfRule type="containsText" dxfId="1110" priority="1095" operator="containsText" text="Pesquisa de Preços">
      <formula>NOT(ISERROR(SEARCH("Pesquisa de Preços",D5215)))</formula>
    </cfRule>
  </conditionalFormatting>
  <conditionalFormatting sqref="D5227">
    <cfRule type="containsText" dxfId="1109" priority="1094" operator="containsText" text="Pesquisa de Preços">
      <formula>NOT(ISERROR(SEARCH("Pesquisa de Preços",D5227)))</formula>
    </cfRule>
  </conditionalFormatting>
  <conditionalFormatting sqref="D5232">
    <cfRule type="containsText" dxfId="1108" priority="1093" operator="containsText" text="Pesquisa de Preços">
      <formula>NOT(ISERROR(SEARCH("Pesquisa de Preços",D5232)))</formula>
    </cfRule>
  </conditionalFormatting>
  <conditionalFormatting sqref="D5230">
    <cfRule type="containsText" dxfId="1107" priority="1092" operator="containsText" text="Pesquisa de Preços">
      <formula>NOT(ISERROR(SEARCH("Pesquisa de Preços",D5230)))</formula>
    </cfRule>
  </conditionalFormatting>
  <conditionalFormatting sqref="D5242">
    <cfRule type="containsText" dxfId="1106" priority="1091" operator="containsText" text="Pesquisa de Preços">
      <formula>NOT(ISERROR(SEARCH("Pesquisa de Preços",D5242)))</formula>
    </cfRule>
  </conditionalFormatting>
  <conditionalFormatting sqref="D5247">
    <cfRule type="containsText" dxfId="1105" priority="1090" operator="containsText" text="Pesquisa de Preços">
      <formula>NOT(ISERROR(SEARCH("Pesquisa de Preços",D5247)))</formula>
    </cfRule>
  </conditionalFormatting>
  <conditionalFormatting sqref="D5245">
    <cfRule type="containsText" dxfId="1104" priority="1089" operator="containsText" text="Pesquisa de Preços">
      <formula>NOT(ISERROR(SEARCH("Pesquisa de Preços",D5245)))</formula>
    </cfRule>
  </conditionalFormatting>
  <conditionalFormatting sqref="D5244">
    <cfRule type="containsText" dxfId="1103" priority="1088" operator="containsText" text="Pesquisa de Preços">
      <formula>NOT(ISERROR(SEARCH("Pesquisa de Preços",D5244)))</formula>
    </cfRule>
  </conditionalFormatting>
  <conditionalFormatting sqref="D5249">
    <cfRule type="containsText" dxfId="1102" priority="1087" operator="containsText" text="Pesquisa de Preços">
      <formula>NOT(ISERROR(SEARCH("Pesquisa de Preços",D5249)))</formula>
    </cfRule>
  </conditionalFormatting>
  <conditionalFormatting sqref="D5254">
    <cfRule type="containsText" dxfId="1101" priority="1086" operator="containsText" text="Pesquisa de Preços">
      <formula>NOT(ISERROR(SEARCH("Pesquisa de Preços",D5254)))</formula>
    </cfRule>
  </conditionalFormatting>
  <conditionalFormatting sqref="D5252">
    <cfRule type="containsText" dxfId="1100" priority="1085" operator="containsText" text="Pesquisa de Preços">
      <formula>NOT(ISERROR(SEARCH("Pesquisa de Preços",D5252)))</formula>
    </cfRule>
  </conditionalFormatting>
  <conditionalFormatting sqref="D5251">
    <cfRule type="containsText" dxfId="1099" priority="1084" operator="containsText" text="Pesquisa de Preços">
      <formula>NOT(ISERROR(SEARCH("Pesquisa de Preços",D5251)))</formula>
    </cfRule>
  </conditionalFormatting>
  <conditionalFormatting sqref="D5260">
    <cfRule type="containsText" dxfId="1098" priority="1081" operator="containsText" text="Pesquisa de Preços">
      <formula>NOT(ISERROR(SEARCH("Pesquisa de Preços",D5260)))</formula>
    </cfRule>
  </conditionalFormatting>
  <conditionalFormatting sqref="D5256">
    <cfRule type="containsText" dxfId="1097" priority="1083" operator="containsText" text="Pesquisa de Preços">
      <formula>NOT(ISERROR(SEARCH("Pesquisa de Preços",D5256)))</formula>
    </cfRule>
  </conditionalFormatting>
  <conditionalFormatting sqref="D5258">
    <cfRule type="containsText" dxfId="1096" priority="1082" operator="containsText" text="Pesquisa de Preços">
      <formula>NOT(ISERROR(SEARCH("Pesquisa de Preços",D5258)))</formula>
    </cfRule>
  </conditionalFormatting>
  <conditionalFormatting sqref="D5266">
    <cfRule type="containsText" dxfId="1095" priority="1078" operator="containsText" text="Pesquisa de Preços">
      <formula>NOT(ISERROR(SEARCH("Pesquisa de Preços",D5266)))</formula>
    </cfRule>
  </conditionalFormatting>
  <conditionalFormatting sqref="D5262">
    <cfRule type="containsText" dxfId="1094" priority="1080" operator="containsText" text="Pesquisa de Preços">
      <formula>NOT(ISERROR(SEARCH("Pesquisa de Preços",D5262)))</formula>
    </cfRule>
  </conditionalFormatting>
  <conditionalFormatting sqref="D5264">
    <cfRule type="containsText" dxfId="1093" priority="1079" operator="containsText" text="Pesquisa de Preços">
      <formula>NOT(ISERROR(SEARCH("Pesquisa de Preços",D5264)))</formula>
    </cfRule>
  </conditionalFormatting>
  <conditionalFormatting sqref="D5304">
    <cfRule type="containsText" dxfId="1092" priority="1065" operator="containsText" text="Pesquisa de Preços">
      <formula>NOT(ISERROR(SEARCH("Pesquisa de Preços",D5304)))</formula>
    </cfRule>
  </conditionalFormatting>
  <conditionalFormatting sqref="D5268">
    <cfRule type="containsText" dxfId="1091" priority="1077" operator="containsText" text="Pesquisa de Preços">
      <formula>NOT(ISERROR(SEARCH("Pesquisa de Preços",D5268)))</formula>
    </cfRule>
  </conditionalFormatting>
  <conditionalFormatting sqref="D5269 D5274">
    <cfRule type="containsText" dxfId="1090" priority="1076" operator="containsText" text="Pesquisa de Preços">
      <formula>NOT(ISERROR(SEARCH("Pesquisa de Preços",D5269)))</formula>
    </cfRule>
  </conditionalFormatting>
  <conditionalFormatting sqref="D5275">
    <cfRule type="containsText" dxfId="1089" priority="1075" operator="containsText" text="Pesquisa de Preços">
      <formula>NOT(ISERROR(SEARCH("Pesquisa de Preços",D5275)))</formula>
    </cfRule>
  </conditionalFormatting>
  <conditionalFormatting sqref="D5278">
    <cfRule type="containsText" dxfId="1088" priority="1072" operator="containsText" text="Pesquisa de Preços">
      <formula>NOT(ISERROR(SEARCH("Pesquisa de Preços",D5278)))</formula>
    </cfRule>
  </conditionalFormatting>
  <conditionalFormatting sqref="D5276">
    <cfRule type="containsText" dxfId="1087" priority="1074" operator="containsText" text="Pesquisa de Preços">
      <formula>NOT(ISERROR(SEARCH("Pesquisa de Preços",D5276)))</formula>
    </cfRule>
  </conditionalFormatting>
  <conditionalFormatting sqref="D5277">
    <cfRule type="containsText" dxfId="1086" priority="1073" operator="containsText" text="Pesquisa de Preços">
      <formula>NOT(ISERROR(SEARCH("Pesquisa de Preços",D5277)))</formula>
    </cfRule>
  </conditionalFormatting>
  <conditionalFormatting sqref="D5295">
    <cfRule type="containsText" dxfId="1085" priority="1071" operator="containsText" text="Pesquisa de Preços">
      <formula>NOT(ISERROR(SEARCH("Pesquisa de Preços",D5295)))</formula>
    </cfRule>
  </conditionalFormatting>
  <conditionalFormatting sqref="D5298">
    <cfRule type="containsText" dxfId="1084" priority="1068" operator="containsText" text="Pesquisa de Preços">
      <formula>NOT(ISERROR(SEARCH("Pesquisa de Preços",D5298)))</formula>
    </cfRule>
  </conditionalFormatting>
  <conditionalFormatting sqref="D5296 D5299:D5300">
    <cfRule type="containsText" dxfId="1083" priority="1070" operator="containsText" text="Pesquisa de Preços">
      <formula>NOT(ISERROR(SEARCH("Pesquisa de Preços",D5296)))</formula>
    </cfRule>
  </conditionalFormatting>
  <conditionalFormatting sqref="D5297">
    <cfRule type="containsText" dxfId="1082" priority="1069" operator="containsText" text="Pesquisa de Preços">
      <formula>NOT(ISERROR(SEARCH("Pesquisa de Preços",D5297)))</formula>
    </cfRule>
  </conditionalFormatting>
  <conditionalFormatting sqref="D5301">
    <cfRule type="containsText" dxfId="1081" priority="1067" operator="containsText" text="Pesquisa de Preços">
      <formula>NOT(ISERROR(SEARCH("Pesquisa de Preços",D5301)))</formula>
    </cfRule>
  </conditionalFormatting>
  <conditionalFormatting sqref="D5306">
    <cfRule type="containsText" dxfId="1080" priority="1066" operator="containsText" text="Pesquisa de Preços">
      <formula>NOT(ISERROR(SEARCH("Pesquisa de Preços",D5306)))</formula>
    </cfRule>
  </conditionalFormatting>
  <conditionalFormatting sqref="D5303">
    <cfRule type="containsText" dxfId="1079" priority="1064" operator="containsText" text="Pesquisa de Preços">
      <formula>NOT(ISERROR(SEARCH("Pesquisa de Preços",D5303)))</formula>
    </cfRule>
  </conditionalFormatting>
  <conditionalFormatting sqref="D5282">
    <cfRule type="containsText" dxfId="1078" priority="1063" operator="containsText" text="Pesquisa de Preços">
      <formula>NOT(ISERROR(SEARCH("Pesquisa de Preços",D5282)))</formula>
    </cfRule>
  </conditionalFormatting>
  <conditionalFormatting sqref="D5281">
    <cfRule type="containsText" dxfId="1077" priority="1061" operator="containsText" text="Pesquisa de Preços">
      <formula>NOT(ISERROR(SEARCH("Pesquisa de Preços",D5281)))</formula>
    </cfRule>
  </conditionalFormatting>
  <conditionalFormatting sqref="D5280">
    <cfRule type="containsText" dxfId="1076" priority="1062" operator="containsText" text="Pesquisa de Preços">
      <formula>NOT(ISERROR(SEARCH("Pesquisa de Preços",D5280)))</formula>
    </cfRule>
  </conditionalFormatting>
  <conditionalFormatting sqref="D619">
    <cfRule type="containsText" dxfId="1075" priority="1060" operator="containsText" text="Pesquisa de Preços">
      <formula>NOT(ISERROR(SEARCH("Pesquisa de Preços",D619)))</formula>
    </cfRule>
  </conditionalFormatting>
  <conditionalFormatting sqref="D617:D618">
    <cfRule type="containsText" dxfId="1074" priority="1059" operator="containsText" text="Pesquisa de Preços">
      <formula>NOT(ISERROR(SEARCH("Pesquisa de Preços",D617)))</formula>
    </cfRule>
  </conditionalFormatting>
  <conditionalFormatting sqref="D266">
    <cfRule type="containsText" dxfId="1073" priority="1058" operator="containsText" text="Pesquisa de Preços">
      <formula>NOT(ISERROR(SEARCH("Pesquisa de Preços",D266)))</formula>
    </cfRule>
  </conditionalFormatting>
  <conditionalFormatting sqref="D2132">
    <cfRule type="containsText" dxfId="1072" priority="1057" operator="containsText" text="Pesquisa de Preços">
      <formula>NOT(ISERROR(SEARCH("Pesquisa de Preços",D2132)))</formula>
    </cfRule>
  </conditionalFormatting>
  <conditionalFormatting sqref="D2138">
    <cfRule type="containsText" dxfId="1071" priority="1056" operator="containsText" text="Pesquisa de Preços">
      <formula>NOT(ISERROR(SEARCH("Pesquisa de Preços",D2138)))</formula>
    </cfRule>
  </conditionalFormatting>
  <conditionalFormatting sqref="D5294">
    <cfRule type="containsText" dxfId="1070" priority="1055" operator="containsText" text="Pesquisa de Preços">
      <formula>NOT(ISERROR(SEARCH("Pesquisa de Preços",D5294)))</formula>
    </cfRule>
  </conditionalFormatting>
  <conditionalFormatting sqref="D5287">
    <cfRule type="containsText" dxfId="1069" priority="1054" operator="containsText" text="Pesquisa de Preços">
      <formula>NOT(ISERROR(SEARCH("Pesquisa de Preços",D5287)))</formula>
    </cfRule>
  </conditionalFormatting>
  <conditionalFormatting sqref="D5312">
    <cfRule type="containsText" dxfId="1068" priority="1052" operator="containsText" text="Pesquisa de Preços">
      <formula>NOT(ISERROR(SEARCH("Pesquisa de Preços",D5312)))</formula>
    </cfRule>
  </conditionalFormatting>
  <conditionalFormatting sqref="D5310">
    <cfRule type="containsText" dxfId="1067" priority="1053" operator="containsText" text="Pesquisa de Preços">
      <formula>NOT(ISERROR(SEARCH("Pesquisa de Preços",D5310)))</formula>
    </cfRule>
  </conditionalFormatting>
  <conditionalFormatting sqref="D5318">
    <cfRule type="containsText" dxfId="1066" priority="1050" operator="containsText" text="Pesquisa de Preços">
      <formula>NOT(ISERROR(SEARCH("Pesquisa de Preços",D5318)))</formula>
    </cfRule>
  </conditionalFormatting>
  <conditionalFormatting sqref="D5316">
    <cfRule type="containsText" dxfId="1065" priority="1051" operator="containsText" text="Pesquisa de Preços">
      <formula>NOT(ISERROR(SEARCH("Pesquisa de Preços",D5316)))</formula>
    </cfRule>
  </conditionalFormatting>
  <conditionalFormatting sqref="D5308">
    <cfRule type="containsText" dxfId="1064" priority="1049" operator="containsText" text="Pesquisa de Preços">
      <formula>NOT(ISERROR(SEARCH("Pesquisa de Preços",D5308)))</formula>
    </cfRule>
  </conditionalFormatting>
  <conditionalFormatting sqref="D5314">
    <cfRule type="containsText" dxfId="1063" priority="1048" operator="containsText" text="Pesquisa de Preços">
      <formula>NOT(ISERROR(SEARCH("Pesquisa de Preços",D5314)))</formula>
    </cfRule>
  </conditionalFormatting>
  <conditionalFormatting sqref="D2407">
    <cfRule type="containsText" dxfId="1062" priority="1047" operator="containsText" text="Pesquisa de Preços">
      <formula>NOT(ISERROR(SEARCH("Pesquisa de Preços",D2407)))</formula>
    </cfRule>
  </conditionalFormatting>
  <conditionalFormatting sqref="D2404">
    <cfRule type="containsText" dxfId="1061" priority="1046" operator="containsText" text="Pesquisa de Preços">
      <formula>NOT(ISERROR(SEARCH("Pesquisa de Preços",D2404)))</formula>
    </cfRule>
  </conditionalFormatting>
  <conditionalFormatting sqref="D2411">
    <cfRule type="containsText" dxfId="1060" priority="1045" operator="containsText" text="Pesquisa de Preços">
      <formula>NOT(ISERROR(SEARCH("Pesquisa de Preços",D2411)))</formula>
    </cfRule>
  </conditionalFormatting>
  <conditionalFormatting sqref="D2408">
    <cfRule type="containsText" dxfId="1059" priority="1044" operator="containsText" text="Pesquisa de Preços">
      <formula>NOT(ISERROR(SEARCH("Pesquisa de Preços",D2408)))</formula>
    </cfRule>
  </conditionalFormatting>
  <conditionalFormatting sqref="D2419">
    <cfRule type="containsText" dxfId="1058" priority="1043" operator="containsText" text="Pesquisa de Preços">
      <formula>NOT(ISERROR(SEARCH("Pesquisa de Preços",D2419)))</formula>
    </cfRule>
  </conditionalFormatting>
  <conditionalFormatting sqref="D2416">
    <cfRule type="containsText" dxfId="1057" priority="1042" operator="containsText" text="Pesquisa de Preços">
      <formula>NOT(ISERROR(SEARCH("Pesquisa de Preços",D2416)))</formula>
    </cfRule>
  </conditionalFormatting>
  <conditionalFormatting sqref="D2423">
    <cfRule type="containsText" dxfId="1056" priority="1041" operator="containsText" text="Pesquisa de Preços">
      <formula>NOT(ISERROR(SEARCH("Pesquisa de Preços",D2423)))</formula>
    </cfRule>
  </conditionalFormatting>
  <conditionalFormatting sqref="D2420">
    <cfRule type="containsText" dxfId="1055" priority="1040" operator="containsText" text="Pesquisa de Preços">
      <formula>NOT(ISERROR(SEARCH("Pesquisa de Preços",D2420)))</formula>
    </cfRule>
  </conditionalFormatting>
  <conditionalFormatting sqref="D2427">
    <cfRule type="containsText" dxfId="1054" priority="1039" operator="containsText" text="Pesquisa de Preços">
      <formula>NOT(ISERROR(SEARCH("Pesquisa de Preços",D2427)))</formula>
    </cfRule>
  </conditionalFormatting>
  <conditionalFormatting sqref="D2424">
    <cfRule type="containsText" dxfId="1053" priority="1038" operator="containsText" text="Pesquisa de Preços">
      <formula>NOT(ISERROR(SEARCH("Pesquisa de Preços",D2424)))</formula>
    </cfRule>
  </conditionalFormatting>
  <conditionalFormatting sqref="D2431">
    <cfRule type="containsText" dxfId="1052" priority="1037" operator="containsText" text="Pesquisa de Preços">
      <formula>NOT(ISERROR(SEARCH("Pesquisa de Preços",D2431)))</formula>
    </cfRule>
  </conditionalFormatting>
  <conditionalFormatting sqref="D2428">
    <cfRule type="containsText" dxfId="1051" priority="1036" operator="containsText" text="Pesquisa de Preços">
      <formula>NOT(ISERROR(SEARCH("Pesquisa de Preços",D2428)))</formula>
    </cfRule>
  </conditionalFormatting>
  <conditionalFormatting sqref="D2435">
    <cfRule type="containsText" dxfId="1050" priority="1035" operator="containsText" text="Pesquisa de Preços">
      <formula>NOT(ISERROR(SEARCH("Pesquisa de Preços",D2435)))</formula>
    </cfRule>
  </conditionalFormatting>
  <conditionalFormatting sqref="D2432">
    <cfRule type="containsText" dxfId="1049" priority="1034" operator="containsText" text="Pesquisa de Preços">
      <formula>NOT(ISERROR(SEARCH("Pesquisa de Preços",D2432)))</formula>
    </cfRule>
  </conditionalFormatting>
  <conditionalFormatting sqref="D2439">
    <cfRule type="containsText" dxfId="1048" priority="1033" operator="containsText" text="Pesquisa de Preços">
      <formula>NOT(ISERROR(SEARCH("Pesquisa de Preços",D2439)))</formula>
    </cfRule>
  </conditionalFormatting>
  <conditionalFormatting sqref="D2436">
    <cfRule type="containsText" dxfId="1047" priority="1032" operator="containsText" text="Pesquisa de Preços">
      <formula>NOT(ISERROR(SEARCH("Pesquisa de Preços",D2436)))</formula>
    </cfRule>
  </conditionalFormatting>
  <conditionalFormatting sqref="D2444">
    <cfRule type="containsText" dxfId="1046" priority="1031" operator="containsText" text="Pesquisa de Preços">
      <formula>NOT(ISERROR(SEARCH("Pesquisa de Preços",D2444)))</formula>
    </cfRule>
  </conditionalFormatting>
  <conditionalFormatting sqref="D2448">
    <cfRule type="containsText" dxfId="1045" priority="1030" operator="containsText" text="Pesquisa de Preços">
      <formula>NOT(ISERROR(SEARCH("Pesquisa de Preços",D2448)))</formula>
    </cfRule>
  </conditionalFormatting>
  <conditionalFormatting sqref="D2460">
    <cfRule type="containsText" dxfId="1044" priority="1029" operator="containsText" text="Pesquisa de Preços">
      <formula>NOT(ISERROR(SEARCH("Pesquisa de Preços",D2460)))</formula>
    </cfRule>
  </conditionalFormatting>
  <conditionalFormatting sqref="D2464">
    <cfRule type="containsText" dxfId="1043" priority="1028" operator="containsText" text="Pesquisa de Preços">
      <formula>NOT(ISERROR(SEARCH("Pesquisa de Preços",D2464)))</formula>
    </cfRule>
  </conditionalFormatting>
  <conditionalFormatting sqref="D2468">
    <cfRule type="containsText" dxfId="1042" priority="1027" operator="containsText" text="Pesquisa de Preços">
      <formula>NOT(ISERROR(SEARCH("Pesquisa de Preços",D2468)))</formula>
    </cfRule>
  </conditionalFormatting>
  <conditionalFormatting sqref="D2472">
    <cfRule type="containsText" dxfId="1041" priority="1026" operator="containsText" text="Pesquisa de Preços">
      <formula>NOT(ISERROR(SEARCH("Pesquisa de Preços",D2472)))</formula>
    </cfRule>
  </conditionalFormatting>
  <conditionalFormatting sqref="D2476">
    <cfRule type="containsText" dxfId="1040" priority="1025" operator="containsText" text="Pesquisa de Preços">
      <formula>NOT(ISERROR(SEARCH("Pesquisa de Preços",D2476)))</formula>
    </cfRule>
  </conditionalFormatting>
  <conditionalFormatting sqref="D2480">
    <cfRule type="containsText" dxfId="1039" priority="1024" operator="containsText" text="Pesquisa de Preços">
      <formula>NOT(ISERROR(SEARCH("Pesquisa de Preços",D2480)))</formula>
    </cfRule>
  </conditionalFormatting>
  <conditionalFormatting sqref="D2484">
    <cfRule type="containsText" dxfId="1038" priority="1023" operator="containsText" text="Pesquisa de Preços">
      <formula>NOT(ISERROR(SEARCH("Pesquisa de Preços",D2484)))</formula>
    </cfRule>
  </conditionalFormatting>
  <conditionalFormatting sqref="D2488">
    <cfRule type="containsText" dxfId="1037" priority="1022" operator="containsText" text="Pesquisa de Preços">
      <formula>NOT(ISERROR(SEARCH("Pesquisa de Preços",D2488)))</formula>
    </cfRule>
  </conditionalFormatting>
  <conditionalFormatting sqref="D2492">
    <cfRule type="containsText" dxfId="1036" priority="1021" operator="containsText" text="Pesquisa de Preços">
      <formula>NOT(ISERROR(SEARCH("Pesquisa de Preços",D2492)))</formula>
    </cfRule>
  </conditionalFormatting>
  <conditionalFormatting sqref="D2496">
    <cfRule type="containsText" dxfId="1035" priority="1020" operator="containsText" text="Pesquisa de Preços">
      <formula>NOT(ISERROR(SEARCH("Pesquisa de Preços",D2496)))</formula>
    </cfRule>
  </conditionalFormatting>
  <conditionalFormatting sqref="D2500">
    <cfRule type="containsText" dxfId="1034" priority="1019" operator="containsText" text="Pesquisa de Preços">
      <formula>NOT(ISERROR(SEARCH("Pesquisa de Preços",D2500)))</formula>
    </cfRule>
  </conditionalFormatting>
  <conditionalFormatting sqref="D2504">
    <cfRule type="containsText" dxfId="1033" priority="1018" operator="containsText" text="Pesquisa de Preços">
      <formula>NOT(ISERROR(SEARCH("Pesquisa de Preços",D2504)))</formula>
    </cfRule>
  </conditionalFormatting>
  <conditionalFormatting sqref="D2508">
    <cfRule type="containsText" dxfId="1032" priority="1017" operator="containsText" text="Pesquisa de Preços">
      <formula>NOT(ISERROR(SEARCH("Pesquisa de Preços",D2508)))</formula>
    </cfRule>
  </conditionalFormatting>
  <conditionalFormatting sqref="D2512">
    <cfRule type="containsText" dxfId="1031" priority="1016" operator="containsText" text="Pesquisa de Preços">
      <formula>NOT(ISERROR(SEARCH("Pesquisa de Preços",D2512)))</formula>
    </cfRule>
  </conditionalFormatting>
  <conditionalFormatting sqref="D2516">
    <cfRule type="containsText" dxfId="1030" priority="1015" operator="containsText" text="Pesquisa de Preços">
      <formula>NOT(ISERROR(SEARCH("Pesquisa de Preços",D2516)))</formula>
    </cfRule>
  </conditionalFormatting>
  <conditionalFormatting sqref="D2520">
    <cfRule type="containsText" dxfId="1029" priority="1014" operator="containsText" text="Pesquisa de Preços">
      <formula>NOT(ISERROR(SEARCH("Pesquisa de Preços",D2520)))</formula>
    </cfRule>
  </conditionalFormatting>
  <conditionalFormatting sqref="D2524">
    <cfRule type="containsText" dxfId="1028" priority="1013" operator="containsText" text="Pesquisa de Preços">
      <formula>NOT(ISERROR(SEARCH("Pesquisa de Preços",D2524)))</formula>
    </cfRule>
  </conditionalFormatting>
  <conditionalFormatting sqref="D2528">
    <cfRule type="containsText" dxfId="1027" priority="1012" operator="containsText" text="Pesquisa de Preços">
      <formula>NOT(ISERROR(SEARCH("Pesquisa de Preços",D2528)))</formula>
    </cfRule>
  </conditionalFormatting>
  <conditionalFormatting sqref="D2532">
    <cfRule type="containsText" dxfId="1026" priority="1011" operator="containsText" text="Pesquisa de Preços">
      <formula>NOT(ISERROR(SEARCH("Pesquisa de Preços",D2532)))</formula>
    </cfRule>
  </conditionalFormatting>
  <conditionalFormatting sqref="D2536">
    <cfRule type="containsText" dxfId="1025" priority="1010" operator="containsText" text="Pesquisa de Preços">
      <formula>NOT(ISERROR(SEARCH("Pesquisa de Preços",D2536)))</formula>
    </cfRule>
  </conditionalFormatting>
  <conditionalFormatting sqref="D2540">
    <cfRule type="containsText" dxfId="1024" priority="1009" operator="containsText" text="Pesquisa de Preços">
      <formula>NOT(ISERROR(SEARCH("Pesquisa de Preços",D2540)))</formula>
    </cfRule>
  </conditionalFormatting>
  <conditionalFormatting sqref="D2544">
    <cfRule type="containsText" dxfId="1023" priority="1008" operator="containsText" text="Pesquisa de Preços">
      <formula>NOT(ISERROR(SEARCH("Pesquisa de Preços",D2544)))</formula>
    </cfRule>
  </conditionalFormatting>
  <conditionalFormatting sqref="D2548">
    <cfRule type="containsText" dxfId="1022" priority="1007" operator="containsText" text="Pesquisa de Preços">
      <formula>NOT(ISERROR(SEARCH("Pesquisa de Preços",D2548)))</formula>
    </cfRule>
  </conditionalFormatting>
  <conditionalFormatting sqref="D2652">
    <cfRule type="containsText" dxfId="1021" priority="1004" operator="containsText" text="Pesquisa de Preços">
      <formula>NOT(ISERROR(SEARCH("Pesquisa de Preços",D2652)))</formula>
    </cfRule>
  </conditionalFormatting>
  <conditionalFormatting sqref="D2556">
    <cfRule type="containsText" dxfId="1020" priority="1006" operator="containsText" text="Pesquisa de Preços">
      <formula>NOT(ISERROR(SEARCH("Pesquisa de Preços",D2556)))</formula>
    </cfRule>
  </conditionalFormatting>
  <conditionalFormatting sqref="D2552">
    <cfRule type="containsText" dxfId="1019" priority="1005" operator="containsText" text="Pesquisa de Preços">
      <formula>NOT(ISERROR(SEARCH("Pesquisa de Preços",D2552)))</formula>
    </cfRule>
  </conditionalFormatting>
  <conditionalFormatting sqref="D2660">
    <cfRule type="containsText" dxfId="1018" priority="1003" operator="containsText" text="Pesquisa de Preços">
      <formula>NOT(ISERROR(SEARCH("Pesquisa de Preços",D2660)))</formula>
    </cfRule>
  </conditionalFormatting>
  <conditionalFormatting sqref="D2452">
    <cfRule type="containsText" dxfId="1017" priority="1002" operator="containsText" text="Pesquisa de Preços">
      <formula>NOT(ISERROR(SEARCH("Pesquisa de Preços",D2452)))</formula>
    </cfRule>
  </conditionalFormatting>
  <conditionalFormatting sqref="D2456">
    <cfRule type="containsText" dxfId="1016" priority="1001" operator="containsText" text="Pesquisa de Preços">
      <formula>NOT(ISERROR(SEARCH("Pesquisa de Preços",D2456)))</formula>
    </cfRule>
  </conditionalFormatting>
  <conditionalFormatting sqref="D5751">
    <cfRule type="containsText" dxfId="1015" priority="973" operator="containsText" text="Pesquisa de Preços">
      <formula>NOT(ISERROR(SEARCH("Pesquisa de Preços",D5751)))</formula>
    </cfRule>
  </conditionalFormatting>
  <conditionalFormatting sqref="D5743">
    <cfRule type="containsText" dxfId="1014" priority="975" operator="containsText" text="Pesquisa de Preços">
      <formula>NOT(ISERROR(SEARCH("Pesquisa de Preços",D5743)))</formula>
    </cfRule>
  </conditionalFormatting>
  <conditionalFormatting sqref="D5755">
    <cfRule type="containsText" dxfId="1013" priority="972" operator="containsText" text="Pesquisa de Preços">
      <formula>NOT(ISERROR(SEARCH("Pesquisa de Preços",D5755)))</formula>
    </cfRule>
  </conditionalFormatting>
  <conditionalFormatting sqref="D5935">
    <cfRule type="containsText" dxfId="1012" priority="970" operator="containsText" text="Pesquisa de Preços">
      <formula>NOT(ISERROR(SEARCH("Pesquisa de Preços",D5935)))</formula>
    </cfRule>
  </conditionalFormatting>
  <conditionalFormatting sqref="D6099">
    <cfRule type="containsText" dxfId="1011" priority="894" operator="containsText" text="Pesquisa de Preços">
      <formula>NOT(ISERROR(SEARCH("Pesquisa de Preços",D6099)))</formula>
    </cfRule>
  </conditionalFormatting>
  <conditionalFormatting sqref="D5587">
    <cfRule type="containsText" dxfId="1010" priority="871" operator="containsText" text="Pesquisa de Preços">
      <formula>NOT(ISERROR(SEARCH("Pesquisa de Preços",D5587)))</formula>
    </cfRule>
  </conditionalFormatting>
  <conditionalFormatting sqref="D5651">
    <cfRule type="containsText" dxfId="1009" priority="900" operator="containsText" text="Pesquisa de Preços">
      <formula>NOT(ISERROR(SEARCH("Pesquisa de Preços",D5651)))</formula>
    </cfRule>
  </conditionalFormatting>
  <conditionalFormatting sqref="D5655 D5659 D5663 D5667 D5671 D5675 D5679 D5683 D5687 D5691 D5695 D5699 D5703 D5707 D5711 D5715 D5719 D5723 D5727 D5731">
    <cfRule type="containsText" dxfId="1008" priority="899" operator="containsText" text="Pesquisa de Preços">
      <formula>NOT(ISERROR(SEARCH("Pesquisa de Preços",D5655)))</formula>
    </cfRule>
  </conditionalFormatting>
  <conditionalFormatting sqref="D6083">
    <cfRule type="containsText" dxfId="1007" priority="898" operator="containsText" text="Pesquisa de Preços">
      <formula>NOT(ISERROR(SEARCH("Pesquisa de Preços",D6083)))</formula>
    </cfRule>
  </conditionalFormatting>
  <conditionalFormatting sqref="D6087">
    <cfRule type="containsText" dxfId="1006" priority="897" operator="containsText" text="Pesquisa de Preços">
      <formula>NOT(ISERROR(SEARCH("Pesquisa de Preços",D6087)))</formula>
    </cfRule>
  </conditionalFormatting>
  <conditionalFormatting sqref="D5647">
    <cfRule type="containsText" dxfId="1005" priority="888" operator="containsText" text="Pesquisa de Preços">
      <formula>NOT(ISERROR(SEARCH("Pesquisa de Preços",D5647)))</formula>
    </cfRule>
  </conditionalFormatting>
  <conditionalFormatting sqref="D6160">
    <cfRule type="containsText" dxfId="1004" priority="892" operator="containsText" text="Pesquisa de Preços">
      <formula>NOT(ISERROR(SEARCH("Pesquisa de Preços",D6160)))</formula>
    </cfRule>
  </conditionalFormatting>
  <conditionalFormatting sqref="D2778">
    <cfRule type="containsText" dxfId="1003" priority="886" operator="containsText" text="Pesquisa de Preços">
      <formula>NOT(ISERROR(SEARCH("Pesquisa de Preços",D2778)))</formula>
    </cfRule>
  </conditionalFormatting>
  <conditionalFormatting sqref="D5643">
    <cfRule type="containsText" dxfId="1002" priority="889" operator="containsText" text="Pesquisa de Preços">
      <formula>NOT(ISERROR(SEARCH("Pesquisa de Preços",D5643)))</formula>
    </cfRule>
  </conditionalFormatting>
  <conditionalFormatting sqref="D6103">
    <cfRule type="containsText" dxfId="1001" priority="893" operator="containsText" text="Pesquisa de Preços">
      <formula>NOT(ISERROR(SEARCH("Pesquisa de Preços",D6103)))</formula>
    </cfRule>
  </conditionalFormatting>
  <conditionalFormatting sqref="D6156:D6159">
    <cfRule type="containsText" dxfId="1000" priority="890" operator="containsText" text="Pesquisa de Preços">
      <formula>NOT(ISERROR(SEARCH("Pesquisa de Preços",D6156)))</formula>
    </cfRule>
  </conditionalFormatting>
  <conditionalFormatting sqref="D6155">
    <cfRule type="containsText" dxfId="999" priority="891" operator="containsText" text="Pesquisa de Preços">
      <formula>NOT(ISERROR(SEARCH("Pesquisa de Preços",D6155)))</formula>
    </cfRule>
  </conditionalFormatting>
  <conditionalFormatting sqref="D2774">
    <cfRule type="containsText" dxfId="998" priority="1000" operator="containsText" text="Pesquisa de Preços">
      <formula>NOT(ISERROR(SEARCH("Pesquisa de Preços",D2774)))</formula>
    </cfRule>
  </conditionalFormatting>
  <conditionalFormatting sqref="D2772">
    <cfRule type="containsText" dxfId="997" priority="999" operator="containsText" text="Pesquisa de Preços">
      <formula>NOT(ISERROR(SEARCH("Pesquisa de Preços",D2772)))</formula>
    </cfRule>
  </conditionalFormatting>
  <conditionalFormatting sqref="D6115">
    <cfRule type="containsText" dxfId="996" priority="988" operator="containsText" text="Pesquisa de Preços">
      <formula>NOT(ISERROR(SEARCH("Pesquisa de Preços",D6115)))</formula>
    </cfRule>
  </conditionalFormatting>
  <conditionalFormatting sqref="D6123">
    <cfRule type="containsText" dxfId="995" priority="986" operator="containsText" text="Pesquisa de Preços">
      <formula>NOT(ISERROR(SEARCH("Pesquisa de Preços",D6123)))</formula>
    </cfRule>
  </conditionalFormatting>
  <conditionalFormatting sqref="D6111">
    <cfRule type="containsText" dxfId="994" priority="989" operator="containsText" text="Pesquisa de Preços">
      <formula>NOT(ISERROR(SEARCH("Pesquisa de Preços",D6111)))</formula>
    </cfRule>
  </conditionalFormatting>
  <conditionalFormatting sqref="D6119">
    <cfRule type="containsText" dxfId="993" priority="987" operator="containsText" text="Pesquisa de Preços">
      <formula>NOT(ISERROR(SEARCH("Pesquisa de Preços",D6119)))</formula>
    </cfRule>
  </conditionalFormatting>
  <conditionalFormatting sqref="D5899">
    <cfRule type="containsText" dxfId="992" priority="998" operator="containsText" text="Pesquisa de Preços">
      <formula>NOT(ISERROR(SEARCH("Pesquisa de Preços",D5899)))</formula>
    </cfRule>
  </conditionalFormatting>
  <conditionalFormatting sqref="D6131">
    <cfRule type="containsText" dxfId="991" priority="984" operator="containsText" text="Pesquisa de Preços">
      <formula>NOT(ISERROR(SEARCH("Pesquisa de Preços",D6131)))</formula>
    </cfRule>
  </conditionalFormatting>
  <conditionalFormatting sqref="D5903">
    <cfRule type="containsText" dxfId="990" priority="997" operator="containsText" text="Pesquisa de Preços">
      <formula>NOT(ISERROR(SEARCH("Pesquisa de Preços",D5903)))</formula>
    </cfRule>
  </conditionalFormatting>
  <conditionalFormatting sqref="D6167">
    <cfRule type="containsText" dxfId="989" priority="981" operator="containsText" text="Pesquisa de Preços">
      <formula>NOT(ISERROR(SEARCH("Pesquisa de Preços",D6167)))</formula>
    </cfRule>
  </conditionalFormatting>
  <conditionalFormatting sqref="D5907">
    <cfRule type="containsText" dxfId="988" priority="996" operator="containsText" text="Pesquisa de Preços">
      <formula>NOT(ISERROR(SEARCH("Pesquisa de Preços",D5907)))</formula>
    </cfRule>
  </conditionalFormatting>
  <conditionalFormatting sqref="D5911">
    <cfRule type="containsText" dxfId="987" priority="995" operator="containsText" text="Pesquisa de Preços">
      <formula>NOT(ISERROR(SEARCH("Pesquisa de Preços",D5911)))</formula>
    </cfRule>
  </conditionalFormatting>
  <conditionalFormatting sqref="D5915">
    <cfRule type="containsText" dxfId="986" priority="994" operator="containsText" text="Pesquisa de Preços">
      <formula>NOT(ISERROR(SEARCH("Pesquisa de Preços",D5915)))</formula>
    </cfRule>
  </conditionalFormatting>
  <conditionalFormatting sqref="D5639">
    <cfRule type="containsText" dxfId="985" priority="978" operator="containsText" text="Pesquisa de Preços">
      <formula>NOT(ISERROR(SEARCH("Pesquisa de Preços",D5639)))</formula>
    </cfRule>
  </conditionalFormatting>
  <conditionalFormatting sqref="D5919">
    <cfRule type="containsText" dxfId="984" priority="993" operator="containsText" text="Pesquisa de Preços">
      <formula>NOT(ISERROR(SEARCH("Pesquisa de Preços",D5919)))</formula>
    </cfRule>
  </conditionalFormatting>
  <conditionalFormatting sqref="D5923">
    <cfRule type="containsText" dxfId="983" priority="992" operator="containsText" text="Pesquisa de Preços">
      <formula>NOT(ISERROR(SEARCH("Pesquisa de Preços",D5923)))</formula>
    </cfRule>
  </conditionalFormatting>
  <conditionalFormatting sqref="D6107">
    <cfRule type="containsText" dxfId="982" priority="991" operator="containsText" text="Pesquisa de Preços">
      <formula>NOT(ISERROR(SEARCH("Pesquisa de Preços",D6107)))</formula>
    </cfRule>
  </conditionalFormatting>
  <conditionalFormatting sqref="D6127">
    <cfRule type="containsText" dxfId="981" priority="985" operator="containsText" text="Pesquisa de Preços">
      <formula>NOT(ISERROR(SEARCH("Pesquisa de Preços",D6127)))</formula>
    </cfRule>
  </conditionalFormatting>
  <conditionalFormatting sqref="D6135">
    <cfRule type="containsText" dxfId="980" priority="990" operator="containsText" text="Pesquisa de Preços">
      <formula>NOT(ISERROR(SEARCH("Pesquisa de Preços",D6135)))</formula>
    </cfRule>
  </conditionalFormatting>
  <conditionalFormatting sqref="D6163">
    <cfRule type="containsText" dxfId="979" priority="982" operator="containsText" text="Pesquisa de Preços">
      <formula>NOT(ISERROR(SEARCH("Pesquisa de Preços",D6163)))</formula>
    </cfRule>
  </conditionalFormatting>
  <conditionalFormatting sqref="D6139">
    <cfRule type="containsText" dxfId="978" priority="983" operator="containsText" text="Pesquisa de Preços">
      <formula>NOT(ISERROR(SEARCH("Pesquisa de Preços",D6139)))</formula>
    </cfRule>
  </conditionalFormatting>
  <conditionalFormatting sqref="D5635">
    <cfRule type="containsText" dxfId="977" priority="979" operator="containsText" text="Pesquisa de Preços">
      <formula>NOT(ISERROR(SEARCH("Pesquisa de Preços",D5635)))</formula>
    </cfRule>
  </conditionalFormatting>
  <conditionalFormatting sqref="D5807">
    <cfRule type="containsText" dxfId="976" priority="950" operator="containsText" text="Pesquisa de Preços">
      <formula>NOT(ISERROR(SEARCH("Pesquisa de Preços",D5807)))</formula>
    </cfRule>
  </conditionalFormatting>
  <conditionalFormatting sqref="D6011">
    <cfRule type="containsText" dxfId="975" priority="963" operator="containsText" text="Pesquisa de Preços">
      <formula>NOT(ISERROR(SEARCH("Pesquisa de Preços",D6011)))</formula>
    </cfRule>
  </conditionalFormatting>
  <conditionalFormatting sqref="D5735">
    <cfRule type="containsText" dxfId="974" priority="977" operator="containsText" text="Pesquisa de Preços">
      <formula>NOT(ISERROR(SEARCH("Pesquisa de Preços",D5735)))</formula>
    </cfRule>
  </conditionalFormatting>
  <conditionalFormatting sqref="D5775">
    <cfRule type="containsText" dxfId="973" priority="958" operator="containsText" text="Pesquisa de Preços">
      <formula>NOT(ISERROR(SEARCH("Pesquisa de Preços",D5775)))</formula>
    </cfRule>
  </conditionalFormatting>
  <conditionalFormatting sqref="D5739">
    <cfRule type="containsText" dxfId="972" priority="976" operator="containsText" text="Pesquisa de Preços">
      <formula>NOT(ISERROR(SEARCH("Pesquisa de Preços",D5739)))</formula>
    </cfRule>
  </conditionalFormatting>
  <conditionalFormatting sqref="D5787">
    <cfRule type="containsText" dxfId="971" priority="955" operator="containsText" text="Pesquisa de Preços">
      <formula>NOT(ISERROR(SEARCH("Pesquisa de Preços",D5787)))</formula>
    </cfRule>
  </conditionalFormatting>
  <conditionalFormatting sqref="D5747">
    <cfRule type="containsText" dxfId="970" priority="974" operator="containsText" text="Pesquisa de Preços">
      <formula>NOT(ISERROR(SEARCH("Pesquisa de Preços",D5747)))</formula>
    </cfRule>
  </conditionalFormatting>
  <conditionalFormatting sqref="D5799">
    <cfRule type="containsText" dxfId="969" priority="952" operator="containsText" text="Pesquisa de Preços">
      <formula>NOT(ISERROR(SEARCH("Pesquisa de Preços",D5799)))</formula>
    </cfRule>
  </conditionalFormatting>
  <conditionalFormatting sqref="D5843">
    <cfRule type="containsText" dxfId="968" priority="941" operator="containsText" text="Pesquisa de Preços">
      <formula>NOT(ISERROR(SEARCH("Pesquisa de Preços",D5843)))</formula>
    </cfRule>
  </conditionalFormatting>
  <conditionalFormatting sqref="D5943">
    <cfRule type="containsText" dxfId="967" priority="969" operator="containsText" text="Pesquisa de Preços">
      <formula>NOT(ISERROR(SEARCH("Pesquisa de Preços",D5943)))</formula>
    </cfRule>
  </conditionalFormatting>
  <conditionalFormatting sqref="D5951">
    <cfRule type="containsText" dxfId="966" priority="968" operator="containsText" text="Pesquisa de Preços">
      <formula>NOT(ISERROR(SEARCH("Pesquisa de Preços",D5951)))</formula>
    </cfRule>
  </conditionalFormatting>
  <conditionalFormatting sqref="D5767">
    <cfRule type="containsText" dxfId="965" priority="962" operator="containsText" text="Pesquisa de Preços">
      <formula>NOT(ISERROR(SEARCH("Pesquisa de Preços",D5767)))</formula>
    </cfRule>
  </conditionalFormatting>
  <conditionalFormatting sqref="D5771">
    <cfRule type="containsText" dxfId="964" priority="959" operator="containsText" text="Pesquisa de Preços">
      <formula>NOT(ISERROR(SEARCH("Pesquisa de Preços",D5771)))</formula>
    </cfRule>
  </conditionalFormatting>
  <conditionalFormatting sqref="D5823">
    <cfRule type="containsText" dxfId="963" priority="946" operator="containsText" text="Pesquisa de Preços">
      <formula>NOT(ISERROR(SEARCH("Pesquisa de Preços",D5823)))</formula>
    </cfRule>
  </conditionalFormatting>
  <conditionalFormatting sqref="D5887">
    <cfRule type="containsText" dxfId="962" priority="930" operator="containsText" text="Pesquisa de Preços">
      <formula>NOT(ISERROR(SEARCH("Pesquisa de Preços",D5887)))</formula>
    </cfRule>
  </conditionalFormatting>
  <conditionalFormatting sqref="D5931">
    <cfRule type="containsText" dxfId="961" priority="927" operator="containsText" text="Pesquisa de Preços">
      <formula>NOT(ISERROR(SEARCH("Pesquisa de Preços",D5931)))</formula>
    </cfRule>
  </conditionalFormatting>
  <conditionalFormatting sqref="D5939">
    <cfRule type="containsText" dxfId="960" priority="926" operator="containsText" text="Pesquisa de Preços">
      <formula>NOT(ISERROR(SEARCH("Pesquisa de Preços",D5939)))</formula>
    </cfRule>
  </conditionalFormatting>
  <conditionalFormatting sqref="D5947">
    <cfRule type="containsText" dxfId="959" priority="925" operator="containsText" text="Pesquisa de Preços">
      <formula>NOT(ISERROR(SEARCH("Pesquisa de Preços",D5947)))</formula>
    </cfRule>
  </conditionalFormatting>
  <conditionalFormatting sqref="D5967">
    <cfRule type="containsText" dxfId="958" priority="922" operator="containsText" text="Pesquisa de Preços">
      <formula>NOT(ISERROR(SEARCH("Pesquisa de Preços",D5967)))</formula>
    </cfRule>
  </conditionalFormatting>
  <conditionalFormatting sqref="D5979">
    <cfRule type="containsText" dxfId="957" priority="920" operator="containsText" text="Pesquisa de Preços">
      <formula>NOT(ISERROR(SEARCH("Pesquisa de Preços",D5979)))</formula>
    </cfRule>
  </conditionalFormatting>
  <conditionalFormatting sqref="D5995">
    <cfRule type="containsText" dxfId="956" priority="917" operator="containsText" text="Pesquisa de Preços">
      <formula>NOT(ISERROR(SEARCH("Pesquisa de Preços",D5995)))</formula>
    </cfRule>
  </conditionalFormatting>
  <conditionalFormatting sqref="D6007">
    <cfRule type="containsText" dxfId="955" priority="915" operator="containsText" text="Pesquisa de Preços">
      <formula>NOT(ISERROR(SEARCH("Pesquisa de Preços",D6007)))</formula>
    </cfRule>
  </conditionalFormatting>
  <conditionalFormatting sqref="D6067">
    <cfRule type="containsText" dxfId="954" priority="902" operator="containsText" text="Pesquisa de Preços">
      <formula>NOT(ISERROR(SEARCH("Pesquisa de Preços",D6067)))</formula>
    </cfRule>
  </conditionalFormatting>
  <conditionalFormatting sqref="D6071">
    <cfRule type="containsText" dxfId="953" priority="901" operator="containsText" text="Pesquisa de Preços">
      <formula>NOT(ISERROR(SEARCH("Pesquisa de Preços",D6071)))</formula>
    </cfRule>
  </conditionalFormatting>
  <conditionalFormatting sqref="D5633">
    <cfRule type="containsText" dxfId="952" priority="980" operator="containsText" text="Pesquisa de Preços">
      <formula>NOT(ISERROR(SEARCH("Pesquisa de Preços",D5633)))</formula>
    </cfRule>
  </conditionalFormatting>
  <conditionalFormatting sqref="D5763">
    <cfRule type="containsText" dxfId="951" priority="961" operator="containsText" text="Pesquisa de Preços">
      <formula>NOT(ISERROR(SEARCH("Pesquisa de Preços",D5763)))</formula>
    </cfRule>
  </conditionalFormatting>
  <conditionalFormatting sqref="D5779">
    <cfRule type="containsText" dxfId="950" priority="957" operator="containsText" text="Pesquisa de Preços">
      <formula>NOT(ISERROR(SEARCH("Pesquisa de Preços",D5779)))</formula>
    </cfRule>
  </conditionalFormatting>
  <conditionalFormatting sqref="D5815">
    <cfRule type="containsText" dxfId="949" priority="948" operator="containsText" text="Pesquisa de Preços">
      <formula>NOT(ISERROR(SEARCH("Pesquisa de Preços",D5815)))</formula>
    </cfRule>
  </conditionalFormatting>
  <conditionalFormatting sqref="D5963">
    <cfRule type="containsText" dxfId="948" priority="967" operator="containsText" text="Pesquisa de Preços">
      <formula>NOT(ISERROR(SEARCH("Pesquisa de Preços",D5963)))</formula>
    </cfRule>
  </conditionalFormatting>
  <conditionalFormatting sqref="D5927">
    <cfRule type="containsText" dxfId="947" priority="971" operator="containsText" text="Pesquisa de Preços">
      <formula>NOT(ISERROR(SEARCH("Pesquisa de Preços",D5927)))</formula>
    </cfRule>
  </conditionalFormatting>
  <conditionalFormatting sqref="D5811">
    <cfRule type="containsText" dxfId="946" priority="949" operator="containsText" text="Pesquisa de Preços">
      <formula>NOT(ISERROR(SEARCH("Pesquisa de Preços",D5811)))</formula>
    </cfRule>
  </conditionalFormatting>
  <conditionalFormatting sqref="D5835">
    <cfRule type="containsText" dxfId="945" priority="943" operator="containsText" text="Pesquisa de Preços">
      <formula>NOT(ISERROR(SEARCH("Pesquisa de Preços",D5835)))</formula>
    </cfRule>
  </conditionalFormatting>
  <conditionalFormatting sqref="D5759">
    <cfRule type="containsText" dxfId="944" priority="960" operator="containsText" text="Pesquisa de Preços">
      <formula>NOT(ISERROR(SEARCH("Pesquisa de Preços",D5759)))</formula>
    </cfRule>
  </conditionalFormatting>
  <conditionalFormatting sqref="D5827">
    <cfRule type="containsText" dxfId="943" priority="944" operator="containsText" text="Pesquisa de Preços">
      <formula>NOT(ISERROR(SEARCH("Pesquisa de Preços",D5827)))</formula>
    </cfRule>
  </conditionalFormatting>
  <conditionalFormatting sqref="D5975">
    <cfRule type="containsText" dxfId="942" priority="966" operator="containsText" text="Pesquisa de Preços">
      <formula>NOT(ISERROR(SEARCH("Pesquisa de Preços",D5975)))</formula>
    </cfRule>
  </conditionalFormatting>
  <conditionalFormatting sqref="D5819">
    <cfRule type="containsText" dxfId="941" priority="947" operator="containsText" text="Pesquisa de Preços">
      <formula>NOT(ISERROR(SEARCH("Pesquisa de Preços",D5819)))</formula>
    </cfRule>
  </conditionalFormatting>
  <conditionalFormatting sqref="D5855">
    <cfRule type="containsText" dxfId="940" priority="938" operator="containsText" text="Pesquisa de Preços">
      <formula>NOT(ISERROR(SEARCH("Pesquisa de Preços",D5855)))</formula>
    </cfRule>
  </conditionalFormatting>
  <conditionalFormatting sqref="D5795">
    <cfRule type="containsText" dxfId="939" priority="953" operator="containsText" text="Pesquisa de Preços">
      <formula>NOT(ISERROR(SEARCH("Pesquisa de Preços",D5795)))</formula>
    </cfRule>
  </conditionalFormatting>
  <conditionalFormatting sqref="D5987">
    <cfRule type="containsText" dxfId="938" priority="965" operator="containsText" text="Pesquisa de Preços">
      <formula>NOT(ISERROR(SEARCH("Pesquisa de Preços",D5987)))</formula>
    </cfRule>
  </conditionalFormatting>
  <conditionalFormatting sqref="D5847">
    <cfRule type="containsText" dxfId="937" priority="939" operator="containsText" text="Pesquisa de Preços">
      <formula>NOT(ISERROR(SEARCH("Pesquisa de Preços",D5847)))</formula>
    </cfRule>
  </conditionalFormatting>
  <conditionalFormatting sqref="D5831">
    <cfRule type="containsText" dxfId="936" priority="945" operator="containsText" text="Pesquisa de Preços">
      <formula>NOT(ISERROR(SEARCH("Pesquisa de Preços",D5831)))</formula>
    </cfRule>
  </conditionalFormatting>
  <conditionalFormatting sqref="D5883">
    <cfRule type="containsText" dxfId="935" priority="931" operator="containsText" text="Pesquisa de Preços">
      <formula>NOT(ISERROR(SEARCH("Pesquisa de Preços",D5883)))</formula>
    </cfRule>
  </conditionalFormatting>
  <conditionalFormatting sqref="D5999">
    <cfRule type="containsText" dxfId="934" priority="964" operator="containsText" text="Pesquisa de Preços">
      <formula>NOT(ISERROR(SEARCH("Pesquisa de Preços",D5999)))</formula>
    </cfRule>
  </conditionalFormatting>
  <conditionalFormatting sqref="D5851">
    <cfRule type="containsText" dxfId="933" priority="940" operator="containsText" text="Pesquisa de Preços">
      <formula>NOT(ISERROR(SEARCH("Pesquisa de Preços",D5851)))</formula>
    </cfRule>
  </conditionalFormatting>
  <conditionalFormatting sqref="D5879">
    <cfRule type="containsText" dxfId="932" priority="933" operator="containsText" text="Pesquisa de Preços">
      <formula>NOT(ISERROR(SEARCH("Pesquisa de Preços",D5879)))</formula>
    </cfRule>
  </conditionalFormatting>
  <conditionalFormatting sqref="D5875">
    <cfRule type="containsText" dxfId="931" priority="932" operator="containsText" text="Pesquisa de Preços">
      <formula>NOT(ISERROR(SEARCH("Pesquisa de Preços",D5875)))</formula>
    </cfRule>
  </conditionalFormatting>
  <conditionalFormatting sqref="D5863">
    <cfRule type="containsText" dxfId="930" priority="936" operator="containsText" text="Pesquisa de Preços">
      <formula>NOT(ISERROR(SEARCH("Pesquisa de Preços",D5863)))</formula>
    </cfRule>
  </conditionalFormatting>
  <conditionalFormatting sqref="D5971">
    <cfRule type="containsText" dxfId="929" priority="921" operator="containsText" text="Pesquisa de Preços">
      <formula>NOT(ISERROR(SEARCH("Pesquisa de Preços",D5971)))</formula>
    </cfRule>
  </conditionalFormatting>
  <conditionalFormatting sqref="D5783">
    <cfRule type="containsText" dxfId="928" priority="956" operator="containsText" text="Pesquisa de Preços">
      <formula>NOT(ISERROR(SEARCH("Pesquisa de Preços",D5783)))</formula>
    </cfRule>
  </conditionalFormatting>
  <conditionalFormatting sqref="D5791">
    <cfRule type="containsText" dxfId="927" priority="954" operator="containsText" text="Pesquisa de Preços">
      <formula>NOT(ISERROR(SEARCH("Pesquisa de Preços",D5791)))</formula>
    </cfRule>
  </conditionalFormatting>
  <conditionalFormatting sqref="D5871">
    <cfRule type="containsText" dxfId="926" priority="934" operator="containsText" text="Pesquisa de Preços">
      <formula>NOT(ISERROR(SEARCH("Pesquisa de Preços",D5871)))</formula>
    </cfRule>
  </conditionalFormatting>
  <conditionalFormatting sqref="D5891">
    <cfRule type="containsText" dxfId="925" priority="929" operator="containsText" text="Pesquisa de Preços">
      <formula>NOT(ISERROR(SEARCH("Pesquisa de Preços",D5891)))</formula>
    </cfRule>
  </conditionalFormatting>
  <conditionalFormatting sqref="D5955">
    <cfRule type="containsText" dxfId="924" priority="924" operator="containsText" text="Pesquisa de Preços">
      <formula>NOT(ISERROR(SEARCH("Pesquisa de Preços",D5955)))</formula>
    </cfRule>
  </conditionalFormatting>
  <conditionalFormatting sqref="D5983">
    <cfRule type="containsText" dxfId="923" priority="919" operator="containsText" text="Pesquisa de Preços">
      <formula>NOT(ISERROR(SEARCH("Pesquisa de Preços",D5983)))</formula>
    </cfRule>
  </conditionalFormatting>
  <conditionalFormatting sqref="D5859">
    <cfRule type="containsText" dxfId="922" priority="937" operator="containsText" text="Pesquisa de Preços">
      <formula>NOT(ISERROR(SEARCH("Pesquisa de Preços",D5859)))</formula>
    </cfRule>
  </conditionalFormatting>
  <conditionalFormatting sqref="D5867">
    <cfRule type="containsText" dxfId="921" priority="935" operator="containsText" text="Pesquisa de Preços">
      <formula>NOT(ISERROR(SEARCH("Pesquisa de Preços",D5867)))</formula>
    </cfRule>
  </conditionalFormatting>
  <conditionalFormatting sqref="D5959">
    <cfRule type="containsText" dxfId="920" priority="923" operator="containsText" text="Pesquisa de Preços">
      <formula>NOT(ISERROR(SEARCH("Pesquisa de Preços",D5959)))</formula>
    </cfRule>
  </conditionalFormatting>
  <conditionalFormatting sqref="D5803">
    <cfRule type="containsText" dxfId="919" priority="951" operator="containsText" text="Pesquisa de Preços">
      <formula>NOT(ISERROR(SEARCH("Pesquisa de Preços",D5803)))</formula>
    </cfRule>
  </conditionalFormatting>
  <conditionalFormatting sqref="D6019">
    <cfRule type="containsText" dxfId="918" priority="913" operator="containsText" text="Pesquisa de Preços">
      <formula>NOT(ISERROR(SEARCH("Pesquisa de Preços",D6019)))</formula>
    </cfRule>
  </conditionalFormatting>
  <conditionalFormatting sqref="D5895">
    <cfRule type="containsText" dxfId="917" priority="928" operator="containsText" text="Pesquisa de Preços">
      <formula>NOT(ISERROR(SEARCH("Pesquisa de Preços",D5895)))</formula>
    </cfRule>
  </conditionalFormatting>
  <conditionalFormatting sqref="D5839">
    <cfRule type="containsText" dxfId="916" priority="942" operator="containsText" text="Pesquisa de Preços">
      <formula>NOT(ISERROR(SEARCH("Pesquisa de Preços",D5839)))</formula>
    </cfRule>
  </conditionalFormatting>
  <conditionalFormatting sqref="D6003">
    <cfRule type="containsText" dxfId="915" priority="916" operator="containsText" text="Pesquisa de Preços">
      <formula>NOT(ISERROR(SEARCH("Pesquisa de Preços",D6003)))</formula>
    </cfRule>
  </conditionalFormatting>
  <conditionalFormatting sqref="D6015">
    <cfRule type="containsText" dxfId="914" priority="914" operator="containsText" text="Pesquisa de Preços">
      <formula>NOT(ISERROR(SEARCH("Pesquisa de Preços",D6015)))</formula>
    </cfRule>
  </conditionalFormatting>
  <conditionalFormatting sqref="D5991">
    <cfRule type="containsText" dxfId="913" priority="918" operator="containsText" text="Pesquisa de Preços">
      <formula>NOT(ISERROR(SEARCH("Pesquisa de Preços",D5991)))</formula>
    </cfRule>
  </conditionalFormatting>
  <conditionalFormatting sqref="D6023">
    <cfRule type="containsText" dxfId="912" priority="912" operator="containsText" text="Pesquisa de Preços">
      <formula>NOT(ISERROR(SEARCH("Pesquisa de Preços",D6023)))</formula>
    </cfRule>
  </conditionalFormatting>
  <conditionalFormatting sqref="D6063">
    <cfRule type="containsText" dxfId="911" priority="903" operator="containsText" text="Pesquisa de Preços">
      <formula>NOT(ISERROR(SEARCH("Pesquisa de Preços",D6063)))</formula>
    </cfRule>
  </conditionalFormatting>
  <conditionalFormatting sqref="D6031">
    <cfRule type="containsText" dxfId="910" priority="910" operator="containsText" text="Pesquisa de Preços">
      <formula>NOT(ISERROR(SEARCH("Pesquisa de Preços",D6031)))</formula>
    </cfRule>
  </conditionalFormatting>
  <conditionalFormatting sqref="D6043">
    <cfRule type="containsText" dxfId="909" priority="907" operator="containsText" text="Pesquisa de Preços">
      <formula>NOT(ISERROR(SEARCH("Pesquisa de Preços",D6043)))</formula>
    </cfRule>
  </conditionalFormatting>
  <conditionalFormatting sqref="D6027">
    <cfRule type="containsText" dxfId="908" priority="911" operator="containsText" text="Pesquisa de Preços">
      <formula>NOT(ISERROR(SEARCH("Pesquisa de Preços",D6027)))</formula>
    </cfRule>
  </conditionalFormatting>
  <conditionalFormatting sqref="D6051">
    <cfRule type="containsText" dxfId="907" priority="905" operator="containsText" text="Pesquisa de Preços">
      <formula>NOT(ISERROR(SEARCH("Pesquisa de Preços",D6051)))</formula>
    </cfRule>
  </conditionalFormatting>
  <conditionalFormatting sqref="D6035">
    <cfRule type="containsText" dxfId="906" priority="909" operator="containsText" text="Pesquisa de Preços">
      <formula>NOT(ISERROR(SEARCH("Pesquisa de Preços",D6035)))</formula>
    </cfRule>
  </conditionalFormatting>
  <conditionalFormatting sqref="D6039">
    <cfRule type="containsText" dxfId="905" priority="908" operator="containsText" text="Pesquisa de Preços">
      <formula>NOT(ISERROR(SEARCH("Pesquisa de Preços",D6039)))</formula>
    </cfRule>
  </conditionalFormatting>
  <conditionalFormatting sqref="D6047">
    <cfRule type="containsText" dxfId="904" priority="906" operator="containsText" text="Pesquisa de Preços">
      <formula>NOT(ISERROR(SEARCH("Pesquisa de Preços",D6047)))</formula>
    </cfRule>
  </conditionalFormatting>
  <conditionalFormatting sqref="D6055">
    <cfRule type="containsText" dxfId="903" priority="904" operator="containsText" text="Pesquisa de Preços">
      <formula>NOT(ISERROR(SEARCH("Pesquisa de Preços",D6055)))</formula>
    </cfRule>
  </conditionalFormatting>
  <conditionalFormatting sqref="D6091">
    <cfRule type="containsText" dxfId="902" priority="896" operator="containsText" text="Pesquisa de Preços">
      <formula>NOT(ISERROR(SEARCH("Pesquisa de Preços",D6091)))</formula>
    </cfRule>
  </conditionalFormatting>
  <conditionalFormatting sqref="D6095">
    <cfRule type="containsText" dxfId="901" priority="895" operator="containsText" text="Pesquisa de Preços">
      <formula>NOT(ISERROR(SEARCH("Pesquisa de Preços",D6095)))</formula>
    </cfRule>
  </conditionalFormatting>
  <conditionalFormatting sqref="D5567">
    <cfRule type="containsText" dxfId="900" priority="858" operator="containsText" text="Pesquisa de Preços">
      <formula>NOT(ISERROR(SEARCH("Pesquisa de Preços",D5567)))</formula>
    </cfRule>
  </conditionalFormatting>
  <conditionalFormatting sqref="D5561">
    <cfRule type="containsText" dxfId="899" priority="859" operator="containsText" text="Pesquisa de Preços">
      <formula>NOT(ISERROR(SEARCH("Pesquisa de Preços",D5561)))</formula>
    </cfRule>
  </conditionalFormatting>
  <conditionalFormatting sqref="D2776">
    <cfRule type="containsText" dxfId="898" priority="887" operator="containsText" text="Pesquisa de Preços">
      <formula>NOT(ISERROR(SEARCH("Pesquisa de Preços",D2776)))</formula>
    </cfRule>
  </conditionalFormatting>
  <conditionalFormatting sqref="D2768">
    <cfRule type="containsText" dxfId="897" priority="884" operator="containsText" text="Pesquisa de Preços">
      <formula>NOT(ISERROR(SEARCH("Pesquisa de Preços",D2768)))</formula>
    </cfRule>
  </conditionalFormatting>
  <conditionalFormatting sqref="D6171">
    <cfRule type="containsText" dxfId="896" priority="885" operator="containsText" text="Pesquisa de Preços">
      <formula>NOT(ISERROR(SEARCH("Pesquisa de Preços",D6171)))</formula>
    </cfRule>
  </conditionalFormatting>
  <conditionalFormatting sqref="D5515">
    <cfRule type="containsText" dxfId="895" priority="882" operator="containsText" text="Pesquisa de Preços">
      <formula>NOT(ISERROR(SEARCH("Pesquisa de Preços",D5515)))</formula>
    </cfRule>
  </conditionalFormatting>
  <conditionalFormatting sqref="D2770">
    <cfRule type="containsText" dxfId="894" priority="883" operator="containsText" text="Pesquisa de Preços">
      <formula>NOT(ISERROR(SEARCH("Pesquisa de Preços",D2770)))</formula>
    </cfRule>
  </conditionalFormatting>
  <conditionalFormatting sqref="D5665">
    <cfRule type="containsText" dxfId="893" priority="841" operator="containsText" text="Pesquisa de Preços">
      <formula>NOT(ISERROR(SEARCH("Pesquisa de Preços",D5665)))</formula>
    </cfRule>
  </conditionalFormatting>
  <conditionalFormatting sqref="D5689">
    <cfRule type="containsText" dxfId="892" priority="835" operator="containsText" text="Pesquisa de Preços">
      <formula>NOT(ISERROR(SEARCH("Pesquisa de Preços",D5689)))</formula>
    </cfRule>
  </conditionalFormatting>
  <conditionalFormatting sqref="D5527">
    <cfRule type="containsText" dxfId="891" priority="881" operator="containsText" text="Pesquisa de Preços">
      <formula>NOT(ISERROR(SEARCH("Pesquisa de Preços",D5527)))</formula>
    </cfRule>
  </conditionalFormatting>
  <conditionalFormatting sqref="D5681">
    <cfRule type="containsText" dxfId="890" priority="837" operator="containsText" text="Pesquisa de Preços">
      <formula>NOT(ISERROR(SEARCH("Pesquisa de Preços",D5681)))</formula>
    </cfRule>
  </conditionalFormatting>
  <conditionalFormatting sqref="D5533 D5539 D5545 D5551 D5575 D5581">
    <cfRule type="containsText" dxfId="889" priority="880" operator="containsText" text="Pesquisa de Preços">
      <formula>NOT(ISERROR(SEARCH("Pesquisa de Preços",D5533)))</formula>
    </cfRule>
  </conditionalFormatting>
  <conditionalFormatting sqref="D5693">
    <cfRule type="containsText" dxfId="888" priority="834" operator="containsText" text="Pesquisa de Preços">
      <formula>NOT(ISERROR(SEARCH("Pesquisa de Preços",D5693)))</formula>
    </cfRule>
  </conditionalFormatting>
  <conditionalFormatting sqref="D5611">
    <cfRule type="containsText" dxfId="887" priority="879" operator="containsText" text="Pesquisa de Preços">
      <formula>NOT(ISERROR(SEARCH("Pesquisa de Preços",D5611)))</formula>
    </cfRule>
  </conditionalFormatting>
  <conditionalFormatting sqref="D5721">
    <cfRule type="containsText" dxfId="886" priority="828" operator="containsText" text="Pesquisa de Preços">
      <formula>NOT(ISERROR(SEARCH("Pesquisa de Preços",D5721)))</formula>
    </cfRule>
  </conditionalFormatting>
  <conditionalFormatting sqref="D5617">
    <cfRule type="containsText" dxfId="885" priority="878" operator="containsText" text="Pesquisa de Preços">
      <formula>NOT(ISERROR(SEARCH("Pesquisa de Preços",D5617)))</formula>
    </cfRule>
  </conditionalFormatting>
  <conditionalFormatting sqref="D5749">
    <cfRule type="containsText" dxfId="884" priority="821" operator="containsText" text="Pesquisa de Preços">
      <formula>NOT(ISERROR(SEARCH("Pesquisa de Preços",D5749)))</formula>
    </cfRule>
  </conditionalFormatting>
  <conditionalFormatting sqref="D5623">
    <cfRule type="containsText" dxfId="883" priority="877" operator="containsText" text="Pesquisa de Preços">
      <formula>NOT(ISERROR(SEARCH("Pesquisa de Preços",D5623)))</formula>
    </cfRule>
  </conditionalFormatting>
  <conditionalFormatting sqref="D5813">
    <cfRule type="containsText" dxfId="882" priority="806" operator="containsText" text="Pesquisa de Preços">
      <formula>NOT(ISERROR(SEARCH("Pesquisa de Preços",D5813)))</formula>
    </cfRule>
  </conditionalFormatting>
  <conditionalFormatting sqref="D5629">
    <cfRule type="containsText" dxfId="881" priority="876" operator="containsText" text="Pesquisa de Preços">
      <formula>NOT(ISERROR(SEARCH("Pesquisa de Preços",D5629)))</formula>
    </cfRule>
  </conditionalFormatting>
  <conditionalFormatting sqref="D5885">
    <cfRule type="containsText" dxfId="880" priority="788" operator="containsText" text="Pesquisa de Preços">
      <formula>NOT(ISERROR(SEARCH("Pesquisa de Preços",D5885)))</formula>
    </cfRule>
  </conditionalFormatting>
  <conditionalFormatting sqref="D5521">
    <cfRule type="containsText" dxfId="879" priority="875" operator="containsText" text="Pesquisa de Preços">
      <formula>NOT(ISERROR(SEARCH("Pesquisa de Preços",D5521)))</formula>
    </cfRule>
  </conditionalFormatting>
  <conditionalFormatting sqref="D5889">
    <cfRule type="containsText" dxfId="878" priority="787" operator="containsText" text="Pesquisa de Preços">
      <formula>NOT(ISERROR(SEARCH("Pesquisa de Preços",D5889)))</formula>
    </cfRule>
  </conditionalFormatting>
  <conditionalFormatting sqref="D5557">
    <cfRule type="containsText" dxfId="877" priority="874" operator="containsText" text="Pesquisa de Preços">
      <formula>NOT(ISERROR(SEARCH("Pesquisa de Preços",D5557)))</formula>
    </cfRule>
  </conditionalFormatting>
  <conditionalFormatting sqref="D5917">
    <cfRule type="containsText" dxfId="876" priority="780" operator="containsText" text="Pesquisa de Preços">
      <formula>NOT(ISERROR(SEARCH("Pesquisa de Preços",D5917)))</formula>
    </cfRule>
  </conditionalFormatting>
  <conditionalFormatting sqref="D5563">
    <cfRule type="containsText" dxfId="875" priority="873" operator="containsText" text="Pesquisa de Preços">
      <formula>NOT(ISERROR(SEARCH("Pesquisa de Preços",D5563)))</formula>
    </cfRule>
  </conditionalFormatting>
  <conditionalFormatting sqref="D5945">
    <cfRule type="containsText" dxfId="874" priority="773" operator="containsText" text="Pesquisa de Preços">
      <formula>NOT(ISERROR(SEARCH("Pesquisa de Preços",D5945)))</formula>
    </cfRule>
  </conditionalFormatting>
  <conditionalFormatting sqref="D5569">
    <cfRule type="containsText" dxfId="873" priority="872" operator="containsText" text="Pesquisa de Preços">
      <formula>NOT(ISERROR(SEARCH("Pesquisa de Preços",D5569)))</formula>
    </cfRule>
  </conditionalFormatting>
  <conditionalFormatting sqref="D5965 D5961">
    <cfRule type="containsText" dxfId="872" priority="769" operator="containsText" text="Pesquisa de Preços">
      <formula>NOT(ISERROR(SEARCH("Pesquisa de Preços",D5961)))</formula>
    </cfRule>
  </conditionalFormatting>
  <conditionalFormatting sqref="D5993">
    <cfRule type="containsText" dxfId="871" priority="764" operator="containsText" text="Pesquisa de Preços">
      <formula>NOT(ISERROR(SEARCH("Pesquisa de Preços",D5993)))</formula>
    </cfRule>
  </conditionalFormatting>
  <conditionalFormatting sqref="D5593">
    <cfRule type="containsText" dxfId="870" priority="870" operator="containsText" text="Pesquisa de Preços">
      <formula>NOT(ISERROR(SEARCH("Pesquisa de Preços",D5593)))</formula>
    </cfRule>
  </conditionalFormatting>
  <conditionalFormatting sqref="D6017">
    <cfRule type="containsText" dxfId="869" priority="759" operator="containsText" text="Pesquisa de Preços">
      <formula>NOT(ISERROR(SEARCH("Pesquisa de Preços",D6017)))</formula>
    </cfRule>
  </conditionalFormatting>
  <conditionalFormatting sqref="D5599">
    <cfRule type="containsText" dxfId="868" priority="869" operator="containsText" text="Pesquisa de Preços">
      <formula>NOT(ISERROR(SEARCH("Pesquisa de Preços",D5599)))</formula>
    </cfRule>
  </conditionalFormatting>
  <conditionalFormatting sqref="D6049">
    <cfRule type="containsText" dxfId="867" priority="751" operator="containsText" text="Pesquisa de Preços">
      <formula>NOT(ISERROR(SEARCH("Pesquisa de Preços",D6049)))</formula>
    </cfRule>
  </conditionalFormatting>
  <conditionalFormatting sqref="D5605">
    <cfRule type="containsText" dxfId="866" priority="868" operator="containsText" text="Pesquisa de Preços">
      <formula>NOT(ISERROR(SEARCH("Pesquisa de Preços",D5605)))</formula>
    </cfRule>
  </conditionalFormatting>
  <conditionalFormatting sqref="D6093">
    <cfRule type="containsText" dxfId="865" priority="743" operator="containsText" text="Pesquisa de Preços">
      <formula>NOT(ISERROR(SEARCH("Pesquisa de Preços",D6093)))</formula>
    </cfRule>
  </conditionalFormatting>
  <conditionalFormatting sqref="D5513">
    <cfRule type="containsText" dxfId="864" priority="867" operator="containsText" text="Pesquisa de Preços">
      <formula>NOT(ISERROR(SEARCH("Pesquisa de Preços",D5513)))</formula>
    </cfRule>
  </conditionalFormatting>
  <conditionalFormatting sqref="D5519">
    <cfRule type="containsText" dxfId="863" priority="866" operator="containsText" text="Pesquisa de Preços">
      <formula>NOT(ISERROR(SEARCH("Pesquisa de Preços",D5519)))</formula>
    </cfRule>
  </conditionalFormatting>
  <conditionalFormatting sqref="D5525">
    <cfRule type="containsText" dxfId="862" priority="865" operator="containsText" text="Pesquisa de Preços">
      <formula>NOT(ISERROR(SEARCH("Pesquisa de Preços",D5525)))</formula>
    </cfRule>
  </conditionalFormatting>
  <conditionalFormatting sqref="D5531">
    <cfRule type="containsText" dxfId="861" priority="864" operator="containsText" text="Pesquisa de Preços">
      <formula>NOT(ISERROR(SEARCH("Pesquisa de Preços",D5531)))</formula>
    </cfRule>
  </conditionalFormatting>
  <conditionalFormatting sqref="D5537">
    <cfRule type="containsText" dxfId="860" priority="863" operator="containsText" text="Pesquisa de Preços">
      <formula>NOT(ISERROR(SEARCH("Pesquisa de Preços",D5537)))</formula>
    </cfRule>
  </conditionalFormatting>
  <conditionalFormatting sqref="D5543">
    <cfRule type="containsText" dxfId="859" priority="862" operator="containsText" text="Pesquisa de Preços">
      <formula>NOT(ISERROR(SEARCH("Pesquisa de Preços",D5543)))</formula>
    </cfRule>
  </conditionalFormatting>
  <conditionalFormatting sqref="D6169">
    <cfRule type="containsText" dxfId="858" priority="728" operator="containsText" text="Pesquisa de Preços">
      <formula>NOT(ISERROR(SEARCH("Pesquisa de Preços",D6169)))</formula>
    </cfRule>
  </conditionalFormatting>
  <conditionalFormatting sqref="D5549">
    <cfRule type="containsText" dxfId="857" priority="861" operator="containsText" text="Pesquisa de Preços">
      <formula>NOT(ISERROR(SEARCH("Pesquisa de Preços",D5549)))</formula>
    </cfRule>
  </conditionalFormatting>
  <conditionalFormatting sqref="D5555">
    <cfRule type="containsText" dxfId="856" priority="860" operator="containsText" text="Pesquisa de Preços">
      <formula>NOT(ISERROR(SEARCH("Pesquisa de Preços",D5555)))</formula>
    </cfRule>
  </conditionalFormatting>
  <conditionalFormatting sqref="D5615">
    <cfRule type="containsText" dxfId="855" priority="851" operator="containsText" text="Pesquisa de Preços">
      <formula>NOT(ISERROR(SEARCH("Pesquisa de Preços",D5615)))</formula>
    </cfRule>
  </conditionalFormatting>
  <conditionalFormatting sqref="D5621">
    <cfRule type="containsText" dxfId="854" priority="850" operator="containsText" text="Pesquisa de Preços">
      <formula>NOT(ISERROR(SEARCH("Pesquisa de Preços",D5621)))</formula>
    </cfRule>
  </conditionalFormatting>
  <conditionalFormatting sqref="D5573">
    <cfRule type="containsText" dxfId="853" priority="857" operator="containsText" text="Pesquisa de Preços">
      <formula>NOT(ISERROR(SEARCH("Pesquisa de Preços",D5573)))</formula>
    </cfRule>
  </conditionalFormatting>
  <conditionalFormatting sqref="D5579">
    <cfRule type="containsText" dxfId="852" priority="856" operator="containsText" text="Pesquisa de Preços">
      <formula>NOT(ISERROR(SEARCH("Pesquisa de Preços",D5579)))</formula>
    </cfRule>
  </conditionalFormatting>
  <conditionalFormatting sqref="D5585">
    <cfRule type="containsText" dxfId="851" priority="855" operator="containsText" text="Pesquisa de Preços">
      <formula>NOT(ISERROR(SEARCH("Pesquisa de Preços",D5585)))</formula>
    </cfRule>
  </conditionalFormatting>
  <conditionalFormatting sqref="D5597 D5591">
    <cfRule type="containsText" dxfId="850" priority="854" operator="containsText" text="Pesquisa de Preços">
      <formula>NOT(ISERROR(SEARCH("Pesquisa de Preços",D5591)))</formula>
    </cfRule>
  </conditionalFormatting>
  <conditionalFormatting sqref="D5603">
    <cfRule type="containsText" dxfId="849" priority="853" operator="containsText" text="Pesquisa de Preços">
      <formula>NOT(ISERROR(SEARCH("Pesquisa de Preços",D5603)))</formula>
    </cfRule>
  </conditionalFormatting>
  <conditionalFormatting sqref="D5609">
    <cfRule type="containsText" dxfId="848" priority="852" operator="containsText" text="Pesquisa de Preços">
      <formula>NOT(ISERROR(SEARCH("Pesquisa de Preços",D5609)))</formula>
    </cfRule>
  </conditionalFormatting>
  <conditionalFormatting sqref="D5627">
    <cfRule type="containsText" dxfId="847" priority="849" operator="containsText" text="Pesquisa de Preços">
      <formula>NOT(ISERROR(SEARCH("Pesquisa de Preços",D5627)))</formula>
    </cfRule>
  </conditionalFormatting>
  <conditionalFormatting sqref="D5637">
    <cfRule type="containsText" dxfId="846" priority="848" operator="containsText" text="Pesquisa de Preços">
      <formula>NOT(ISERROR(SEARCH("Pesquisa de Preços",D5637)))</formula>
    </cfRule>
  </conditionalFormatting>
  <conditionalFormatting sqref="D5641">
    <cfRule type="containsText" dxfId="845" priority="847" operator="containsText" text="Pesquisa de Preços">
      <formula>NOT(ISERROR(SEARCH("Pesquisa de Preços",D5641)))</formula>
    </cfRule>
  </conditionalFormatting>
  <conditionalFormatting sqref="D5645">
    <cfRule type="containsText" dxfId="844" priority="846" operator="containsText" text="Pesquisa de Preços">
      <formula>NOT(ISERROR(SEARCH("Pesquisa de Preços",D5645)))</formula>
    </cfRule>
  </conditionalFormatting>
  <conditionalFormatting sqref="D5649">
    <cfRule type="containsText" dxfId="843" priority="845" operator="containsText" text="Pesquisa de Preços">
      <formula>NOT(ISERROR(SEARCH("Pesquisa de Preços",D5649)))</formula>
    </cfRule>
  </conditionalFormatting>
  <conditionalFormatting sqref="D5653">
    <cfRule type="containsText" dxfId="842" priority="844" operator="containsText" text="Pesquisa de Preços">
      <formula>NOT(ISERROR(SEARCH("Pesquisa de Preços",D5653)))</formula>
    </cfRule>
  </conditionalFormatting>
  <conditionalFormatting sqref="D5657">
    <cfRule type="containsText" dxfId="841" priority="843" operator="containsText" text="Pesquisa de Preços">
      <formula>NOT(ISERROR(SEARCH("Pesquisa de Preços",D5657)))</formula>
    </cfRule>
  </conditionalFormatting>
  <conditionalFormatting sqref="D5661">
    <cfRule type="containsText" dxfId="840" priority="842" operator="containsText" text="Pesquisa de Preços">
      <formula>NOT(ISERROR(SEARCH("Pesquisa de Preços",D5661)))</formula>
    </cfRule>
  </conditionalFormatting>
  <conditionalFormatting sqref="D5669">
    <cfRule type="containsText" dxfId="839" priority="840" operator="containsText" text="Pesquisa de Preços">
      <formula>NOT(ISERROR(SEARCH("Pesquisa de Preços",D5669)))</formula>
    </cfRule>
  </conditionalFormatting>
  <conditionalFormatting sqref="D5673">
    <cfRule type="containsText" dxfId="838" priority="839" operator="containsText" text="Pesquisa de Preços">
      <formula>NOT(ISERROR(SEARCH("Pesquisa de Preços",D5673)))</formula>
    </cfRule>
  </conditionalFormatting>
  <conditionalFormatting sqref="D5677">
    <cfRule type="containsText" dxfId="837" priority="838" operator="containsText" text="Pesquisa de Preços">
      <formula>NOT(ISERROR(SEARCH("Pesquisa de Preços",D5677)))</formula>
    </cfRule>
  </conditionalFormatting>
  <conditionalFormatting sqref="D5717">
    <cfRule type="containsText" dxfId="836" priority="829" operator="containsText" text="Pesquisa de Preços">
      <formula>NOT(ISERROR(SEARCH("Pesquisa de Preços",D5717)))</formula>
    </cfRule>
  </conditionalFormatting>
  <conditionalFormatting sqref="D5685">
    <cfRule type="containsText" dxfId="835" priority="836" operator="containsText" text="Pesquisa de Preços">
      <formula>NOT(ISERROR(SEARCH("Pesquisa de Preços",D5685)))</formula>
    </cfRule>
  </conditionalFormatting>
  <conditionalFormatting sqref="D5725">
    <cfRule type="containsText" dxfId="834" priority="827" operator="containsText" text="Pesquisa de Preços">
      <formula>NOT(ISERROR(SEARCH("Pesquisa de Preços",D5725)))</formula>
    </cfRule>
  </conditionalFormatting>
  <conditionalFormatting sqref="D5729">
    <cfRule type="containsText" dxfId="833" priority="826" operator="containsText" text="Pesquisa de Preços">
      <formula>NOT(ISERROR(SEARCH("Pesquisa de Preços",D5729)))</formula>
    </cfRule>
  </conditionalFormatting>
  <conditionalFormatting sqref="D5697">
    <cfRule type="containsText" dxfId="832" priority="833" operator="containsText" text="Pesquisa de Preços">
      <formula>NOT(ISERROR(SEARCH("Pesquisa de Preços",D5697)))</formula>
    </cfRule>
  </conditionalFormatting>
  <conditionalFormatting sqref="D5705 D5701">
    <cfRule type="containsText" dxfId="831" priority="832" operator="containsText" text="Pesquisa de Preços">
      <formula>NOT(ISERROR(SEARCH("Pesquisa de Preços",D5701)))</formula>
    </cfRule>
  </conditionalFormatting>
  <conditionalFormatting sqref="D5709">
    <cfRule type="containsText" dxfId="830" priority="831" operator="containsText" text="Pesquisa de Preços">
      <formula>NOT(ISERROR(SEARCH("Pesquisa de Preços",D5709)))</formula>
    </cfRule>
  </conditionalFormatting>
  <conditionalFormatting sqref="D5713">
    <cfRule type="containsText" dxfId="829" priority="830" operator="containsText" text="Pesquisa de Preços">
      <formula>NOT(ISERROR(SEARCH("Pesquisa de Preços",D5713)))</formula>
    </cfRule>
  </conditionalFormatting>
  <conditionalFormatting sqref="D5757">
    <cfRule type="containsText" dxfId="828" priority="819" operator="containsText" text="Pesquisa de Preços">
      <formula>NOT(ISERROR(SEARCH("Pesquisa de Preços",D5757)))</formula>
    </cfRule>
  </conditionalFormatting>
  <conditionalFormatting sqref="D5733">
    <cfRule type="containsText" dxfId="827" priority="825" operator="containsText" text="Pesquisa de Preços">
      <formula>NOT(ISERROR(SEARCH("Pesquisa de Preços",D5733)))</formula>
    </cfRule>
  </conditionalFormatting>
  <conditionalFormatting sqref="D5737">
    <cfRule type="containsText" dxfId="826" priority="824" operator="containsText" text="Pesquisa de Preços">
      <formula>NOT(ISERROR(SEARCH("Pesquisa de Preços",D5737)))</formula>
    </cfRule>
  </conditionalFormatting>
  <conditionalFormatting sqref="D5741">
    <cfRule type="containsText" dxfId="825" priority="823" operator="containsText" text="Pesquisa de Preços">
      <formula>NOT(ISERROR(SEARCH("Pesquisa de Preços",D5741)))</formula>
    </cfRule>
  </conditionalFormatting>
  <conditionalFormatting sqref="D5745">
    <cfRule type="containsText" dxfId="824" priority="822" operator="containsText" text="Pesquisa de Preços">
      <formula>NOT(ISERROR(SEARCH("Pesquisa de Preços",D5745)))</formula>
    </cfRule>
  </conditionalFormatting>
  <conditionalFormatting sqref="D5785">
    <cfRule type="containsText" dxfId="823" priority="813" operator="containsText" text="Pesquisa de Preços">
      <formula>NOT(ISERROR(SEARCH("Pesquisa de Preços",D5785)))</formula>
    </cfRule>
  </conditionalFormatting>
  <conditionalFormatting sqref="D5753">
    <cfRule type="containsText" dxfId="822" priority="820" operator="containsText" text="Pesquisa de Preços">
      <formula>NOT(ISERROR(SEARCH("Pesquisa de Preços",D5753)))</formula>
    </cfRule>
  </conditionalFormatting>
  <conditionalFormatting sqref="D5761">
    <cfRule type="containsText" dxfId="821" priority="818" operator="containsText" text="Pesquisa de Preços">
      <formula>NOT(ISERROR(SEARCH("Pesquisa de Preços",D5761)))</formula>
    </cfRule>
  </conditionalFormatting>
  <conditionalFormatting sqref="D5765">
    <cfRule type="containsText" dxfId="820" priority="817" operator="containsText" text="Pesquisa de Preços">
      <formula>NOT(ISERROR(SEARCH("Pesquisa de Preços",D5765)))</formula>
    </cfRule>
  </conditionalFormatting>
  <conditionalFormatting sqref="D5769">
    <cfRule type="containsText" dxfId="819" priority="816" operator="containsText" text="Pesquisa de Preços">
      <formula>NOT(ISERROR(SEARCH("Pesquisa de Preços",D5769)))</formula>
    </cfRule>
  </conditionalFormatting>
  <conditionalFormatting sqref="D5773">
    <cfRule type="containsText" dxfId="818" priority="815" operator="containsText" text="Pesquisa de Preços">
      <formula>NOT(ISERROR(SEARCH("Pesquisa de Preços",D5773)))</formula>
    </cfRule>
  </conditionalFormatting>
  <conditionalFormatting sqref="D5781 D5777">
    <cfRule type="containsText" dxfId="817" priority="814" operator="containsText" text="Pesquisa de Preços">
      <formula>NOT(ISERROR(SEARCH("Pesquisa de Preços",D5777)))</formula>
    </cfRule>
  </conditionalFormatting>
  <conditionalFormatting sqref="D5789">
    <cfRule type="containsText" dxfId="816" priority="812" operator="containsText" text="Pesquisa de Preços">
      <formula>NOT(ISERROR(SEARCH("Pesquisa de Preços",D5789)))</formula>
    </cfRule>
  </conditionalFormatting>
  <conditionalFormatting sqref="D5793">
    <cfRule type="containsText" dxfId="815" priority="811" operator="containsText" text="Pesquisa de Preços">
      <formula>NOT(ISERROR(SEARCH("Pesquisa de Preços",D5793)))</formula>
    </cfRule>
  </conditionalFormatting>
  <conditionalFormatting sqref="D5797">
    <cfRule type="containsText" dxfId="814" priority="810" operator="containsText" text="Pesquisa de Preços">
      <formula>NOT(ISERROR(SEARCH("Pesquisa de Preços",D5797)))</formula>
    </cfRule>
  </conditionalFormatting>
  <conditionalFormatting sqref="D5801">
    <cfRule type="containsText" dxfId="813" priority="809" operator="containsText" text="Pesquisa de Preços">
      <formula>NOT(ISERROR(SEARCH("Pesquisa de Preços",D5801)))</formula>
    </cfRule>
  </conditionalFormatting>
  <conditionalFormatting sqref="D5805">
    <cfRule type="containsText" dxfId="812" priority="808" operator="containsText" text="Pesquisa de Preços">
      <formula>NOT(ISERROR(SEARCH("Pesquisa de Preços",D5805)))</formula>
    </cfRule>
  </conditionalFormatting>
  <conditionalFormatting sqref="D5809">
    <cfRule type="containsText" dxfId="811" priority="807" operator="containsText" text="Pesquisa de Preços">
      <formula>NOT(ISERROR(SEARCH("Pesquisa de Preços",D5809)))</formula>
    </cfRule>
  </conditionalFormatting>
  <conditionalFormatting sqref="D5817">
    <cfRule type="containsText" dxfId="810" priority="805" operator="containsText" text="Pesquisa de Preços">
      <formula>NOT(ISERROR(SEARCH("Pesquisa de Preços",D5817)))</formula>
    </cfRule>
  </conditionalFormatting>
  <conditionalFormatting sqref="D5821">
    <cfRule type="containsText" dxfId="809" priority="804" operator="containsText" text="Pesquisa de Preços">
      <formula>NOT(ISERROR(SEARCH("Pesquisa de Preços",D5821)))</formula>
    </cfRule>
  </conditionalFormatting>
  <conditionalFormatting sqref="D5825">
    <cfRule type="containsText" dxfId="808" priority="803" operator="containsText" text="Pesquisa de Preços">
      <formula>NOT(ISERROR(SEARCH("Pesquisa de Preços",D5825)))</formula>
    </cfRule>
  </conditionalFormatting>
  <conditionalFormatting sqref="D5829">
    <cfRule type="containsText" dxfId="807" priority="802" operator="containsText" text="Pesquisa de Preços">
      <formula>NOT(ISERROR(SEARCH("Pesquisa de Preços",D5829)))</formula>
    </cfRule>
  </conditionalFormatting>
  <conditionalFormatting sqref="D5833">
    <cfRule type="containsText" dxfId="806" priority="801" operator="containsText" text="Pesquisa de Preços">
      <formula>NOT(ISERROR(SEARCH("Pesquisa de Preços",D5833)))</formula>
    </cfRule>
  </conditionalFormatting>
  <conditionalFormatting sqref="D5837">
    <cfRule type="containsText" dxfId="805" priority="800" operator="containsText" text="Pesquisa de Preços">
      <formula>NOT(ISERROR(SEARCH("Pesquisa de Preços",D5837)))</formula>
    </cfRule>
  </conditionalFormatting>
  <conditionalFormatting sqref="D5841">
    <cfRule type="containsText" dxfId="804" priority="799" operator="containsText" text="Pesquisa de Preços">
      <formula>NOT(ISERROR(SEARCH("Pesquisa de Preços",D5841)))</formula>
    </cfRule>
  </conditionalFormatting>
  <conditionalFormatting sqref="D5845">
    <cfRule type="containsText" dxfId="803" priority="798" operator="containsText" text="Pesquisa de Preços">
      <formula>NOT(ISERROR(SEARCH("Pesquisa de Preços",D5845)))</formula>
    </cfRule>
  </conditionalFormatting>
  <conditionalFormatting sqref="D5849">
    <cfRule type="containsText" dxfId="802" priority="797" operator="containsText" text="Pesquisa de Preços">
      <formula>NOT(ISERROR(SEARCH("Pesquisa de Preços",D5849)))</formula>
    </cfRule>
  </conditionalFormatting>
  <conditionalFormatting sqref="D5853">
    <cfRule type="containsText" dxfId="801" priority="796" operator="containsText" text="Pesquisa de Preços">
      <formula>NOT(ISERROR(SEARCH("Pesquisa de Preços",D5853)))</formula>
    </cfRule>
  </conditionalFormatting>
  <conditionalFormatting sqref="D5857">
    <cfRule type="containsText" dxfId="800" priority="795" operator="containsText" text="Pesquisa de Preços">
      <formula>NOT(ISERROR(SEARCH("Pesquisa de Preços",D5857)))</formula>
    </cfRule>
  </conditionalFormatting>
  <conditionalFormatting sqref="D5861">
    <cfRule type="containsText" dxfId="799" priority="794" operator="containsText" text="Pesquisa de Preços">
      <formula>NOT(ISERROR(SEARCH("Pesquisa de Preços",D5861)))</formula>
    </cfRule>
  </conditionalFormatting>
  <conditionalFormatting sqref="D5865">
    <cfRule type="containsText" dxfId="798" priority="793" operator="containsText" text="Pesquisa de Preços">
      <formula>NOT(ISERROR(SEARCH("Pesquisa de Preços",D5865)))</formula>
    </cfRule>
  </conditionalFormatting>
  <conditionalFormatting sqref="D5869">
    <cfRule type="containsText" dxfId="797" priority="792" operator="containsText" text="Pesquisa de Preços">
      <formula>NOT(ISERROR(SEARCH("Pesquisa de Preços",D5869)))</formula>
    </cfRule>
  </conditionalFormatting>
  <conditionalFormatting sqref="D5873">
    <cfRule type="containsText" dxfId="796" priority="791" operator="containsText" text="Pesquisa de Preços">
      <formula>NOT(ISERROR(SEARCH("Pesquisa de Preços",D5873)))</formula>
    </cfRule>
  </conditionalFormatting>
  <conditionalFormatting sqref="D5877">
    <cfRule type="containsText" dxfId="795" priority="790" operator="containsText" text="Pesquisa de Preços">
      <formula>NOT(ISERROR(SEARCH("Pesquisa de Preços",D5877)))</formula>
    </cfRule>
  </conditionalFormatting>
  <conditionalFormatting sqref="D5881">
    <cfRule type="containsText" dxfId="794" priority="789" operator="containsText" text="Pesquisa de Preços">
      <formula>NOT(ISERROR(SEARCH("Pesquisa de Preços",D5881)))</formula>
    </cfRule>
  </conditionalFormatting>
  <conditionalFormatting sqref="D5921">
    <cfRule type="containsText" dxfId="793" priority="779" operator="containsText" text="Pesquisa de Preços">
      <formula>NOT(ISERROR(SEARCH("Pesquisa de Preços",D5921)))</formula>
    </cfRule>
  </conditionalFormatting>
  <conditionalFormatting sqref="D5925">
    <cfRule type="containsText" dxfId="792" priority="778" operator="containsText" text="Pesquisa de Preços">
      <formula>NOT(ISERROR(SEARCH("Pesquisa de Preços",D5925)))</formula>
    </cfRule>
  </conditionalFormatting>
  <conditionalFormatting sqref="D5893">
    <cfRule type="containsText" dxfId="791" priority="786" operator="containsText" text="Pesquisa de Preços">
      <formula>NOT(ISERROR(SEARCH("Pesquisa de Preços",D5893)))</formula>
    </cfRule>
  </conditionalFormatting>
  <conditionalFormatting sqref="D5897">
    <cfRule type="containsText" dxfId="790" priority="785" operator="containsText" text="Pesquisa de Preços">
      <formula>NOT(ISERROR(SEARCH("Pesquisa de Preços",D5897)))</formula>
    </cfRule>
  </conditionalFormatting>
  <conditionalFormatting sqref="D5901">
    <cfRule type="containsText" dxfId="789" priority="784" operator="containsText" text="Pesquisa de Preços">
      <formula>NOT(ISERROR(SEARCH("Pesquisa de Preços",D5901)))</formula>
    </cfRule>
  </conditionalFormatting>
  <conditionalFormatting sqref="D5905">
    <cfRule type="containsText" dxfId="788" priority="783" operator="containsText" text="Pesquisa de Preços">
      <formula>NOT(ISERROR(SEARCH("Pesquisa de Preços",D5905)))</formula>
    </cfRule>
  </conditionalFormatting>
  <conditionalFormatting sqref="D5909">
    <cfRule type="containsText" dxfId="787" priority="782" operator="containsText" text="Pesquisa de Preços">
      <formula>NOT(ISERROR(SEARCH("Pesquisa de Preços",D5909)))</formula>
    </cfRule>
  </conditionalFormatting>
  <conditionalFormatting sqref="D5913">
    <cfRule type="containsText" dxfId="786" priority="781" operator="containsText" text="Pesquisa de Preços">
      <formula>NOT(ISERROR(SEARCH("Pesquisa de Preços",D5913)))</formula>
    </cfRule>
  </conditionalFormatting>
  <conditionalFormatting sqref="D5953">
    <cfRule type="containsText" dxfId="785" priority="771" operator="containsText" text="Pesquisa de Preços">
      <formula>NOT(ISERROR(SEARCH("Pesquisa de Preços",D5953)))</formula>
    </cfRule>
  </conditionalFormatting>
  <conditionalFormatting sqref="D5929">
    <cfRule type="containsText" dxfId="784" priority="777" operator="containsText" text="Pesquisa de Preços">
      <formula>NOT(ISERROR(SEARCH("Pesquisa de Preços",D5929)))</formula>
    </cfRule>
  </conditionalFormatting>
  <conditionalFormatting sqref="D5933">
    <cfRule type="containsText" dxfId="783" priority="776" operator="containsText" text="Pesquisa de Preços">
      <formula>NOT(ISERROR(SEARCH("Pesquisa de Preços",D5933)))</formula>
    </cfRule>
  </conditionalFormatting>
  <conditionalFormatting sqref="D5937">
    <cfRule type="containsText" dxfId="782" priority="775" operator="containsText" text="Pesquisa de Preços">
      <formula>NOT(ISERROR(SEARCH("Pesquisa de Preços",D5937)))</formula>
    </cfRule>
  </conditionalFormatting>
  <conditionalFormatting sqref="D5941">
    <cfRule type="containsText" dxfId="781" priority="774" operator="containsText" text="Pesquisa de Preços">
      <formula>NOT(ISERROR(SEARCH("Pesquisa de Preços",D5941)))</formula>
    </cfRule>
  </conditionalFormatting>
  <conditionalFormatting sqref="D5981 D5977 D5973">
    <cfRule type="containsText" dxfId="780" priority="767" operator="containsText" text="Pesquisa de Preços">
      <formula>NOT(ISERROR(SEARCH("Pesquisa de Preços",D5973)))</formula>
    </cfRule>
  </conditionalFormatting>
  <conditionalFormatting sqref="D5949">
    <cfRule type="containsText" dxfId="779" priority="772" operator="containsText" text="Pesquisa de Preços">
      <formula>NOT(ISERROR(SEARCH("Pesquisa de Preços",D5949)))</formula>
    </cfRule>
  </conditionalFormatting>
  <conditionalFormatting sqref="D5957">
    <cfRule type="containsText" dxfId="778" priority="770" operator="containsText" text="Pesquisa de Preços">
      <formula>NOT(ISERROR(SEARCH("Pesquisa de Preços",D5957)))</formula>
    </cfRule>
  </conditionalFormatting>
  <conditionalFormatting sqref="D5969">
    <cfRule type="containsText" dxfId="777" priority="768" operator="containsText" text="Pesquisa de Preços">
      <formula>NOT(ISERROR(SEARCH("Pesquisa de Preços",D5969)))</formula>
    </cfRule>
  </conditionalFormatting>
  <conditionalFormatting sqref="D6165">
    <cfRule type="containsText" dxfId="776" priority="729" operator="containsText" text="Pesquisa de Preços">
      <formula>NOT(ISERROR(SEARCH("Pesquisa de Preços",D6165)))</formula>
    </cfRule>
  </conditionalFormatting>
  <conditionalFormatting sqref="D5985">
    <cfRule type="containsText" dxfId="775" priority="766" operator="containsText" text="Pesquisa de Preços">
      <formula>NOT(ISERROR(SEARCH("Pesquisa de Preços",D5985)))</formula>
    </cfRule>
  </conditionalFormatting>
  <conditionalFormatting sqref="D5989">
    <cfRule type="containsText" dxfId="774" priority="765" operator="containsText" text="Pesquisa de Preços">
      <formula>NOT(ISERROR(SEARCH("Pesquisa de Preços",D5989)))</formula>
    </cfRule>
  </conditionalFormatting>
  <conditionalFormatting sqref="D6029">
    <cfRule type="containsText" dxfId="773" priority="756" operator="containsText" text="Pesquisa de Preços">
      <formula>NOT(ISERROR(SEARCH("Pesquisa de Preços",D6029)))</formula>
    </cfRule>
  </conditionalFormatting>
  <conditionalFormatting sqref="D5997">
    <cfRule type="containsText" dxfId="772" priority="763" operator="containsText" text="Pesquisa de Preços">
      <formula>NOT(ISERROR(SEARCH("Pesquisa de Preços",D5997)))</formula>
    </cfRule>
  </conditionalFormatting>
  <conditionalFormatting sqref="D6005 D6001">
    <cfRule type="containsText" dxfId="771" priority="762" operator="containsText" text="Pesquisa de Preços">
      <formula>NOT(ISERROR(SEARCH("Pesquisa de Preços",D6001)))</formula>
    </cfRule>
  </conditionalFormatting>
  <conditionalFormatting sqref="D6009">
    <cfRule type="containsText" dxfId="770" priority="761" operator="containsText" text="Pesquisa de Preços">
      <formula>NOT(ISERROR(SEARCH("Pesquisa de Preços",D6009)))</formula>
    </cfRule>
  </conditionalFormatting>
  <conditionalFormatting sqref="D6013">
    <cfRule type="containsText" dxfId="769" priority="760" operator="containsText" text="Pesquisa de Preços">
      <formula>NOT(ISERROR(SEARCH("Pesquisa de Preços",D6013)))</formula>
    </cfRule>
  </conditionalFormatting>
  <conditionalFormatting sqref="D6053">
    <cfRule type="containsText" dxfId="768" priority="750" operator="containsText" text="Pesquisa de Preços">
      <formula>NOT(ISERROR(SEARCH("Pesquisa de Preços",D6053)))</formula>
    </cfRule>
  </conditionalFormatting>
  <conditionalFormatting sqref="D6021">
    <cfRule type="containsText" dxfId="767" priority="758" operator="containsText" text="Pesquisa de Preços">
      <formula>NOT(ISERROR(SEARCH("Pesquisa de Preços",D6021)))</formula>
    </cfRule>
  </conditionalFormatting>
  <conditionalFormatting sqref="D6025">
    <cfRule type="containsText" dxfId="766" priority="757" operator="containsText" text="Pesquisa de Preços">
      <formula>NOT(ISERROR(SEARCH("Pesquisa de Preços",D6025)))</formula>
    </cfRule>
  </conditionalFormatting>
  <conditionalFormatting sqref="D6033">
    <cfRule type="containsText" dxfId="765" priority="755" operator="containsText" text="Pesquisa de Preços">
      <formula>NOT(ISERROR(SEARCH("Pesquisa de Preços",D6033)))</formula>
    </cfRule>
  </conditionalFormatting>
  <conditionalFormatting sqref="D6037">
    <cfRule type="containsText" dxfId="764" priority="754" operator="containsText" text="Pesquisa de Preços">
      <formula>NOT(ISERROR(SEARCH("Pesquisa de Preços",D6037)))</formula>
    </cfRule>
  </conditionalFormatting>
  <conditionalFormatting sqref="D6041">
    <cfRule type="containsText" dxfId="763" priority="753" operator="containsText" text="Pesquisa de Preços">
      <formula>NOT(ISERROR(SEARCH("Pesquisa de Preços",D6041)))</formula>
    </cfRule>
  </conditionalFormatting>
  <conditionalFormatting sqref="D6045">
    <cfRule type="containsText" dxfId="762" priority="752" operator="containsText" text="Pesquisa de Preços">
      <formula>NOT(ISERROR(SEARCH("Pesquisa de Preços",D6045)))</formula>
    </cfRule>
  </conditionalFormatting>
  <conditionalFormatting sqref="D6061">
    <cfRule type="containsText" dxfId="761" priority="749" operator="containsText" text="Pesquisa de Preços">
      <formula>NOT(ISERROR(SEARCH("Pesquisa de Preços",D6061)))</formula>
    </cfRule>
  </conditionalFormatting>
  <conditionalFormatting sqref="D6065">
    <cfRule type="containsText" dxfId="760" priority="748" operator="containsText" text="Pesquisa de Preços">
      <formula>NOT(ISERROR(SEARCH("Pesquisa de Preços",D6065)))</formula>
    </cfRule>
  </conditionalFormatting>
  <conditionalFormatting sqref="D6069">
    <cfRule type="containsText" dxfId="759" priority="747" operator="containsText" text="Pesquisa de Preços">
      <formula>NOT(ISERROR(SEARCH("Pesquisa de Preços",D6069)))</formula>
    </cfRule>
  </conditionalFormatting>
  <conditionalFormatting sqref="D6081">
    <cfRule type="containsText" dxfId="758" priority="746" operator="containsText" text="Pesquisa de Preços">
      <formula>NOT(ISERROR(SEARCH("Pesquisa de Preços",D6081)))</formula>
    </cfRule>
  </conditionalFormatting>
  <conditionalFormatting sqref="D6085">
    <cfRule type="containsText" dxfId="757" priority="745" operator="containsText" text="Pesquisa de Preços">
      <formula>NOT(ISERROR(SEARCH("Pesquisa de Preços",D6085)))</formula>
    </cfRule>
  </conditionalFormatting>
  <conditionalFormatting sqref="D6089">
    <cfRule type="containsText" dxfId="756" priority="744" operator="containsText" text="Pesquisa de Preços">
      <formula>NOT(ISERROR(SEARCH("Pesquisa de Preços",D6089)))</formula>
    </cfRule>
  </conditionalFormatting>
  <conditionalFormatting sqref="D6097">
    <cfRule type="containsText" dxfId="755" priority="742" operator="containsText" text="Pesquisa de Preços">
      <formula>NOT(ISERROR(SEARCH("Pesquisa de Preços",D6097)))</formula>
    </cfRule>
  </conditionalFormatting>
  <conditionalFormatting sqref="D6101">
    <cfRule type="containsText" dxfId="754" priority="741" operator="containsText" text="Pesquisa de Preços">
      <formula>NOT(ISERROR(SEARCH("Pesquisa de Preços",D6101)))</formula>
    </cfRule>
  </conditionalFormatting>
  <conditionalFormatting sqref="D6105">
    <cfRule type="containsText" dxfId="753" priority="740" operator="containsText" text="Pesquisa de Preços">
      <formula>NOT(ISERROR(SEARCH("Pesquisa de Preços",D6105)))</formula>
    </cfRule>
  </conditionalFormatting>
  <conditionalFormatting sqref="D6109">
    <cfRule type="containsText" dxfId="752" priority="739" operator="containsText" text="Pesquisa de Preços">
      <formula>NOT(ISERROR(SEARCH("Pesquisa de Preços",D6109)))</formula>
    </cfRule>
  </conditionalFormatting>
  <conditionalFormatting sqref="D6113">
    <cfRule type="containsText" dxfId="751" priority="738" operator="containsText" text="Pesquisa de Preços">
      <formula>NOT(ISERROR(SEARCH("Pesquisa de Preços",D6113)))</formula>
    </cfRule>
  </conditionalFormatting>
  <conditionalFormatting sqref="D6117">
    <cfRule type="containsText" dxfId="750" priority="737" operator="containsText" text="Pesquisa de Preços">
      <formula>NOT(ISERROR(SEARCH("Pesquisa de Preços",D6117)))</formula>
    </cfRule>
  </conditionalFormatting>
  <conditionalFormatting sqref="D6121">
    <cfRule type="containsText" dxfId="749" priority="736" operator="containsText" text="Pesquisa de Preços">
      <formula>NOT(ISERROR(SEARCH("Pesquisa de Preços",D6121)))</formula>
    </cfRule>
  </conditionalFormatting>
  <conditionalFormatting sqref="D6125">
    <cfRule type="containsText" dxfId="748" priority="735" operator="containsText" text="Pesquisa de Preços">
      <formula>NOT(ISERROR(SEARCH("Pesquisa de Preços",D6125)))</formula>
    </cfRule>
  </conditionalFormatting>
  <conditionalFormatting sqref="D6129">
    <cfRule type="containsText" dxfId="747" priority="734" operator="containsText" text="Pesquisa de Preços">
      <formula>NOT(ISERROR(SEARCH("Pesquisa de Preços",D6129)))</formula>
    </cfRule>
  </conditionalFormatting>
  <conditionalFormatting sqref="D6133">
    <cfRule type="containsText" dxfId="746" priority="733" operator="containsText" text="Pesquisa de Preços">
      <formula>NOT(ISERROR(SEARCH("Pesquisa de Preços",D6133)))</formula>
    </cfRule>
  </conditionalFormatting>
  <conditionalFormatting sqref="D6137">
    <cfRule type="containsText" dxfId="745" priority="732" operator="containsText" text="Pesquisa de Preços">
      <formula>NOT(ISERROR(SEARCH("Pesquisa de Preços",D6137)))</formula>
    </cfRule>
  </conditionalFormatting>
  <conditionalFormatting sqref="D6153">
    <cfRule type="containsText" dxfId="744" priority="731" operator="containsText" text="Pesquisa de Preços">
      <formula>NOT(ISERROR(SEARCH("Pesquisa de Preços",D6153)))</formula>
    </cfRule>
  </conditionalFormatting>
  <conditionalFormatting sqref="D6161">
    <cfRule type="containsText" dxfId="743" priority="730" operator="containsText" text="Pesquisa de Preços">
      <formula>NOT(ISERROR(SEARCH("Pesquisa de Preços",D6161)))</formula>
    </cfRule>
  </conditionalFormatting>
  <conditionalFormatting sqref="D118">
    <cfRule type="containsText" dxfId="742" priority="727" operator="containsText" text="Pesquisa de Preços">
      <formula>NOT(ISERROR(SEARCH("Pesquisa de Preços",D118)))</formula>
    </cfRule>
  </conditionalFormatting>
  <conditionalFormatting sqref="D119">
    <cfRule type="containsText" dxfId="741" priority="726" operator="containsText" text="Pesquisa de Preços">
      <formula>NOT(ISERROR(SEARCH("Pesquisa de Preços",D119)))</formula>
    </cfRule>
  </conditionalFormatting>
  <conditionalFormatting sqref="D692:D693">
    <cfRule type="containsText" dxfId="740" priority="725" operator="containsText" text="Pesquisa de Preços">
      <formula>NOT(ISERROR(SEARCH("Pesquisa de Preços",D692)))</formula>
    </cfRule>
  </conditionalFormatting>
  <conditionalFormatting sqref="D860">
    <cfRule type="containsText" dxfId="739" priority="724" operator="containsText" text="Pesquisa de Preços">
      <formula>NOT(ISERROR(SEARCH("Pesquisa de Preços",D860)))</formula>
    </cfRule>
  </conditionalFormatting>
  <conditionalFormatting sqref="D864">
    <cfRule type="containsText" dxfId="738" priority="723" operator="containsText" text="Pesquisa de Preços">
      <formula>NOT(ISERROR(SEARCH("Pesquisa de Preços",D864)))</formula>
    </cfRule>
  </conditionalFormatting>
  <conditionalFormatting sqref="D877">
    <cfRule type="containsText" dxfId="737" priority="722" operator="containsText" text="Pesquisa de Preços">
      <formula>NOT(ISERROR(SEARCH("Pesquisa de Preços",D877)))</formula>
    </cfRule>
  </conditionalFormatting>
  <conditionalFormatting sqref="D885">
    <cfRule type="containsText" dxfId="736" priority="721" operator="containsText" text="Pesquisa de Preços">
      <formula>NOT(ISERROR(SEARCH("Pesquisa de Preços",D885)))</formula>
    </cfRule>
  </conditionalFormatting>
  <conditionalFormatting sqref="D5284">
    <cfRule type="containsText" dxfId="735" priority="718" operator="containsText" text="Pesquisa de Preços">
      <formula>NOT(ISERROR(SEARCH("Pesquisa de Preços",D5284)))</formula>
    </cfRule>
  </conditionalFormatting>
  <conditionalFormatting sqref="D5285">
    <cfRule type="containsText" dxfId="734" priority="720" operator="containsText" text="Pesquisa de Preços">
      <formula>NOT(ISERROR(SEARCH("Pesquisa de Preços",D5285)))</formula>
    </cfRule>
  </conditionalFormatting>
  <conditionalFormatting sqref="D5283">
    <cfRule type="containsText" dxfId="733" priority="719" operator="containsText" text="Pesquisa de Preços">
      <formula>NOT(ISERROR(SEARCH("Pesquisa de Preços",D5283)))</formula>
    </cfRule>
  </conditionalFormatting>
  <conditionalFormatting sqref="D5272">
    <cfRule type="containsText" dxfId="732" priority="715" operator="containsText" text="Pesquisa de Preços">
      <formula>NOT(ISERROR(SEARCH("Pesquisa de Preços",D5272)))</formula>
    </cfRule>
  </conditionalFormatting>
  <conditionalFormatting sqref="D5273">
    <cfRule type="containsText" dxfId="731" priority="717" operator="containsText" text="Pesquisa de Preços">
      <formula>NOT(ISERROR(SEARCH("Pesquisa de Preços",D5273)))</formula>
    </cfRule>
  </conditionalFormatting>
  <conditionalFormatting sqref="D5270">
    <cfRule type="containsText" dxfId="730" priority="716" operator="containsText" text="Pesquisa de Preços">
      <formula>NOT(ISERROR(SEARCH("Pesquisa de Preços",D5270)))</formula>
    </cfRule>
  </conditionalFormatting>
  <conditionalFormatting sqref="D5271">
    <cfRule type="containsText" dxfId="729" priority="714" operator="containsText" text="Pesquisa de Preços">
      <formula>NOT(ISERROR(SEARCH("Pesquisa de Preços",D5271)))</formula>
    </cfRule>
  </conditionalFormatting>
  <conditionalFormatting sqref="D5394 D5400 D5370 D5363">
    <cfRule type="containsText" dxfId="728" priority="713" operator="containsText" text="Pesquisa de Preços">
      <formula>NOT(ISERROR(SEARCH("Pesquisa de Preços",D5363)))</formula>
    </cfRule>
  </conditionalFormatting>
  <conditionalFormatting sqref="D5334">
    <cfRule type="containsText" dxfId="727" priority="711" operator="containsText" text="Pesquisa de Preços">
      <formula>NOT(ISERROR(SEARCH("Pesquisa de Preços",D5334)))</formula>
    </cfRule>
  </conditionalFormatting>
  <conditionalFormatting sqref="D5336">
    <cfRule type="containsText" dxfId="726" priority="710" operator="containsText" text="Pesquisa de Preços">
      <formula>NOT(ISERROR(SEARCH("Pesquisa de Preços",D5336)))</formula>
    </cfRule>
  </conditionalFormatting>
  <conditionalFormatting sqref="D5332">
    <cfRule type="containsText" dxfId="725" priority="712" operator="containsText" text="Pesquisa de Preços">
      <formula>NOT(ISERROR(SEARCH("Pesquisa de Preços",D5332)))</formula>
    </cfRule>
  </conditionalFormatting>
  <conditionalFormatting sqref="D5328">
    <cfRule type="containsText" dxfId="724" priority="708" operator="containsText" text="Pesquisa de Preços">
      <formula>NOT(ISERROR(SEARCH("Pesquisa de Preços",D5328)))</formula>
    </cfRule>
  </conditionalFormatting>
  <conditionalFormatting sqref="D5330">
    <cfRule type="containsText" dxfId="723" priority="707" operator="containsText" text="Pesquisa de Preços">
      <formula>NOT(ISERROR(SEARCH("Pesquisa de Preços",D5330)))</formula>
    </cfRule>
  </conditionalFormatting>
  <conditionalFormatting sqref="D5326">
    <cfRule type="containsText" dxfId="722" priority="709" operator="containsText" text="Pesquisa de Preços">
      <formula>NOT(ISERROR(SEARCH("Pesquisa de Preços",D5326)))</formula>
    </cfRule>
  </conditionalFormatting>
  <conditionalFormatting sqref="D5346">
    <cfRule type="containsText" dxfId="721" priority="705" operator="containsText" text="Pesquisa de Preços">
      <formula>NOT(ISERROR(SEARCH("Pesquisa de Preços",D5346)))</formula>
    </cfRule>
  </conditionalFormatting>
  <conditionalFormatting sqref="D5348">
    <cfRule type="containsText" dxfId="720" priority="704" operator="containsText" text="Pesquisa de Preços">
      <formula>NOT(ISERROR(SEARCH("Pesquisa de Preços",D5348)))</formula>
    </cfRule>
  </conditionalFormatting>
  <conditionalFormatting sqref="D5344">
    <cfRule type="containsText" dxfId="719" priority="706" operator="containsText" text="Pesquisa de Preços">
      <formula>NOT(ISERROR(SEARCH("Pesquisa de Preços",D5344)))</formula>
    </cfRule>
  </conditionalFormatting>
  <conditionalFormatting sqref="D5340">
    <cfRule type="containsText" dxfId="718" priority="702" operator="containsText" text="Pesquisa de Preços">
      <formula>NOT(ISERROR(SEARCH("Pesquisa de Preços",D5340)))</formula>
    </cfRule>
  </conditionalFormatting>
  <conditionalFormatting sqref="D5342">
    <cfRule type="containsText" dxfId="717" priority="701" operator="containsText" text="Pesquisa de Preços">
      <formula>NOT(ISERROR(SEARCH("Pesquisa de Preços",D5342)))</formula>
    </cfRule>
  </conditionalFormatting>
  <conditionalFormatting sqref="D5338">
    <cfRule type="containsText" dxfId="716" priority="703" operator="containsText" text="Pesquisa de Preços">
      <formula>NOT(ISERROR(SEARCH("Pesquisa de Preços",D5338)))</formula>
    </cfRule>
  </conditionalFormatting>
  <conditionalFormatting sqref="D5350">
    <cfRule type="containsText" dxfId="715" priority="700" operator="containsText" text="Pesquisa de Preços">
      <formula>NOT(ISERROR(SEARCH("Pesquisa de Preços",D5350)))</formula>
    </cfRule>
  </conditionalFormatting>
  <conditionalFormatting sqref="D5351:D5352 D5355:D5356">
    <cfRule type="containsText" dxfId="714" priority="699" operator="containsText" text="Pesquisa de Preços">
      <formula>NOT(ISERROR(SEARCH("Pesquisa de Preços",D5351)))</formula>
    </cfRule>
  </conditionalFormatting>
  <conditionalFormatting sqref="D5353:D5354">
    <cfRule type="containsText" dxfId="713" priority="698" operator="containsText" text="Pesquisa de Preços">
      <formula>NOT(ISERROR(SEARCH("Pesquisa de Preços",D5353)))</formula>
    </cfRule>
  </conditionalFormatting>
  <conditionalFormatting sqref="D5322">
    <cfRule type="containsText" dxfId="712" priority="696" operator="containsText" text="Pesquisa de Preços">
      <formula>NOT(ISERROR(SEARCH("Pesquisa de Preços",D5322)))</formula>
    </cfRule>
  </conditionalFormatting>
  <conditionalFormatting sqref="D5320">
    <cfRule type="containsText" dxfId="711" priority="697" operator="containsText" text="Pesquisa de Preços">
      <formula>NOT(ISERROR(SEARCH("Pesquisa de Preços",D5320)))</formula>
    </cfRule>
  </conditionalFormatting>
  <conditionalFormatting sqref="D5324">
    <cfRule type="containsText" dxfId="710" priority="695" operator="containsText" text="Pesquisa de Preços">
      <formula>NOT(ISERROR(SEARCH("Pesquisa de Preços",D5324)))</formula>
    </cfRule>
  </conditionalFormatting>
  <conditionalFormatting sqref="D5357">
    <cfRule type="containsText" dxfId="709" priority="694" operator="containsText" text="Pesquisa de Preços">
      <formula>NOT(ISERROR(SEARCH("Pesquisa de Preços",D5357)))</formula>
    </cfRule>
  </conditionalFormatting>
  <conditionalFormatting sqref="D5358:D5359">
    <cfRule type="containsText" dxfId="708" priority="693" operator="containsText" text="Pesquisa de Preços">
      <formula>NOT(ISERROR(SEARCH("Pesquisa de Preços",D5358)))</formula>
    </cfRule>
  </conditionalFormatting>
  <conditionalFormatting sqref="D5360">
    <cfRule type="containsText" dxfId="707" priority="692" operator="containsText" text="Pesquisa de Preços">
      <formula>NOT(ISERROR(SEARCH("Pesquisa de Preços",D5360)))</formula>
    </cfRule>
  </conditionalFormatting>
  <conditionalFormatting sqref="D5364">
    <cfRule type="containsText" dxfId="706" priority="691" operator="containsText" text="Pesquisa de Preços">
      <formula>NOT(ISERROR(SEARCH("Pesquisa de Preços",D5364)))</formula>
    </cfRule>
  </conditionalFormatting>
  <conditionalFormatting sqref="D5365:D5366">
    <cfRule type="containsText" dxfId="705" priority="690" operator="containsText" text="Pesquisa de Preços">
      <formula>NOT(ISERROR(SEARCH("Pesquisa de Preços",D5365)))</formula>
    </cfRule>
  </conditionalFormatting>
  <conditionalFormatting sqref="D5367:D5368">
    <cfRule type="containsText" dxfId="704" priority="689" operator="containsText" text="Pesquisa de Preços">
      <formula>NOT(ISERROR(SEARCH("Pesquisa de Preços",D5367)))</formula>
    </cfRule>
  </conditionalFormatting>
  <conditionalFormatting sqref="D5369">
    <cfRule type="containsText" dxfId="703" priority="688" operator="containsText" text="Pesquisa de Preços">
      <formula>NOT(ISERROR(SEARCH("Pesquisa de Preços",D5369)))</formula>
    </cfRule>
  </conditionalFormatting>
  <conditionalFormatting sqref="D5361">
    <cfRule type="containsText" dxfId="702" priority="687" operator="containsText" text="Pesquisa de Preços">
      <formula>NOT(ISERROR(SEARCH("Pesquisa de Preços",D5361)))</formula>
    </cfRule>
  </conditionalFormatting>
  <conditionalFormatting sqref="D5362">
    <cfRule type="containsText" dxfId="701" priority="686" operator="containsText" text="Pesquisa de Preços">
      <formula>NOT(ISERROR(SEARCH("Pesquisa de Preços",D5362)))</formula>
    </cfRule>
  </conditionalFormatting>
  <conditionalFormatting sqref="D5375">
    <cfRule type="containsText" dxfId="700" priority="684" operator="containsText" text="Pesquisa de Preços">
      <formula>NOT(ISERROR(SEARCH("Pesquisa de Preços",D5375)))</formula>
    </cfRule>
  </conditionalFormatting>
  <conditionalFormatting sqref="D5371">
    <cfRule type="containsText" dxfId="699" priority="685" operator="containsText" text="Pesquisa de Preços">
      <formula>NOT(ISERROR(SEARCH("Pesquisa de Preços",D5371)))</formula>
    </cfRule>
  </conditionalFormatting>
  <conditionalFormatting sqref="D5373">
    <cfRule type="containsText" dxfId="698" priority="683" operator="containsText" text="Pesquisa de Preços">
      <formula>NOT(ISERROR(SEARCH("Pesquisa de Preços",D5373)))</formula>
    </cfRule>
  </conditionalFormatting>
  <conditionalFormatting sqref="D5377">
    <cfRule type="containsText" dxfId="697" priority="682" operator="containsText" text="Pesquisa de Preços">
      <formula>NOT(ISERROR(SEARCH("Pesquisa de Preços",D5377)))</formula>
    </cfRule>
  </conditionalFormatting>
  <conditionalFormatting sqref="D5380">
    <cfRule type="containsText" dxfId="696" priority="679" operator="containsText" text="Pesquisa de Preços">
      <formula>NOT(ISERROR(SEARCH("Pesquisa de Preços",D5380)))</formula>
    </cfRule>
  </conditionalFormatting>
  <conditionalFormatting sqref="D5378 D5381:D5382">
    <cfRule type="containsText" dxfId="695" priority="681" operator="containsText" text="Pesquisa de Preços">
      <formula>NOT(ISERROR(SEARCH("Pesquisa de Preços",D5378)))</formula>
    </cfRule>
  </conditionalFormatting>
  <conditionalFormatting sqref="D5379">
    <cfRule type="containsText" dxfId="694" priority="680" operator="containsText" text="Pesquisa de Preços">
      <formula>NOT(ISERROR(SEARCH("Pesquisa de Preços",D5379)))</formula>
    </cfRule>
  </conditionalFormatting>
  <conditionalFormatting sqref="D5383">
    <cfRule type="containsText" dxfId="693" priority="678" operator="containsText" text="Pesquisa de Preços">
      <formula>NOT(ISERROR(SEARCH("Pesquisa de Preços",D5383)))</formula>
    </cfRule>
  </conditionalFormatting>
  <conditionalFormatting sqref="D5384 D5388:D5389">
    <cfRule type="containsText" dxfId="692" priority="677" operator="containsText" text="Pesquisa de Preços">
      <formula>NOT(ISERROR(SEARCH("Pesquisa de Preços",D5384)))</formula>
    </cfRule>
  </conditionalFormatting>
  <conditionalFormatting sqref="D5386">
    <cfRule type="containsText" dxfId="691" priority="675" operator="containsText" text="Pesquisa de Preços">
      <formula>NOT(ISERROR(SEARCH("Pesquisa de Preços",D5386)))</formula>
    </cfRule>
  </conditionalFormatting>
  <conditionalFormatting sqref="D5385">
    <cfRule type="containsText" dxfId="690" priority="676" operator="containsText" text="Pesquisa de Preços">
      <formula>NOT(ISERROR(SEARCH("Pesquisa de Preços",D5385)))</formula>
    </cfRule>
  </conditionalFormatting>
  <conditionalFormatting sqref="D5387">
    <cfRule type="containsText" dxfId="689" priority="674" operator="containsText" text="Pesquisa de Preços">
      <formula>NOT(ISERROR(SEARCH("Pesquisa de Preços",D5387)))</formula>
    </cfRule>
  </conditionalFormatting>
  <conditionalFormatting sqref="D5390">
    <cfRule type="containsText" dxfId="688" priority="673" operator="containsText" text="Pesquisa de Preços">
      <formula>NOT(ISERROR(SEARCH("Pesquisa de Preços",D5390)))</formula>
    </cfRule>
  </conditionalFormatting>
  <conditionalFormatting sqref="D5391 D5395">
    <cfRule type="containsText" dxfId="687" priority="672" operator="containsText" text="Pesquisa de Preços">
      <formula>NOT(ISERROR(SEARCH("Pesquisa de Preços",D5391)))</formula>
    </cfRule>
  </conditionalFormatting>
  <conditionalFormatting sqref="D5393">
    <cfRule type="containsText" dxfId="686" priority="670" operator="containsText" text="Pesquisa de Preços">
      <formula>NOT(ISERROR(SEARCH("Pesquisa de Preços",D5393)))</formula>
    </cfRule>
  </conditionalFormatting>
  <conditionalFormatting sqref="D5392">
    <cfRule type="containsText" dxfId="685" priority="671" operator="containsText" text="Pesquisa de Preços">
      <formula>NOT(ISERROR(SEARCH("Pesquisa de Preços",D5392)))</formula>
    </cfRule>
  </conditionalFormatting>
  <conditionalFormatting sqref="D5396">
    <cfRule type="containsText" dxfId="684" priority="669" operator="containsText" text="Pesquisa de Preços">
      <formula>NOT(ISERROR(SEARCH("Pesquisa de Preços",D5396)))</formula>
    </cfRule>
  </conditionalFormatting>
  <conditionalFormatting sqref="D5397 D5401">
    <cfRule type="containsText" dxfId="683" priority="668" operator="containsText" text="Pesquisa de Preços">
      <formula>NOT(ISERROR(SEARCH("Pesquisa de Preços",D5397)))</formula>
    </cfRule>
  </conditionalFormatting>
  <conditionalFormatting sqref="D5399">
    <cfRule type="containsText" dxfId="682" priority="666" operator="containsText" text="Pesquisa de Preços">
      <formula>NOT(ISERROR(SEARCH("Pesquisa de Preços",D5399)))</formula>
    </cfRule>
  </conditionalFormatting>
  <conditionalFormatting sqref="D5398">
    <cfRule type="containsText" dxfId="681" priority="667" operator="containsText" text="Pesquisa de Preços">
      <formula>NOT(ISERROR(SEARCH("Pesquisa de Preços",D5398)))</formula>
    </cfRule>
  </conditionalFormatting>
  <conditionalFormatting sqref="D5402">
    <cfRule type="containsText" dxfId="680" priority="665" operator="containsText" text="Pesquisa de Preços">
      <formula>NOT(ISERROR(SEARCH("Pesquisa de Preços",D5402)))</formula>
    </cfRule>
  </conditionalFormatting>
  <conditionalFormatting sqref="D5408:D5409 D5403:D5404">
    <cfRule type="containsText" dxfId="679" priority="664" operator="containsText" text="Pesquisa de Preços">
      <formula>NOT(ISERROR(SEARCH("Pesquisa de Preços",D5403)))</formula>
    </cfRule>
  </conditionalFormatting>
  <conditionalFormatting sqref="D5410">
    <cfRule type="containsText" dxfId="678" priority="663" operator="containsText" text="Pesquisa de Preços">
      <formula>NOT(ISERROR(SEARCH("Pesquisa de Preços",D5410)))</formula>
    </cfRule>
  </conditionalFormatting>
  <conditionalFormatting sqref="D5416:D5417 D5411:D5412">
    <cfRule type="containsText" dxfId="677" priority="662" operator="containsText" text="Pesquisa de Preços">
      <formula>NOT(ISERROR(SEARCH("Pesquisa de Preços",D5411)))</formula>
    </cfRule>
  </conditionalFormatting>
  <conditionalFormatting sqref="D5418">
    <cfRule type="containsText" dxfId="676" priority="661" operator="containsText" text="Pesquisa de Preços">
      <formula>NOT(ISERROR(SEARCH("Pesquisa de Preços",D5418)))</formula>
    </cfRule>
  </conditionalFormatting>
  <conditionalFormatting sqref="D5424:D5425 D5419:D5420">
    <cfRule type="containsText" dxfId="675" priority="660" operator="containsText" text="Pesquisa de Preços">
      <formula>NOT(ISERROR(SEARCH("Pesquisa de Preços",D5419)))</formula>
    </cfRule>
  </conditionalFormatting>
  <conditionalFormatting sqref="D5446">
    <cfRule type="containsText" dxfId="674" priority="654" operator="containsText" text="Pesquisa de Preços">
      <formula>NOT(ISERROR(SEARCH("Pesquisa de Preços",D5446)))</formula>
    </cfRule>
  </conditionalFormatting>
  <conditionalFormatting sqref="D5444">
    <cfRule type="containsText" dxfId="673" priority="653" operator="containsText" text="Pesquisa de Preços">
      <formula>NOT(ISERROR(SEARCH("Pesquisa de Preços",D5444)))</formula>
    </cfRule>
  </conditionalFormatting>
  <conditionalFormatting sqref="D5443 D5448">
    <cfRule type="containsText" dxfId="672" priority="659" operator="containsText" text="Pesquisa de Preços">
      <formula>NOT(ISERROR(SEARCH("Pesquisa de Preços",D5443)))</formula>
    </cfRule>
  </conditionalFormatting>
  <conditionalFormatting sqref="D5439">
    <cfRule type="containsText" dxfId="671" priority="658" operator="containsText" text="Pesquisa de Preços">
      <formula>NOT(ISERROR(SEARCH("Pesquisa de Preços",D5439)))</formula>
    </cfRule>
  </conditionalFormatting>
  <conditionalFormatting sqref="D5442">
    <cfRule type="containsText" dxfId="670" priority="655" operator="containsText" text="Pesquisa de Preços">
      <formula>NOT(ISERROR(SEARCH("Pesquisa de Preços",D5442)))</formula>
    </cfRule>
  </conditionalFormatting>
  <conditionalFormatting sqref="D5440">
    <cfRule type="containsText" dxfId="669" priority="657" operator="containsText" text="Pesquisa de Preços">
      <formula>NOT(ISERROR(SEARCH("Pesquisa de Preços",D5440)))</formula>
    </cfRule>
  </conditionalFormatting>
  <conditionalFormatting sqref="D5441">
    <cfRule type="containsText" dxfId="668" priority="656" operator="containsText" text="Pesquisa de Preços">
      <formula>NOT(ISERROR(SEARCH("Pesquisa de Preços",D5441)))</formula>
    </cfRule>
  </conditionalFormatting>
  <conditionalFormatting sqref="D5445">
    <cfRule type="containsText" dxfId="667" priority="652" operator="containsText" text="Pesquisa de Preços">
      <formula>NOT(ISERROR(SEARCH("Pesquisa de Preços",D5445)))</formula>
    </cfRule>
  </conditionalFormatting>
  <conditionalFormatting sqref="D5447">
    <cfRule type="containsText" dxfId="666" priority="651" operator="containsText" text="Pesquisa de Preços">
      <formula>NOT(ISERROR(SEARCH("Pesquisa de Preços",D5447)))</formula>
    </cfRule>
  </conditionalFormatting>
  <conditionalFormatting sqref="D5451">
    <cfRule type="containsText" dxfId="665" priority="647" operator="containsText" text="Pesquisa de Preços">
      <formula>NOT(ISERROR(SEARCH("Pesquisa de Preços",D5451)))</formula>
    </cfRule>
  </conditionalFormatting>
  <conditionalFormatting sqref="D5452">
    <cfRule type="containsText" dxfId="664" priority="646" operator="containsText" text="Pesquisa de Preços">
      <formula>NOT(ISERROR(SEARCH("Pesquisa de Preços",D5452)))</formula>
    </cfRule>
  </conditionalFormatting>
  <conditionalFormatting sqref="D5455">
    <cfRule type="containsText" dxfId="663" priority="643" operator="containsText" text="Pesquisa de Preços">
      <formula>NOT(ISERROR(SEARCH("Pesquisa de Preços",D5455)))</formula>
    </cfRule>
  </conditionalFormatting>
  <conditionalFormatting sqref="D5454">
    <cfRule type="containsText" dxfId="662" priority="644" operator="containsText" text="Pesquisa de Preços">
      <formula>NOT(ISERROR(SEARCH("Pesquisa de Preços",D5454)))</formula>
    </cfRule>
  </conditionalFormatting>
  <conditionalFormatting sqref="D5459">
    <cfRule type="containsText" dxfId="661" priority="642" operator="containsText" text="Pesquisa de Preços">
      <formula>NOT(ISERROR(SEARCH("Pesquisa de Preços",D5459)))</formula>
    </cfRule>
  </conditionalFormatting>
  <conditionalFormatting sqref="D5458">
    <cfRule type="containsText" dxfId="660" priority="640" operator="containsText" text="Pesquisa de Preços">
      <formula>NOT(ISERROR(SEARCH("Pesquisa de Preços",D5458)))</formula>
    </cfRule>
  </conditionalFormatting>
  <conditionalFormatting sqref="D5453 D5460">
    <cfRule type="containsText" dxfId="659" priority="650" operator="containsText" text="Pesquisa de Preços">
      <formula>NOT(ISERROR(SEARCH("Pesquisa de Preços",D5453)))</formula>
    </cfRule>
  </conditionalFormatting>
  <conditionalFormatting sqref="D5449">
    <cfRule type="containsText" dxfId="658" priority="649" operator="containsText" text="Pesquisa de Preços">
      <formula>NOT(ISERROR(SEARCH("Pesquisa de Preços",D5449)))</formula>
    </cfRule>
  </conditionalFormatting>
  <conditionalFormatting sqref="D5450">
    <cfRule type="containsText" dxfId="657" priority="648" operator="containsText" text="Pesquisa de Preços">
      <formula>NOT(ISERROR(SEARCH("Pesquisa de Preços",D5450)))</formula>
    </cfRule>
  </conditionalFormatting>
  <conditionalFormatting sqref="D5456">
    <cfRule type="containsText" dxfId="656" priority="645" operator="containsText" text="Pesquisa de Preços">
      <formula>NOT(ISERROR(SEARCH("Pesquisa de Preços",D5456)))</formula>
    </cfRule>
  </conditionalFormatting>
  <conditionalFormatting sqref="D5457">
    <cfRule type="containsText" dxfId="655" priority="641" operator="containsText" text="Pesquisa de Preços">
      <formula>NOT(ISERROR(SEARCH("Pesquisa de Preços",D5457)))</formula>
    </cfRule>
  </conditionalFormatting>
  <conditionalFormatting sqref="D5466">
    <cfRule type="containsText" dxfId="654" priority="639" operator="containsText" text="Pesquisa de Preços">
      <formula>NOT(ISERROR(SEARCH("Pesquisa de Preços",D5466)))</formula>
    </cfRule>
  </conditionalFormatting>
  <conditionalFormatting sqref="D5461">
    <cfRule type="containsText" dxfId="653" priority="638" operator="containsText" text="Pesquisa de Preços">
      <formula>NOT(ISERROR(SEARCH("Pesquisa de Preços",D5461)))</formula>
    </cfRule>
  </conditionalFormatting>
  <conditionalFormatting sqref="D5462:D5463">
    <cfRule type="containsText" dxfId="652" priority="637" operator="containsText" text="Pesquisa de Preços">
      <formula>NOT(ISERROR(SEARCH("Pesquisa de Preços",D5462)))</formula>
    </cfRule>
  </conditionalFormatting>
  <conditionalFormatting sqref="D5472">
    <cfRule type="containsText" dxfId="651" priority="636" operator="containsText" text="Pesquisa de Preços">
      <formula>NOT(ISERROR(SEARCH("Pesquisa de Preços",D5472)))</formula>
    </cfRule>
  </conditionalFormatting>
  <conditionalFormatting sqref="D5467">
    <cfRule type="containsText" dxfId="650" priority="635" operator="containsText" text="Pesquisa de Preços">
      <formula>NOT(ISERROR(SEARCH("Pesquisa de Preços",D5467)))</formula>
    </cfRule>
  </conditionalFormatting>
  <conditionalFormatting sqref="D5468:D5469">
    <cfRule type="containsText" dxfId="649" priority="634" operator="containsText" text="Pesquisa de Preços">
      <formula>NOT(ISERROR(SEARCH("Pesquisa de Preços",D5468)))</formula>
    </cfRule>
  </conditionalFormatting>
  <conditionalFormatting sqref="D5473">
    <cfRule type="containsText" dxfId="648" priority="633" operator="containsText" text="Pesquisa de Preços">
      <formula>NOT(ISERROR(SEARCH("Pesquisa de Preços",D5473)))</formula>
    </cfRule>
  </conditionalFormatting>
  <conditionalFormatting sqref="D5474 D5478:D5479">
    <cfRule type="containsText" dxfId="647" priority="632" operator="containsText" text="Pesquisa de Preços">
      <formula>NOT(ISERROR(SEARCH("Pesquisa de Preços",D5474)))</formula>
    </cfRule>
  </conditionalFormatting>
  <conditionalFormatting sqref="D5475">
    <cfRule type="containsText" dxfId="646" priority="631" operator="containsText" text="Pesquisa de Preços">
      <formula>NOT(ISERROR(SEARCH("Pesquisa de Preços",D5475)))</formula>
    </cfRule>
  </conditionalFormatting>
  <conditionalFormatting sqref="D5476">
    <cfRule type="containsText" dxfId="645" priority="630" operator="containsText" text="Pesquisa de Preços">
      <formula>NOT(ISERROR(SEARCH("Pesquisa de Preços",D5476)))</formula>
    </cfRule>
  </conditionalFormatting>
  <conditionalFormatting sqref="D5477">
    <cfRule type="containsText" dxfId="644" priority="629" operator="containsText" text="Pesquisa de Preços">
      <formula>NOT(ISERROR(SEARCH("Pesquisa de Preços",D5477)))</formula>
    </cfRule>
  </conditionalFormatting>
  <conditionalFormatting sqref="D5485">
    <cfRule type="containsText" dxfId="643" priority="628" operator="containsText" text="Pesquisa de Preços">
      <formula>NOT(ISERROR(SEARCH("Pesquisa de Preços",D5485)))</formula>
    </cfRule>
  </conditionalFormatting>
  <conditionalFormatting sqref="D5480">
    <cfRule type="containsText" dxfId="642" priority="627" operator="containsText" text="Pesquisa de Preços">
      <formula>NOT(ISERROR(SEARCH("Pesquisa de Preços",D5480)))</formula>
    </cfRule>
  </conditionalFormatting>
  <conditionalFormatting sqref="D5481:D5482">
    <cfRule type="containsText" dxfId="641" priority="626" operator="containsText" text="Pesquisa de Preços">
      <formula>NOT(ISERROR(SEARCH("Pesquisa de Preços",D5481)))</formula>
    </cfRule>
  </conditionalFormatting>
  <conditionalFormatting sqref="D5491">
    <cfRule type="containsText" dxfId="640" priority="625" operator="containsText" text="Pesquisa de Preços">
      <formula>NOT(ISERROR(SEARCH("Pesquisa de Preços",D5491)))</formula>
    </cfRule>
  </conditionalFormatting>
  <conditionalFormatting sqref="D5486">
    <cfRule type="containsText" dxfId="639" priority="624" operator="containsText" text="Pesquisa de Preços">
      <formula>NOT(ISERROR(SEARCH("Pesquisa de Preços",D5486)))</formula>
    </cfRule>
  </conditionalFormatting>
  <conditionalFormatting sqref="D5487">
    <cfRule type="containsText" dxfId="638" priority="623" operator="containsText" text="Pesquisa de Preços">
      <formula>NOT(ISERROR(SEARCH("Pesquisa de Preços",D5487)))</formula>
    </cfRule>
  </conditionalFormatting>
  <conditionalFormatting sqref="D5488">
    <cfRule type="containsText" dxfId="637" priority="622" operator="containsText" text="Pesquisa de Preços">
      <formula>NOT(ISERROR(SEARCH("Pesquisa de Preços",D5488)))</formula>
    </cfRule>
  </conditionalFormatting>
  <conditionalFormatting sqref="D5496">
    <cfRule type="containsText" dxfId="636" priority="621" operator="containsText" text="Pesquisa de Preços">
      <formula>NOT(ISERROR(SEARCH("Pesquisa de Preços",D5496)))</formula>
    </cfRule>
  </conditionalFormatting>
  <conditionalFormatting sqref="D5492">
    <cfRule type="containsText" dxfId="635" priority="620" operator="containsText" text="Pesquisa de Preços">
      <formula>NOT(ISERROR(SEARCH("Pesquisa de Preços",D5492)))</formula>
    </cfRule>
  </conditionalFormatting>
  <conditionalFormatting sqref="D5493 D5497">
    <cfRule type="containsText" dxfId="634" priority="619" operator="containsText" text="Pesquisa de Preços">
      <formula>NOT(ISERROR(SEARCH("Pesquisa de Preços",D5493)))</formula>
    </cfRule>
  </conditionalFormatting>
  <conditionalFormatting sqref="D5495">
    <cfRule type="containsText" dxfId="633" priority="617" operator="containsText" text="Pesquisa de Preços">
      <formula>NOT(ISERROR(SEARCH("Pesquisa de Preços",D5495)))</formula>
    </cfRule>
  </conditionalFormatting>
  <conditionalFormatting sqref="D5494">
    <cfRule type="containsText" dxfId="632" priority="618" operator="containsText" text="Pesquisa de Preços">
      <formula>NOT(ISERROR(SEARCH("Pesquisa de Preços",D5494)))</formula>
    </cfRule>
  </conditionalFormatting>
  <conditionalFormatting sqref="D5498">
    <cfRule type="containsText" dxfId="631" priority="616" operator="containsText" text="Pesquisa de Preços">
      <formula>NOT(ISERROR(SEARCH("Pesquisa de Preços",D5498)))</formula>
    </cfRule>
  </conditionalFormatting>
  <conditionalFormatting sqref="D5499 D5501">
    <cfRule type="containsText" dxfId="630" priority="615" operator="containsText" text="Pesquisa de Preços">
      <formula>NOT(ISERROR(SEARCH("Pesquisa de Preços",D5499)))</formula>
    </cfRule>
  </conditionalFormatting>
  <conditionalFormatting sqref="D5500">
    <cfRule type="containsText" dxfId="629" priority="614" operator="containsText" text="Pesquisa de Preços">
      <formula>NOT(ISERROR(SEARCH("Pesquisa de Preços",D5500)))</formula>
    </cfRule>
  </conditionalFormatting>
  <conditionalFormatting sqref="D5509">
    <cfRule type="containsText" dxfId="628" priority="613" operator="containsText" text="Pesquisa de Preços">
      <formula>NOT(ISERROR(SEARCH("Pesquisa de Preços",D5509)))</formula>
    </cfRule>
  </conditionalFormatting>
  <conditionalFormatting sqref="D5510 D5512">
    <cfRule type="containsText" dxfId="627" priority="612" operator="containsText" text="Pesquisa de Preços">
      <formula>NOT(ISERROR(SEARCH("Pesquisa de Preços",D5510)))</formula>
    </cfRule>
  </conditionalFormatting>
  <conditionalFormatting sqref="D5511">
    <cfRule type="containsText" dxfId="626" priority="611" operator="containsText" text="Pesquisa de Preços">
      <formula>NOT(ISERROR(SEARCH("Pesquisa de Preços",D5511)))</formula>
    </cfRule>
  </conditionalFormatting>
  <conditionalFormatting sqref="D5507">
    <cfRule type="containsText" dxfId="625" priority="608" operator="containsText" text="Pesquisa de Preços">
      <formula>NOT(ISERROR(SEARCH("Pesquisa de Preços",D5507)))</formula>
    </cfRule>
  </conditionalFormatting>
  <conditionalFormatting sqref="D5502">
    <cfRule type="containsText" dxfId="624" priority="610" operator="containsText" text="Pesquisa de Preços">
      <formula>NOT(ISERROR(SEARCH("Pesquisa de Preços",D5502)))</formula>
    </cfRule>
  </conditionalFormatting>
  <conditionalFormatting sqref="D5503 D5508">
    <cfRule type="containsText" dxfId="623" priority="609" operator="containsText" text="Pesquisa de Preços">
      <formula>NOT(ISERROR(SEARCH("Pesquisa de Preços",D5503)))</formula>
    </cfRule>
  </conditionalFormatting>
  <conditionalFormatting sqref="D5505:D5506">
    <cfRule type="containsText" dxfId="622" priority="606" operator="containsText" text="Pesquisa de Preços">
      <formula>NOT(ISERROR(SEARCH("Pesquisa de Preços",D5505)))</formula>
    </cfRule>
  </conditionalFormatting>
  <conditionalFormatting sqref="D5504">
    <cfRule type="containsText" dxfId="621" priority="607" operator="containsText" text="Pesquisa de Preços">
      <formula>NOT(ISERROR(SEARCH("Pesquisa de Preços",D5504)))</formula>
    </cfRule>
  </conditionalFormatting>
  <conditionalFormatting sqref="D6268">
    <cfRule type="containsText" dxfId="620" priority="605" operator="containsText" text="Pesquisa de Preços">
      <formula>NOT(ISERROR(SEARCH("Pesquisa de Preços",D6268)))</formula>
    </cfRule>
  </conditionalFormatting>
  <conditionalFormatting sqref="D6266:D6267">
    <cfRule type="containsText" dxfId="619" priority="603" operator="containsText" text="Pesquisa de Preços">
      <formula>NOT(ISERROR(SEARCH("Pesquisa de Preços",D6266)))</formula>
    </cfRule>
  </conditionalFormatting>
  <conditionalFormatting sqref="D6265">
    <cfRule type="containsText" dxfId="618" priority="604" operator="containsText" text="Pesquisa de Preços">
      <formula>NOT(ISERROR(SEARCH("Pesquisa de Preços",D6265)))</formula>
    </cfRule>
  </conditionalFormatting>
  <conditionalFormatting sqref="D6263">
    <cfRule type="containsText" dxfId="617" priority="602" operator="containsText" text="Pesquisa de Preços">
      <formula>NOT(ISERROR(SEARCH("Pesquisa de Preços",D6263)))</formula>
    </cfRule>
  </conditionalFormatting>
  <conditionalFormatting sqref="D6277">
    <cfRule type="containsText" dxfId="616" priority="601" operator="containsText" text="Pesquisa de Preços">
      <formula>NOT(ISERROR(SEARCH("Pesquisa de Preços",D6277)))</formula>
    </cfRule>
  </conditionalFormatting>
  <conditionalFormatting sqref="D6271">
    <cfRule type="containsText" dxfId="615" priority="600" operator="containsText" text="Pesquisa de Preços">
      <formula>NOT(ISERROR(SEARCH("Pesquisa de Preços",D6271)))</formula>
    </cfRule>
  </conditionalFormatting>
  <conditionalFormatting sqref="D6269">
    <cfRule type="containsText" dxfId="614" priority="599" operator="containsText" text="Pesquisa de Preços">
      <formula>NOT(ISERROR(SEARCH("Pesquisa de Preços",D6269)))</formula>
    </cfRule>
  </conditionalFormatting>
  <conditionalFormatting sqref="D6272:D6276">
    <cfRule type="containsText" dxfId="613" priority="598" operator="containsText" text="Pesquisa de Preços">
      <formula>NOT(ISERROR(SEARCH("Pesquisa de Preços",D6272)))</formula>
    </cfRule>
  </conditionalFormatting>
  <conditionalFormatting sqref="D6288">
    <cfRule type="containsText" dxfId="612" priority="597" operator="containsText" text="Pesquisa de Preços">
      <formula>NOT(ISERROR(SEARCH("Pesquisa de Preços",D6288)))</formula>
    </cfRule>
  </conditionalFormatting>
  <conditionalFormatting sqref="D6280">
    <cfRule type="containsText" dxfId="611" priority="596" operator="containsText" text="Pesquisa de Preços">
      <formula>NOT(ISERROR(SEARCH("Pesquisa de Preços",D6280)))</formula>
    </cfRule>
  </conditionalFormatting>
  <conditionalFormatting sqref="D6278">
    <cfRule type="containsText" dxfId="610" priority="595" operator="containsText" text="Pesquisa de Preços">
      <formula>NOT(ISERROR(SEARCH("Pesquisa de Preços",D6278)))</formula>
    </cfRule>
  </conditionalFormatting>
  <conditionalFormatting sqref="D6281:D6285">
    <cfRule type="containsText" dxfId="609" priority="594" operator="containsText" text="Pesquisa de Preços">
      <formula>NOT(ISERROR(SEARCH("Pesquisa de Preços",D6281)))</formula>
    </cfRule>
  </conditionalFormatting>
  <conditionalFormatting sqref="D6287">
    <cfRule type="containsText" dxfId="608" priority="593" operator="containsText" text="Pesquisa de Preços">
      <formula>NOT(ISERROR(SEARCH("Pesquisa de Preços",D6287)))</formula>
    </cfRule>
  </conditionalFormatting>
  <conditionalFormatting sqref="D6286">
    <cfRule type="containsText" dxfId="607" priority="592" operator="containsText" text="Pesquisa de Preços">
      <formula>NOT(ISERROR(SEARCH("Pesquisa de Preços",D6286)))</formula>
    </cfRule>
  </conditionalFormatting>
  <conditionalFormatting sqref="D6296">
    <cfRule type="containsText" dxfId="606" priority="591" operator="containsText" text="Pesquisa de Preços">
      <formula>NOT(ISERROR(SEARCH("Pesquisa de Preços",D6296)))</formula>
    </cfRule>
  </conditionalFormatting>
  <conditionalFormatting sqref="D6291">
    <cfRule type="containsText" dxfId="605" priority="590" operator="containsText" text="Pesquisa de Preços">
      <formula>NOT(ISERROR(SEARCH("Pesquisa de Preços",D6291)))</formula>
    </cfRule>
  </conditionalFormatting>
  <conditionalFormatting sqref="D6289">
    <cfRule type="containsText" dxfId="604" priority="589" operator="containsText" text="Pesquisa de Preços">
      <formula>NOT(ISERROR(SEARCH("Pesquisa de Preços",D6289)))</formula>
    </cfRule>
  </conditionalFormatting>
  <conditionalFormatting sqref="D6292:D6295">
    <cfRule type="containsText" dxfId="603" priority="588" operator="containsText" text="Pesquisa de Preços">
      <formula>NOT(ISERROR(SEARCH("Pesquisa de Preços",D6292)))</formula>
    </cfRule>
  </conditionalFormatting>
  <conditionalFormatting sqref="D6304">
    <cfRule type="containsText" dxfId="602" priority="587" operator="containsText" text="Pesquisa de Preços">
      <formula>NOT(ISERROR(SEARCH("Pesquisa de Preços",D6304)))</formula>
    </cfRule>
  </conditionalFormatting>
  <conditionalFormatting sqref="D6299">
    <cfRule type="containsText" dxfId="601" priority="586" operator="containsText" text="Pesquisa de Preços">
      <formula>NOT(ISERROR(SEARCH("Pesquisa de Preços",D6299)))</formula>
    </cfRule>
  </conditionalFormatting>
  <conditionalFormatting sqref="D6297">
    <cfRule type="containsText" dxfId="600" priority="585" operator="containsText" text="Pesquisa de Preços">
      <formula>NOT(ISERROR(SEARCH("Pesquisa de Preços",D6297)))</formula>
    </cfRule>
  </conditionalFormatting>
  <conditionalFormatting sqref="D6300:D6303">
    <cfRule type="containsText" dxfId="599" priority="584" operator="containsText" text="Pesquisa de Preços">
      <formula>NOT(ISERROR(SEARCH("Pesquisa de Preços",D6300)))</formula>
    </cfRule>
  </conditionalFormatting>
  <conditionalFormatting sqref="D6313">
    <cfRule type="containsText" dxfId="598" priority="583" operator="containsText" text="Pesquisa de Preços">
      <formula>NOT(ISERROR(SEARCH("Pesquisa de Preços",D6313)))</formula>
    </cfRule>
  </conditionalFormatting>
  <conditionalFormatting sqref="D6307">
    <cfRule type="containsText" dxfId="597" priority="582" operator="containsText" text="Pesquisa de Preços">
      <formula>NOT(ISERROR(SEARCH("Pesquisa de Preços",D6307)))</formula>
    </cfRule>
  </conditionalFormatting>
  <conditionalFormatting sqref="D6305">
    <cfRule type="containsText" dxfId="596" priority="581" operator="containsText" text="Pesquisa de Preços">
      <formula>NOT(ISERROR(SEARCH("Pesquisa de Preços",D6305)))</formula>
    </cfRule>
  </conditionalFormatting>
  <conditionalFormatting sqref="D6308:D6312">
    <cfRule type="containsText" dxfId="595" priority="580" operator="containsText" text="Pesquisa de Preços">
      <formula>NOT(ISERROR(SEARCH("Pesquisa de Preços",D6308)))</formula>
    </cfRule>
  </conditionalFormatting>
  <conditionalFormatting sqref="D6324">
    <cfRule type="containsText" dxfId="594" priority="579" operator="containsText" text="Pesquisa de Preços">
      <formula>NOT(ISERROR(SEARCH("Pesquisa de Preços",D6324)))</formula>
    </cfRule>
  </conditionalFormatting>
  <conditionalFormatting sqref="D6316">
    <cfRule type="containsText" dxfId="593" priority="578" operator="containsText" text="Pesquisa de Preços">
      <formula>NOT(ISERROR(SEARCH("Pesquisa de Preços",D6316)))</formula>
    </cfRule>
  </conditionalFormatting>
  <conditionalFormatting sqref="D6314">
    <cfRule type="containsText" dxfId="592" priority="577" operator="containsText" text="Pesquisa de Preços">
      <formula>NOT(ISERROR(SEARCH("Pesquisa de Preços",D6314)))</formula>
    </cfRule>
  </conditionalFormatting>
  <conditionalFormatting sqref="D6317:D6321">
    <cfRule type="containsText" dxfId="591" priority="576" operator="containsText" text="Pesquisa de Preços">
      <formula>NOT(ISERROR(SEARCH("Pesquisa de Preços",D6317)))</formula>
    </cfRule>
  </conditionalFormatting>
  <conditionalFormatting sqref="D6322">
    <cfRule type="containsText" dxfId="590" priority="575" operator="containsText" text="Pesquisa de Preços">
      <formula>NOT(ISERROR(SEARCH("Pesquisa de Preços",D6322)))</formula>
    </cfRule>
  </conditionalFormatting>
  <conditionalFormatting sqref="D6323">
    <cfRule type="containsText" dxfId="589" priority="574" operator="containsText" text="Pesquisa de Preços">
      <formula>NOT(ISERROR(SEARCH("Pesquisa de Preços",D6323)))</formula>
    </cfRule>
  </conditionalFormatting>
  <conditionalFormatting sqref="D6348">
    <cfRule type="containsText" dxfId="588" priority="573" operator="containsText" text="Pesquisa de Preços">
      <formula>NOT(ISERROR(SEARCH("Pesquisa de Preços",D6348)))</formula>
    </cfRule>
  </conditionalFormatting>
  <conditionalFormatting sqref="D6327">
    <cfRule type="containsText" dxfId="587" priority="572" operator="containsText" text="Pesquisa de Preços">
      <formula>NOT(ISERROR(SEARCH("Pesquisa de Preços",D6327)))</formula>
    </cfRule>
  </conditionalFormatting>
  <conditionalFormatting sqref="D6325">
    <cfRule type="containsText" dxfId="586" priority="571" operator="containsText" text="Pesquisa de Preços">
      <formula>NOT(ISERROR(SEARCH("Pesquisa de Preços",D6325)))</formula>
    </cfRule>
  </conditionalFormatting>
  <conditionalFormatting sqref="D6328">
    <cfRule type="containsText" dxfId="585" priority="570" operator="containsText" text="Pesquisa de Preços">
      <formula>NOT(ISERROR(SEARCH("Pesquisa de Preços",D6328)))</formula>
    </cfRule>
  </conditionalFormatting>
  <conditionalFormatting sqref="D6364 D6362">
    <cfRule type="containsText" dxfId="584" priority="557" operator="containsText" text="Pesquisa de Preços">
      <formula>NOT(ISERROR(SEARCH("Pesquisa de Preços",D6362)))</formula>
    </cfRule>
  </conditionalFormatting>
  <conditionalFormatting sqref="D6329:D6341">
    <cfRule type="containsText" dxfId="583" priority="569" operator="containsText" text="Pesquisa de Preços">
      <formula>NOT(ISERROR(SEARCH("Pesquisa de Preços",D6329)))</formula>
    </cfRule>
  </conditionalFormatting>
  <conditionalFormatting sqref="D6349">
    <cfRule type="containsText" dxfId="582" priority="565" operator="containsText" text="Pesquisa de Preços">
      <formula>NOT(ISERROR(SEARCH("Pesquisa de Preços",D6349)))</formula>
    </cfRule>
  </conditionalFormatting>
  <conditionalFormatting sqref="D6342:D6347">
    <cfRule type="containsText" dxfId="581" priority="568" operator="containsText" text="Pesquisa de Preços">
      <formula>NOT(ISERROR(SEARCH("Pesquisa de Preços",D6342)))</formula>
    </cfRule>
  </conditionalFormatting>
  <conditionalFormatting sqref="D6353">
    <cfRule type="containsText" dxfId="580" priority="562" operator="containsText" text="Pesquisa de Preços">
      <formula>NOT(ISERROR(SEARCH("Pesquisa de Preços",D6353)))</formula>
    </cfRule>
  </conditionalFormatting>
  <conditionalFormatting sqref="D6361">
    <cfRule type="containsText" dxfId="579" priority="559" operator="containsText" text="Pesquisa de Preços">
      <formula>NOT(ISERROR(SEARCH("Pesquisa de Preços",D6361)))</formula>
    </cfRule>
  </conditionalFormatting>
  <conditionalFormatting sqref="D6365:D6366">
    <cfRule type="containsText" dxfId="578" priority="555" operator="containsText" text="Pesquisa de Preços">
      <formula>NOT(ISERROR(SEARCH("Pesquisa de Preços",D6365)))</formula>
    </cfRule>
  </conditionalFormatting>
  <conditionalFormatting sqref="D6358">
    <cfRule type="containsText" dxfId="577" priority="567" operator="containsText" text="Pesquisa de Preços">
      <formula>NOT(ISERROR(SEARCH("Pesquisa de Preços",D6358)))</formula>
    </cfRule>
  </conditionalFormatting>
  <conditionalFormatting sqref="D6351">
    <cfRule type="containsText" dxfId="576" priority="566" operator="containsText" text="Pesquisa de Preços">
      <formula>NOT(ISERROR(SEARCH("Pesquisa de Preços",D6351)))</formula>
    </cfRule>
  </conditionalFormatting>
  <conditionalFormatting sqref="D6357">
    <cfRule type="containsText" dxfId="575" priority="564" operator="containsText" text="Pesquisa de Preços">
      <formula>NOT(ISERROR(SEARCH("Pesquisa de Preços",D6357)))</formula>
    </cfRule>
  </conditionalFormatting>
  <conditionalFormatting sqref="D6368">
    <cfRule type="containsText" dxfId="574" priority="551" operator="containsText" text="Pesquisa de Preços">
      <formula>NOT(ISERROR(SEARCH("Pesquisa de Preços",D6368)))</formula>
    </cfRule>
  </conditionalFormatting>
  <conditionalFormatting sqref="D6354 D6352">
    <cfRule type="containsText" dxfId="573" priority="563" operator="containsText" text="Pesquisa de Preços">
      <formula>NOT(ISERROR(SEARCH("Pesquisa de Preços",D6352)))</formula>
    </cfRule>
  </conditionalFormatting>
  <conditionalFormatting sqref="D6355:D6356">
    <cfRule type="containsText" dxfId="572" priority="561" operator="containsText" text="Pesquisa de Preços">
      <formula>NOT(ISERROR(SEARCH("Pesquisa de Preços",D6355)))</formula>
    </cfRule>
  </conditionalFormatting>
  <conditionalFormatting sqref="D6359">
    <cfRule type="containsText" dxfId="571" priority="558" operator="containsText" text="Pesquisa de Preços">
      <formula>NOT(ISERROR(SEARCH("Pesquisa de Preços",D6359)))</formula>
    </cfRule>
  </conditionalFormatting>
  <conditionalFormatting sqref="D6363">
    <cfRule type="containsText" dxfId="570" priority="556" operator="containsText" text="Pesquisa de Preços">
      <formula>NOT(ISERROR(SEARCH("Pesquisa de Preços",D6363)))</formula>
    </cfRule>
  </conditionalFormatting>
  <conditionalFormatting sqref="D6367">
    <cfRule type="containsText" dxfId="569" priority="560" operator="containsText" text="Pesquisa de Preços">
      <formula>NOT(ISERROR(SEARCH("Pesquisa de Preços",D6367)))</formula>
    </cfRule>
  </conditionalFormatting>
  <conditionalFormatting sqref="D6372">
    <cfRule type="containsText" dxfId="568" priority="554" operator="containsText" text="Pesquisa de Preços">
      <formula>NOT(ISERROR(SEARCH("Pesquisa de Preços",D6372)))</formula>
    </cfRule>
  </conditionalFormatting>
  <conditionalFormatting sqref="D6371">
    <cfRule type="containsText" dxfId="567" priority="552" operator="containsText" text="Pesquisa de Preços">
      <formula>NOT(ISERROR(SEARCH("Pesquisa de Preços",D6371)))</formula>
    </cfRule>
  </conditionalFormatting>
  <conditionalFormatting sqref="D6370">
    <cfRule type="containsText" dxfId="566" priority="553" operator="containsText" text="Pesquisa de Preços">
      <formula>NOT(ISERROR(SEARCH("Pesquisa de Preços",D6370)))</formula>
    </cfRule>
  </conditionalFormatting>
  <conditionalFormatting sqref="D6386">
    <cfRule type="containsText" dxfId="565" priority="550" operator="containsText" text="Pesquisa de Preços">
      <formula>NOT(ISERROR(SEARCH("Pesquisa de Preços",D6386)))</formula>
    </cfRule>
  </conditionalFormatting>
  <conditionalFormatting sqref="D6375">
    <cfRule type="containsText" dxfId="564" priority="549" operator="containsText" text="Pesquisa de Preços">
      <formula>NOT(ISERROR(SEARCH("Pesquisa de Preços",D6375)))</formula>
    </cfRule>
  </conditionalFormatting>
  <conditionalFormatting sqref="D6373">
    <cfRule type="containsText" dxfId="563" priority="548" operator="containsText" text="Pesquisa de Preços">
      <formula>NOT(ISERROR(SEARCH("Pesquisa de Preços",D6373)))</formula>
    </cfRule>
  </conditionalFormatting>
  <conditionalFormatting sqref="D6376:D6380">
    <cfRule type="containsText" dxfId="562" priority="547" operator="containsText" text="Pesquisa de Preços">
      <formula>NOT(ISERROR(SEARCH("Pesquisa de Preços",D6376)))</formula>
    </cfRule>
  </conditionalFormatting>
  <conditionalFormatting sqref="D6384">
    <cfRule type="containsText" dxfId="561" priority="546" operator="containsText" text="Pesquisa de Preços">
      <formula>NOT(ISERROR(SEARCH("Pesquisa de Preços",D6384)))</formula>
    </cfRule>
  </conditionalFormatting>
  <conditionalFormatting sqref="D6381">
    <cfRule type="containsText" dxfId="560" priority="545" operator="containsText" text="Pesquisa de Preços">
      <formula>NOT(ISERROR(SEARCH("Pesquisa de Preços",D6381)))</formula>
    </cfRule>
  </conditionalFormatting>
  <conditionalFormatting sqref="D6385">
    <cfRule type="containsText" dxfId="559" priority="544" operator="containsText" text="Pesquisa de Preços">
      <formula>NOT(ISERROR(SEARCH("Pesquisa de Preços",D6385)))</formula>
    </cfRule>
  </conditionalFormatting>
  <conditionalFormatting sqref="D6382">
    <cfRule type="containsText" dxfId="558" priority="543" operator="containsText" text="Pesquisa de Preços">
      <formula>NOT(ISERROR(SEARCH("Pesquisa de Preços",D6382)))</formula>
    </cfRule>
  </conditionalFormatting>
  <conditionalFormatting sqref="D6383">
    <cfRule type="containsText" dxfId="557" priority="542" operator="containsText" text="Pesquisa de Preços">
      <formula>NOT(ISERROR(SEARCH("Pesquisa de Preços",D6383)))</formula>
    </cfRule>
  </conditionalFormatting>
  <conditionalFormatting sqref="D6401">
    <cfRule type="containsText" dxfId="556" priority="541" operator="containsText" text="Pesquisa de Preços">
      <formula>NOT(ISERROR(SEARCH("Pesquisa de Preços",D6401)))</formula>
    </cfRule>
  </conditionalFormatting>
  <conditionalFormatting sqref="D6387">
    <cfRule type="containsText" dxfId="555" priority="540" operator="containsText" text="Pesquisa de Preços">
      <formula>NOT(ISERROR(SEARCH("Pesquisa de Preços",D6387)))</formula>
    </cfRule>
  </conditionalFormatting>
  <conditionalFormatting sqref="D6403:D6404">
    <cfRule type="containsText" dxfId="554" priority="536" operator="containsText" text="Pesquisa de Preços">
      <formula>NOT(ISERROR(SEARCH("Pesquisa de Preços",D6403)))</formula>
    </cfRule>
  </conditionalFormatting>
  <conditionalFormatting sqref="D6399:D6400">
    <cfRule type="containsText" dxfId="553" priority="539" operator="containsText" text="Pesquisa de Preços">
      <formula>NOT(ISERROR(SEARCH("Pesquisa de Preços",D6399)))</formula>
    </cfRule>
  </conditionalFormatting>
  <conditionalFormatting sqref="D6410:D6411">
    <cfRule type="containsText" dxfId="552" priority="533" operator="containsText" text="Pesquisa de Preços">
      <formula>NOT(ISERROR(SEARCH("Pesquisa de Preços",D6410)))</formula>
    </cfRule>
  </conditionalFormatting>
  <conditionalFormatting sqref="D6408">
    <cfRule type="containsText" dxfId="551" priority="538" operator="containsText" text="Pesquisa de Preços">
      <formula>NOT(ISERROR(SEARCH("Pesquisa de Preços",D6408)))</formula>
    </cfRule>
  </conditionalFormatting>
  <conditionalFormatting sqref="D6402">
    <cfRule type="containsText" dxfId="550" priority="537" operator="containsText" text="Pesquisa de Preços">
      <formula>NOT(ISERROR(SEARCH("Pesquisa de Preços",D6402)))</formula>
    </cfRule>
  </conditionalFormatting>
  <conditionalFormatting sqref="D6414">
    <cfRule type="containsText" dxfId="549" priority="535" operator="containsText" text="Pesquisa de Preços">
      <formula>NOT(ISERROR(SEARCH("Pesquisa de Preços",D6414)))</formula>
    </cfRule>
  </conditionalFormatting>
  <conditionalFormatting sqref="D6409">
    <cfRule type="containsText" dxfId="548" priority="534" operator="containsText" text="Pesquisa de Preços">
      <formula>NOT(ISERROR(SEARCH("Pesquisa de Preços",D6409)))</formula>
    </cfRule>
  </conditionalFormatting>
  <conditionalFormatting sqref="D6390:D6392 D6394">
    <cfRule type="containsText" dxfId="547" priority="532" operator="containsText" text="Pesquisa de Preços">
      <formula>NOT(ISERROR(SEARCH("Pesquisa de Preços",D6390)))</formula>
    </cfRule>
  </conditionalFormatting>
  <conditionalFormatting sqref="D6396">
    <cfRule type="containsText" dxfId="546" priority="531" operator="containsText" text="Pesquisa de Preços">
      <formula>NOT(ISERROR(SEARCH("Pesquisa de Preços",D6396)))</formula>
    </cfRule>
  </conditionalFormatting>
  <conditionalFormatting sqref="D6397">
    <cfRule type="containsText" dxfId="545" priority="530" operator="containsText" text="Pesquisa de Preços">
      <formula>NOT(ISERROR(SEARCH("Pesquisa de Preços",D6397)))</formula>
    </cfRule>
  </conditionalFormatting>
  <conditionalFormatting sqref="D6389">
    <cfRule type="containsText" dxfId="544" priority="529" operator="containsText" text="Pesquisa de Preços">
      <formula>NOT(ISERROR(SEARCH("Pesquisa de Preços",D6389)))</formula>
    </cfRule>
  </conditionalFormatting>
  <conditionalFormatting sqref="D6395">
    <cfRule type="containsText" dxfId="543" priority="528" operator="containsText" text="Pesquisa de Preços">
      <formula>NOT(ISERROR(SEARCH("Pesquisa de Preços",D6395)))</formula>
    </cfRule>
  </conditionalFormatting>
  <conditionalFormatting sqref="D6393">
    <cfRule type="containsText" dxfId="542" priority="527" operator="containsText" text="Pesquisa de Preços">
      <formula>NOT(ISERROR(SEARCH("Pesquisa de Preços",D6393)))</formula>
    </cfRule>
  </conditionalFormatting>
  <conditionalFormatting sqref="D6201">
    <cfRule type="containsText" dxfId="541" priority="526" operator="containsText" text="Pesquisa de Preços">
      <formula>NOT(ISERROR(SEARCH("Pesquisa de Preços",D6201)))</formula>
    </cfRule>
  </conditionalFormatting>
  <conditionalFormatting sqref="D6197">
    <cfRule type="containsText" dxfId="540" priority="525" operator="containsText" text="Pesquisa de Preços">
      <formula>NOT(ISERROR(SEARCH("Pesquisa de Preços",D6197)))</formula>
    </cfRule>
  </conditionalFormatting>
  <conditionalFormatting sqref="D6195">
    <cfRule type="containsText" dxfId="539" priority="524" operator="containsText" text="Pesquisa de Preços">
      <formula>NOT(ISERROR(SEARCH("Pesquisa de Preços",D6195)))</formula>
    </cfRule>
  </conditionalFormatting>
  <conditionalFormatting sqref="D6183">
    <cfRule type="containsText" dxfId="538" priority="523" operator="containsText" text="Pesquisa de Preços">
      <formula>NOT(ISERROR(SEARCH("Pesquisa de Preços",D6183)))</formula>
    </cfRule>
  </conditionalFormatting>
  <conditionalFormatting sqref="D6173">
    <cfRule type="containsText" dxfId="537" priority="522" operator="containsText" text="Pesquisa de Preços">
      <formula>NOT(ISERROR(SEARCH("Pesquisa de Preços",D6173)))</formula>
    </cfRule>
  </conditionalFormatting>
  <conditionalFormatting sqref="D6174">
    <cfRule type="containsText" dxfId="536" priority="521" operator="containsText" text="Pesquisa de Preços">
      <formula>NOT(ISERROR(SEARCH("Pesquisa de Preços",D6174)))</formula>
    </cfRule>
  </conditionalFormatting>
  <conditionalFormatting sqref="D6194">
    <cfRule type="containsText" dxfId="535" priority="520" operator="containsText" text="Pesquisa de Preços">
      <formula>NOT(ISERROR(SEARCH("Pesquisa de Preços",D6194)))</formula>
    </cfRule>
  </conditionalFormatting>
  <conditionalFormatting sqref="D6184">
    <cfRule type="containsText" dxfId="534" priority="519" operator="containsText" text="Pesquisa de Preços">
      <formula>NOT(ISERROR(SEARCH("Pesquisa de Preços",D6184)))</formula>
    </cfRule>
  </conditionalFormatting>
  <conditionalFormatting sqref="D6185">
    <cfRule type="containsText" dxfId="533" priority="518" operator="containsText" text="Pesquisa de Preços">
      <formula>NOT(ISERROR(SEARCH("Pesquisa de Preços",D6185)))</formula>
    </cfRule>
  </conditionalFormatting>
  <conditionalFormatting sqref="D6206">
    <cfRule type="containsText" dxfId="532" priority="517" operator="containsText" text="Pesquisa de Preços">
      <formula>NOT(ISERROR(SEARCH("Pesquisa de Preços",D6206)))</formula>
    </cfRule>
  </conditionalFormatting>
  <conditionalFormatting sqref="D6202">
    <cfRule type="containsText" dxfId="531" priority="516" operator="containsText" text="Pesquisa de Preços">
      <formula>NOT(ISERROR(SEARCH("Pesquisa de Preços",D6202)))</formula>
    </cfRule>
  </conditionalFormatting>
  <conditionalFormatting sqref="D6211">
    <cfRule type="containsText" dxfId="530" priority="515" operator="containsText" text="Pesquisa de Preços">
      <formula>NOT(ISERROR(SEARCH("Pesquisa de Preços",D6211)))</formula>
    </cfRule>
  </conditionalFormatting>
  <conditionalFormatting sqref="D6207">
    <cfRule type="containsText" dxfId="529" priority="514" operator="containsText" text="Pesquisa de Preços">
      <formula>NOT(ISERROR(SEARCH("Pesquisa de Preços",D6207)))</formula>
    </cfRule>
  </conditionalFormatting>
  <conditionalFormatting sqref="D6227">
    <cfRule type="containsText" dxfId="528" priority="513" operator="containsText" text="Pesquisa de Preços">
      <formula>NOT(ISERROR(SEARCH("Pesquisa de Preços",D6227)))</formula>
    </cfRule>
  </conditionalFormatting>
  <conditionalFormatting sqref="D6222">
    <cfRule type="containsText" dxfId="527" priority="512" operator="containsText" text="Pesquisa de Preços">
      <formula>NOT(ISERROR(SEARCH("Pesquisa de Preços",D6222)))</formula>
    </cfRule>
  </conditionalFormatting>
  <conditionalFormatting sqref="D6220">
    <cfRule type="containsText" dxfId="526" priority="511" operator="containsText" text="Pesquisa de Preços">
      <formula>NOT(ISERROR(SEARCH("Pesquisa de Preços",D6220)))</formula>
    </cfRule>
  </conditionalFormatting>
  <conditionalFormatting sqref="D6223:D6226">
    <cfRule type="containsText" dxfId="525" priority="510" operator="containsText" text="Pesquisa de Preços">
      <formula>NOT(ISERROR(SEARCH("Pesquisa de Preços",D6223)))</formula>
    </cfRule>
  </conditionalFormatting>
  <conditionalFormatting sqref="D6215:D6218">
    <cfRule type="containsText" dxfId="524" priority="509" operator="containsText" text="Pesquisa de Preços">
      <formula>NOT(ISERROR(SEARCH("Pesquisa de Preços",D6215)))</formula>
    </cfRule>
  </conditionalFormatting>
  <conditionalFormatting sqref="D6219">
    <cfRule type="containsText" dxfId="523" priority="508" operator="containsText" text="Pesquisa de Preços">
      <formula>NOT(ISERROR(SEARCH("Pesquisa de Preços",D6219)))</formula>
    </cfRule>
  </conditionalFormatting>
  <conditionalFormatting sqref="D6214">
    <cfRule type="containsText" dxfId="522" priority="507" operator="containsText" text="Pesquisa de Preços">
      <formula>NOT(ISERROR(SEARCH("Pesquisa de Preços",D6214)))</formula>
    </cfRule>
  </conditionalFormatting>
  <conditionalFormatting sqref="D6212">
    <cfRule type="containsText" dxfId="521" priority="506" operator="containsText" text="Pesquisa de Preços">
      <formula>NOT(ISERROR(SEARCH("Pesquisa de Preços",D6212)))</formula>
    </cfRule>
  </conditionalFormatting>
  <conditionalFormatting sqref="D6231 D6234:D6236">
    <cfRule type="containsText" dxfId="520" priority="503" operator="containsText" text="Pesquisa de Preços">
      <formula>NOT(ISERROR(SEARCH("Pesquisa de Preços",D6231)))</formula>
    </cfRule>
  </conditionalFormatting>
  <conditionalFormatting sqref="D6230">
    <cfRule type="containsText" dxfId="519" priority="505" operator="containsText" text="Pesquisa de Preços">
      <formula>NOT(ISERROR(SEARCH("Pesquisa de Preços",D6230)))</formula>
    </cfRule>
  </conditionalFormatting>
  <conditionalFormatting sqref="D6228">
    <cfRule type="containsText" dxfId="518" priority="504" operator="containsText" text="Pesquisa de Preços">
      <formula>NOT(ISERROR(SEARCH("Pesquisa de Preços",D6228)))</formula>
    </cfRule>
  </conditionalFormatting>
  <conditionalFormatting sqref="D6232:D6233">
    <cfRule type="containsText" dxfId="517" priority="502" operator="containsText" text="Pesquisa de Preços">
      <formula>NOT(ISERROR(SEARCH("Pesquisa de Preços",D6232)))</formula>
    </cfRule>
  </conditionalFormatting>
  <conditionalFormatting sqref="D6243">
    <cfRule type="containsText" dxfId="516" priority="501" operator="containsText" text="Pesquisa de Preços">
      <formula>NOT(ISERROR(SEARCH("Pesquisa de Preços",D6243)))</formula>
    </cfRule>
  </conditionalFormatting>
  <conditionalFormatting sqref="D6239">
    <cfRule type="containsText" dxfId="515" priority="500" operator="containsText" text="Pesquisa de Preços">
      <formula>NOT(ISERROR(SEARCH("Pesquisa de Preços",D6239)))</formula>
    </cfRule>
  </conditionalFormatting>
  <conditionalFormatting sqref="D6237">
    <cfRule type="containsText" dxfId="514" priority="499" operator="containsText" text="Pesquisa de Preços">
      <formula>NOT(ISERROR(SEARCH("Pesquisa de Preços",D6237)))</formula>
    </cfRule>
  </conditionalFormatting>
  <conditionalFormatting sqref="D6240:D6242">
    <cfRule type="containsText" dxfId="513" priority="498" operator="containsText" text="Pesquisa de Preços">
      <formula>NOT(ISERROR(SEARCH("Pesquisa de Preços",D6240)))</formula>
    </cfRule>
  </conditionalFormatting>
  <conditionalFormatting sqref="D6249">
    <cfRule type="containsText" dxfId="512" priority="497" operator="containsText" text="Pesquisa de Preços">
      <formula>NOT(ISERROR(SEARCH("Pesquisa de Preços",D6249)))</formula>
    </cfRule>
  </conditionalFormatting>
  <conditionalFormatting sqref="D6244">
    <cfRule type="containsText" dxfId="511" priority="496" operator="containsText" text="Pesquisa de Preços">
      <formula>NOT(ISERROR(SEARCH("Pesquisa de Preços",D6244)))</formula>
    </cfRule>
  </conditionalFormatting>
  <conditionalFormatting sqref="D6248">
    <cfRule type="containsText" dxfId="510" priority="495" operator="containsText" text="Pesquisa de Preços">
      <formula>NOT(ISERROR(SEARCH("Pesquisa de Preços",D6248)))</formula>
    </cfRule>
  </conditionalFormatting>
  <conditionalFormatting sqref="D6246:D6247">
    <cfRule type="containsText" dxfId="509" priority="494" operator="containsText" text="Pesquisa de Preços">
      <formula>NOT(ISERROR(SEARCH("Pesquisa de Preços",D6246)))</formula>
    </cfRule>
  </conditionalFormatting>
  <conditionalFormatting sqref="D6256">
    <cfRule type="containsText" dxfId="508" priority="493" operator="containsText" text="Pesquisa de Preços">
      <formula>NOT(ISERROR(SEARCH("Pesquisa de Preços",D6256)))</formula>
    </cfRule>
  </conditionalFormatting>
  <conditionalFormatting sqref="D6252">
    <cfRule type="containsText" dxfId="507" priority="492" operator="containsText" text="Pesquisa de Preços">
      <formula>NOT(ISERROR(SEARCH("Pesquisa de Preços",D6252)))</formula>
    </cfRule>
  </conditionalFormatting>
  <conditionalFormatting sqref="D6250">
    <cfRule type="containsText" dxfId="506" priority="491" operator="containsText" text="Pesquisa de Preços">
      <formula>NOT(ISERROR(SEARCH("Pesquisa de Preços",D6250)))</formula>
    </cfRule>
  </conditionalFormatting>
  <conditionalFormatting sqref="D6253:D6255">
    <cfRule type="containsText" dxfId="505" priority="490" operator="containsText" text="Pesquisa de Preços">
      <formula>NOT(ISERROR(SEARCH("Pesquisa de Preços",D6253)))</formula>
    </cfRule>
  </conditionalFormatting>
  <conditionalFormatting sqref="D6262">
    <cfRule type="containsText" dxfId="504" priority="489" operator="containsText" text="Pesquisa de Preços">
      <formula>NOT(ISERROR(SEARCH("Pesquisa de Preços",D6262)))</formula>
    </cfRule>
  </conditionalFormatting>
  <conditionalFormatting sqref="D6260:D6261">
    <cfRule type="containsText" dxfId="503" priority="487" operator="containsText" text="Pesquisa de Preços">
      <formula>NOT(ISERROR(SEARCH("Pesquisa de Preços",D6260)))</formula>
    </cfRule>
  </conditionalFormatting>
  <conditionalFormatting sqref="D6259">
    <cfRule type="containsText" dxfId="502" priority="488" operator="containsText" text="Pesquisa de Preços">
      <formula>NOT(ISERROR(SEARCH("Pesquisa de Preços",D6259)))</formula>
    </cfRule>
  </conditionalFormatting>
  <conditionalFormatting sqref="D6257">
    <cfRule type="containsText" dxfId="501" priority="486" operator="containsText" text="Pesquisa de Preços">
      <formula>NOT(ISERROR(SEARCH("Pesquisa de Preços",D6257)))</formula>
    </cfRule>
  </conditionalFormatting>
  <conditionalFormatting sqref="D5031 D4194 D640">
    <cfRule type="containsText" dxfId="500" priority="485" operator="containsText" text="Pesquisa de Preços">
      <formula>NOT(ISERROR(SEARCH("Pesquisa de Preços",D640)))</formula>
    </cfRule>
  </conditionalFormatting>
  <conditionalFormatting sqref="D1239">
    <cfRule type="containsText" dxfId="499" priority="484" operator="containsText" text="Pesquisa de Preços">
      <formula>NOT(ISERROR(SEARCH("Pesquisa de Preços",D1239)))</formula>
    </cfRule>
  </conditionalFormatting>
  <conditionalFormatting sqref="D1240:D1241">
    <cfRule type="containsText" dxfId="498" priority="483" operator="containsText" text="Pesquisa de Preços">
      <formula>NOT(ISERROR(SEARCH("Pesquisa de Preços",D1240)))</formula>
    </cfRule>
  </conditionalFormatting>
  <conditionalFormatting sqref="D1321">
    <cfRule type="containsText" dxfId="497" priority="482" operator="containsText" text="Pesquisa de Preços">
      <formula>NOT(ISERROR(SEARCH("Pesquisa de Preços",D1321)))</formula>
    </cfRule>
  </conditionalFormatting>
  <conditionalFormatting sqref="D4906">
    <cfRule type="containsText" dxfId="496" priority="481" operator="containsText" text="Pesquisa de Preços">
      <formula>NOT(ISERROR(SEARCH("Pesquisa de Preços",D4906)))</formula>
    </cfRule>
  </conditionalFormatting>
  <conditionalFormatting sqref="D5054">
    <cfRule type="containsText" dxfId="495" priority="479" operator="containsText" text="Pesquisa de Preços">
      <formula>NOT(ISERROR(SEARCH("Pesquisa de Preços",D5054)))</formula>
    </cfRule>
  </conditionalFormatting>
  <conditionalFormatting sqref="D5054">
    <cfRule type="containsText" dxfId="494" priority="480" operator="containsText" text="Pesquisa de Preços">
      <formula>NOT(ISERROR(SEARCH("Pesquisa de Preços",D5054)))</formula>
    </cfRule>
  </conditionalFormatting>
  <conditionalFormatting sqref="D879:D880">
    <cfRule type="containsText" dxfId="493" priority="478" operator="containsText" text="Pesquisa de Preços">
      <formula>NOT(ISERROR(SEARCH("Pesquisa de Preços",D879)))</formula>
    </cfRule>
  </conditionalFormatting>
  <conditionalFormatting sqref="D886:D887">
    <cfRule type="containsText" dxfId="492" priority="477" operator="containsText" text="Pesquisa de Preços">
      <formula>NOT(ISERROR(SEARCH("Pesquisa de Preços",D886)))</formula>
    </cfRule>
  </conditionalFormatting>
  <conditionalFormatting sqref="D6440">
    <cfRule type="containsText" dxfId="491" priority="474" operator="containsText" text="Pesquisa de Preços">
      <formula>NOT(ISERROR(SEARCH("Pesquisa de Preços",D6440)))</formula>
    </cfRule>
  </conditionalFormatting>
  <conditionalFormatting sqref="D6443">
    <cfRule type="containsText" dxfId="490" priority="476" operator="containsText" text="Pesquisa de Preços">
      <formula>NOT(ISERROR(SEARCH("Pesquisa de Preços",D6443)))</formula>
    </cfRule>
  </conditionalFormatting>
  <conditionalFormatting sqref="D6439">
    <cfRule type="containsText" dxfId="489" priority="475" operator="containsText" text="Pesquisa de Preços">
      <formula>NOT(ISERROR(SEARCH("Pesquisa de Preços",D6439)))</formula>
    </cfRule>
  </conditionalFormatting>
  <conditionalFormatting sqref="D6445:D6446">
    <cfRule type="containsText" dxfId="488" priority="471" operator="containsText" text="Pesquisa de Preços">
      <formula>NOT(ISERROR(SEARCH("Pesquisa de Preços",D6445)))</formula>
    </cfRule>
  </conditionalFormatting>
  <conditionalFormatting sqref="D6448">
    <cfRule type="containsText" dxfId="487" priority="473" operator="containsText" text="Pesquisa de Preços">
      <formula>NOT(ISERROR(SEARCH("Pesquisa de Preços",D6448)))</formula>
    </cfRule>
  </conditionalFormatting>
  <conditionalFormatting sqref="D6444">
    <cfRule type="containsText" dxfId="486" priority="472" operator="containsText" text="Pesquisa de Preços">
      <formula>NOT(ISERROR(SEARCH("Pesquisa de Preços",D6444)))</formula>
    </cfRule>
  </conditionalFormatting>
  <conditionalFormatting sqref="D6442">
    <cfRule type="containsText" dxfId="485" priority="469" operator="containsText" text="Pesquisa de Preços">
      <formula>NOT(ISERROR(SEARCH("Pesquisa de Preços",D6442)))</formula>
    </cfRule>
  </conditionalFormatting>
  <conditionalFormatting sqref="D6441">
    <cfRule type="containsText" dxfId="484" priority="470" operator="containsText" text="Pesquisa de Preços">
      <formula>NOT(ISERROR(SEARCH("Pesquisa de Preços",D6441)))</formula>
    </cfRule>
  </conditionalFormatting>
  <conditionalFormatting sqref="D6416:D6417">
    <cfRule type="containsText" dxfId="483" priority="466" operator="containsText" text="Pesquisa de Preços">
      <formula>NOT(ISERROR(SEARCH("Pesquisa de Preços",D6416)))</formula>
    </cfRule>
  </conditionalFormatting>
  <conditionalFormatting sqref="D6421">
    <cfRule type="containsText" dxfId="482" priority="468" operator="containsText" text="Pesquisa de Preços">
      <formula>NOT(ISERROR(SEARCH("Pesquisa de Preços",D6421)))</formula>
    </cfRule>
  </conditionalFormatting>
  <conditionalFormatting sqref="D6415">
    <cfRule type="containsText" dxfId="481" priority="467" operator="containsText" text="Pesquisa de Preços">
      <formula>NOT(ISERROR(SEARCH("Pesquisa de Preços",D6415)))</formula>
    </cfRule>
  </conditionalFormatting>
  <conditionalFormatting sqref="D6423">
    <cfRule type="containsText" dxfId="480" priority="463" operator="containsText" text="Pesquisa de Preços">
      <formula>NOT(ISERROR(SEARCH("Pesquisa de Preços",D6423)))</formula>
    </cfRule>
  </conditionalFormatting>
  <conditionalFormatting sqref="D6425">
    <cfRule type="containsText" dxfId="479" priority="465" operator="containsText" text="Pesquisa de Preços">
      <formula>NOT(ISERROR(SEARCH("Pesquisa de Preços",D6425)))</formula>
    </cfRule>
  </conditionalFormatting>
  <conditionalFormatting sqref="D6422">
    <cfRule type="containsText" dxfId="478" priority="464" operator="containsText" text="Pesquisa de Preços">
      <formula>NOT(ISERROR(SEARCH("Pesquisa de Preços",D6422)))</formula>
    </cfRule>
  </conditionalFormatting>
  <conditionalFormatting sqref="D6427">
    <cfRule type="containsText" dxfId="477" priority="460" operator="containsText" text="Pesquisa de Preços">
      <formula>NOT(ISERROR(SEARCH("Pesquisa de Preços",D6427)))</formula>
    </cfRule>
  </conditionalFormatting>
  <conditionalFormatting sqref="D6430">
    <cfRule type="containsText" dxfId="476" priority="462" operator="containsText" text="Pesquisa de Preços">
      <formula>NOT(ISERROR(SEARCH("Pesquisa de Preços",D6430)))</formula>
    </cfRule>
  </conditionalFormatting>
  <conditionalFormatting sqref="D6426">
    <cfRule type="containsText" dxfId="475" priority="461" operator="containsText" text="Pesquisa de Preços">
      <formula>NOT(ISERROR(SEARCH("Pesquisa de Preços",D6426)))</formula>
    </cfRule>
  </conditionalFormatting>
  <conditionalFormatting sqref="D6432">
    <cfRule type="containsText" dxfId="474" priority="457" operator="containsText" text="Pesquisa de Preços">
      <formula>NOT(ISERROR(SEARCH("Pesquisa de Preços",D6432)))</formula>
    </cfRule>
  </conditionalFormatting>
  <conditionalFormatting sqref="D6434">
    <cfRule type="containsText" dxfId="473" priority="459" operator="containsText" text="Pesquisa de Preços">
      <formula>NOT(ISERROR(SEARCH("Pesquisa de Preços",D6434)))</formula>
    </cfRule>
  </conditionalFormatting>
  <conditionalFormatting sqref="D6431">
    <cfRule type="containsText" dxfId="472" priority="458" operator="containsText" text="Pesquisa de Preços">
      <formula>NOT(ISERROR(SEARCH("Pesquisa de Preços",D6431)))</formula>
    </cfRule>
  </conditionalFormatting>
  <conditionalFormatting sqref="D6436">
    <cfRule type="containsText" dxfId="471" priority="454" operator="containsText" text="Pesquisa de Preços">
      <formula>NOT(ISERROR(SEARCH("Pesquisa de Preços",D6436)))</formula>
    </cfRule>
  </conditionalFormatting>
  <conditionalFormatting sqref="D6438">
    <cfRule type="containsText" dxfId="470" priority="456" operator="containsText" text="Pesquisa de Preços">
      <formula>NOT(ISERROR(SEARCH("Pesquisa de Preços",D6438)))</formula>
    </cfRule>
  </conditionalFormatting>
  <conditionalFormatting sqref="D6435">
    <cfRule type="containsText" dxfId="469" priority="455" operator="containsText" text="Pesquisa de Preços">
      <formula>NOT(ISERROR(SEARCH("Pesquisa de Preços",D6435)))</formula>
    </cfRule>
  </conditionalFormatting>
  <conditionalFormatting sqref="D1377">
    <cfRule type="containsText" dxfId="468" priority="453" operator="containsText" text="Pesquisa de Preços">
      <formula>NOT(ISERROR(SEARCH("Pesquisa de Preços",D1377)))</formula>
    </cfRule>
  </conditionalFormatting>
  <conditionalFormatting sqref="D1378">
    <cfRule type="containsText" dxfId="467" priority="452" operator="containsText" text="Pesquisa de Preços">
      <formula>NOT(ISERROR(SEARCH("Pesquisa de Preços",D1378)))</formula>
    </cfRule>
  </conditionalFormatting>
  <conditionalFormatting sqref="D1949">
    <cfRule type="containsText" dxfId="466" priority="451" operator="containsText" text="Pesquisa de Preços">
      <formula>NOT(ISERROR(SEARCH("Pesquisa de Preços",D1949)))</formula>
    </cfRule>
  </conditionalFormatting>
  <conditionalFormatting sqref="D1948">
    <cfRule type="containsText" dxfId="465" priority="450" operator="containsText" text="Pesquisa de Preços">
      <formula>NOT(ISERROR(SEARCH("Pesquisa de Preços",D1948)))</formula>
    </cfRule>
  </conditionalFormatting>
  <conditionalFormatting sqref="D2227">
    <cfRule type="containsText" dxfId="464" priority="449" operator="containsText" text="Pesquisa de Preços">
      <formula>NOT(ISERROR(SEARCH("Pesquisa de Preços",D2227)))</formula>
    </cfRule>
  </conditionalFormatting>
  <conditionalFormatting sqref="D2226">
    <cfRule type="containsText" dxfId="463" priority="448" operator="containsText" text="Pesquisa de Preços">
      <formula>NOT(ISERROR(SEARCH("Pesquisa de Preços",D2226)))</formula>
    </cfRule>
  </conditionalFormatting>
  <conditionalFormatting sqref="D2233">
    <cfRule type="containsText" dxfId="462" priority="447" operator="containsText" text="Pesquisa de Preços">
      <formula>NOT(ISERROR(SEARCH("Pesquisa de Preços",D2233)))</formula>
    </cfRule>
  </conditionalFormatting>
  <conditionalFormatting sqref="D6465">
    <cfRule type="containsText" dxfId="461" priority="446" operator="containsText" text="Pesquisa de Preços">
      <formula>NOT(ISERROR(SEARCH("Pesquisa de Preços",D6465)))</formula>
    </cfRule>
  </conditionalFormatting>
  <conditionalFormatting sqref="D6462">
    <cfRule type="containsText" dxfId="460" priority="444" operator="containsText" text="Pesquisa de Preços">
      <formula>NOT(ISERROR(SEARCH("Pesquisa de Preços",D6462)))</formula>
    </cfRule>
  </conditionalFormatting>
  <conditionalFormatting sqref="D6474">
    <cfRule type="containsText" dxfId="459" priority="443" operator="containsText" text="Pesquisa de Preços">
      <formula>NOT(ISERROR(SEARCH("Pesquisa de Preços",D6474)))</formula>
    </cfRule>
  </conditionalFormatting>
  <conditionalFormatting sqref="D6461">
    <cfRule type="containsText" dxfId="458" priority="445" operator="containsText" text="Pesquisa de Preços">
      <formula>NOT(ISERROR(SEARCH("Pesquisa de Preços",D6461)))</formula>
    </cfRule>
  </conditionalFormatting>
  <conditionalFormatting sqref="D6467:D6468">
    <cfRule type="containsText" dxfId="457" priority="441" operator="containsText" text="Pesquisa de Preços">
      <formula>NOT(ISERROR(SEARCH("Pesquisa de Preços",D6467)))</formula>
    </cfRule>
  </conditionalFormatting>
  <conditionalFormatting sqref="D6466">
    <cfRule type="containsText" dxfId="456" priority="442" operator="containsText" text="Pesquisa de Preços">
      <formula>NOT(ISERROR(SEARCH("Pesquisa de Preços",D6466)))</formula>
    </cfRule>
  </conditionalFormatting>
  <conditionalFormatting sqref="D6464">
    <cfRule type="containsText" dxfId="455" priority="440" operator="containsText" text="Pesquisa de Preços">
      <formula>NOT(ISERROR(SEARCH("Pesquisa de Preços",D6464)))</formula>
    </cfRule>
  </conditionalFormatting>
  <conditionalFormatting sqref="D6476">
    <cfRule type="containsText" dxfId="454" priority="437" operator="containsText" text="Pesquisa de Preços">
      <formula>NOT(ISERROR(SEARCH("Pesquisa de Preços",D6476)))</formula>
    </cfRule>
  </conditionalFormatting>
  <conditionalFormatting sqref="D6481">
    <cfRule type="containsText" dxfId="453" priority="439" operator="containsText" text="Pesquisa de Preços">
      <formula>NOT(ISERROR(SEARCH("Pesquisa de Preços",D6481)))</formula>
    </cfRule>
  </conditionalFormatting>
  <conditionalFormatting sqref="D6475">
    <cfRule type="containsText" dxfId="452" priority="438" operator="containsText" text="Pesquisa de Preços">
      <formula>NOT(ISERROR(SEARCH("Pesquisa de Preços",D6475)))</formula>
    </cfRule>
  </conditionalFormatting>
  <conditionalFormatting sqref="D6477">
    <cfRule type="containsText" dxfId="451" priority="436" operator="containsText" text="Pesquisa de Preços">
      <formula>NOT(ISERROR(SEARCH("Pesquisa de Preços",D6477)))</formula>
    </cfRule>
  </conditionalFormatting>
  <conditionalFormatting sqref="D6483">
    <cfRule type="containsText" dxfId="450" priority="433" operator="containsText" text="Pesquisa de Preços">
      <formula>NOT(ISERROR(SEARCH("Pesquisa de Preços",D6483)))</formula>
    </cfRule>
  </conditionalFormatting>
  <conditionalFormatting sqref="D6488">
    <cfRule type="containsText" dxfId="449" priority="435" operator="containsText" text="Pesquisa de Preços">
      <formula>NOT(ISERROR(SEARCH("Pesquisa de Preços",D6488)))</formula>
    </cfRule>
  </conditionalFormatting>
  <conditionalFormatting sqref="D6482">
    <cfRule type="containsText" dxfId="448" priority="434" operator="containsText" text="Pesquisa de Preços">
      <formula>NOT(ISERROR(SEARCH("Pesquisa de Preços",D6482)))</formula>
    </cfRule>
  </conditionalFormatting>
  <conditionalFormatting sqref="D6490">
    <cfRule type="containsText" dxfId="447" priority="431" operator="containsText" text="Pesquisa de Preços">
      <formula>NOT(ISERROR(SEARCH("Pesquisa de Preços",D6490)))</formula>
    </cfRule>
  </conditionalFormatting>
  <conditionalFormatting sqref="D6489">
    <cfRule type="containsText" dxfId="446" priority="432" operator="containsText" text="Pesquisa de Preços">
      <formula>NOT(ISERROR(SEARCH("Pesquisa de Preços",D6489)))</formula>
    </cfRule>
  </conditionalFormatting>
  <conditionalFormatting sqref="D6484">
    <cfRule type="containsText" dxfId="445" priority="430" operator="containsText" text="Pesquisa de Preços">
      <formula>NOT(ISERROR(SEARCH("Pesquisa de Preços",D6484)))</formula>
    </cfRule>
  </conditionalFormatting>
  <conditionalFormatting sqref="D6495">
    <cfRule type="containsText" dxfId="444" priority="429" operator="containsText" text="Pesquisa de Preços">
      <formula>NOT(ISERROR(SEARCH("Pesquisa de Preços",D6495)))</formula>
    </cfRule>
  </conditionalFormatting>
  <conditionalFormatting sqref="D373">
    <cfRule type="containsText" dxfId="443" priority="428" operator="containsText" text="Pesquisa de Preços">
      <formula>NOT(ISERROR(SEARCH("Pesquisa de Preços",D373)))</formula>
    </cfRule>
  </conditionalFormatting>
  <conditionalFormatting sqref="D6517">
    <cfRule type="containsText" dxfId="442" priority="427" operator="containsText" text="Pesquisa de Preços">
      <formula>NOT(ISERROR(SEARCH("Pesquisa de Preços",D6517)))</formula>
    </cfRule>
  </conditionalFormatting>
  <conditionalFormatting sqref="D6515">
    <cfRule type="containsText" dxfId="441" priority="425" operator="containsText" text="Pesquisa de Preços">
      <formula>NOT(ISERROR(SEARCH("Pesquisa de Preços",D6515)))</formula>
    </cfRule>
  </conditionalFormatting>
  <conditionalFormatting sqref="D6514">
    <cfRule type="containsText" dxfId="440" priority="426" operator="containsText" text="Pesquisa de Preços">
      <formula>NOT(ISERROR(SEARCH("Pesquisa de Preços",D6514)))</formula>
    </cfRule>
  </conditionalFormatting>
  <conditionalFormatting sqref="D6521">
    <cfRule type="containsText" dxfId="439" priority="424" operator="containsText" text="Pesquisa de Preços">
      <formula>NOT(ISERROR(SEARCH("Pesquisa de Preços",D6521)))</formula>
    </cfRule>
  </conditionalFormatting>
  <conditionalFormatting sqref="D6519">
    <cfRule type="containsText" dxfId="438" priority="422" operator="containsText" text="Pesquisa de Preços">
      <formula>NOT(ISERROR(SEARCH("Pesquisa de Preços",D6519)))</formula>
    </cfRule>
  </conditionalFormatting>
  <conditionalFormatting sqref="D6518">
    <cfRule type="containsText" dxfId="437" priority="423" operator="containsText" text="Pesquisa de Preços">
      <formula>NOT(ISERROR(SEARCH("Pesquisa de Preços",D6518)))</formula>
    </cfRule>
  </conditionalFormatting>
  <conditionalFormatting sqref="D6525">
    <cfRule type="containsText" dxfId="436" priority="421" operator="containsText" text="Pesquisa de Preços">
      <formula>NOT(ISERROR(SEARCH("Pesquisa de Preços",D6525)))</formula>
    </cfRule>
  </conditionalFormatting>
  <conditionalFormatting sqref="D6523">
    <cfRule type="containsText" dxfId="435" priority="419" operator="containsText" text="Pesquisa de Preços">
      <formula>NOT(ISERROR(SEARCH("Pesquisa de Preços",D6523)))</formula>
    </cfRule>
  </conditionalFormatting>
  <conditionalFormatting sqref="D6522">
    <cfRule type="containsText" dxfId="434" priority="420" operator="containsText" text="Pesquisa de Preços">
      <formula>NOT(ISERROR(SEARCH("Pesquisa de Preços",D6522)))</formula>
    </cfRule>
  </conditionalFormatting>
  <conditionalFormatting sqref="D6529">
    <cfRule type="containsText" dxfId="433" priority="418" operator="containsText" text="Pesquisa de Preços">
      <formula>NOT(ISERROR(SEARCH("Pesquisa de Preços",D6529)))</formula>
    </cfRule>
  </conditionalFormatting>
  <conditionalFormatting sqref="D6527">
    <cfRule type="containsText" dxfId="432" priority="416" operator="containsText" text="Pesquisa de Preços">
      <formula>NOT(ISERROR(SEARCH("Pesquisa de Preços",D6527)))</formula>
    </cfRule>
  </conditionalFormatting>
  <conditionalFormatting sqref="D6526">
    <cfRule type="containsText" dxfId="431" priority="417" operator="containsText" text="Pesquisa de Preços">
      <formula>NOT(ISERROR(SEARCH("Pesquisa de Preços",D6526)))</formula>
    </cfRule>
  </conditionalFormatting>
  <conditionalFormatting sqref="D6533">
    <cfRule type="containsText" dxfId="430" priority="415" operator="containsText" text="Pesquisa de Preços">
      <formula>NOT(ISERROR(SEARCH("Pesquisa de Preços",D6533)))</formula>
    </cfRule>
  </conditionalFormatting>
  <conditionalFormatting sqref="D6531">
    <cfRule type="containsText" dxfId="429" priority="413" operator="containsText" text="Pesquisa de Preços">
      <formula>NOT(ISERROR(SEARCH("Pesquisa de Preços",D6531)))</formula>
    </cfRule>
  </conditionalFormatting>
  <conditionalFormatting sqref="D6530">
    <cfRule type="containsText" dxfId="428" priority="414" operator="containsText" text="Pesquisa de Preços">
      <formula>NOT(ISERROR(SEARCH("Pesquisa de Preços",D6530)))</formula>
    </cfRule>
  </conditionalFormatting>
  <conditionalFormatting sqref="D6537">
    <cfRule type="containsText" dxfId="427" priority="412" operator="containsText" text="Pesquisa de Preços">
      <formula>NOT(ISERROR(SEARCH("Pesquisa de Preços",D6537)))</formula>
    </cfRule>
  </conditionalFormatting>
  <conditionalFormatting sqref="D6535">
    <cfRule type="containsText" dxfId="426" priority="410" operator="containsText" text="Pesquisa de Preços">
      <formula>NOT(ISERROR(SEARCH("Pesquisa de Preços",D6535)))</formula>
    </cfRule>
  </conditionalFormatting>
  <conditionalFormatting sqref="D6534">
    <cfRule type="containsText" dxfId="425" priority="411" operator="containsText" text="Pesquisa de Preços">
      <formula>NOT(ISERROR(SEARCH("Pesquisa de Preços",D6534)))</formula>
    </cfRule>
  </conditionalFormatting>
  <conditionalFormatting sqref="D6541">
    <cfRule type="containsText" dxfId="424" priority="409" operator="containsText" text="Pesquisa de Preços">
      <formula>NOT(ISERROR(SEARCH("Pesquisa de Preços",D6541)))</formula>
    </cfRule>
  </conditionalFormatting>
  <conditionalFormatting sqref="D6539">
    <cfRule type="containsText" dxfId="423" priority="407" operator="containsText" text="Pesquisa de Preços">
      <formula>NOT(ISERROR(SEARCH("Pesquisa de Preços",D6539)))</formula>
    </cfRule>
  </conditionalFormatting>
  <conditionalFormatting sqref="D6538">
    <cfRule type="containsText" dxfId="422" priority="408" operator="containsText" text="Pesquisa de Preços">
      <formula>NOT(ISERROR(SEARCH("Pesquisa de Preços",D6538)))</formula>
    </cfRule>
  </conditionalFormatting>
  <conditionalFormatting sqref="D6545">
    <cfRule type="containsText" dxfId="421" priority="406" operator="containsText" text="Pesquisa de Preços">
      <formula>NOT(ISERROR(SEARCH("Pesquisa de Preços",D6545)))</formula>
    </cfRule>
  </conditionalFormatting>
  <conditionalFormatting sqref="D6543">
    <cfRule type="containsText" dxfId="420" priority="404" operator="containsText" text="Pesquisa de Preços">
      <formula>NOT(ISERROR(SEARCH("Pesquisa de Preços",D6543)))</formula>
    </cfRule>
  </conditionalFormatting>
  <conditionalFormatting sqref="D6542">
    <cfRule type="containsText" dxfId="419" priority="405" operator="containsText" text="Pesquisa de Preços">
      <formula>NOT(ISERROR(SEARCH("Pesquisa de Preços",D6542)))</formula>
    </cfRule>
  </conditionalFormatting>
  <conditionalFormatting sqref="D6549">
    <cfRule type="containsText" dxfId="418" priority="403" operator="containsText" text="Pesquisa de Preços">
      <formula>NOT(ISERROR(SEARCH("Pesquisa de Preços",D6549)))</formula>
    </cfRule>
  </conditionalFormatting>
  <conditionalFormatting sqref="D6547">
    <cfRule type="containsText" dxfId="417" priority="401" operator="containsText" text="Pesquisa de Preços">
      <formula>NOT(ISERROR(SEARCH("Pesquisa de Preços",D6547)))</formula>
    </cfRule>
  </conditionalFormatting>
  <conditionalFormatting sqref="D6546">
    <cfRule type="containsText" dxfId="416" priority="402" operator="containsText" text="Pesquisa de Preços">
      <formula>NOT(ISERROR(SEARCH("Pesquisa de Preços",D6546)))</formula>
    </cfRule>
  </conditionalFormatting>
  <conditionalFormatting sqref="D6553">
    <cfRule type="containsText" dxfId="415" priority="400" operator="containsText" text="Pesquisa de Preços">
      <formula>NOT(ISERROR(SEARCH("Pesquisa de Preços",D6553)))</formula>
    </cfRule>
  </conditionalFormatting>
  <conditionalFormatting sqref="D6551">
    <cfRule type="containsText" dxfId="414" priority="398" operator="containsText" text="Pesquisa de Preços">
      <formula>NOT(ISERROR(SEARCH("Pesquisa de Preços",D6551)))</formula>
    </cfRule>
  </conditionalFormatting>
  <conditionalFormatting sqref="D6550">
    <cfRule type="containsText" dxfId="413" priority="399" operator="containsText" text="Pesquisa de Preços">
      <formula>NOT(ISERROR(SEARCH("Pesquisa de Preços",D6550)))</formula>
    </cfRule>
  </conditionalFormatting>
  <conditionalFormatting sqref="D6561">
    <cfRule type="containsText" dxfId="412" priority="397" operator="containsText" text="Pesquisa de Preços">
      <formula>NOT(ISERROR(SEARCH("Pesquisa de Preços",D6561)))</formula>
    </cfRule>
  </conditionalFormatting>
  <conditionalFormatting sqref="D6559">
    <cfRule type="containsText" dxfId="411" priority="395" operator="containsText" text="Pesquisa de Preços">
      <formula>NOT(ISERROR(SEARCH("Pesquisa de Preços",D6559)))</formula>
    </cfRule>
  </conditionalFormatting>
  <conditionalFormatting sqref="D6558">
    <cfRule type="containsText" dxfId="410" priority="396" operator="containsText" text="Pesquisa de Preços">
      <formula>NOT(ISERROR(SEARCH("Pesquisa de Preços",D6558)))</formula>
    </cfRule>
  </conditionalFormatting>
  <conditionalFormatting sqref="D6565">
    <cfRule type="containsText" dxfId="409" priority="394" operator="containsText" text="Pesquisa de Preços">
      <formula>NOT(ISERROR(SEARCH("Pesquisa de Preços",D6565)))</formula>
    </cfRule>
  </conditionalFormatting>
  <conditionalFormatting sqref="D6563">
    <cfRule type="containsText" dxfId="408" priority="392" operator="containsText" text="Pesquisa de Preços">
      <formula>NOT(ISERROR(SEARCH("Pesquisa de Preços",D6563)))</formula>
    </cfRule>
  </conditionalFormatting>
  <conditionalFormatting sqref="D6562">
    <cfRule type="containsText" dxfId="407" priority="393" operator="containsText" text="Pesquisa de Preços">
      <formula>NOT(ISERROR(SEARCH("Pesquisa de Preços",D6562)))</formula>
    </cfRule>
  </conditionalFormatting>
  <conditionalFormatting sqref="D6569">
    <cfRule type="containsText" dxfId="406" priority="391" operator="containsText" text="Pesquisa de Preços">
      <formula>NOT(ISERROR(SEARCH("Pesquisa de Preços",D6569)))</formula>
    </cfRule>
  </conditionalFormatting>
  <conditionalFormatting sqref="D6567">
    <cfRule type="containsText" dxfId="405" priority="389" operator="containsText" text="Pesquisa de Preços">
      <formula>NOT(ISERROR(SEARCH("Pesquisa de Preços",D6567)))</formula>
    </cfRule>
  </conditionalFormatting>
  <conditionalFormatting sqref="D6566">
    <cfRule type="containsText" dxfId="404" priority="390" operator="containsText" text="Pesquisa de Preços">
      <formula>NOT(ISERROR(SEARCH("Pesquisa de Preços",D6566)))</formula>
    </cfRule>
  </conditionalFormatting>
  <conditionalFormatting sqref="D6573">
    <cfRule type="containsText" dxfId="403" priority="388" operator="containsText" text="Pesquisa de Preços">
      <formula>NOT(ISERROR(SEARCH("Pesquisa de Preços",D6573)))</formula>
    </cfRule>
  </conditionalFormatting>
  <conditionalFormatting sqref="D6571">
    <cfRule type="containsText" dxfId="402" priority="386" operator="containsText" text="Pesquisa de Preços">
      <formula>NOT(ISERROR(SEARCH("Pesquisa de Preços",D6571)))</formula>
    </cfRule>
  </conditionalFormatting>
  <conditionalFormatting sqref="D6570">
    <cfRule type="containsText" dxfId="401" priority="387" operator="containsText" text="Pesquisa de Preços">
      <formula>NOT(ISERROR(SEARCH("Pesquisa de Preços",D6570)))</formula>
    </cfRule>
  </conditionalFormatting>
  <conditionalFormatting sqref="D6581">
    <cfRule type="containsText" dxfId="400" priority="385" operator="containsText" text="Pesquisa de Preços">
      <formula>NOT(ISERROR(SEARCH("Pesquisa de Preços",D6581)))</formula>
    </cfRule>
  </conditionalFormatting>
  <conditionalFormatting sqref="D6579">
    <cfRule type="containsText" dxfId="399" priority="383" operator="containsText" text="Pesquisa de Preços">
      <formula>NOT(ISERROR(SEARCH("Pesquisa de Preços",D6579)))</formula>
    </cfRule>
  </conditionalFormatting>
  <conditionalFormatting sqref="D6578">
    <cfRule type="containsText" dxfId="398" priority="384" operator="containsText" text="Pesquisa de Preços">
      <formula>NOT(ISERROR(SEARCH("Pesquisa de Preços",D6578)))</formula>
    </cfRule>
  </conditionalFormatting>
  <conditionalFormatting sqref="D6585">
    <cfRule type="containsText" dxfId="397" priority="382" operator="containsText" text="Pesquisa de Preços">
      <formula>NOT(ISERROR(SEARCH("Pesquisa de Preços",D6585)))</formula>
    </cfRule>
  </conditionalFormatting>
  <conditionalFormatting sqref="D6583">
    <cfRule type="containsText" dxfId="396" priority="380" operator="containsText" text="Pesquisa de Preços">
      <formula>NOT(ISERROR(SEARCH("Pesquisa de Preços",D6583)))</formula>
    </cfRule>
  </conditionalFormatting>
  <conditionalFormatting sqref="D6582">
    <cfRule type="containsText" dxfId="395" priority="381" operator="containsText" text="Pesquisa de Preços">
      <formula>NOT(ISERROR(SEARCH("Pesquisa de Preços",D6582)))</formula>
    </cfRule>
  </conditionalFormatting>
  <conditionalFormatting sqref="D6589">
    <cfRule type="containsText" dxfId="394" priority="379" operator="containsText" text="Pesquisa de Preços">
      <formula>NOT(ISERROR(SEARCH("Pesquisa de Preços",D6589)))</formula>
    </cfRule>
  </conditionalFormatting>
  <conditionalFormatting sqref="D6587">
    <cfRule type="containsText" dxfId="393" priority="377" operator="containsText" text="Pesquisa de Preços">
      <formula>NOT(ISERROR(SEARCH("Pesquisa de Preços",D6587)))</formula>
    </cfRule>
  </conditionalFormatting>
  <conditionalFormatting sqref="D6586">
    <cfRule type="containsText" dxfId="392" priority="378" operator="containsText" text="Pesquisa de Preços">
      <formula>NOT(ISERROR(SEARCH("Pesquisa de Preços",D6586)))</formula>
    </cfRule>
  </conditionalFormatting>
  <conditionalFormatting sqref="D6593">
    <cfRule type="containsText" dxfId="391" priority="376" operator="containsText" text="Pesquisa de Preços">
      <formula>NOT(ISERROR(SEARCH("Pesquisa de Preços",D6593)))</formula>
    </cfRule>
  </conditionalFormatting>
  <conditionalFormatting sqref="D6591">
    <cfRule type="containsText" dxfId="390" priority="374" operator="containsText" text="Pesquisa de Preços">
      <formula>NOT(ISERROR(SEARCH("Pesquisa de Preços",D6591)))</formula>
    </cfRule>
  </conditionalFormatting>
  <conditionalFormatting sqref="D6590">
    <cfRule type="containsText" dxfId="389" priority="375" operator="containsText" text="Pesquisa de Preços">
      <formula>NOT(ISERROR(SEARCH("Pesquisa de Preços",D6590)))</formula>
    </cfRule>
  </conditionalFormatting>
  <conditionalFormatting sqref="D6597">
    <cfRule type="containsText" dxfId="388" priority="373" operator="containsText" text="Pesquisa de Preços">
      <formula>NOT(ISERROR(SEARCH("Pesquisa de Preços",D6597)))</formula>
    </cfRule>
  </conditionalFormatting>
  <conditionalFormatting sqref="D6595">
    <cfRule type="containsText" dxfId="387" priority="371" operator="containsText" text="Pesquisa de Preços">
      <formula>NOT(ISERROR(SEARCH("Pesquisa de Preços",D6595)))</formula>
    </cfRule>
  </conditionalFormatting>
  <conditionalFormatting sqref="D6594">
    <cfRule type="containsText" dxfId="386" priority="372" operator="containsText" text="Pesquisa de Preços">
      <formula>NOT(ISERROR(SEARCH("Pesquisa de Preços",D6594)))</formula>
    </cfRule>
  </conditionalFormatting>
  <conditionalFormatting sqref="D6601">
    <cfRule type="containsText" dxfId="385" priority="370" operator="containsText" text="Pesquisa de Preços">
      <formula>NOT(ISERROR(SEARCH("Pesquisa de Preços",D6601)))</formula>
    </cfRule>
  </conditionalFormatting>
  <conditionalFormatting sqref="D6599">
    <cfRule type="containsText" dxfId="384" priority="368" operator="containsText" text="Pesquisa de Preços">
      <formula>NOT(ISERROR(SEARCH("Pesquisa de Preços",D6599)))</formula>
    </cfRule>
  </conditionalFormatting>
  <conditionalFormatting sqref="D6598">
    <cfRule type="containsText" dxfId="383" priority="369" operator="containsText" text="Pesquisa de Preços">
      <formula>NOT(ISERROR(SEARCH("Pesquisa de Preços",D6598)))</formula>
    </cfRule>
  </conditionalFormatting>
  <conditionalFormatting sqref="D6609">
    <cfRule type="containsText" dxfId="382" priority="367" operator="containsText" text="Pesquisa de Preços">
      <formula>NOT(ISERROR(SEARCH("Pesquisa de Preços",D6609)))</formula>
    </cfRule>
  </conditionalFormatting>
  <conditionalFormatting sqref="D6607">
    <cfRule type="containsText" dxfId="381" priority="365" operator="containsText" text="Pesquisa de Preços">
      <formula>NOT(ISERROR(SEARCH("Pesquisa de Preços",D6607)))</formula>
    </cfRule>
  </conditionalFormatting>
  <conditionalFormatting sqref="D6606">
    <cfRule type="containsText" dxfId="380" priority="366" operator="containsText" text="Pesquisa de Preços">
      <formula>NOT(ISERROR(SEARCH("Pesquisa de Preços",D6606)))</formula>
    </cfRule>
  </conditionalFormatting>
  <conditionalFormatting sqref="D6613">
    <cfRule type="containsText" dxfId="379" priority="364" operator="containsText" text="Pesquisa de Preços">
      <formula>NOT(ISERROR(SEARCH("Pesquisa de Preços",D6613)))</formula>
    </cfRule>
  </conditionalFormatting>
  <conditionalFormatting sqref="D6611">
    <cfRule type="containsText" dxfId="378" priority="362" operator="containsText" text="Pesquisa de Preços">
      <formula>NOT(ISERROR(SEARCH("Pesquisa de Preços",D6611)))</formula>
    </cfRule>
  </conditionalFormatting>
  <conditionalFormatting sqref="D6610">
    <cfRule type="containsText" dxfId="377" priority="363" operator="containsText" text="Pesquisa de Preços">
      <formula>NOT(ISERROR(SEARCH("Pesquisa de Preços",D6610)))</formula>
    </cfRule>
  </conditionalFormatting>
  <conditionalFormatting sqref="D6617">
    <cfRule type="containsText" dxfId="376" priority="361" operator="containsText" text="Pesquisa de Preços">
      <formula>NOT(ISERROR(SEARCH("Pesquisa de Preços",D6617)))</formula>
    </cfRule>
  </conditionalFormatting>
  <conditionalFormatting sqref="D6615">
    <cfRule type="containsText" dxfId="375" priority="359" operator="containsText" text="Pesquisa de Preços">
      <formula>NOT(ISERROR(SEARCH("Pesquisa de Preços",D6615)))</formula>
    </cfRule>
  </conditionalFormatting>
  <conditionalFormatting sqref="D6614">
    <cfRule type="containsText" dxfId="374" priority="360" operator="containsText" text="Pesquisa de Preços">
      <formula>NOT(ISERROR(SEARCH("Pesquisa de Preços",D6614)))</formula>
    </cfRule>
  </conditionalFormatting>
  <conditionalFormatting sqref="D6621">
    <cfRule type="containsText" dxfId="373" priority="358" operator="containsText" text="Pesquisa de Preços">
      <formula>NOT(ISERROR(SEARCH("Pesquisa de Preços",D6621)))</formula>
    </cfRule>
  </conditionalFormatting>
  <conditionalFormatting sqref="D6619">
    <cfRule type="containsText" dxfId="372" priority="356" operator="containsText" text="Pesquisa de Preços">
      <formula>NOT(ISERROR(SEARCH("Pesquisa de Preços",D6619)))</formula>
    </cfRule>
  </conditionalFormatting>
  <conditionalFormatting sqref="D6618">
    <cfRule type="containsText" dxfId="371" priority="357" operator="containsText" text="Pesquisa de Preços">
      <formula>NOT(ISERROR(SEARCH("Pesquisa de Preços",D6618)))</formula>
    </cfRule>
  </conditionalFormatting>
  <conditionalFormatting sqref="D6625">
    <cfRule type="containsText" dxfId="370" priority="355" operator="containsText" text="Pesquisa de Preços">
      <formula>NOT(ISERROR(SEARCH("Pesquisa de Preços",D6625)))</formula>
    </cfRule>
  </conditionalFormatting>
  <conditionalFormatting sqref="D6623">
    <cfRule type="containsText" dxfId="369" priority="353" operator="containsText" text="Pesquisa de Preços">
      <formula>NOT(ISERROR(SEARCH("Pesquisa de Preços",D6623)))</formula>
    </cfRule>
  </conditionalFormatting>
  <conditionalFormatting sqref="D6622">
    <cfRule type="containsText" dxfId="368" priority="354" operator="containsText" text="Pesquisa de Preços">
      <formula>NOT(ISERROR(SEARCH("Pesquisa de Preços",D6622)))</formula>
    </cfRule>
  </conditionalFormatting>
  <conditionalFormatting sqref="D6629">
    <cfRule type="containsText" dxfId="367" priority="352" operator="containsText" text="Pesquisa de Preços">
      <formula>NOT(ISERROR(SEARCH("Pesquisa de Preços",D6629)))</formula>
    </cfRule>
  </conditionalFormatting>
  <conditionalFormatting sqref="D6627">
    <cfRule type="containsText" dxfId="366" priority="350" operator="containsText" text="Pesquisa de Preços">
      <formula>NOT(ISERROR(SEARCH("Pesquisa de Preços",D6627)))</formula>
    </cfRule>
  </conditionalFormatting>
  <conditionalFormatting sqref="D6626">
    <cfRule type="containsText" dxfId="365" priority="351" operator="containsText" text="Pesquisa de Preços">
      <formula>NOT(ISERROR(SEARCH("Pesquisa de Preços",D6626)))</formula>
    </cfRule>
  </conditionalFormatting>
  <conditionalFormatting sqref="D6633">
    <cfRule type="containsText" dxfId="364" priority="349" operator="containsText" text="Pesquisa de Preços">
      <formula>NOT(ISERROR(SEARCH("Pesquisa de Preços",D6633)))</formula>
    </cfRule>
  </conditionalFormatting>
  <conditionalFormatting sqref="D6631">
    <cfRule type="containsText" dxfId="363" priority="347" operator="containsText" text="Pesquisa de Preços">
      <formula>NOT(ISERROR(SEARCH("Pesquisa de Preços",D6631)))</formula>
    </cfRule>
  </conditionalFormatting>
  <conditionalFormatting sqref="D6630">
    <cfRule type="containsText" dxfId="362" priority="348" operator="containsText" text="Pesquisa de Preços">
      <formula>NOT(ISERROR(SEARCH("Pesquisa de Preços",D6630)))</formula>
    </cfRule>
  </conditionalFormatting>
  <conditionalFormatting sqref="D6637">
    <cfRule type="containsText" dxfId="361" priority="346" operator="containsText" text="Pesquisa de Preços">
      <formula>NOT(ISERROR(SEARCH("Pesquisa de Preços",D6637)))</formula>
    </cfRule>
  </conditionalFormatting>
  <conditionalFormatting sqref="D6635">
    <cfRule type="containsText" dxfId="360" priority="344" operator="containsText" text="Pesquisa de Preços">
      <formula>NOT(ISERROR(SEARCH("Pesquisa de Preços",D6635)))</formula>
    </cfRule>
  </conditionalFormatting>
  <conditionalFormatting sqref="D6634">
    <cfRule type="containsText" dxfId="359" priority="345" operator="containsText" text="Pesquisa de Preços">
      <formula>NOT(ISERROR(SEARCH("Pesquisa de Preços",D6634)))</formula>
    </cfRule>
  </conditionalFormatting>
  <conditionalFormatting sqref="D6641">
    <cfRule type="containsText" dxfId="358" priority="343" operator="containsText" text="Pesquisa de Preços">
      <formula>NOT(ISERROR(SEARCH("Pesquisa de Preços",D6641)))</formula>
    </cfRule>
  </conditionalFormatting>
  <conditionalFormatting sqref="D6639">
    <cfRule type="containsText" dxfId="357" priority="341" operator="containsText" text="Pesquisa de Preços">
      <formula>NOT(ISERROR(SEARCH("Pesquisa de Preços",D6639)))</formula>
    </cfRule>
  </conditionalFormatting>
  <conditionalFormatting sqref="D6638">
    <cfRule type="containsText" dxfId="356" priority="342" operator="containsText" text="Pesquisa de Preços">
      <formula>NOT(ISERROR(SEARCH("Pesquisa de Preços",D6638)))</formula>
    </cfRule>
  </conditionalFormatting>
  <conditionalFormatting sqref="D6657">
    <cfRule type="containsText" dxfId="355" priority="340" operator="containsText" text="Pesquisa de Preços">
      <formula>NOT(ISERROR(SEARCH("Pesquisa de Preços",D6657)))</formula>
    </cfRule>
  </conditionalFormatting>
  <conditionalFormatting sqref="D6655">
    <cfRule type="containsText" dxfId="354" priority="338" operator="containsText" text="Pesquisa de Preços">
      <formula>NOT(ISERROR(SEARCH("Pesquisa de Preços",D6655)))</formula>
    </cfRule>
  </conditionalFormatting>
  <conditionalFormatting sqref="D6654">
    <cfRule type="containsText" dxfId="353" priority="339" operator="containsText" text="Pesquisa de Preços">
      <formula>NOT(ISERROR(SEARCH("Pesquisa de Preços",D6654)))</formula>
    </cfRule>
  </conditionalFormatting>
  <conditionalFormatting sqref="D6661">
    <cfRule type="containsText" dxfId="352" priority="337" operator="containsText" text="Pesquisa de Preços">
      <formula>NOT(ISERROR(SEARCH("Pesquisa de Preços",D6661)))</formula>
    </cfRule>
  </conditionalFormatting>
  <conditionalFormatting sqref="D6659">
    <cfRule type="containsText" dxfId="351" priority="335" operator="containsText" text="Pesquisa de Preços">
      <formula>NOT(ISERROR(SEARCH("Pesquisa de Preços",D6659)))</formula>
    </cfRule>
  </conditionalFormatting>
  <conditionalFormatting sqref="D6658">
    <cfRule type="containsText" dxfId="350" priority="336" operator="containsText" text="Pesquisa de Preços">
      <formula>NOT(ISERROR(SEARCH("Pesquisa de Preços",D6658)))</formula>
    </cfRule>
  </conditionalFormatting>
  <conditionalFormatting sqref="D6665">
    <cfRule type="containsText" dxfId="349" priority="334" operator="containsText" text="Pesquisa de Preços">
      <formula>NOT(ISERROR(SEARCH("Pesquisa de Preços",D6665)))</formula>
    </cfRule>
  </conditionalFormatting>
  <conditionalFormatting sqref="D6663">
    <cfRule type="containsText" dxfId="348" priority="332" operator="containsText" text="Pesquisa de Preços">
      <formula>NOT(ISERROR(SEARCH("Pesquisa de Preços",D6663)))</formula>
    </cfRule>
  </conditionalFormatting>
  <conditionalFormatting sqref="D6662">
    <cfRule type="containsText" dxfId="347" priority="333" operator="containsText" text="Pesquisa de Preços">
      <formula>NOT(ISERROR(SEARCH("Pesquisa de Preços",D6662)))</formula>
    </cfRule>
  </conditionalFormatting>
  <conditionalFormatting sqref="D6681">
    <cfRule type="containsText" dxfId="346" priority="331" operator="containsText" text="Pesquisa de Preços">
      <formula>NOT(ISERROR(SEARCH("Pesquisa de Preços",D6681)))</formula>
    </cfRule>
  </conditionalFormatting>
  <conditionalFormatting sqref="D6679">
    <cfRule type="containsText" dxfId="345" priority="329" operator="containsText" text="Pesquisa de Preços">
      <formula>NOT(ISERROR(SEARCH("Pesquisa de Preços",D6679)))</formula>
    </cfRule>
  </conditionalFormatting>
  <conditionalFormatting sqref="D6678">
    <cfRule type="containsText" dxfId="344" priority="330" operator="containsText" text="Pesquisa de Preços">
      <formula>NOT(ISERROR(SEARCH("Pesquisa de Preços",D6678)))</formula>
    </cfRule>
  </conditionalFormatting>
  <conditionalFormatting sqref="D6685">
    <cfRule type="containsText" dxfId="343" priority="328" operator="containsText" text="Pesquisa de Preços">
      <formula>NOT(ISERROR(SEARCH("Pesquisa de Preços",D6685)))</formula>
    </cfRule>
  </conditionalFormatting>
  <conditionalFormatting sqref="D6683">
    <cfRule type="containsText" dxfId="342" priority="326" operator="containsText" text="Pesquisa de Preços">
      <formula>NOT(ISERROR(SEARCH("Pesquisa de Preços",D6683)))</formula>
    </cfRule>
  </conditionalFormatting>
  <conditionalFormatting sqref="D6682">
    <cfRule type="containsText" dxfId="341" priority="327" operator="containsText" text="Pesquisa de Preços">
      <formula>NOT(ISERROR(SEARCH("Pesquisa de Preços",D6682)))</formula>
    </cfRule>
  </conditionalFormatting>
  <conditionalFormatting sqref="D6689">
    <cfRule type="containsText" dxfId="340" priority="325" operator="containsText" text="Pesquisa de Preços">
      <formula>NOT(ISERROR(SEARCH("Pesquisa de Preços",D6689)))</formula>
    </cfRule>
  </conditionalFormatting>
  <conditionalFormatting sqref="D6687">
    <cfRule type="containsText" dxfId="339" priority="323" operator="containsText" text="Pesquisa de Preços">
      <formula>NOT(ISERROR(SEARCH("Pesquisa de Preços",D6687)))</formula>
    </cfRule>
  </conditionalFormatting>
  <conditionalFormatting sqref="D6686">
    <cfRule type="containsText" dxfId="338" priority="324" operator="containsText" text="Pesquisa de Preços">
      <formula>NOT(ISERROR(SEARCH("Pesquisa de Preços",D6686)))</formula>
    </cfRule>
  </conditionalFormatting>
  <conditionalFormatting sqref="D6693">
    <cfRule type="containsText" dxfId="337" priority="322" operator="containsText" text="Pesquisa de Preços">
      <formula>NOT(ISERROR(SEARCH("Pesquisa de Preços",D6693)))</formula>
    </cfRule>
  </conditionalFormatting>
  <conditionalFormatting sqref="D6691">
    <cfRule type="containsText" dxfId="336" priority="320" operator="containsText" text="Pesquisa de Preços">
      <formula>NOT(ISERROR(SEARCH("Pesquisa de Preços",D6691)))</formula>
    </cfRule>
  </conditionalFormatting>
  <conditionalFormatting sqref="D6690">
    <cfRule type="containsText" dxfId="335" priority="321" operator="containsText" text="Pesquisa de Preços">
      <formula>NOT(ISERROR(SEARCH("Pesquisa de Preços",D6690)))</formula>
    </cfRule>
  </conditionalFormatting>
  <conditionalFormatting sqref="D6697">
    <cfRule type="containsText" dxfId="334" priority="319" operator="containsText" text="Pesquisa de Preços">
      <formula>NOT(ISERROR(SEARCH("Pesquisa de Preços",D6697)))</formula>
    </cfRule>
  </conditionalFormatting>
  <conditionalFormatting sqref="D6695">
    <cfRule type="containsText" dxfId="333" priority="317" operator="containsText" text="Pesquisa de Preços">
      <formula>NOT(ISERROR(SEARCH("Pesquisa de Preços",D6695)))</formula>
    </cfRule>
  </conditionalFormatting>
  <conditionalFormatting sqref="D6694">
    <cfRule type="containsText" dxfId="332" priority="318" operator="containsText" text="Pesquisa de Preços">
      <formula>NOT(ISERROR(SEARCH("Pesquisa de Preços",D6694)))</formula>
    </cfRule>
  </conditionalFormatting>
  <conditionalFormatting sqref="D6889">
    <cfRule type="containsText" dxfId="331" priority="316" operator="containsText" text="Pesquisa de Preços">
      <formula>NOT(ISERROR(SEARCH("Pesquisa de Preços",D6889)))</formula>
    </cfRule>
  </conditionalFormatting>
  <conditionalFormatting sqref="D6887">
    <cfRule type="containsText" dxfId="330" priority="314" operator="containsText" text="Pesquisa de Preços">
      <formula>NOT(ISERROR(SEARCH("Pesquisa de Preços",D6887)))</formula>
    </cfRule>
  </conditionalFormatting>
  <conditionalFormatting sqref="D6886">
    <cfRule type="containsText" dxfId="329" priority="315" operator="containsText" text="Pesquisa de Preços">
      <formula>NOT(ISERROR(SEARCH("Pesquisa de Preços",D6886)))</formula>
    </cfRule>
  </conditionalFormatting>
  <conditionalFormatting sqref="D6893">
    <cfRule type="containsText" dxfId="328" priority="313" operator="containsText" text="Pesquisa de Preços">
      <formula>NOT(ISERROR(SEARCH("Pesquisa de Preços",D6893)))</formula>
    </cfRule>
  </conditionalFormatting>
  <conditionalFormatting sqref="D6891">
    <cfRule type="containsText" dxfId="327" priority="311" operator="containsText" text="Pesquisa de Preços">
      <formula>NOT(ISERROR(SEARCH("Pesquisa de Preços",D6891)))</formula>
    </cfRule>
  </conditionalFormatting>
  <conditionalFormatting sqref="D6890">
    <cfRule type="containsText" dxfId="326" priority="312" operator="containsText" text="Pesquisa de Preços">
      <formula>NOT(ISERROR(SEARCH("Pesquisa de Preços",D6890)))</formula>
    </cfRule>
  </conditionalFormatting>
  <conditionalFormatting sqref="D6897">
    <cfRule type="containsText" dxfId="325" priority="310" operator="containsText" text="Pesquisa de Preços">
      <formula>NOT(ISERROR(SEARCH("Pesquisa de Preços",D6897)))</formula>
    </cfRule>
  </conditionalFormatting>
  <conditionalFormatting sqref="D6895">
    <cfRule type="containsText" dxfId="324" priority="308" operator="containsText" text="Pesquisa de Preços">
      <formula>NOT(ISERROR(SEARCH("Pesquisa de Preços",D6895)))</formula>
    </cfRule>
  </conditionalFormatting>
  <conditionalFormatting sqref="D6894">
    <cfRule type="containsText" dxfId="323" priority="309" operator="containsText" text="Pesquisa de Preços">
      <formula>NOT(ISERROR(SEARCH("Pesquisa de Preços",D6894)))</formula>
    </cfRule>
  </conditionalFormatting>
  <conditionalFormatting sqref="D6901">
    <cfRule type="containsText" dxfId="322" priority="307" operator="containsText" text="Pesquisa de Preços">
      <formula>NOT(ISERROR(SEARCH("Pesquisa de Preços",D6901)))</formula>
    </cfRule>
  </conditionalFormatting>
  <conditionalFormatting sqref="D6899">
    <cfRule type="containsText" dxfId="321" priority="305" operator="containsText" text="Pesquisa de Preços">
      <formula>NOT(ISERROR(SEARCH("Pesquisa de Preços",D6899)))</formula>
    </cfRule>
  </conditionalFormatting>
  <conditionalFormatting sqref="D6898">
    <cfRule type="containsText" dxfId="320" priority="306" operator="containsText" text="Pesquisa de Preços">
      <formula>NOT(ISERROR(SEARCH("Pesquisa de Preços",D6898)))</formula>
    </cfRule>
  </conditionalFormatting>
  <conditionalFormatting sqref="D6905">
    <cfRule type="containsText" dxfId="319" priority="304" operator="containsText" text="Pesquisa de Preços">
      <formula>NOT(ISERROR(SEARCH("Pesquisa de Preços",D6905)))</formula>
    </cfRule>
  </conditionalFormatting>
  <conditionalFormatting sqref="D6903">
    <cfRule type="containsText" dxfId="318" priority="302" operator="containsText" text="Pesquisa de Preços">
      <formula>NOT(ISERROR(SEARCH("Pesquisa de Preços",D6903)))</formula>
    </cfRule>
  </conditionalFormatting>
  <conditionalFormatting sqref="D6902">
    <cfRule type="containsText" dxfId="317" priority="303" operator="containsText" text="Pesquisa de Preços">
      <formula>NOT(ISERROR(SEARCH("Pesquisa de Preços",D6902)))</formula>
    </cfRule>
  </conditionalFormatting>
  <conditionalFormatting sqref="D6909">
    <cfRule type="containsText" dxfId="316" priority="301" operator="containsText" text="Pesquisa de Preços">
      <formula>NOT(ISERROR(SEARCH("Pesquisa de Preços",D6909)))</formula>
    </cfRule>
  </conditionalFormatting>
  <conditionalFormatting sqref="D6907">
    <cfRule type="containsText" dxfId="315" priority="299" operator="containsText" text="Pesquisa de Preços">
      <formula>NOT(ISERROR(SEARCH("Pesquisa de Preços",D6907)))</formula>
    </cfRule>
  </conditionalFormatting>
  <conditionalFormatting sqref="D6906">
    <cfRule type="containsText" dxfId="314" priority="300" operator="containsText" text="Pesquisa de Preços">
      <formula>NOT(ISERROR(SEARCH("Pesquisa de Preços",D6906)))</formula>
    </cfRule>
  </conditionalFormatting>
  <conditionalFormatting sqref="D6917">
    <cfRule type="containsText" dxfId="313" priority="298" operator="containsText" text="Pesquisa de Preços">
      <formula>NOT(ISERROR(SEARCH("Pesquisa de Preços",D6917)))</formula>
    </cfRule>
  </conditionalFormatting>
  <conditionalFormatting sqref="D6921">
    <cfRule type="containsText" dxfId="312" priority="297" operator="containsText" text="Pesquisa de Preços">
      <formula>NOT(ISERROR(SEARCH("Pesquisa de Preços",D6921)))</formula>
    </cfRule>
  </conditionalFormatting>
  <conditionalFormatting sqref="D6939">
    <cfRule type="containsText" dxfId="311" priority="292" operator="containsText" text="Pesquisa de Preços">
      <formula>NOT(ISERROR(SEARCH("Pesquisa de Preços",D6939)))</formula>
    </cfRule>
  </conditionalFormatting>
  <conditionalFormatting sqref="D6919">
    <cfRule type="containsText" dxfId="310" priority="295" operator="containsText" text="Pesquisa de Preços">
      <formula>NOT(ISERROR(SEARCH("Pesquisa de Preços",D6919)))</formula>
    </cfRule>
  </conditionalFormatting>
  <conditionalFormatting sqref="D6918">
    <cfRule type="containsText" dxfId="309" priority="296" operator="containsText" text="Pesquisa de Preços">
      <formula>NOT(ISERROR(SEARCH("Pesquisa de Preços",D6918)))</formula>
    </cfRule>
  </conditionalFormatting>
  <conditionalFormatting sqref="D6938">
    <cfRule type="containsText" dxfId="308" priority="293" operator="containsText" text="Pesquisa de Preços">
      <formula>NOT(ISERROR(SEARCH("Pesquisa de Preços",D6938)))</formula>
    </cfRule>
  </conditionalFormatting>
  <conditionalFormatting sqref="D6941">
    <cfRule type="containsText" dxfId="307" priority="294" operator="containsText" text="Pesquisa de Preços">
      <formula>NOT(ISERROR(SEARCH("Pesquisa de Preços",D6941)))</formula>
    </cfRule>
  </conditionalFormatting>
  <conditionalFormatting sqref="D6957">
    <cfRule type="containsText" dxfId="306" priority="288" operator="containsText" text="Pesquisa de Preços">
      <formula>NOT(ISERROR(SEARCH("Pesquisa de Preços",D6957)))</formula>
    </cfRule>
  </conditionalFormatting>
  <conditionalFormatting sqref="D6953">
    <cfRule type="containsText" dxfId="305" priority="291" operator="containsText" text="Pesquisa de Preços">
      <formula>NOT(ISERROR(SEARCH("Pesquisa de Preços",D6953)))</formula>
    </cfRule>
  </conditionalFormatting>
  <conditionalFormatting sqref="D6951">
    <cfRule type="containsText" dxfId="304" priority="289" operator="containsText" text="Pesquisa de Preços">
      <formula>NOT(ISERROR(SEARCH("Pesquisa de Preços",D6951)))</formula>
    </cfRule>
  </conditionalFormatting>
  <conditionalFormatting sqref="D6950">
    <cfRule type="containsText" dxfId="303" priority="290" operator="containsText" text="Pesquisa de Preços">
      <formula>NOT(ISERROR(SEARCH("Pesquisa de Preços",D6950)))</formula>
    </cfRule>
  </conditionalFormatting>
  <conditionalFormatting sqref="D6955">
    <cfRule type="containsText" dxfId="302" priority="286" operator="containsText" text="Pesquisa de Preços">
      <formula>NOT(ISERROR(SEARCH("Pesquisa de Preços",D6955)))</formula>
    </cfRule>
  </conditionalFormatting>
  <conditionalFormatting sqref="D6651">
    <cfRule type="containsText" dxfId="301" priority="250" operator="containsText" text="Pesquisa de Preços">
      <formula>NOT(ISERROR(SEARCH("Pesquisa de Preços",D6651)))</formula>
    </cfRule>
  </conditionalFormatting>
  <conditionalFormatting sqref="D6954">
    <cfRule type="containsText" dxfId="300" priority="287" operator="containsText" text="Pesquisa de Preços">
      <formula>NOT(ISERROR(SEARCH("Pesquisa de Preços",D6954)))</formula>
    </cfRule>
  </conditionalFormatting>
  <conditionalFormatting sqref="D6961">
    <cfRule type="containsText" dxfId="299" priority="285" operator="containsText" text="Pesquisa de Preços">
      <formula>NOT(ISERROR(SEARCH("Pesquisa de Preços",D6961)))</formula>
    </cfRule>
  </conditionalFormatting>
  <conditionalFormatting sqref="D6959">
    <cfRule type="containsText" dxfId="298" priority="283" operator="containsText" text="Pesquisa de Preços">
      <formula>NOT(ISERROR(SEARCH("Pesquisa de Preços",D6959)))</formula>
    </cfRule>
  </conditionalFormatting>
  <conditionalFormatting sqref="D6958">
    <cfRule type="containsText" dxfId="297" priority="284" operator="containsText" text="Pesquisa de Preços">
      <formula>NOT(ISERROR(SEARCH("Pesquisa de Preços",D6958)))</formula>
    </cfRule>
  </conditionalFormatting>
  <conditionalFormatting sqref="D6965">
    <cfRule type="containsText" dxfId="296" priority="282" operator="containsText" text="Pesquisa de Preços">
      <formula>NOT(ISERROR(SEARCH("Pesquisa de Preços",D6965)))</formula>
    </cfRule>
  </conditionalFormatting>
  <conditionalFormatting sqref="D6963">
    <cfRule type="containsText" dxfId="295" priority="280" operator="containsText" text="Pesquisa de Preços">
      <formula>NOT(ISERROR(SEARCH("Pesquisa de Preços",D6963)))</formula>
    </cfRule>
  </conditionalFormatting>
  <conditionalFormatting sqref="D6962">
    <cfRule type="containsText" dxfId="294" priority="281" operator="containsText" text="Pesquisa de Preços">
      <formula>NOT(ISERROR(SEARCH("Pesquisa de Preços",D6962)))</formula>
    </cfRule>
  </conditionalFormatting>
  <conditionalFormatting sqref="D6969">
    <cfRule type="containsText" dxfId="293" priority="279" operator="containsText" text="Pesquisa de Preços">
      <formula>NOT(ISERROR(SEARCH("Pesquisa de Preços",D6969)))</formula>
    </cfRule>
  </conditionalFormatting>
  <conditionalFormatting sqref="D6967">
    <cfRule type="containsText" dxfId="292" priority="277" operator="containsText" text="Pesquisa de Preços">
      <formula>NOT(ISERROR(SEARCH("Pesquisa de Preços",D6967)))</formula>
    </cfRule>
  </conditionalFormatting>
  <conditionalFormatting sqref="D6966">
    <cfRule type="containsText" dxfId="291" priority="278" operator="containsText" text="Pesquisa de Preços">
      <formula>NOT(ISERROR(SEARCH("Pesquisa de Preços",D6966)))</formula>
    </cfRule>
  </conditionalFormatting>
  <conditionalFormatting sqref="D6973">
    <cfRule type="containsText" dxfId="290" priority="276" operator="containsText" text="Pesquisa de Preços">
      <formula>NOT(ISERROR(SEARCH("Pesquisa de Preços",D6973)))</formula>
    </cfRule>
  </conditionalFormatting>
  <conditionalFormatting sqref="D6971">
    <cfRule type="containsText" dxfId="289" priority="274" operator="containsText" text="Pesquisa de Preços">
      <formula>NOT(ISERROR(SEARCH("Pesquisa de Preços",D6971)))</formula>
    </cfRule>
  </conditionalFormatting>
  <conditionalFormatting sqref="D6970">
    <cfRule type="containsText" dxfId="288" priority="275" operator="containsText" text="Pesquisa de Preços">
      <formula>NOT(ISERROR(SEARCH("Pesquisa de Preços",D6970)))</formula>
    </cfRule>
  </conditionalFormatting>
  <conditionalFormatting sqref="D6977">
    <cfRule type="containsText" dxfId="287" priority="273" operator="containsText" text="Pesquisa de Preços">
      <formula>NOT(ISERROR(SEARCH("Pesquisa de Preços",D6977)))</formula>
    </cfRule>
  </conditionalFormatting>
  <conditionalFormatting sqref="D6653">
    <cfRule type="containsText" dxfId="286" priority="252" operator="containsText" text="Pesquisa de Preços">
      <formula>NOT(ISERROR(SEARCH("Pesquisa de Preços",D6653)))</formula>
    </cfRule>
  </conditionalFormatting>
  <conditionalFormatting sqref="D6975">
    <cfRule type="containsText" dxfId="285" priority="271" operator="containsText" text="Pesquisa de Preços">
      <formula>NOT(ISERROR(SEARCH("Pesquisa de Preços",D6975)))</formula>
    </cfRule>
  </conditionalFormatting>
  <conditionalFormatting sqref="D6974">
    <cfRule type="containsText" dxfId="284" priority="272" operator="containsText" text="Pesquisa de Preços">
      <formula>NOT(ISERROR(SEARCH("Pesquisa de Preços",D6974)))</formula>
    </cfRule>
  </conditionalFormatting>
  <conditionalFormatting sqref="D2746">
    <cfRule type="containsText" dxfId="283" priority="260" operator="containsText" text="Pesquisa de Preços">
      <formula>NOT(ISERROR(SEARCH("Pesquisa de Preços",D2746)))</formula>
    </cfRule>
  </conditionalFormatting>
  <conditionalFormatting sqref="D6981">
    <cfRule type="containsText" dxfId="282" priority="270" operator="containsText" text="Pesquisa de Preços">
      <formula>NOT(ISERROR(SEARCH("Pesquisa de Preços",D6981)))</formula>
    </cfRule>
  </conditionalFormatting>
  <conditionalFormatting sqref="D6979">
    <cfRule type="containsText" dxfId="281" priority="268" operator="containsText" text="Pesquisa de Preços">
      <formula>NOT(ISERROR(SEARCH("Pesquisa de Preços",D6979)))</formula>
    </cfRule>
  </conditionalFormatting>
  <conditionalFormatting sqref="D6978">
    <cfRule type="containsText" dxfId="280" priority="269" operator="containsText" text="Pesquisa de Preços">
      <formula>NOT(ISERROR(SEARCH("Pesquisa de Preços",D6978)))</formula>
    </cfRule>
  </conditionalFormatting>
  <conditionalFormatting sqref="D2742">
    <cfRule type="containsText" dxfId="279" priority="267" operator="containsText" text="Pesquisa de Preços">
      <formula>NOT(ISERROR(SEARCH("Pesquisa de Preços",D2742)))</formula>
    </cfRule>
  </conditionalFormatting>
  <conditionalFormatting sqref="D2740">
    <cfRule type="containsText" dxfId="278" priority="266" operator="containsText" text="Pesquisa de Preços">
      <formula>NOT(ISERROR(SEARCH("Pesquisa de Preços",D2740)))</formula>
    </cfRule>
  </conditionalFormatting>
  <conditionalFormatting sqref="D2736">
    <cfRule type="containsText" dxfId="277" priority="265" operator="containsText" text="Pesquisa de Preços">
      <formula>NOT(ISERROR(SEARCH("Pesquisa de Preços",D2736)))</formula>
    </cfRule>
  </conditionalFormatting>
  <conditionalFormatting sqref="D2738">
    <cfRule type="containsText" dxfId="276" priority="264" operator="containsText" text="Pesquisa de Preços">
      <formula>NOT(ISERROR(SEARCH("Pesquisa de Preços",D2738)))</formula>
    </cfRule>
  </conditionalFormatting>
  <conditionalFormatting sqref="D2750">
    <cfRule type="containsText" dxfId="275" priority="263" operator="containsText" text="Pesquisa de Preços">
      <formula>NOT(ISERROR(SEARCH("Pesquisa de Preços",D2750)))</formula>
    </cfRule>
  </conditionalFormatting>
  <conditionalFormatting sqref="D2748">
    <cfRule type="containsText" dxfId="274" priority="262" operator="containsText" text="Pesquisa de Preços">
      <formula>NOT(ISERROR(SEARCH("Pesquisa de Preços",D2748)))</formula>
    </cfRule>
  </conditionalFormatting>
  <conditionalFormatting sqref="D2744">
    <cfRule type="containsText" dxfId="273" priority="261" operator="containsText" text="Pesquisa de Preços">
      <formula>NOT(ISERROR(SEARCH("Pesquisa de Preços",D2744)))</formula>
    </cfRule>
  </conditionalFormatting>
  <conditionalFormatting sqref="D2762">
    <cfRule type="containsText" dxfId="272" priority="259" operator="containsText" text="Pesquisa de Preços">
      <formula>NOT(ISERROR(SEARCH("Pesquisa de Preços",D2762)))</formula>
    </cfRule>
  </conditionalFormatting>
  <conditionalFormatting sqref="D2760">
    <cfRule type="containsText" dxfId="271" priority="258" operator="containsText" text="Pesquisa de Preços">
      <formula>NOT(ISERROR(SEARCH("Pesquisa de Preços",D2760)))</formula>
    </cfRule>
  </conditionalFormatting>
  <conditionalFormatting sqref="D2756">
    <cfRule type="containsText" dxfId="270" priority="257" operator="containsText" text="Pesquisa de Preços">
      <formula>NOT(ISERROR(SEARCH("Pesquisa de Preços",D2756)))</formula>
    </cfRule>
  </conditionalFormatting>
  <conditionalFormatting sqref="D2758">
    <cfRule type="containsText" dxfId="269" priority="256" operator="containsText" text="Pesquisa de Preços">
      <formula>NOT(ISERROR(SEARCH("Pesquisa de Preços",D2758)))</formula>
    </cfRule>
  </conditionalFormatting>
  <conditionalFormatting sqref="D4754">
    <cfRule type="containsText" dxfId="268" priority="255" operator="containsText" text="Pesquisa de Preços">
      <formula>NOT(ISERROR(SEARCH("Pesquisa de Preços",D4754)))</formula>
    </cfRule>
  </conditionalFormatting>
  <conditionalFormatting sqref="D4758">
    <cfRule type="containsText" dxfId="267" priority="254" operator="containsText" text="Pesquisa de Preços">
      <formula>NOT(ISERROR(SEARCH("Pesquisa de Preços",D4758)))</formula>
    </cfRule>
  </conditionalFormatting>
  <conditionalFormatting sqref="D4766">
    <cfRule type="containsText" dxfId="266" priority="253" operator="containsText" text="Pesquisa de Preços">
      <formula>NOT(ISERROR(SEARCH("Pesquisa de Preços",D4766)))</formula>
    </cfRule>
  </conditionalFormatting>
  <conditionalFormatting sqref="D6650">
    <cfRule type="containsText" dxfId="265" priority="251" operator="containsText" text="Pesquisa de Preços">
      <formula>NOT(ISERROR(SEARCH("Pesquisa de Preços",D6650)))</formula>
    </cfRule>
  </conditionalFormatting>
  <conditionalFormatting sqref="D6513">
    <cfRule type="containsText" dxfId="264" priority="249" operator="containsText" text="Pesquisa de Preços">
      <formula>NOT(ISERROR(SEARCH("Pesquisa de Preços",D6513)))</formula>
    </cfRule>
  </conditionalFormatting>
  <conditionalFormatting sqref="D6511">
    <cfRule type="containsText" dxfId="263" priority="247" operator="containsText" text="Pesquisa de Preços">
      <formula>NOT(ISERROR(SEARCH("Pesquisa de Preços",D6511)))</formula>
    </cfRule>
  </conditionalFormatting>
  <conditionalFormatting sqref="D6510">
    <cfRule type="containsText" dxfId="262" priority="248" operator="containsText" text="Pesquisa de Preços">
      <formula>NOT(ISERROR(SEARCH("Pesquisa de Preços",D6510)))</formula>
    </cfRule>
  </conditionalFormatting>
  <conditionalFormatting sqref="D6555">
    <cfRule type="containsText" dxfId="261" priority="244" operator="containsText" text="Pesquisa de Preços">
      <formula>NOT(ISERROR(SEARCH("Pesquisa de Preços",D6555)))</formula>
    </cfRule>
  </conditionalFormatting>
  <conditionalFormatting sqref="D6557">
    <cfRule type="containsText" dxfId="260" priority="246" operator="containsText" text="Pesquisa de Preços">
      <formula>NOT(ISERROR(SEARCH("Pesquisa de Preços",D6557)))</formula>
    </cfRule>
  </conditionalFormatting>
  <conditionalFormatting sqref="D6554">
    <cfRule type="containsText" dxfId="259" priority="245" operator="containsText" text="Pesquisa de Preços">
      <formula>NOT(ISERROR(SEARCH("Pesquisa de Preços",D6554)))</formula>
    </cfRule>
  </conditionalFormatting>
  <conditionalFormatting sqref="D6603">
    <cfRule type="containsText" dxfId="258" priority="241" operator="containsText" text="Pesquisa de Preços">
      <formula>NOT(ISERROR(SEARCH("Pesquisa de Preços",D6603)))</formula>
    </cfRule>
  </conditionalFormatting>
  <conditionalFormatting sqref="D6605">
    <cfRule type="containsText" dxfId="257" priority="243" operator="containsText" text="Pesquisa de Preços">
      <formula>NOT(ISERROR(SEARCH("Pesquisa de Preços",D6605)))</formula>
    </cfRule>
  </conditionalFormatting>
  <conditionalFormatting sqref="D6602">
    <cfRule type="containsText" dxfId="256" priority="242" operator="containsText" text="Pesquisa de Preços">
      <formula>NOT(ISERROR(SEARCH("Pesquisa de Preços",D6602)))</formula>
    </cfRule>
  </conditionalFormatting>
  <conditionalFormatting sqref="D6667">
    <cfRule type="containsText" dxfId="255" priority="238" operator="containsText" text="Pesquisa de Preços">
      <formula>NOT(ISERROR(SEARCH("Pesquisa de Preços",D6667)))</formula>
    </cfRule>
  </conditionalFormatting>
  <conditionalFormatting sqref="D6669">
    <cfRule type="containsText" dxfId="254" priority="240" operator="containsText" text="Pesquisa de Preços">
      <formula>NOT(ISERROR(SEARCH("Pesquisa de Preços",D6669)))</formula>
    </cfRule>
  </conditionalFormatting>
  <conditionalFormatting sqref="D6666">
    <cfRule type="containsText" dxfId="253" priority="239" operator="containsText" text="Pesquisa de Preços">
      <formula>NOT(ISERROR(SEARCH("Pesquisa de Preços",D6666)))</formula>
    </cfRule>
  </conditionalFormatting>
  <conditionalFormatting sqref="D6671">
    <cfRule type="containsText" dxfId="252" priority="235" operator="containsText" text="Pesquisa de Preços">
      <formula>NOT(ISERROR(SEARCH("Pesquisa de Preços",D6671)))</formula>
    </cfRule>
  </conditionalFormatting>
  <conditionalFormatting sqref="D6673">
    <cfRule type="containsText" dxfId="251" priority="237" operator="containsText" text="Pesquisa de Preços">
      <formula>NOT(ISERROR(SEARCH("Pesquisa de Preços",D6673)))</formula>
    </cfRule>
  </conditionalFormatting>
  <conditionalFormatting sqref="D6670">
    <cfRule type="containsText" dxfId="250" priority="236" operator="containsText" text="Pesquisa de Preços">
      <formula>NOT(ISERROR(SEARCH("Pesquisa de Preços",D6670)))</formula>
    </cfRule>
  </conditionalFormatting>
  <conditionalFormatting sqref="D6675">
    <cfRule type="containsText" dxfId="249" priority="232" operator="containsText" text="Pesquisa de Preços">
      <formula>NOT(ISERROR(SEARCH("Pesquisa de Preços",D6675)))</formula>
    </cfRule>
  </conditionalFormatting>
  <conditionalFormatting sqref="D6677">
    <cfRule type="containsText" dxfId="248" priority="234" operator="containsText" text="Pesquisa de Preços">
      <formula>NOT(ISERROR(SEARCH("Pesquisa de Preços",D6677)))</formula>
    </cfRule>
  </conditionalFormatting>
  <conditionalFormatting sqref="D6674">
    <cfRule type="containsText" dxfId="247" priority="233" operator="containsText" text="Pesquisa de Preços">
      <formula>NOT(ISERROR(SEARCH("Pesquisa de Preços",D6674)))</formula>
    </cfRule>
  </conditionalFormatting>
  <conditionalFormatting sqref="D6647">
    <cfRule type="containsText" dxfId="246" priority="229" operator="containsText" text="Pesquisa de Preços">
      <formula>NOT(ISERROR(SEARCH("Pesquisa de Preços",D6647)))</formula>
    </cfRule>
  </conditionalFormatting>
  <conditionalFormatting sqref="D6649">
    <cfRule type="containsText" dxfId="245" priority="231" operator="containsText" text="Pesquisa de Preços">
      <formula>NOT(ISERROR(SEARCH("Pesquisa de Preços",D6649)))</formula>
    </cfRule>
  </conditionalFormatting>
  <conditionalFormatting sqref="D6646">
    <cfRule type="containsText" dxfId="244" priority="230" operator="containsText" text="Pesquisa de Preços">
      <formula>NOT(ISERROR(SEARCH("Pesquisa de Preços",D6646)))</formula>
    </cfRule>
  </conditionalFormatting>
  <conditionalFormatting sqref="D6643">
    <cfRule type="containsText" dxfId="243" priority="226" operator="containsText" text="Pesquisa de Preços">
      <formula>NOT(ISERROR(SEARCH("Pesquisa de Preços",D6643)))</formula>
    </cfRule>
  </conditionalFormatting>
  <conditionalFormatting sqref="D6645">
    <cfRule type="containsText" dxfId="242" priority="228" operator="containsText" text="Pesquisa de Preços">
      <formula>NOT(ISERROR(SEARCH("Pesquisa de Preços",D6645)))</formula>
    </cfRule>
  </conditionalFormatting>
  <conditionalFormatting sqref="D6642">
    <cfRule type="containsText" dxfId="241" priority="227" operator="containsText" text="Pesquisa de Preços">
      <formula>NOT(ISERROR(SEARCH("Pesquisa de Preços",D6642)))</formula>
    </cfRule>
  </conditionalFormatting>
  <conditionalFormatting sqref="D6699 D6703 D6707 D6711 D6715 D6719 D6723 D6727 D6731 D6735 D6743 D6747 D6751 D6755 D6759 D6763 D6767 D6771 D6775 D6779 D6783 D6787 D6791 D6795 D6799 D6803 D6807 D6811 D6815 D6819 D6823 D6827 D6831 D6835 D6839 D6843 D6847 D6851 D6855 D6859 D6863 D6879 D6883">
    <cfRule type="containsText" dxfId="240" priority="223" operator="containsText" text="Pesquisa de Preços">
      <formula>NOT(ISERROR(SEARCH("Pesquisa de Preços",D6699)))</formula>
    </cfRule>
  </conditionalFormatting>
  <conditionalFormatting sqref="D6701 D6705 D6709 D6713 D6717 D6721 D6725 D6729 D6733 D6737 D6745 D6749 D6753 D6757 D6761 D6765 D6769 D6773 D6777 D6781 D6785 D6789 D6793 D6797 D6801 D6805 D6809 D6813 D6817 D6821 D6825 D6829 D6833 D6837 D6841 D6845 D6849 D6853 D6857 D6861 D6865 D6881 D6885">
    <cfRule type="containsText" dxfId="239" priority="225" operator="containsText" text="Pesquisa de Preços">
      <formula>NOT(ISERROR(SEARCH("Pesquisa de Preços",D6701)))</formula>
    </cfRule>
  </conditionalFormatting>
  <conditionalFormatting sqref="D6698 D6702 D6706 D6710 D6714 D6718 D6722 D6726 D6730 D6734 D6742 D6746 D6750 D6754 D6758 D6762 D6766 D6770 D6774 D6778 D6782 D6786 D6790 D6794 D6798 D6802 D6806 D6810 D6814 D6818 D6822 D6826 D6830 D6834 D6838 D6842 D6846 D6850 D6854 D6858 D6862 D6878 D6882">
    <cfRule type="containsText" dxfId="238" priority="224" operator="containsText" text="Pesquisa de Preços">
      <formula>NOT(ISERROR(SEARCH("Pesquisa de Preços",D6698)))</formula>
    </cfRule>
  </conditionalFormatting>
  <conditionalFormatting sqref="D6923">
    <cfRule type="containsText" dxfId="237" priority="220" operator="containsText" text="Pesquisa de Preços">
      <formula>NOT(ISERROR(SEARCH("Pesquisa de Preços",D6923)))</formula>
    </cfRule>
  </conditionalFormatting>
  <conditionalFormatting sqref="D6925">
    <cfRule type="containsText" dxfId="236" priority="222" operator="containsText" text="Pesquisa de Preços">
      <formula>NOT(ISERROR(SEARCH("Pesquisa de Preços",D6925)))</formula>
    </cfRule>
  </conditionalFormatting>
  <conditionalFormatting sqref="D6922">
    <cfRule type="containsText" dxfId="235" priority="221" operator="containsText" text="Pesquisa de Preços">
      <formula>NOT(ISERROR(SEARCH("Pesquisa de Preços",D6922)))</formula>
    </cfRule>
  </conditionalFormatting>
  <conditionalFormatting sqref="D6927">
    <cfRule type="containsText" dxfId="234" priority="217" operator="containsText" text="Pesquisa de Preços">
      <formula>NOT(ISERROR(SEARCH("Pesquisa de Preços",D6927)))</formula>
    </cfRule>
  </conditionalFormatting>
  <conditionalFormatting sqref="D6929">
    <cfRule type="containsText" dxfId="233" priority="219" operator="containsText" text="Pesquisa de Preços">
      <formula>NOT(ISERROR(SEARCH("Pesquisa de Preços",D6929)))</formula>
    </cfRule>
  </conditionalFormatting>
  <conditionalFormatting sqref="D6926">
    <cfRule type="containsText" dxfId="232" priority="218" operator="containsText" text="Pesquisa de Preços">
      <formula>NOT(ISERROR(SEARCH("Pesquisa de Preços",D6926)))</formula>
    </cfRule>
  </conditionalFormatting>
  <conditionalFormatting sqref="D6931">
    <cfRule type="containsText" dxfId="231" priority="214" operator="containsText" text="Pesquisa de Preços">
      <formula>NOT(ISERROR(SEARCH("Pesquisa de Preços",D6931)))</formula>
    </cfRule>
  </conditionalFormatting>
  <conditionalFormatting sqref="D6933">
    <cfRule type="containsText" dxfId="230" priority="216" operator="containsText" text="Pesquisa de Preços">
      <formula>NOT(ISERROR(SEARCH("Pesquisa de Preços",D6933)))</formula>
    </cfRule>
  </conditionalFormatting>
  <conditionalFormatting sqref="D6930">
    <cfRule type="containsText" dxfId="229" priority="215" operator="containsText" text="Pesquisa de Preços">
      <formula>NOT(ISERROR(SEARCH("Pesquisa de Preços",D6930)))</formula>
    </cfRule>
  </conditionalFormatting>
  <conditionalFormatting sqref="D6947">
    <cfRule type="containsText" dxfId="228" priority="211" operator="containsText" text="Pesquisa de Preços">
      <formula>NOT(ISERROR(SEARCH("Pesquisa de Preços",D6947)))</formula>
    </cfRule>
  </conditionalFormatting>
  <conditionalFormatting sqref="D6949">
    <cfRule type="containsText" dxfId="227" priority="213" operator="containsText" text="Pesquisa de Preços">
      <formula>NOT(ISERROR(SEARCH("Pesquisa de Preços",D6949)))</formula>
    </cfRule>
  </conditionalFormatting>
  <conditionalFormatting sqref="D6946">
    <cfRule type="containsText" dxfId="226" priority="212" operator="containsText" text="Pesquisa de Preços">
      <formula>NOT(ISERROR(SEARCH("Pesquisa de Preços",D6946)))</formula>
    </cfRule>
  </conditionalFormatting>
  <conditionalFormatting sqref="D6943">
    <cfRule type="containsText" dxfId="225" priority="208" operator="containsText" text="Pesquisa de Preços">
      <formula>NOT(ISERROR(SEARCH("Pesquisa de Preços",D6943)))</formula>
    </cfRule>
  </conditionalFormatting>
  <conditionalFormatting sqref="D6945">
    <cfRule type="containsText" dxfId="224" priority="210" operator="containsText" text="Pesquisa de Preços">
      <formula>NOT(ISERROR(SEARCH("Pesquisa de Preços",D6945)))</formula>
    </cfRule>
  </conditionalFormatting>
  <conditionalFormatting sqref="D6942">
    <cfRule type="containsText" dxfId="223" priority="209" operator="containsText" text="Pesquisa de Preços">
      <formula>NOT(ISERROR(SEARCH("Pesquisa de Preços",D6942)))</formula>
    </cfRule>
  </conditionalFormatting>
  <conditionalFormatting sqref="D6983 D6987 D6995 D6999 D7003 D7007 D7011 D7015 D7019 D7023 D7027 D7031 D7039 D7043 D7047 D7051 D7055 D7059 D7075">
    <cfRule type="containsText" dxfId="222" priority="205" operator="containsText" text="Pesquisa de Preços">
      <formula>NOT(ISERROR(SEARCH("Pesquisa de Preços",D6983)))</formula>
    </cfRule>
  </conditionalFormatting>
  <conditionalFormatting sqref="D6985 D6989 D6997 D7001 D7005 D7009 D7013 D7017 D7021 D7025 D7029 D7033 D7041 D7045 D7049 D7053 D7057 D7061 D7077">
    <cfRule type="containsText" dxfId="221" priority="207" operator="containsText" text="Pesquisa de Preços">
      <formula>NOT(ISERROR(SEARCH("Pesquisa de Preços",D6985)))</formula>
    </cfRule>
  </conditionalFormatting>
  <conditionalFormatting sqref="D6982 D6986 D6994 D6998 D7002 D7006 D7010 D7014 D7018 D7022 D7026 D7030 D7038 D7042 D7046 D7050 D7054 D7058 D7074">
    <cfRule type="containsText" dxfId="220" priority="206" operator="containsText" text="Pesquisa de Preços">
      <formula>NOT(ISERROR(SEARCH("Pesquisa de Preços",D6982)))</formula>
    </cfRule>
  </conditionalFormatting>
  <conditionalFormatting sqref="D7079 D7083 D7087 D7091 D7095 D7099 D7103 D7107 D7111 D7115 D7119 D7123 D7127 D7131 D7135 D7139 D7143 D7147 D7151 D7155 D7159 D7163 D7167 D7239">
    <cfRule type="containsText" dxfId="219" priority="202" operator="containsText" text="Pesquisa de Preços">
      <formula>NOT(ISERROR(SEARCH("Pesquisa de Preços",D7079)))</formula>
    </cfRule>
  </conditionalFormatting>
  <conditionalFormatting sqref="D7081 D7085 D7089 D7093 D7097 D7101 D7105 D7109 D7113 D7117 D7121 D7125 D7129 D7133 D7137 D7141 D7145 D7149 D7153 D7157 D7161 D7165 D7169 D7241">
    <cfRule type="containsText" dxfId="218" priority="204" operator="containsText" text="Pesquisa de Preços">
      <formula>NOT(ISERROR(SEARCH("Pesquisa de Preços",D7081)))</formula>
    </cfRule>
  </conditionalFormatting>
  <conditionalFormatting sqref="D7078 D7082 D7086 D7090 D7094 D7098 D7102 D7106 D7110 D7114 D7118 D7122 D7126 D7130 D7134 D7138 D7142 D7146 D7150 D7154 D7158 D7162 D7166 D7238">
    <cfRule type="containsText" dxfId="217" priority="203" operator="containsText" text="Pesquisa de Preços">
      <formula>NOT(ISERROR(SEARCH("Pesquisa de Preços",D7078)))</formula>
    </cfRule>
  </conditionalFormatting>
  <conditionalFormatting sqref="D7063">
    <cfRule type="containsText" dxfId="216" priority="199" operator="containsText" text="Pesquisa de Preços">
      <formula>NOT(ISERROR(SEARCH("Pesquisa de Preços",D7063)))</formula>
    </cfRule>
  </conditionalFormatting>
  <conditionalFormatting sqref="D7065">
    <cfRule type="containsText" dxfId="215" priority="201" operator="containsText" text="Pesquisa de Preços">
      <formula>NOT(ISERROR(SEARCH("Pesquisa de Preços",D7065)))</formula>
    </cfRule>
  </conditionalFormatting>
  <conditionalFormatting sqref="D7062">
    <cfRule type="containsText" dxfId="214" priority="200" operator="containsText" text="Pesquisa de Preços">
      <formula>NOT(ISERROR(SEARCH("Pesquisa de Preços",D7062)))</formula>
    </cfRule>
  </conditionalFormatting>
  <conditionalFormatting sqref="D7067">
    <cfRule type="containsText" dxfId="213" priority="196" operator="containsText" text="Pesquisa de Preços">
      <formula>NOT(ISERROR(SEARCH("Pesquisa de Preços",D7067)))</formula>
    </cfRule>
  </conditionalFormatting>
  <conditionalFormatting sqref="D7069">
    <cfRule type="containsText" dxfId="212" priority="198" operator="containsText" text="Pesquisa de Preços">
      <formula>NOT(ISERROR(SEARCH("Pesquisa de Preços",D7069)))</formula>
    </cfRule>
  </conditionalFormatting>
  <conditionalFormatting sqref="D7066">
    <cfRule type="containsText" dxfId="211" priority="197" operator="containsText" text="Pesquisa de Preços">
      <formula>NOT(ISERROR(SEARCH("Pesquisa de Preços",D7066)))</formula>
    </cfRule>
  </conditionalFormatting>
  <conditionalFormatting sqref="D7071">
    <cfRule type="containsText" dxfId="210" priority="193" operator="containsText" text="Pesquisa de Preços">
      <formula>NOT(ISERROR(SEARCH("Pesquisa de Preços",D7071)))</formula>
    </cfRule>
  </conditionalFormatting>
  <conditionalFormatting sqref="D7073">
    <cfRule type="containsText" dxfId="209" priority="195" operator="containsText" text="Pesquisa de Preços">
      <formula>NOT(ISERROR(SEARCH("Pesquisa de Preços",D7073)))</formula>
    </cfRule>
  </conditionalFormatting>
  <conditionalFormatting sqref="D7070">
    <cfRule type="containsText" dxfId="208" priority="194" operator="containsText" text="Pesquisa de Preços">
      <formula>NOT(ISERROR(SEARCH("Pesquisa de Preços",D7070)))</formula>
    </cfRule>
  </conditionalFormatting>
  <conditionalFormatting sqref="D6867">
    <cfRule type="containsText" dxfId="207" priority="190" operator="containsText" text="Pesquisa de Preços">
      <formula>NOT(ISERROR(SEARCH("Pesquisa de Preços",D6867)))</formula>
    </cfRule>
  </conditionalFormatting>
  <conditionalFormatting sqref="D6869">
    <cfRule type="containsText" dxfId="206" priority="192" operator="containsText" text="Pesquisa de Preços">
      <formula>NOT(ISERROR(SEARCH("Pesquisa de Preços",D6869)))</formula>
    </cfRule>
  </conditionalFormatting>
  <conditionalFormatting sqref="D6866">
    <cfRule type="containsText" dxfId="205" priority="191" operator="containsText" text="Pesquisa de Preços">
      <formula>NOT(ISERROR(SEARCH("Pesquisa de Preços",D6866)))</formula>
    </cfRule>
  </conditionalFormatting>
  <conditionalFormatting sqref="D6739">
    <cfRule type="containsText" dxfId="204" priority="187" operator="containsText" text="Pesquisa de Preços">
      <formula>NOT(ISERROR(SEARCH("Pesquisa de Preços",D6739)))</formula>
    </cfRule>
  </conditionalFormatting>
  <conditionalFormatting sqref="D6741">
    <cfRule type="containsText" dxfId="203" priority="189" operator="containsText" text="Pesquisa de Preços">
      <formula>NOT(ISERROR(SEARCH("Pesquisa de Preços",D6741)))</formula>
    </cfRule>
  </conditionalFormatting>
  <conditionalFormatting sqref="D6738">
    <cfRule type="containsText" dxfId="202" priority="188" operator="containsText" text="Pesquisa de Preços">
      <formula>NOT(ISERROR(SEARCH("Pesquisa de Preços",D6738)))</formula>
    </cfRule>
  </conditionalFormatting>
  <conditionalFormatting sqref="D6575">
    <cfRule type="containsText" dxfId="201" priority="184" operator="containsText" text="Pesquisa de Preços">
      <formula>NOT(ISERROR(SEARCH("Pesquisa de Preços",D6575)))</formula>
    </cfRule>
  </conditionalFormatting>
  <conditionalFormatting sqref="D6577">
    <cfRule type="containsText" dxfId="200" priority="186" operator="containsText" text="Pesquisa de Preços">
      <formula>NOT(ISERROR(SEARCH("Pesquisa de Preços",D6577)))</formula>
    </cfRule>
  </conditionalFormatting>
  <conditionalFormatting sqref="D6574">
    <cfRule type="containsText" dxfId="199" priority="185" operator="containsText" text="Pesquisa de Preços">
      <formula>NOT(ISERROR(SEARCH("Pesquisa de Preços",D6574)))</formula>
    </cfRule>
  </conditionalFormatting>
  <conditionalFormatting sqref="D6911">
    <cfRule type="containsText" dxfId="198" priority="181" operator="containsText" text="Pesquisa de Preços">
      <formula>NOT(ISERROR(SEARCH("Pesquisa de Preços",D6911)))</formula>
    </cfRule>
  </conditionalFormatting>
  <conditionalFormatting sqref="D6913">
    <cfRule type="containsText" dxfId="197" priority="183" operator="containsText" text="Pesquisa de Preços">
      <formula>NOT(ISERROR(SEARCH("Pesquisa de Preços",D6913)))</formula>
    </cfRule>
  </conditionalFormatting>
  <conditionalFormatting sqref="D6910">
    <cfRule type="containsText" dxfId="196" priority="182" operator="containsText" text="Pesquisa de Preços">
      <formula>NOT(ISERROR(SEARCH("Pesquisa de Preços",D6910)))</formula>
    </cfRule>
  </conditionalFormatting>
  <conditionalFormatting sqref="D6915">
    <cfRule type="containsText" dxfId="195" priority="179" operator="containsText" text="Pesquisa de Preços">
      <formula>NOT(ISERROR(SEARCH("Pesquisa de Preços",D6915)))</formula>
    </cfRule>
  </conditionalFormatting>
  <conditionalFormatting sqref="D6914">
    <cfRule type="containsText" dxfId="194" priority="180" operator="containsText" text="Pesquisa de Preços">
      <formula>NOT(ISERROR(SEARCH("Pesquisa de Preços",D6914)))</formula>
    </cfRule>
  </conditionalFormatting>
  <conditionalFormatting sqref="D7035">
    <cfRule type="containsText" dxfId="193" priority="176" operator="containsText" text="Pesquisa de Preços">
      <formula>NOT(ISERROR(SEARCH("Pesquisa de Preços",D7035)))</formula>
    </cfRule>
  </conditionalFormatting>
  <conditionalFormatting sqref="D7037">
    <cfRule type="containsText" dxfId="192" priority="178" operator="containsText" text="Pesquisa de Preços">
      <formula>NOT(ISERROR(SEARCH("Pesquisa de Preços",D7037)))</formula>
    </cfRule>
  </conditionalFormatting>
  <conditionalFormatting sqref="D7034">
    <cfRule type="containsText" dxfId="191" priority="177" operator="containsText" text="Pesquisa de Preços">
      <formula>NOT(ISERROR(SEARCH("Pesquisa de Preços",D7034)))</formula>
    </cfRule>
  </conditionalFormatting>
  <conditionalFormatting sqref="D6871 D6875">
    <cfRule type="containsText" dxfId="190" priority="173" operator="containsText" text="Pesquisa de Preços">
      <formula>NOT(ISERROR(SEARCH("Pesquisa de Preços",D6871)))</formula>
    </cfRule>
  </conditionalFormatting>
  <conditionalFormatting sqref="D6873 D6877">
    <cfRule type="containsText" dxfId="189" priority="175" operator="containsText" text="Pesquisa de Preços">
      <formula>NOT(ISERROR(SEARCH("Pesquisa de Preços",D6873)))</formula>
    </cfRule>
  </conditionalFormatting>
  <conditionalFormatting sqref="D6870 D6874">
    <cfRule type="containsText" dxfId="188" priority="174" operator="containsText" text="Pesquisa de Preços">
      <formula>NOT(ISERROR(SEARCH("Pesquisa de Preços",D6870)))</formula>
    </cfRule>
  </conditionalFormatting>
  <conditionalFormatting sqref="D7188">
    <cfRule type="containsText" dxfId="187" priority="160" operator="containsText" text="Pesquisa de Preços">
      <formula>NOT(ISERROR(SEARCH("Pesquisa de Preços",D7188)))</formula>
    </cfRule>
  </conditionalFormatting>
  <conditionalFormatting sqref="D7182">
    <cfRule type="containsText" dxfId="186" priority="161" operator="containsText" text="Pesquisa de Preços">
      <formula>NOT(ISERROR(SEARCH("Pesquisa de Preços",D7182)))</formula>
    </cfRule>
  </conditionalFormatting>
  <conditionalFormatting sqref="D7243">
    <cfRule type="containsText" dxfId="185" priority="170" operator="containsText" text="Pesquisa de Preços">
      <formula>NOT(ISERROR(SEARCH("Pesquisa de Preços",D7243)))</formula>
    </cfRule>
  </conditionalFormatting>
  <conditionalFormatting sqref="D7245">
    <cfRule type="containsText" dxfId="184" priority="172" operator="containsText" text="Pesquisa de Preços">
      <formula>NOT(ISERROR(SEARCH("Pesquisa de Preços",D7245)))</formula>
    </cfRule>
  </conditionalFormatting>
  <conditionalFormatting sqref="D7242">
    <cfRule type="containsText" dxfId="183" priority="171" operator="containsText" text="Pesquisa de Preços">
      <formula>NOT(ISERROR(SEARCH("Pesquisa de Preços",D7242)))</formula>
    </cfRule>
  </conditionalFormatting>
  <conditionalFormatting sqref="D7231">
    <cfRule type="containsText" dxfId="182" priority="167" operator="containsText" text="Pesquisa de Preços">
      <formula>NOT(ISERROR(SEARCH("Pesquisa de Preços",D7231)))</formula>
    </cfRule>
  </conditionalFormatting>
  <conditionalFormatting sqref="D7233">
    <cfRule type="containsText" dxfId="181" priority="169" operator="containsText" text="Pesquisa de Preços">
      <formula>NOT(ISERROR(SEARCH("Pesquisa de Preços",D7233)))</formula>
    </cfRule>
  </conditionalFormatting>
  <conditionalFormatting sqref="D7230">
    <cfRule type="containsText" dxfId="180" priority="168" operator="containsText" text="Pesquisa de Preços">
      <formula>NOT(ISERROR(SEARCH("Pesquisa de Preços",D7230)))</formula>
    </cfRule>
  </conditionalFormatting>
  <conditionalFormatting sqref="D7235">
    <cfRule type="containsText" dxfId="179" priority="164" operator="containsText" text="Pesquisa de Preços">
      <formula>NOT(ISERROR(SEARCH("Pesquisa de Preços",D7235)))</formula>
    </cfRule>
  </conditionalFormatting>
  <conditionalFormatting sqref="D7237">
    <cfRule type="containsText" dxfId="178" priority="166" operator="containsText" text="Pesquisa de Preços">
      <formula>NOT(ISERROR(SEARCH("Pesquisa de Preços",D7237)))</formula>
    </cfRule>
  </conditionalFormatting>
  <conditionalFormatting sqref="D7234">
    <cfRule type="containsText" dxfId="177" priority="165" operator="containsText" text="Pesquisa de Preços">
      <formula>NOT(ISERROR(SEARCH("Pesquisa de Preços",D7234)))</formula>
    </cfRule>
  </conditionalFormatting>
  <conditionalFormatting sqref="D7170">
    <cfRule type="containsText" dxfId="176" priority="163" operator="containsText" text="Pesquisa de Preços">
      <formula>NOT(ISERROR(SEARCH("Pesquisa de Preços",D7170)))</formula>
    </cfRule>
  </conditionalFormatting>
  <conditionalFormatting sqref="D7176">
    <cfRule type="containsText" dxfId="175" priority="162" operator="containsText" text="Pesquisa de Preços">
      <formula>NOT(ISERROR(SEARCH("Pesquisa de Preços",D7176)))</formula>
    </cfRule>
  </conditionalFormatting>
  <conditionalFormatting sqref="D3783">
    <cfRule type="containsText" dxfId="174" priority="149" operator="containsText" text="Pesquisa de Preços">
      <formula>NOT(ISERROR(SEARCH("Pesquisa de Preços",D3783)))</formula>
    </cfRule>
  </conditionalFormatting>
  <conditionalFormatting sqref="D3789">
    <cfRule type="containsText" dxfId="173" priority="148" operator="containsText" text="Pesquisa de Preços">
      <formula>NOT(ISERROR(SEARCH("Pesquisa de Preços",D3789)))</formula>
    </cfRule>
  </conditionalFormatting>
  <conditionalFormatting sqref="D7194">
    <cfRule type="containsText" dxfId="172" priority="159" operator="containsText" text="Pesquisa de Preços">
      <formula>NOT(ISERROR(SEARCH("Pesquisa de Preços",D7194)))</formula>
    </cfRule>
  </conditionalFormatting>
  <conditionalFormatting sqref="D7200">
    <cfRule type="containsText" dxfId="171" priority="158" operator="containsText" text="Pesquisa de Preços">
      <formula>NOT(ISERROR(SEARCH("Pesquisa de Preços",D7200)))</formula>
    </cfRule>
  </conditionalFormatting>
  <conditionalFormatting sqref="D7206">
    <cfRule type="containsText" dxfId="170" priority="157" operator="containsText" text="Pesquisa de Preços">
      <formula>NOT(ISERROR(SEARCH("Pesquisa de Preços",D7206)))</formula>
    </cfRule>
  </conditionalFormatting>
  <conditionalFormatting sqref="D7212">
    <cfRule type="containsText" dxfId="169" priority="156" operator="containsText" text="Pesquisa de Preços">
      <formula>NOT(ISERROR(SEARCH("Pesquisa de Preços",D7212)))</formula>
    </cfRule>
  </conditionalFormatting>
  <conditionalFormatting sqref="D7218">
    <cfRule type="containsText" dxfId="168" priority="155" operator="containsText" text="Pesquisa de Preços">
      <formula>NOT(ISERROR(SEARCH("Pesquisa de Preços",D7218)))</formula>
    </cfRule>
  </conditionalFormatting>
  <conditionalFormatting sqref="D7224">
    <cfRule type="containsText" dxfId="167" priority="154" operator="containsText" text="Pesquisa de Preços">
      <formula>NOT(ISERROR(SEARCH("Pesquisa de Preços",D7224)))</formula>
    </cfRule>
  </conditionalFormatting>
  <conditionalFormatting sqref="D6935">
    <cfRule type="containsText" dxfId="166" priority="151" operator="containsText" text="Pesquisa de Preços">
      <formula>NOT(ISERROR(SEARCH("Pesquisa de Preços",D6935)))</formula>
    </cfRule>
  </conditionalFormatting>
  <conditionalFormatting sqref="D6937">
    <cfRule type="containsText" dxfId="165" priority="153" operator="containsText" text="Pesquisa de Preços">
      <formula>NOT(ISERROR(SEARCH("Pesquisa de Preços",D6937)))</formula>
    </cfRule>
  </conditionalFormatting>
  <conditionalFormatting sqref="D6934">
    <cfRule type="containsText" dxfId="164" priority="152" operator="containsText" text="Pesquisa de Preços">
      <formula>NOT(ISERROR(SEARCH("Pesquisa de Preços",D6934)))</formula>
    </cfRule>
  </conditionalFormatting>
  <conditionalFormatting sqref="D3777">
    <cfRule type="containsText" dxfId="163" priority="150" operator="containsText" text="Pesquisa de Preços">
      <formula>NOT(ISERROR(SEARCH("Pesquisa de Preços",D3777)))</formula>
    </cfRule>
  </conditionalFormatting>
  <conditionalFormatting sqref="D3795">
    <cfRule type="containsText" dxfId="162" priority="147" operator="containsText" text="Pesquisa de Preços">
      <formula>NOT(ISERROR(SEARCH("Pesquisa de Preços",D3795)))</formula>
    </cfRule>
  </conditionalFormatting>
  <conditionalFormatting sqref="D3801">
    <cfRule type="containsText" dxfId="161" priority="146" operator="containsText" text="Pesquisa de Preços">
      <formula>NOT(ISERROR(SEARCH("Pesquisa de Preços",D3801)))</formula>
    </cfRule>
  </conditionalFormatting>
  <conditionalFormatting sqref="D3807">
    <cfRule type="containsText" dxfId="160" priority="145" operator="containsText" text="Pesquisa de Preços">
      <formula>NOT(ISERROR(SEARCH("Pesquisa de Preços",D3807)))</formula>
    </cfRule>
  </conditionalFormatting>
  <conditionalFormatting sqref="D3813">
    <cfRule type="containsText" dxfId="159" priority="144" operator="containsText" text="Pesquisa de Preços">
      <formula>NOT(ISERROR(SEARCH("Pesquisa de Preços",D3813)))</formula>
    </cfRule>
  </conditionalFormatting>
  <conditionalFormatting sqref="D3819">
    <cfRule type="containsText" dxfId="158" priority="143" operator="containsText" text="Pesquisa de Preços">
      <formula>NOT(ISERROR(SEARCH("Pesquisa de Preços",D3819)))</formula>
    </cfRule>
  </conditionalFormatting>
  <conditionalFormatting sqref="D3825">
    <cfRule type="containsText" dxfId="157" priority="142" operator="containsText" text="Pesquisa de Preços">
      <formula>NOT(ISERROR(SEARCH("Pesquisa de Preços",D3825)))</formula>
    </cfRule>
  </conditionalFormatting>
  <conditionalFormatting sqref="D2724">
    <cfRule type="containsText" dxfId="156" priority="141" operator="containsText" text="Pesquisa de Preços">
      <formula>NOT(ISERROR(SEARCH("Pesquisa de Preços",D2724)))</formula>
    </cfRule>
  </conditionalFormatting>
  <conditionalFormatting sqref="D2726">
    <cfRule type="containsText" dxfId="155" priority="140" operator="containsText" text="Pesquisa de Preços">
      <formula>NOT(ISERROR(SEARCH("Pesquisa de Preços",D2726)))</formula>
    </cfRule>
  </conditionalFormatting>
  <conditionalFormatting sqref="D2728">
    <cfRule type="containsText" dxfId="154" priority="139" operator="containsText" text="Pesquisa de Preços">
      <formula>NOT(ISERROR(SEARCH("Pesquisa de Preços",D2728)))</formula>
    </cfRule>
  </conditionalFormatting>
  <conditionalFormatting sqref="D2730">
    <cfRule type="containsText" dxfId="153" priority="138" operator="containsText" text="Pesquisa de Preços">
      <formula>NOT(ISERROR(SEARCH("Pesquisa de Preços",D2730)))</formula>
    </cfRule>
  </conditionalFormatting>
  <conditionalFormatting sqref="D2732">
    <cfRule type="containsText" dxfId="152" priority="137" operator="containsText" text="Pesquisa de Preços">
      <formula>NOT(ISERROR(SEARCH("Pesquisa de Preços",D2732)))</formula>
    </cfRule>
  </conditionalFormatting>
  <conditionalFormatting sqref="D2734">
    <cfRule type="containsText" dxfId="151" priority="136" operator="containsText" text="Pesquisa de Preços">
      <formula>NOT(ISERROR(SEARCH("Pesquisa de Preços",D2734)))</formula>
    </cfRule>
  </conditionalFormatting>
  <conditionalFormatting sqref="D2754">
    <cfRule type="containsText" dxfId="150" priority="135" operator="containsText" text="Pesquisa de Preços">
      <formula>NOT(ISERROR(SEARCH("Pesquisa de Preços",D2754)))</formula>
    </cfRule>
  </conditionalFormatting>
  <conditionalFormatting sqref="D2752">
    <cfRule type="containsText" dxfId="149" priority="134" operator="containsText" text="Pesquisa de Preços">
      <formula>NOT(ISERROR(SEARCH("Pesquisa de Preços",D2752)))</formula>
    </cfRule>
  </conditionalFormatting>
  <conditionalFormatting sqref="D2764">
    <cfRule type="containsText" dxfId="148" priority="133" operator="containsText" text="Pesquisa de Preços">
      <formula>NOT(ISERROR(SEARCH("Pesquisa de Preços",D2764)))</formula>
    </cfRule>
  </conditionalFormatting>
  <conditionalFormatting sqref="D2766">
    <cfRule type="containsText" dxfId="147" priority="132" operator="containsText" text="Pesquisa de Preços">
      <formula>NOT(ISERROR(SEARCH("Pesquisa de Preços",D2766)))</formula>
    </cfRule>
  </conditionalFormatting>
  <conditionalFormatting sqref="D3471">
    <cfRule type="containsText" dxfId="146" priority="131" operator="containsText" text="Pesquisa de Preços">
      <formula>NOT(ISERROR(SEARCH("Pesquisa de Preços",D3471)))</formula>
    </cfRule>
  </conditionalFormatting>
  <conditionalFormatting sqref="D3542">
    <cfRule type="containsText" dxfId="145" priority="130" operator="containsText" text="Pesquisa de Preços">
      <formula>NOT(ISERROR(SEARCH("Pesquisa de Preços",D3542)))</formula>
    </cfRule>
  </conditionalFormatting>
  <conditionalFormatting sqref="D4750">
    <cfRule type="containsText" dxfId="144" priority="129" operator="containsText" text="Pesquisa de Preços">
      <formula>NOT(ISERROR(SEARCH("Pesquisa de Preços",D4750)))</formula>
    </cfRule>
  </conditionalFormatting>
  <conditionalFormatting sqref="D6057">
    <cfRule type="containsText" dxfId="143" priority="126" operator="containsText" text="Pesquisa de Preços">
      <formula>NOT(ISERROR(SEARCH("Pesquisa de Preços",D6057)))</formula>
    </cfRule>
  </conditionalFormatting>
  <conditionalFormatting sqref="D6077">
    <cfRule type="containsText" dxfId="142" priority="122" operator="containsText" text="Pesquisa de Preços">
      <formula>NOT(ISERROR(SEARCH("Pesquisa de Preços",D6077)))</formula>
    </cfRule>
  </conditionalFormatting>
  <conditionalFormatting sqref="D4762">
    <cfRule type="containsText" dxfId="141" priority="128" operator="containsText" text="Pesquisa de Preços">
      <formula>NOT(ISERROR(SEARCH("Pesquisa de Preços",D4762)))</formula>
    </cfRule>
  </conditionalFormatting>
  <conditionalFormatting sqref="D6059">
    <cfRule type="containsText" dxfId="140" priority="127" operator="containsText" text="Pesquisa de Preços">
      <formula>NOT(ISERROR(SEARCH("Pesquisa de Preços",D6059)))</formula>
    </cfRule>
  </conditionalFormatting>
  <conditionalFormatting sqref="D6141">
    <cfRule type="containsText" dxfId="139" priority="120" operator="containsText" text="Pesquisa de Preços">
      <formula>NOT(ISERROR(SEARCH("Pesquisa de Preços",D6141)))</formula>
    </cfRule>
  </conditionalFormatting>
  <conditionalFormatting sqref="D6075">
    <cfRule type="containsText" dxfId="138" priority="125" operator="containsText" text="Pesquisa de Preços">
      <formula>NOT(ISERROR(SEARCH("Pesquisa de Preços",D6075)))</formula>
    </cfRule>
  </conditionalFormatting>
  <conditionalFormatting sqref="D6079">
    <cfRule type="containsText" dxfId="137" priority="124" operator="containsText" text="Pesquisa de Preços">
      <formula>NOT(ISERROR(SEARCH("Pesquisa de Preços",D6079)))</formula>
    </cfRule>
  </conditionalFormatting>
  <conditionalFormatting sqref="D6073">
    <cfRule type="containsText" dxfId="136" priority="123" operator="containsText" text="Pesquisa de Preços">
      <formula>NOT(ISERROR(SEARCH("Pesquisa de Preços",D6073)))</formula>
    </cfRule>
  </conditionalFormatting>
  <conditionalFormatting sqref="D6143">
    <cfRule type="containsText" dxfId="135" priority="121" operator="containsText" text="Pesquisa de Preços">
      <formula>NOT(ISERROR(SEARCH("Pesquisa de Preços",D6143)))</formula>
    </cfRule>
  </conditionalFormatting>
  <conditionalFormatting sqref="D6145">
    <cfRule type="containsText" dxfId="134" priority="118" operator="containsText" text="Pesquisa de Preços">
      <formula>NOT(ISERROR(SEARCH("Pesquisa de Preços",D6145)))</formula>
    </cfRule>
  </conditionalFormatting>
  <conditionalFormatting sqref="D6147">
    <cfRule type="containsText" dxfId="133" priority="119" operator="containsText" text="Pesquisa de Preços">
      <formula>NOT(ISERROR(SEARCH("Pesquisa de Preços",D6147)))</formula>
    </cfRule>
  </conditionalFormatting>
  <conditionalFormatting sqref="D6149">
    <cfRule type="containsText" dxfId="132" priority="116" operator="containsText" text="Pesquisa de Preços">
      <formula>NOT(ISERROR(SEARCH("Pesquisa de Preços",D6149)))</formula>
    </cfRule>
  </conditionalFormatting>
  <conditionalFormatting sqref="D6151">
    <cfRule type="containsText" dxfId="131" priority="117" operator="containsText" text="Pesquisa de Preços">
      <formula>NOT(ISERROR(SEARCH("Pesquisa de Preços",D6151)))</formula>
    </cfRule>
  </conditionalFormatting>
  <conditionalFormatting sqref="D6993">
    <cfRule type="containsText" dxfId="130" priority="115" operator="containsText" text="Pesquisa de Preços">
      <formula>NOT(ISERROR(SEARCH("Pesquisa de Preços",D6993)))</formula>
    </cfRule>
  </conditionalFormatting>
  <conditionalFormatting sqref="D6991">
    <cfRule type="containsText" dxfId="129" priority="113" operator="containsText" text="Pesquisa de Preços">
      <formula>NOT(ISERROR(SEARCH("Pesquisa de Preços",D6991)))</formula>
    </cfRule>
  </conditionalFormatting>
  <conditionalFormatting sqref="D6990">
    <cfRule type="containsText" dxfId="128" priority="114" operator="containsText" text="Pesquisa de Preços">
      <formula>NOT(ISERROR(SEARCH("Pesquisa de Preços",D6990)))</formula>
    </cfRule>
  </conditionalFormatting>
  <conditionalFormatting sqref="D7257">
    <cfRule type="containsText" dxfId="127" priority="112" operator="containsText" text="Pesquisa de Preços">
      <formula>NOT(ISERROR(SEARCH("Pesquisa de Preços",D7257)))</formula>
    </cfRule>
  </conditionalFormatting>
  <conditionalFormatting sqref="D7252">
    <cfRule type="containsText" dxfId="126" priority="111" operator="containsText" text="Pesquisa de Preços">
      <formula>NOT(ISERROR(SEARCH("Pesquisa de Preços",D7252)))</formula>
    </cfRule>
  </conditionalFormatting>
  <conditionalFormatting sqref="D7260">
    <cfRule type="containsText" dxfId="125" priority="110" operator="containsText" text="Pesquisa de Preços">
      <formula>NOT(ISERROR(SEARCH("Pesquisa de Preços",D7260)))</formula>
    </cfRule>
  </conditionalFormatting>
  <conditionalFormatting sqref="D7258">
    <cfRule type="containsText" dxfId="124" priority="109" operator="containsText" text="Pesquisa de Preços">
      <formula>NOT(ISERROR(SEARCH("Pesquisa de Preços",D7258)))</formula>
    </cfRule>
  </conditionalFormatting>
  <conditionalFormatting sqref="D7261">
    <cfRule type="containsText" dxfId="123" priority="107" operator="containsText" text="Pesquisa de Preços">
      <formula>NOT(ISERROR(SEARCH("Pesquisa de Preços",D7261)))</formula>
    </cfRule>
  </conditionalFormatting>
  <conditionalFormatting sqref="D7262:D7263">
    <cfRule type="containsText" dxfId="122" priority="108" operator="containsText" text="Pesquisa de Preços">
      <formula>NOT(ISERROR(SEARCH("Pesquisa de Preços",D7262)))</formula>
    </cfRule>
  </conditionalFormatting>
  <conditionalFormatting sqref="D7246">
    <cfRule type="containsText" dxfId="121" priority="106" operator="containsText" text="Pesquisa de Preços">
      <formula>NOT(ISERROR(SEARCH("Pesquisa de Preços",D7246)))</formula>
    </cfRule>
  </conditionalFormatting>
  <conditionalFormatting sqref="D7249">
    <cfRule type="containsText" dxfId="120" priority="104" operator="containsText" text="Pesquisa de Preços">
      <formula>NOT(ISERROR(SEARCH("Pesquisa de Preços",D7249)))</formula>
    </cfRule>
  </conditionalFormatting>
  <conditionalFormatting sqref="D7247:D7248 D7250:D7251">
    <cfRule type="containsText" dxfId="119" priority="105" operator="containsText" text="Pesquisa de Preços">
      <formula>NOT(ISERROR(SEARCH("Pesquisa de Preços",D7247)))</formula>
    </cfRule>
  </conditionalFormatting>
  <conditionalFormatting sqref="D6449">
    <cfRule type="containsText" dxfId="118" priority="103" operator="containsText" text="Pesquisa de Preços">
      <formula>NOT(ISERROR(SEARCH("Pesquisa de Preços",D6449)))</formula>
    </cfRule>
  </conditionalFormatting>
  <conditionalFormatting sqref="D6454">
    <cfRule type="containsText" dxfId="117" priority="102" operator="containsText" text="Pesquisa de Preços">
      <formula>NOT(ISERROR(SEARCH("Pesquisa de Preços",D6454)))</formula>
    </cfRule>
  </conditionalFormatting>
  <conditionalFormatting sqref="D7293">
    <cfRule type="containsText" dxfId="116" priority="99" operator="containsText" text="Pesquisa de Preços">
      <formula>NOT(ISERROR(SEARCH("Pesquisa de Preços",D7293)))</formula>
    </cfRule>
  </conditionalFormatting>
  <conditionalFormatting sqref="D7295">
    <cfRule type="containsText" dxfId="115" priority="101" operator="containsText" text="Pesquisa de Preços">
      <formula>NOT(ISERROR(SEARCH("Pesquisa de Preços",D7295)))</formula>
    </cfRule>
  </conditionalFormatting>
  <conditionalFormatting sqref="D7292">
    <cfRule type="containsText" dxfId="114" priority="100" operator="containsText" text="Pesquisa de Preços">
      <formula>NOT(ISERROR(SEARCH("Pesquisa de Preços",D7292)))</formula>
    </cfRule>
  </conditionalFormatting>
  <conditionalFormatting sqref="D7297">
    <cfRule type="containsText" dxfId="113" priority="96" operator="containsText" text="Pesquisa de Preços">
      <formula>NOT(ISERROR(SEARCH("Pesquisa de Preços",D7297)))</formula>
    </cfRule>
  </conditionalFormatting>
  <conditionalFormatting sqref="D7299">
    <cfRule type="containsText" dxfId="112" priority="98" operator="containsText" text="Pesquisa de Preços">
      <formula>NOT(ISERROR(SEARCH("Pesquisa de Preços",D7299)))</formula>
    </cfRule>
  </conditionalFormatting>
  <conditionalFormatting sqref="D7296">
    <cfRule type="containsText" dxfId="111" priority="97" operator="containsText" text="Pesquisa de Preços">
      <formula>NOT(ISERROR(SEARCH("Pesquisa de Preços",D7296)))</formula>
    </cfRule>
  </conditionalFormatting>
  <conditionalFormatting sqref="D2648">
    <cfRule type="containsText" dxfId="110" priority="95" operator="containsText" text="Pesquisa de Preços">
      <formula>NOT(ISERROR(SEARCH("Pesquisa de Preços",D2648)))</formula>
    </cfRule>
  </conditionalFormatting>
  <conditionalFormatting sqref="D4770">
    <cfRule type="containsText" dxfId="109" priority="94" operator="containsText" text="Pesquisa de Preços">
      <formula>NOT(ISERROR(SEARCH("Pesquisa de Preços",D4770)))</formula>
    </cfRule>
  </conditionalFormatting>
  <conditionalFormatting sqref="D4774">
    <cfRule type="containsText" dxfId="108" priority="93" operator="containsText" text="Pesquisa de Preços">
      <formula>NOT(ISERROR(SEARCH("Pesquisa de Preços",D4774)))</formula>
    </cfRule>
  </conditionalFormatting>
  <conditionalFormatting sqref="D7312">
    <cfRule type="containsText" dxfId="107" priority="92" operator="containsText" text="Pesquisa de Preços">
      <formula>NOT(ISERROR(SEARCH("Pesquisa de Preços",D7312)))</formula>
    </cfRule>
  </conditionalFormatting>
  <conditionalFormatting sqref="D7304">
    <cfRule type="containsText" dxfId="106" priority="91" operator="containsText" text="Pesquisa de Preços">
      <formula>NOT(ISERROR(SEARCH("Pesquisa de Preços",D7304)))</formula>
    </cfRule>
  </conditionalFormatting>
  <conditionalFormatting sqref="D7308">
    <cfRule type="containsText" dxfId="105" priority="90" operator="containsText" text="Pesquisa de Preços">
      <formula>NOT(ISERROR(SEARCH("Pesquisa de Preços",D7308)))</formula>
    </cfRule>
  </conditionalFormatting>
  <conditionalFormatting sqref="D7316">
    <cfRule type="containsText" dxfId="104" priority="89" operator="containsText" text="Pesquisa de Preços">
      <formula>NOT(ISERROR(SEARCH("Pesquisa de Preços",D7316)))</formula>
    </cfRule>
  </conditionalFormatting>
  <conditionalFormatting sqref="D7300">
    <cfRule type="containsText" dxfId="103" priority="87" operator="containsText" text="Pesquisa de Preços">
      <formula>NOT(ISERROR(SEARCH("Pesquisa de Preços",D7300)))</formula>
    </cfRule>
  </conditionalFormatting>
  <conditionalFormatting sqref="D4724">
    <cfRule type="containsText" dxfId="102" priority="88" operator="containsText" text="Pesquisa de Preços">
      <formula>NOT(ISERROR(SEARCH("Pesquisa de Preços",D4724)))</formula>
    </cfRule>
  </conditionalFormatting>
  <conditionalFormatting sqref="D7294">
    <cfRule type="containsText" dxfId="101" priority="86" operator="containsText" text="Pesquisa de Preços">
      <formula>NOT(ISERROR(SEARCH("Pesquisa de Preços",D7294)))</formula>
    </cfRule>
  </conditionalFormatting>
  <conditionalFormatting sqref="D7298">
    <cfRule type="containsText" dxfId="100" priority="85" operator="containsText" text="Pesquisa de Preços">
      <formula>NOT(ISERROR(SEARCH("Pesquisa de Preços",D7298)))</formula>
    </cfRule>
  </conditionalFormatting>
  <conditionalFormatting sqref="D7302">
    <cfRule type="containsText" dxfId="99" priority="84" operator="containsText" text="Pesquisa de Preços">
      <formula>NOT(ISERROR(SEARCH("Pesquisa de Preços",D7302)))</formula>
    </cfRule>
  </conditionalFormatting>
  <conditionalFormatting sqref="D7332 D7336">
    <cfRule type="containsText" dxfId="98" priority="83" operator="containsText" text="Pesquisa de Preços">
      <formula>NOT(ISERROR(SEARCH("Pesquisa de Preços",D7332)))</formula>
    </cfRule>
  </conditionalFormatting>
  <conditionalFormatting sqref="D7320 D7324 D7328">
    <cfRule type="containsText" dxfId="97" priority="82" operator="containsText" text="Pesquisa de Preços">
      <formula>NOT(ISERROR(SEARCH("Pesquisa de Preços",D7320)))</formula>
    </cfRule>
  </conditionalFormatting>
  <conditionalFormatting sqref="D4746">
    <cfRule type="containsText" dxfId="96" priority="81" operator="containsText" text="Pesquisa de Preços">
      <formula>NOT(ISERROR(SEARCH("Pesquisa de Preços",D4746)))</formula>
    </cfRule>
  </conditionalFormatting>
  <conditionalFormatting sqref="D4742">
    <cfRule type="containsText" dxfId="95" priority="80" operator="containsText" text="Pesquisa de Preços">
      <formula>NOT(ISERROR(SEARCH("Pesquisa de Preços",D4742)))</formula>
    </cfRule>
  </conditionalFormatting>
  <conditionalFormatting sqref="D7281">
    <cfRule type="containsText" dxfId="94" priority="77" operator="containsText" text="Pesquisa de Preços">
      <formula>NOT(ISERROR(SEARCH("Pesquisa de Preços",D7281)))</formula>
    </cfRule>
  </conditionalFormatting>
  <conditionalFormatting sqref="D7283">
    <cfRule type="containsText" dxfId="93" priority="79" operator="containsText" text="Pesquisa de Preços">
      <formula>NOT(ISERROR(SEARCH("Pesquisa de Preços",D7283)))</formula>
    </cfRule>
  </conditionalFormatting>
  <conditionalFormatting sqref="D7280">
    <cfRule type="containsText" dxfId="92" priority="78" operator="containsText" text="Pesquisa de Preços">
      <formula>NOT(ISERROR(SEARCH("Pesquisa de Preços",D7280)))</formula>
    </cfRule>
  </conditionalFormatting>
  <conditionalFormatting sqref="D7285">
    <cfRule type="containsText" dxfId="91" priority="74" operator="containsText" text="Pesquisa de Preços">
      <formula>NOT(ISERROR(SEARCH("Pesquisa de Preços",D7285)))</formula>
    </cfRule>
  </conditionalFormatting>
  <conditionalFormatting sqref="D7287">
    <cfRule type="containsText" dxfId="90" priority="76" operator="containsText" text="Pesquisa de Preços">
      <formula>NOT(ISERROR(SEARCH("Pesquisa de Preços",D7287)))</formula>
    </cfRule>
  </conditionalFormatting>
  <conditionalFormatting sqref="D7284">
    <cfRule type="containsText" dxfId="89" priority="75" operator="containsText" text="Pesquisa de Preços">
      <formula>NOT(ISERROR(SEARCH("Pesquisa de Preços",D7284)))</formula>
    </cfRule>
  </conditionalFormatting>
  <conditionalFormatting sqref="D7288">
    <cfRule type="containsText" dxfId="88" priority="73" operator="containsText" text="Pesquisa de Preços">
      <formula>NOT(ISERROR(SEARCH("Pesquisa de Preços",D7288)))</formula>
    </cfRule>
  </conditionalFormatting>
  <conditionalFormatting sqref="D7282">
    <cfRule type="containsText" dxfId="87" priority="72" operator="containsText" text="Pesquisa de Preços">
      <formula>NOT(ISERROR(SEARCH("Pesquisa de Preços",D7282)))</formula>
    </cfRule>
  </conditionalFormatting>
  <conditionalFormatting sqref="D7286">
    <cfRule type="containsText" dxfId="86" priority="71" operator="containsText" text="Pesquisa de Preços">
      <formula>NOT(ISERROR(SEARCH("Pesquisa de Preços",D7286)))</formula>
    </cfRule>
  </conditionalFormatting>
  <conditionalFormatting sqref="D7290">
    <cfRule type="containsText" dxfId="85" priority="70" operator="containsText" text="Pesquisa de Preços">
      <formula>NOT(ISERROR(SEARCH("Pesquisa de Preços",D7290)))</formula>
    </cfRule>
  </conditionalFormatting>
  <conditionalFormatting sqref="D7266">
    <cfRule type="containsText" dxfId="84" priority="67" operator="containsText" text="Pesquisa de Preços">
      <formula>NOT(ISERROR(SEARCH("Pesquisa de Preços",D7266)))</formula>
    </cfRule>
  </conditionalFormatting>
  <conditionalFormatting sqref="D7269">
    <cfRule type="containsText" dxfId="83" priority="69" operator="containsText" text="Pesquisa de Preços">
      <formula>NOT(ISERROR(SEARCH("Pesquisa de Preços",D7269)))</formula>
    </cfRule>
  </conditionalFormatting>
  <conditionalFormatting sqref="D7265">
    <cfRule type="containsText" dxfId="82" priority="68" operator="containsText" text="Pesquisa de Preços">
      <formula>NOT(ISERROR(SEARCH("Pesquisa de Preços",D7265)))</formula>
    </cfRule>
  </conditionalFormatting>
  <conditionalFormatting sqref="D7271">
    <cfRule type="containsText" dxfId="81" priority="64" operator="containsText" text="Pesquisa de Preços">
      <formula>NOT(ISERROR(SEARCH("Pesquisa de Preços",D7271)))</formula>
    </cfRule>
  </conditionalFormatting>
  <conditionalFormatting sqref="D7274">
    <cfRule type="containsText" dxfId="80" priority="66" operator="containsText" text="Pesquisa de Preços">
      <formula>NOT(ISERROR(SEARCH("Pesquisa de Preços",D7274)))</formula>
    </cfRule>
  </conditionalFormatting>
  <conditionalFormatting sqref="D7270">
    <cfRule type="containsText" dxfId="79" priority="65" operator="containsText" text="Pesquisa de Preços">
      <formula>NOT(ISERROR(SEARCH("Pesquisa de Preços",D7270)))</formula>
    </cfRule>
  </conditionalFormatting>
  <conditionalFormatting sqref="D7275">
    <cfRule type="containsText" dxfId="78" priority="63" operator="containsText" text="Pesquisa de Preços">
      <formula>NOT(ISERROR(SEARCH("Pesquisa de Preços",D7275)))</formula>
    </cfRule>
  </conditionalFormatting>
  <conditionalFormatting sqref="D7349">
    <cfRule type="containsText" dxfId="77" priority="62" operator="containsText" text="Pesquisa de Preços">
      <formula>NOT(ISERROR(SEARCH("Pesquisa de Preços",D7349)))</formula>
    </cfRule>
  </conditionalFormatting>
  <conditionalFormatting sqref="D7347">
    <cfRule type="containsText" dxfId="76" priority="61" operator="containsText" text="Pesquisa de Preços">
      <formula>NOT(ISERROR(SEARCH("Pesquisa de Preços",D7347)))</formula>
    </cfRule>
  </conditionalFormatting>
  <conditionalFormatting sqref="D7350">
    <cfRule type="containsText" dxfId="75" priority="59" operator="containsText" text="Pesquisa de Preços">
      <formula>NOT(ISERROR(SEARCH("Pesquisa de Preços",D7350)))</formula>
    </cfRule>
  </conditionalFormatting>
  <conditionalFormatting sqref="D7351">
    <cfRule type="containsText" dxfId="74" priority="60" operator="containsText" text="Pesquisa de Preços">
      <formula>NOT(ISERROR(SEARCH("Pesquisa de Preços",D7351)))</formula>
    </cfRule>
  </conditionalFormatting>
  <conditionalFormatting sqref="D7342">
    <cfRule type="containsText" dxfId="73" priority="58" operator="containsText" text="Pesquisa de Preços">
      <formula>NOT(ISERROR(SEARCH("Pesquisa de Preços",D7342)))</formula>
    </cfRule>
  </conditionalFormatting>
  <conditionalFormatting sqref="D7340">
    <cfRule type="containsText" dxfId="72" priority="57" operator="containsText" text="Pesquisa de Preços">
      <formula>NOT(ISERROR(SEARCH("Pesquisa de Preços",D7340)))</formula>
    </cfRule>
  </conditionalFormatting>
  <conditionalFormatting sqref="D7343">
    <cfRule type="containsText" dxfId="71" priority="55" operator="containsText" text="Pesquisa de Preços">
      <formula>NOT(ISERROR(SEARCH("Pesquisa de Preços",D7343)))</formula>
    </cfRule>
  </conditionalFormatting>
  <conditionalFormatting sqref="D7344:D7345">
    <cfRule type="containsText" dxfId="70" priority="56" operator="containsText" text="Pesquisa de Preços">
      <formula>NOT(ISERROR(SEARCH("Pesquisa de Preços",D7344)))</formula>
    </cfRule>
  </conditionalFormatting>
  <conditionalFormatting sqref="D7355">
    <cfRule type="containsText" dxfId="69" priority="54" operator="containsText" text="Pesquisa de Preços">
      <formula>NOT(ISERROR(SEARCH("Pesquisa de Preços",D7355)))</formula>
    </cfRule>
  </conditionalFormatting>
  <conditionalFormatting sqref="D7353">
    <cfRule type="containsText" dxfId="68" priority="53" operator="containsText" text="Pesquisa de Preços">
      <formula>NOT(ISERROR(SEARCH("Pesquisa de Preços",D7353)))</formula>
    </cfRule>
  </conditionalFormatting>
  <conditionalFormatting sqref="D7356">
    <cfRule type="containsText" dxfId="67" priority="51" operator="containsText" text="Pesquisa de Preços">
      <formula>NOT(ISERROR(SEARCH("Pesquisa de Preços",D7356)))</formula>
    </cfRule>
  </conditionalFormatting>
  <conditionalFormatting sqref="D7357">
    <cfRule type="containsText" dxfId="66" priority="52" operator="containsText" text="Pesquisa de Preços">
      <formula>NOT(ISERROR(SEARCH("Pesquisa de Preços",D7357)))</formula>
    </cfRule>
  </conditionalFormatting>
  <conditionalFormatting sqref="D7358">
    <cfRule type="containsText" dxfId="65" priority="50" operator="containsText" text="Pesquisa de Preços">
      <formula>NOT(ISERROR(SEARCH("Pesquisa de Preços",D7358)))</formula>
    </cfRule>
  </conditionalFormatting>
  <conditionalFormatting sqref="D7363">
    <cfRule type="containsText" dxfId="64" priority="49" operator="containsText" text="Pesquisa de Preços">
      <formula>NOT(ISERROR(SEARCH("Pesquisa de Preços",D7363)))</formula>
    </cfRule>
  </conditionalFormatting>
  <conditionalFormatting sqref="D7361">
    <cfRule type="containsText" dxfId="63" priority="48" operator="containsText" text="Pesquisa de Preços">
      <formula>NOT(ISERROR(SEARCH("Pesquisa de Preços",D7361)))</formula>
    </cfRule>
  </conditionalFormatting>
  <conditionalFormatting sqref="D7364">
    <cfRule type="containsText" dxfId="62" priority="46" operator="containsText" text="Pesquisa de Preços">
      <formula>NOT(ISERROR(SEARCH("Pesquisa de Preços",D7364)))</formula>
    </cfRule>
  </conditionalFormatting>
  <conditionalFormatting sqref="D7365">
    <cfRule type="containsText" dxfId="61" priority="47" operator="containsText" text="Pesquisa de Preços">
      <formula>NOT(ISERROR(SEARCH("Pesquisa de Preços",D7365)))</formula>
    </cfRule>
  </conditionalFormatting>
  <conditionalFormatting sqref="D7366">
    <cfRule type="containsText" dxfId="60" priority="45" operator="containsText" text="Pesquisa de Preços">
      <formula>NOT(ISERROR(SEARCH("Pesquisa de Preços",D7366)))</formula>
    </cfRule>
  </conditionalFormatting>
  <conditionalFormatting sqref="D7369">
    <cfRule type="containsText" dxfId="59" priority="44" operator="containsText" text="Pesquisa de Preços">
      <formula>NOT(ISERROR(SEARCH("Pesquisa de Preços",D7369)))</formula>
    </cfRule>
  </conditionalFormatting>
  <conditionalFormatting sqref="D7372">
    <cfRule type="containsText" dxfId="58" priority="42" operator="containsText" text="Pesquisa de Preços">
      <formula>NOT(ISERROR(SEARCH("Pesquisa de Preços",D7372)))</formula>
    </cfRule>
  </conditionalFormatting>
  <conditionalFormatting sqref="D7373">
    <cfRule type="containsText" dxfId="57" priority="43" operator="containsText" text="Pesquisa de Preços">
      <formula>NOT(ISERROR(SEARCH("Pesquisa de Preços",D7373)))</formula>
    </cfRule>
  </conditionalFormatting>
  <conditionalFormatting sqref="D7375">
    <cfRule type="containsText" dxfId="56" priority="41" operator="containsText" text="Pesquisa de Preços">
      <formula>NOT(ISERROR(SEARCH("Pesquisa de Preços",D7375)))</formula>
    </cfRule>
  </conditionalFormatting>
  <conditionalFormatting sqref="D7378">
    <cfRule type="containsText" dxfId="55" priority="40" operator="containsText" text="Pesquisa de Preços">
      <formula>NOT(ISERROR(SEARCH("Pesquisa de Preços",D7378)))</formula>
    </cfRule>
  </conditionalFormatting>
  <conditionalFormatting sqref="D7377">
    <cfRule type="containsText" dxfId="54" priority="38" operator="containsText" text="Pesquisa de Preços">
      <formula>NOT(ISERROR(SEARCH("Pesquisa de Preços",D7377)))</formula>
    </cfRule>
  </conditionalFormatting>
  <conditionalFormatting sqref="D7378">
    <cfRule type="containsText" dxfId="53" priority="39" operator="containsText" text="Pesquisa de Preços">
      <formula>NOT(ISERROR(SEARCH("Pesquisa de Preços",D7378)))</formula>
    </cfRule>
  </conditionalFormatting>
  <conditionalFormatting sqref="D7382">
    <cfRule type="containsText" dxfId="52" priority="34" operator="containsText" text="Pesquisa de Preços">
      <formula>NOT(ISERROR(SEARCH("Pesquisa de Preços",D7382)))</formula>
    </cfRule>
  </conditionalFormatting>
  <conditionalFormatting sqref="D7380">
    <cfRule type="containsText" dxfId="51" priority="37" operator="containsText" text="Pesquisa de Preços">
      <formula>NOT(ISERROR(SEARCH("Pesquisa de Preços",D7380)))</formula>
    </cfRule>
  </conditionalFormatting>
  <conditionalFormatting sqref="D7383">
    <cfRule type="containsText" dxfId="50" priority="36" operator="containsText" text="Pesquisa de Preços">
      <formula>NOT(ISERROR(SEARCH("Pesquisa de Preços",D7383)))</formula>
    </cfRule>
  </conditionalFormatting>
  <conditionalFormatting sqref="D7383">
    <cfRule type="containsText" dxfId="49" priority="35" operator="containsText" text="Pesquisa de Preços">
      <formula>NOT(ISERROR(SEARCH("Pesquisa de Preços",D7383)))</formula>
    </cfRule>
  </conditionalFormatting>
  <conditionalFormatting sqref="D7385">
    <cfRule type="containsText" dxfId="48" priority="33" operator="containsText" text="Pesquisa de Preços">
      <formula>NOT(ISERROR(SEARCH("Pesquisa de Preços",D7385)))</formula>
    </cfRule>
  </conditionalFormatting>
  <conditionalFormatting sqref="D7390:D7391 D7386:D7387">
    <cfRule type="containsText" dxfId="47" priority="32" operator="containsText" text="Pesquisa de Preços">
      <formula>NOT(ISERROR(SEARCH("Pesquisa de Preços",D7386)))</formula>
    </cfRule>
  </conditionalFormatting>
  <conditionalFormatting sqref="D7388:D7389">
    <cfRule type="containsText" dxfId="46" priority="31" operator="containsText" text="Pesquisa de Preços">
      <formula>NOT(ISERROR(SEARCH("Pesquisa de Preços",D7388)))</formula>
    </cfRule>
  </conditionalFormatting>
  <conditionalFormatting sqref="D6496">
    <cfRule type="containsText" dxfId="45" priority="30" operator="containsText" text="Pesquisa de Preços">
      <formula>NOT(ISERROR(SEARCH("Pesquisa de Preços",D6496)))</formula>
    </cfRule>
  </conditionalFormatting>
  <conditionalFormatting sqref="D6503">
    <cfRule type="containsText" dxfId="44" priority="29" operator="containsText" text="Pesquisa de Preços">
      <formula>NOT(ISERROR(SEARCH("Pesquisa de Preços",D6503)))</formula>
    </cfRule>
  </conditionalFormatting>
  <conditionalFormatting sqref="D7392">
    <cfRule type="containsText" dxfId="43" priority="28" operator="containsText" text="Pesquisa de Preços">
      <formula>NOT(ISERROR(SEARCH("Pesquisa de Preços",D7392)))</formula>
    </cfRule>
  </conditionalFormatting>
  <conditionalFormatting sqref="D7399">
    <cfRule type="containsText" dxfId="42" priority="27" operator="containsText" text="Pesquisa de Preços">
      <formula>NOT(ISERROR(SEARCH("Pesquisa de Preços",D7399)))</formula>
    </cfRule>
  </conditionalFormatting>
  <conditionalFormatting sqref="D7409">
    <cfRule type="containsText" dxfId="41" priority="26" operator="containsText" text="Pesquisa de Preços">
      <formula>NOT(ISERROR(SEARCH("Pesquisa de Preços",D7409)))</formula>
    </cfRule>
  </conditionalFormatting>
  <conditionalFormatting sqref="D7407">
    <cfRule type="containsText" dxfId="40" priority="25" operator="containsText" text="Pesquisa de Preços">
      <formula>NOT(ISERROR(SEARCH("Pesquisa de Preços",D7407)))</formula>
    </cfRule>
  </conditionalFormatting>
  <conditionalFormatting sqref="D7410">
    <cfRule type="containsText" dxfId="39" priority="23" operator="containsText" text="Pesquisa de Preços">
      <formula>NOT(ISERROR(SEARCH("Pesquisa de Preços",D7410)))</formula>
    </cfRule>
  </conditionalFormatting>
  <conditionalFormatting sqref="D7411">
    <cfRule type="containsText" dxfId="38" priority="24" operator="containsText" text="Pesquisa de Preços">
      <formula>NOT(ISERROR(SEARCH("Pesquisa de Preços",D7411)))</formula>
    </cfRule>
  </conditionalFormatting>
  <conditionalFormatting sqref="D7425">
    <cfRule type="containsText" dxfId="37" priority="22" operator="containsText" text="Pesquisa de Preços">
      <formula>NOT(ISERROR(SEARCH("Pesquisa de Preços",D7425)))</formula>
    </cfRule>
  </conditionalFormatting>
  <conditionalFormatting sqref="D7421">
    <cfRule type="containsText" dxfId="36" priority="21" operator="containsText" text="Pesquisa de Preços">
      <formula>NOT(ISERROR(SEARCH("Pesquisa de Preços",D7421)))</formula>
    </cfRule>
  </conditionalFormatting>
  <conditionalFormatting sqref="D7426">
    <cfRule type="containsText" dxfId="35" priority="20" operator="containsText" text="Pesquisa de Preços">
      <formula>NOT(ISERROR(SEARCH("Pesquisa de Preços",D7426)))</formula>
    </cfRule>
  </conditionalFormatting>
  <conditionalFormatting sqref="D7431">
    <cfRule type="containsText" dxfId="34" priority="19" operator="containsText" text="Pesquisa de Preços">
      <formula>NOT(ISERROR(SEARCH("Pesquisa de Preços",D7431)))</formula>
    </cfRule>
  </conditionalFormatting>
  <conditionalFormatting sqref="D7427">
    <cfRule type="containsText" dxfId="33" priority="18" operator="containsText" text="Pesquisa de Preços">
      <formula>NOT(ISERROR(SEARCH("Pesquisa de Preços",D7427)))</formula>
    </cfRule>
  </conditionalFormatting>
  <conditionalFormatting sqref="D7432">
    <cfRule type="containsText" dxfId="32" priority="17" operator="containsText" text="Pesquisa de Preços">
      <formula>NOT(ISERROR(SEARCH("Pesquisa de Preços",D7432)))</formula>
    </cfRule>
  </conditionalFormatting>
  <conditionalFormatting sqref="D7437">
    <cfRule type="containsText" dxfId="31" priority="16" operator="containsText" text="Pesquisa de Preços">
      <formula>NOT(ISERROR(SEARCH("Pesquisa de Preços",D7437)))</formula>
    </cfRule>
  </conditionalFormatting>
  <conditionalFormatting sqref="D7433">
    <cfRule type="containsText" dxfId="30" priority="15" operator="containsText" text="Pesquisa de Preços">
      <formula>NOT(ISERROR(SEARCH("Pesquisa de Preços",D7433)))</formula>
    </cfRule>
  </conditionalFormatting>
  <conditionalFormatting sqref="D7438">
    <cfRule type="containsText" dxfId="29" priority="14" operator="containsText" text="Pesquisa de Preços">
      <formula>NOT(ISERROR(SEARCH("Pesquisa de Preços",D7438)))</formula>
    </cfRule>
  </conditionalFormatting>
  <conditionalFormatting sqref="D7443">
    <cfRule type="containsText" dxfId="28" priority="13" operator="containsText" text="Pesquisa de Preços">
      <formula>NOT(ISERROR(SEARCH("Pesquisa de Preços",D7443)))</formula>
    </cfRule>
  </conditionalFormatting>
  <conditionalFormatting sqref="D7439">
    <cfRule type="containsText" dxfId="27" priority="12" operator="containsText" text="Pesquisa de Preços">
      <formula>NOT(ISERROR(SEARCH("Pesquisa de Preços",D7439)))</formula>
    </cfRule>
  </conditionalFormatting>
  <conditionalFormatting sqref="D7413">
    <cfRule type="containsText" dxfId="26" priority="11" operator="containsText" text="Pesquisa de Preços">
      <formula>NOT(ISERROR(SEARCH("Pesquisa de Preços",D7413)))</formula>
    </cfRule>
  </conditionalFormatting>
  <conditionalFormatting sqref="D7418:D7419 D7414:D7415">
    <cfRule type="containsText" dxfId="25" priority="10" operator="containsText" text="Pesquisa de Preços">
      <formula>NOT(ISERROR(SEARCH("Pesquisa de Preços",D7414)))</formula>
    </cfRule>
  </conditionalFormatting>
  <conditionalFormatting sqref="D7416:D7417">
    <cfRule type="containsText" dxfId="24" priority="9" operator="containsText" text="Pesquisa de Preços">
      <formula>NOT(ISERROR(SEARCH("Pesquisa de Preços",D7416)))</formula>
    </cfRule>
  </conditionalFormatting>
  <conditionalFormatting sqref="D7449">
    <cfRule type="containsText" dxfId="23" priority="8" operator="containsText" text="Pesquisa de Preços">
      <formula>NOT(ISERROR(SEARCH("Pesquisa de Preços",D7449)))</formula>
    </cfRule>
  </conditionalFormatting>
  <conditionalFormatting sqref="D7463">
    <cfRule type="containsText" dxfId="22" priority="7" operator="containsText" text="Pesquisa de Preços">
      <formula>NOT(ISERROR(SEARCH("Pesquisa de Preços",D7463)))</formula>
    </cfRule>
  </conditionalFormatting>
  <conditionalFormatting sqref="D7444">
    <cfRule type="containsText" dxfId="21" priority="6" operator="containsText" text="Pesquisa de Preços">
      <formula>NOT(ISERROR(SEARCH("Pesquisa de Preços",D7444)))</formula>
    </cfRule>
  </conditionalFormatting>
  <conditionalFormatting sqref="D5426">
    <cfRule type="containsText" dxfId="20" priority="5" operator="containsText" text="Pesquisa de Preços">
      <formula>NOT(ISERROR(SEARCH("Pesquisa de Preços",D5426)))</formula>
    </cfRule>
  </conditionalFormatting>
  <conditionalFormatting sqref="D7457">
    <cfRule type="containsText" dxfId="19" priority="4" operator="containsText" text="Pesquisa de Preços">
      <formula>NOT(ISERROR(SEARCH("Pesquisa de Preços",D7457)))</formula>
    </cfRule>
  </conditionalFormatting>
  <conditionalFormatting sqref="D7460">
    <cfRule type="containsText" dxfId="18" priority="2" operator="containsText" text="Pesquisa de Preços">
      <formula>NOT(ISERROR(SEARCH("Pesquisa de Preços",D7460)))</formula>
    </cfRule>
  </conditionalFormatting>
  <conditionalFormatting sqref="D7461">
    <cfRule type="containsText" dxfId="17" priority="3" operator="containsText" text="Pesquisa de Preços">
      <formula>NOT(ISERROR(SEARCH("Pesquisa de Preços",D7461)))</formula>
    </cfRule>
  </conditionalFormatting>
  <conditionalFormatting sqref="D7420">
    <cfRule type="containsText" dxfId="16" priority="1" operator="containsText" text="Pesquisa de Preços">
      <formula>NOT(ISERROR(SEARCH("Pesquisa de Preços",D7420)))</formula>
    </cfRule>
  </conditionalFormatting>
  <hyperlinks>
    <hyperlink ref="C462" r:id="rId1"/>
    <hyperlink ref="C496" r:id="rId2"/>
    <hyperlink ref="C495" r:id="rId3"/>
    <hyperlink ref="C481" r:id="rId4"/>
    <hyperlink ref="C4655" r:id="rId5"/>
    <hyperlink ref="C4722" r:id="rId6"/>
    <hyperlink ref="C4701" r:id="rId7"/>
    <hyperlink ref="C3188" r:id="rId8"/>
    <hyperlink ref="C480" r:id="rId9"/>
  </hyperlinks>
  <printOptions horizontalCentered="1"/>
  <pageMargins left="0.19685039370078741" right="0.19685039370078741" top="0.98425196850393704" bottom="0.59055118110236227" header="0.19685039370078741" footer="0.19685039370078741"/>
  <pageSetup paperSize="9" scale="47" fitToHeight="0" orientation="landscape" horizontalDpi="4294967295" verticalDpi="4294967295"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pageSetUpPr fitToPage="1"/>
  </sheetPr>
  <dimension ref="A1:I665"/>
  <sheetViews>
    <sheetView zoomScale="80" zoomScaleNormal="80" workbookViewId="0">
      <pane ySplit="5" topLeftCell="A168" activePane="bottomLeft" state="frozen"/>
      <selection pane="bottomLeft" activeCell="I170" sqref="I170"/>
    </sheetView>
  </sheetViews>
  <sheetFormatPr defaultRowHeight="15" x14ac:dyDescent="0.25"/>
  <cols>
    <col min="1" max="1" width="46.85546875" style="168" customWidth="1"/>
    <col min="2" max="2" width="65.7109375" style="5"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219" t="s">
        <v>2822</v>
      </c>
      <c r="B1" s="219"/>
      <c r="C1" s="219"/>
      <c r="D1" s="219"/>
      <c r="E1" s="219"/>
      <c r="F1" s="219"/>
      <c r="G1" s="219"/>
      <c r="H1" s="75"/>
      <c r="I1" s="76"/>
    </row>
    <row r="2" spans="1:9" ht="24.95" customHeight="1" x14ac:dyDescent="0.25">
      <c r="A2" s="218" t="s">
        <v>1410</v>
      </c>
      <c r="B2" s="218"/>
      <c r="C2" s="218"/>
      <c r="D2" s="218"/>
      <c r="E2" s="218"/>
      <c r="F2" s="218"/>
      <c r="G2" s="218"/>
      <c r="H2" s="8"/>
      <c r="I2" s="76"/>
    </row>
    <row r="3" spans="1:9" ht="20.100000000000001" customHeight="1" x14ac:dyDescent="0.25">
      <c r="A3" s="241" t="s">
        <v>2823</v>
      </c>
      <c r="B3" s="241"/>
      <c r="C3" s="241"/>
      <c r="D3" s="241"/>
      <c r="E3" s="241"/>
      <c r="F3" s="241"/>
      <c r="G3" s="241"/>
      <c r="H3" s="9"/>
      <c r="I3" s="77"/>
    </row>
    <row r="4" spans="1:9" ht="15.75" thickBot="1" x14ac:dyDescent="0.3">
      <c r="A4" s="78"/>
      <c r="B4" s="79"/>
      <c r="C4" s="79"/>
      <c r="D4" s="79"/>
      <c r="E4" s="79"/>
      <c r="F4" s="79"/>
      <c r="G4" s="79"/>
      <c r="H4" s="80"/>
      <c r="I4" s="81"/>
    </row>
    <row r="5" spans="1:9" ht="30.75" thickBot="1" x14ac:dyDescent="0.3">
      <c r="A5" s="14" t="s">
        <v>2</v>
      </c>
      <c r="B5" s="15" t="s">
        <v>3</v>
      </c>
      <c r="C5" s="15" t="s">
        <v>4</v>
      </c>
      <c r="D5" s="15" t="s">
        <v>5</v>
      </c>
      <c r="E5" s="15" t="s">
        <v>6</v>
      </c>
      <c r="F5" s="15" t="s">
        <v>7</v>
      </c>
      <c r="G5" s="17" t="s">
        <v>1411</v>
      </c>
      <c r="H5" s="18"/>
      <c r="I5" s="82" t="s">
        <v>9</v>
      </c>
    </row>
    <row r="6" spans="1:9" ht="26.25" hidden="1" customHeight="1" x14ac:dyDescent="0.25">
      <c r="A6" s="242" t="s">
        <v>108</v>
      </c>
      <c r="B6" s="149" t="s">
        <v>521</v>
      </c>
      <c r="C6" s="83" t="s">
        <v>120</v>
      </c>
      <c r="D6" s="84"/>
      <c r="E6" s="65" t="s">
        <v>521</v>
      </c>
      <c r="F6" s="65" t="str">
        <f t="shared" ref="F6:F69" si="0">IF(ISNUMBER(E6),E6*$D6,"")</f>
        <v/>
      </c>
      <c r="G6" s="66"/>
      <c r="H6" s="24"/>
      <c r="I6" s="139">
        <v>0</v>
      </c>
    </row>
    <row r="7" spans="1:9" ht="15.75" hidden="1" thickBot="1" x14ac:dyDescent="0.3">
      <c r="A7" s="237"/>
      <c r="B7" s="26" t="s">
        <v>521</v>
      </c>
      <c r="C7" s="26"/>
      <c r="D7" s="85"/>
      <c r="E7" s="25" t="s">
        <v>521</v>
      </c>
      <c r="F7" s="25" t="str">
        <f t="shared" si="0"/>
        <v/>
      </c>
      <c r="G7" s="29"/>
      <c r="H7" s="25"/>
      <c r="I7" s="139">
        <v>0</v>
      </c>
    </row>
    <row r="8" spans="1:9" ht="26.25" hidden="1" thickBot="1" x14ac:dyDescent="0.3">
      <c r="A8" s="237"/>
      <c r="B8" s="30" t="s">
        <v>751</v>
      </c>
      <c r="C8" s="30" t="s">
        <v>120</v>
      </c>
      <c r="D8" s="31">
        <v>1.07</v>
      </c>
      <c r="E8" s="25">
        <v>186.16200000000001</v>
      </c>
      <c r="F8" s="28">
        <f t="shared" si="0"/>
        <v>199.19334000000001</v>
      </c>
      <c r="G8" s="39">
        <f>SUM(F8:F12)</f>
        <v>735.20400930200003</v>
      </c>
      <c r="H8" s="40"/>
      <c r="I8" s="139">
        <v>0</v>
      </c>
    </row>
    <row r="9" spans="1:9" ht="15.75" hidden="1" thickBot="1" x14ac:dyDescent="0.3">
      <c r="A9" s="237"/>
      <c r="B9" s="30" t="s">
        <v>747</v>
      </c>
      <c r="C9" s="30" t="s">
        <v>897</v>
      </c>
      <c r="D9" s="31">
        <v>482.96</v>
      </c>
      <c r="E9" s="28">
        <v>0.64600000000000002</v>
      </c>
      <c r="F9" s="28">
        <f t="shared" si="0"/>
        <v>311.99216000000001</v>
      </c>
      <c r="G9" s="39"/>
      <c r="H9" s="40"/>
      <c r="I9" s="139">
        <v>0</v>
      </c>
    </row>
    <row r="10" spans="1:9" ht="15.75" hidden="1" thickBot="1" x14ac:dyDescent="0.3">
      <c r="A10" s="237"/>
      <c r="B10" s="30" t="s">
        <v>1412</v>
      </c>
      <c r="C10" s="30" t="s">
        <v>702</v>
      </c>
      <c r="D10" s="31">
        <v>8.57</v>
      </c>
      <c r="E10" s="25">
        <v>18.420500000000001</v>
      </c>
      <c r="F10" s="28">
        <f t="shared" si="0"/>
        <v>157.863685</v>
      </c>
      <c r="G10" s="39"/>
      <c r="H10" s="40"/>
      <c r="I10" s="139">
        <v>0</v>
      </c>
    </row>
    <row r="11" spans="1:9" ht="51.75" hidden="1" thickBot="1" x14ac:dyDescent="0.3">
      <c r="A11" s="237"/>
      <c r="B11" s="30" t="s">
        <v>1826</v>
      </c>
      <c r="C11" s="30" t="s">
        <v>120</v>
      </c>
      <c r="D11" s="31">
        <f>ROUND(1*D8,4)</f>
        <v>1.07</v>
      </c>
      <c r="E11" s="25">
        <v>8.0614416000000002</v>
      </c>
      <c r="F11" s="28">
        <f t="shared" si="0"/>
        <v>8.6257425120000004</v>
      </c>
      <c r="G11" s="39"/>
      <c r="H11" s="40"/>
      <c r="I11" s="139">
        <v>0</v>
      </c>
    </row>
    <row r="12" spans="1:9" ht="39" hidden="1" thickBot="1" x14ac:dyDescent="0.3">
      <c r="A12" s="237"/>
      <c r="B12" s="30" t="s">
        <v>1823</v>
      </c>
      <c r="C12" s="41" t="s">
        <v>122</v>
      </c>
      <c r="D12" s="31">
        <f>ROUND(D8*20,4)</f>
        <v>21.4</v>
      </c>
      <c r="E12" s="25">
        <v>2.6882748499999995</v>
      </c>
      <c r="F12" s="28">
        <f t="shared" si="0"/>
        <v>57.529081789999985</v>
      </c>
      <c r="G12" s="39"/>
      <c r="H12" s="40"/>
      <c r="I12" s="139">
        <v>0</v>
      </c>
    </row>
    <row r="13" spans="1:9" ht="15.75" hidden="1" thickBot="1" x14ac:dyDescent="0.3">
      <c r="A13" s="237"/>
      <c r="B13" s="45"/>
      <c r="C13" s="41"/>
      <c r="D13" s="31"/>
      <c r="E13" s="25" t="s">
        <v>521</v>
      </c>
      <c r="F13" s="28" t="str">
        <f t="shared" si="0"/>
        <v/>
      </c>
      <c r="G13" s="39"/>
      <c r="H13" s="40"/>
      <c r="I13" s="139">
        <v>0</v>
      </c>
    </row>
    <row r="14" spans="1:9" ht="15.75" hidden="1" thickBot="1" x14ac:dyDescent="0.3">
      <c r="A14" s="237"/>
      <c r="B14" s="42" t="s">
        <v>754</v>
      </c>
      <c r="C14" s="41"/>
      <c r="D14" s="31"/>
      <c r="E14" s="25" t="s">
        <v>521</v>
      </c>
      <c r="F14" s="28" t="str">
        <f t="shared" si="0"/>
        <v/>
      </c>
      <c r="G14" s="39"/>
      <c r="H14" s="40"/>
      <c r="I14" s="139">
        <v>0</v>
      </c>
    </row>
    <row r="15" spans="1:9" ht="15.75" hidden="1" thickBot="1" x14ac:dyDescent="0.3">
      <c r="A15" s="243"/>
      <c r="B15" s="30" t="s">
        <v>521</v>
      </c>
      <c r="C15" s="30"/>
      <c r="D15" s="86"/>
      <c r="E15" s="25" t="s">
        <v>521</v>
      </c>
      <c r="F15" s="28" t="str">
        <f t="shared" si="0"/>
        <v/>
      </c>
      <c r="G15" s="29"/>
      <c r="H15" s="25"/>
      <c r="I15" s="139">
        <v>0</v>
      </c>
    </row>
    <row r="16" spans="1:9" ht="15.75" hidden="1" customHeight="1" thickBot="1" x14ac:dyDescent="0.3">
      <c r="A16" s="242" t="s">
        <v>1594</v>
      </c>
      <c r="B16" s="35" t="s">
        <v>521</v>
      </c>
      <c r="C16" s="20" t="s">
        <v>279</v>
      </c>
      <c r="D16" s="87"/>
      <c r="E16" s="36" t="s">
        <v>521</v>
      </c>
      <c r="F16" s="36" t="str">
        <f t="shared" si="0"/>
        <v/>
      </c>
      <c r="G16" s="23"/>
      <c r="H16" s="24"/>
      <c r="I16" s="139">
        <v>0</v>
      </c>
    </row>
    <row r="17" spans="1:9" ht="15.75" hidden="1" thickBot="1" x14ac:dyDescent="0.3">
      <c r="A17" s="237"/>
      <c r="B17" s="26" t="s">
        <v>521</v>
      </c>
      <c r="C17" s="26"/>
      <c r="D17" s="85"/>
      <c r="E17" s="37" t="s">
        <v>521</v>
      </c>
      <c r="F17" s="25" t="str">
        <f t="shared" si="0"/>
        <v/>
      </c>
      <c r="G17" s="29"/>
      <c r="H17" s="25"/>
      <c r="I17" s="139">
        <v>0</v>
      </c>
    </row>
    <row r="18" spans="1:9" ht="26.25" hidden="1" thickBot="1" x14ac:dyDescent="0.3">
      <c r="A18" s="237"/>
      <c r="B18" s="30" t="s">
        <v>107</v>
      </c>
      <c r="C18" s="30" t="s">
        <v>702</v>
      </c>
      <c r="D18" s="31">
        <v>2.2700000000000001E-2</v>
      </c>
      <c r="E18" s="25">
        <v>19.094999999999999</v>
      </c>
      <c r="F18" s="28">
        <f t="shared" si="0"/>
        <v>0.43345650000000002</v>
      </c>
      <c r="G18" s="39">
        <f>SUM(F18:F19)</f>
        <v>4.3726485999999998</v>
      </c>
      <c r="H18" s="40"/>
      <c r="I18" s="139">
        <v>0</v>
      </c>
    </row>
    <row r="19" spans="1:9" ht="15.75" hidden="1" thickBot="1" x14ac:dyDescent="0.3">
      <c r="A19" s="237"/>
      <c r="B19" s="30" t="s">
        <v>1413</v>
      </c>
      <c r="C19" s="30" t="s">
        <v>702</v>
      </c>
      <c r="D19" s="31">
        <v>0.16209999999999999</v>
      </c>
      <c r="E19" s="25">
        <v>24.300999999999998</v>
      </c>
      <c r="F19" s="28">
        <f t="shared" si="0"/>
        <v>3.9391920999999996</v>
      </c>
      <c r="G19" s="39"/>
      <c r="H19" s="40"/>
      <c r="I19" s="139">
        <v>0</v>
      </c>
    </row>
    <row r="20" spans="1:9" ht="15.75" hidden="1" thickBot="1" x14ac:dyDescent="0.3">
      <c r="A20" s="243"/>
      <c r="B20" s="30" t="s">
        <v>521</v>
      </c>
      <c r="C20" s="30"/>
      <c r="D20" s="86"/>
      <c r="E20" s="25" t="s">
        <v>521</v>
      </c>
      <c r="F20" s="25" t="str">
        <f t="shared" si="0"/>
        <v/>
      </c>
      <c r="G20" s="29"/>
      <c r="H20" s="25"/>
      <c r="I20" s="139">
        <v>0</v>
      </c>
    </row>
    <row r="21" spans="1:9" ht="15.75" hidden="1" customHeight="1" thickBot="1" x14ac:dyDescent="0.3">
      <c r="A21" s="242" t="s">
        <v>1591</v>
      </c>
      <c r="B21" s="35" t="s">
        <v>521</v>
      </c>
      <c r="C21" s="20" t="s">
        <v>479</v>
      </c>
      <c r="D21" s="87"/>
      <c r="E21" s="36" t="s">
        <v>521</v>
      </c>
      <c r="F21" s="36" t="str">
        <f t="shared" si="0"/>
        <v/>
      </c>
      <c r="G21" s="23"/>
      <c r="H21" s="24"/>
      <c r="I21" s="139">
        <v>0</v>
      </c>
    </row>
    <row r="22" spans="1:9" ht="15.75" hidden="1" thickBot="1" x14ac:dyDescent="0.3">
      <c r="A22" s="237"/>
      <c r="B22" s="26" t="s">
        <v>521</v>
      </c>
      <c r="C22" s="26"/>
      <c r="D22" s="85"/>
      <c r="E22" s="37" t="s">
        <v>521</v>
      </c>
      <c r="F22" s="25" t="str">
        <f t="shared" si="0"/>
        <v/>
      </c>
      <c r="G22" s="29"/>
      <c r="H22" s="25"/>
      <c r="I22" s="139">
        <v>0</v>
      </c>
    </row>
    <row r="23" spans="1:9" ht="26.25" hidden="1" thickBot="1" x14ac:dyDescent="0.3">
      <c r="A23" s="237"/>
      <c r="B23" s="30" t="s">
        <v>2289</v>
      </c>
      <c r="C23" s="30" t="s">
        <v>279</v>
      </c>
      <c r="D23" s="31">
        <v>0.65</v>
      </c>
      <c r="E23" s="28">
        <v>1.6624999999999999</v>
      </c>
      <c r="F23" s="28">
        <f t="shared" si="0"/>
        <v>1.0806249999999999</v>
      </c>
      <c r="G23" s="39">
        <f>SUM(F23:F25)</f>
        <v>2.9483439999999996</v>
      </c>
      <c r="H23" s="40"/>
      <c r="I23" s="139">
        <v>0</v>
      </c>
    </row>
    <row r="24" spans="1:9" ht="26.25" hidden="1" thickBot="1" x14ac:dyDescent="0.3">
      <c r="A24" s="237"/>
      <c r="B24" s="30" t="s">
        <v>107</v>
      </c>
      <c r="C24" s="30" t="s">
        <v>702</v>
      </c>
      <c r="D24" s="31">
        <v>0.01</v>
      </c>
      <c r="E24" s="25">
        <v>19.094999999999999</v>
      </c>
      <c r="F24" s="28">
        <f t="shared" si="0"/>
        <v>0.19094999999999998</v>
      </c>
      <c r="G24" s="39"/>
      <c r="H24" s="40"/>
      <c r="I24" s="139">
        <v>0</v>
      </c>
    </row>
    <row r="25" spans="1:9" ht="15.75" hidden="1" thickBot="1" x14ac:dyDescent="0.3">
      <c r="A25" s="237"/>
      <c r="B25" s="30" t="s">
        <v>1413</v>
      </c>
      <c r="C25" s="30" t="s">
        <v>702</v>
      </c>
      <c r="D25" s="31">
        <v>6.9000000000000006E-2</v>
      </c>
      <c r="E25" s="25">
        <v>24.300999999999998</v>
      </c>
      <c r="F25" s="28">
        <f t="shared" si="0"/>
        <v>1.676769</v>
      </c>
      <c r="G25" s="39"/>
      <c r="H25" s="40"/>
      <c r="I25" s="139">
        <v>0</v>
      </c>
    </row>
    <row r="26" spans="1:9" ht="15.75" hidden="1" thickBot="1" x14ac:dyDescent="0.3">
      <c r="A26" s="243"/>
      <c r="B26" s="30" t="s">
        <v>521</v>
      </c>
      <c r="C26" s="30"/>
      <c r="D26" s="86"/>
      <c r="E26" s="25" t="s">
        <v>521</v>
      </c>
      <c r="F26" s="25" t="str">
        <f t="shared" si="0"/>
        <v/>
      </c>
      <c r="G26" s="29"/>
      <c r="H26" s="25"/>
      <c r="I26" s="139">
        <v>0</v>
      </c>
    </row>
    <row r="27" spans="1:9" ht="15.75" hidden="1" customHeight="1" thickBot="1" x14ac:dyDescent="0.3">
      <c r="A27" s="242" t="s">
        <v>1912</v>
      </c>
      <c r="B27" s="35" t="s">
        <v>521</v>
      </c>
      <c r="C27" s="20" t="s">
        <v>988</v>
      </c>
      <c r="D27" s="87"/>
      <c r="E27" s="36" t="s">
        <v>521</v>
      </c>
      <c r="F27" s="36" t="str">
        <f t="shared" si="0"/>
        <v/>
      </c>
      <c r="G27" s="23"/>
      <c r="H27" s="24"/>
      <c r="I27" s="139">
        <v>0</v>
      </c>
    </row>
    <row r="28" spans="1:9" ht="15.75" hidden="1" thickBot="1" x14ac:dyDescent="0.3">
      <c r="A28" s="237"/>
      <c r="B28" s="26" t="s">
        <v>521</v>
      </c>
      <c r="C28" s="26"/>
      <c r="D28" s="85"/>
      <c r="E28" s="37" t="s">
        <v>521</v>
      </c>
      <c r="F28" s="25" t="str">
        <f t="shared" si="0"/>
        <v/>
      </c>
      <c r="G28" s="29"/>
      <c r="H28" s="25"/>
      <c r="I28" s="139">
        <v>0</v>
      </c>
    </row>
    <row r="29" spans="1:9" ht="39" hidden="1" thickBot="1" x14ac:dyDescent="0.3">
      <c r="A29" s="237"/>
      <c r="B29" s="30" t="s">
        <v>2360</v>
      </c>
      <c r="C29" s="30" t="s">
        <v>988</v>
      </c>
      <c r="D29" s="31">
        <v>1.1459999999999999</v>
      </c>
      <c r="E29" s="28">
        <v>57.911999999999999</v>
      </c>
      <c r="F29" s="28">
        <f t="shared" si="0"/>
        <v>66.36715199999999</v>
      </c>
      <c r="G29" s="39">
        <f>SUM(F29:F36)</f>
        <v>123.5048165</v>
      </c>
      <c r="H29" s="40"/>
      <c r="I29" s="139">
        <v>0</v>
      </c>
    </row>
    <row r="30" spans="1:9" ht="26.25" hidden="1" thickBot="1" x14ac:dyDescent="0.3">
      <c r="A30" s="237"/>
      <c r="B30" s="30" t="s">
        <v>1928</v>
      </c>
      <c r="C30" s="30" t="s">
        <v>479</v>
      </c>
      <c r="D30" s="31">
        <v>0.16600000000000001</v>
      </c>
      <c r="E30" s="28">
        <v>8.0179999999999989</v>
      </c>
      <c r="F30" s="28">
        <f t="shared" si="0"/>
        <v>1.3309879999999998</v>
      </c>
      <c r="G30" s="39"/>
      <c r="H30" s="40"/>
      <c r="I30" s="139">
        <v>0</v>
      </c>
    </row>
    <row r="31" spans="1:9" ht="26.25" hidden="1" thickBot="1" x14ac:dyDescent="0.3">
      <c r="A31" s="237"/>
      <c r="B31" s="30" t="s">
        <v>1930</v>
      </c>
      <c r="C31" s="30" t="s">
        <v>479</v>
      </c>
      <c r="D31" s="31">
        <v>6.952</v>
      </c>
      <c r="E31" s="28">
        <v>2.8025000000000002</v>
      </c>
      <c r="F31" s="28">
        <f t="shared" si="0"/>
        <v>19.482980000000001</v>
      </c>
      <c r="G31" s="39"/>
      <c r="H31" s="40"/>
      <c r="I31" s="139">
        <v>0</v>
      </c>
    </row>
    <row r="32" spans="1:9" ht="15.75" hidden="1" thickBot="1" x14ac:dyDescent="0.3">
      <c r="A32" s="237"/>
      <c r="B32" s="30" t="s">
        <v>1414</v>
      </c>
      <c r="C32" s="30" t="s">
        <v>897</v>
      </c>
      <c r="D32" s="31">
        <v>0.159</v>
      </c>
      <c r="E32" s="28">
        <v>21.935499999999998</v>
      </c>
      <c r="F32" s="28">
        <f t="shared" si="0"/>
        <v>3.4877444999999998</v>
      </c>
      <c r="G32" s="39"/>
      <c r="H32" s="40"/>
      <c r="I32" s="139">
        <v>0</v>
      </c>
    </row>
    <row r="33" spans="1:9" ht="15.75" hidden="1" thickBot="1" x14ac:dyDescent="0.3">
      <c r="A33" s="237"/>
      <c r="B33" s="30" t="s">
        <v>128</v>
      </c>
      <c r="C33" s="30" t="s">
        <v>702</v>
      </c>
      <c r="D33" s="31">
        <v>0.20200000000000001</v>
      </c>
      <c r="E33" s="25">
        <v>19.494</v>
      </c>
      <c r="F33" s="28">
        <f t="shared" si="0"/>
        <v>3.9377880000000003</v>
      </c>
      <c r="G33" s="39"/>
      <c r="H33" s="40"/>
      <c r="I33" s="139">
        <v>0</v>
      </c>
    </row>
    <row r="34" spans="1:9" ht="15.75" hidden="1" thickBot="1" x14ac:dyDescent="0.3">
      <c r="A34" s="237"/>
      <c r="B34" s="30" t="s">
        <v>78</v>
      </c>
      <c r="C34" s="30" t="s">
        <v>702</v>
      </c>
      <c r="D34" s="31">
        <v>1.012</v>
      </c>
      <c r="E34" s="25">
        <v>24.633499999999998</v>
      </c>
      <c r="F34" s="28">
        <f t="shared" si="0"/>
        <v>24.929101999999997</v>
      </c>
      <c r="G34" s="39"/>
      <c r="H34" s="40"/>
      <c r="I34" s="139">
        <v>0</v>
      </c>
    </row>
    <row r="35" spans="1:9" ht="26.25" hidden="1" thickBot="1" x14ac:dyDescent="0.3">
      <c r="A35" s="237"/>
      <c r="B35" s="30" t="s">
        <v>1415</v>
      </c>
      <c r="C35" s="30" t="s">
        <v>938</v>
      </c>
      <c r="D35" s="31">
        <v>0.05</v>
      </c>
      <c r="E35" s="25">
        <v>20.234999999999999</v>
      </c>
      <c r="F35" s="25">
        <f t="shared" si="0"/>
        <v>1.0117499999999999</v>
      </c>
      <c r="G35" s="39"/>
      <c r="H35" s="40"/>
      <c r="I35" s="139">
        <v>0</v>
      </c>
    </row>
    <row r="36" spans="1:9" ht="26.25" hidden="1" thickBot="1" x14ac:dyDescent="0.3">
      <c r="A36" s="237"/>
      <c r="B36" s="30" t="s">
        <v>1416</v>
      </c>
      <c r="C36" s="30" t="s">
        <v>940</v>
      </c>
      <c r="D36" s="31">
        <v>0.152</v>
      </c>
      <c r="E36" s="25">
        <v>19.456</v>
      </c>
      <c r="F36" s="25">
        <f t="shared" si="0"/>
        <v>2.9573119999999999</v>
      </c>
      <c r="G36" s="39"/>
      <c r="H36" s="40"/>
      <c r="I36" s="139">
        <v>0</v>
      </c>
    </row>
    <row r="37" spans="1:9" ht="15.75" hidden="1" thickBot="1" x14ac:dyDescent="0.3">
      <c r="A37" s="243"/>
      <c r="B37" s="30" t="s">
        <v>521</v>
      </c>
      <c r="C37" s="30"/>
      <c r="D37" s="86"/>
      <c r="E37" s="25" t="s">
        <v>521</v>
      </c>
      <c r="F37" s="25" t="str">
        <f t="shared" si="0"/>
        <v/>
      </c>
      <c r="G37" s="29"/>
      <c r="H37" s="25"/>
      <c r="I37" s="139">
        <v>0</v>
      </c>
    </row>
    <row r="38" spans="1:9" ht="15.75" hidden="1" customHeight="1" thickBot="1" x14ac:dyDescent="0.3">
      <c r="A38" s="242" t="s">
        <v>1914</v>
      </c>
      <c r="B38" s="35" t="s">
        <v>521</v>
      </c>
      <c r="C38" s="20" t="s">
        <v>479</v>
      </c>
      <c r="D38" s="87"/>
      <c r="E38" s="36" t="s">
        <v>521</v>
      </c>
      <c r="F38" s="36" t="str">
        <f t="shared" si="0"/>
        <v/>
      </c>
      <c r="G38" s="23"/>
      <c r="H38" s="24"/>
      <c r="I38" s="139">
        <v>0</v>
      </c>
    </row>
    <row r="39" spans="1:9" ht="15.75" hidden="1" thickBot="1" x14ac:dyDescent="0.3">
      <c r="A39" s="237"/>
      <c r="B39" s="26" t="s">
        <v>521</v>
      </c>
      <c r="C39" s="26"/>
      <c r="D39" s="85"/>
      <c r="E39" s="37" t="s">
        <v>521</v>
      </c>
      <c r="F39" s="25" t="str">
        <f t="shared" si="0"/>
        <v/>
      </c>
      <c r="G39" s="29"/>
      <c r="H39" s="25"/>
      <c r="I39" s="139">
        <v>0</v>
      </c>
    </row>
    <row r="40" spans="1:9" ht="39" hidden="1" thickBot="1" x14ac:dyDescent="0.3">
      <c r="A40" s="237"/>
      <c r="B40" s="30" t="s">
        <v>2359</v>
      </c>
      <c r="C40" s="30" t="s">
        <v>988</v>
      </c>
      <c r="D40" s="31">
        <v>0.13600000000000001</v>
      </c>
      <c r="E40" s="25">
        <v>98.077999999999989</v>
      </c>
      <c r="F40" s="25">
        <f t="shared" si="0"/>
        <v>13.338607999999999</v>
      </c>
      <c r="G40" s="39">
        <f>SUM(F40:F46)</f>
        <v>37.6095215</v>
      </c>
      <c r="H40" s="40"/>
      <c r="I40" s="139">
        <v>0</v>
      </c>
    </row>
    <row r="41" spans="1:9" ht="26.25" hidden="1" thickBot="1" x14ac:dyDescent="0.3">
      <c r="A41" s="237"/>
      <c r="B41" s="30" t="s">
        <v>1928</v>
      </c>
      <c r="C41" s="30" t="s">
        <v>479</v>
      </c>
      <c r="D41" s="31">
        <v>2.3420000000000001</v>
      </c>
      <c r="E41" s="25">
        <v>8.0179999999999989</v>
      </c>
      <c r="F41" s="25">
        <f t="shared" si="0"/>
        <v>18.778155999999999</v>
      </c>
      <c r="G41" s="39"/>
      <c r="H41" s="40"/>
      <c r="I41" s="139">
        <v>0</v>
      </c>
    </row>
    <row r="42" spans="1:9" ht="15.75" hidden="1" thickBot="1" x14ac:dyDescent="0.3">
      <c r="A42" s="237"/>
      <c r="B42" s="30" t="s">
        <v>1362</v>
      </c>
      <c r="C42" s="30" t="s">
        <v>897</v>
      </c>
      <c r="D42" s="31">
        <v>1.2E-2</v>
      </c>
      <c r="E42" s="25">
        <v>21.935499999999998</v>
      </c>
      <c r="F42" s="25">
        <f t="shared" si="0"/>
        <v>0.26322599999999996</v>
      </c>
      <c r="G42" s="39"/>
      <c r="H42" s="40"/>
      <c r="I42" s="139">
        <v>0</v>
      </c>
    </row>
    <row r="43" spans="1:9" ht="15.75" hidden="1" thickBot="1" x14ac:dyDescent="0.3">
      <c r="A43" s="237"/>
      <c r="B43" s="30" t="s">
        <v>785</v>
      </c>
      <c r="C43" s="30" t="s">
        <v>702</v>
      </c>
      <c r="D43" s="31">
        <v>3.2000000000000001E-2</v>
      </c>
      <c r="E43" s="25">
        <v>19.494</v>
      </c>
      <c r="F43" s="25">
        <f t="shared" si="0"/>
        <v>0.62380800000000003</v>
      </c>
      <c r="G43" s="39"/>
      <c r="H43" s="40"/>
      <c r="I43" s="139">
        <v>0</v>
      </c>
    </row>
    <row r="44" spans="1:9" ht="15.75" hidden="1" thickBot="1" x14ac:dyDescent="0.3">
      <c r="A44" s="237"/>
      <c r="B44" s="30" t="s">
        <v>989</v>
      </c>
      <c r="C44" s="30" t="s">
        <v>702</v>
      </c>
      <c r="D44" s="31">
        <v>0.161</v>
      </c>
      <c r="E44" s="25">
        <v>24.633499999999998</v>
      </c>
      <c r="F44" s="25">
        <f t="shared" si="0"/>
        <v>3.9659934999999997</v>
      </c>
      <c r="G44" s="39"/>
      <c r="H44" s="40"/>
      <c r="I44" s="139">
        <v>0</v>
      </c>
    </row>
    <row r="45" spans="1:9" ht="26.25" hidden="1" thickBot="1" x14ac:dyDescent="0.3">
      <c r="A45" s="237"/>
      <c r="B45" s="30" t="s">
        <v>1152</v>
      </c>
      <c r="C45" s="30" t="s">
        <v>938</v>
      </c>
      <c r="D45" s="31">
        <v>2.1999999999999999E-2</v>
      </c>
      <c r="E45" s="25">
        <v>20.234999999999999</v>
      </c>
      <c r="F45" s="25">
        <f t="shared" si="0"/>
        <v>0.44516999999999995</v>
      </c>
      <c r="G45" s="39"/>
      <c r="H45" s="40"/>
      <c r="I45" s="139">
        <v>0</v>
      </c>
    </row>
    <row r="46" spans="1:9" ht="26.25" hidden="1" thickBot="1" x14ac:dyDescent="0.3">
      <c r="A46" s="237"/>
      <c r="B46" s="30" t="s">
        <v>1153</v>
      </c>
      <c r="C46" s="30" t="s">
        <v>940</v>
      </c>
      <c r="D46" s="31">
        <v>0.01</v>
      </c>
      <c r="E46" s="25">
        <v>19.456</v>
      </c>
      <c r="F46" s="28">
        <f t="shared" si="0"/>
        <v>0.19456000000000001</v>
      </c>
      <c r="G46" s="39"/>
      <c r="H46" s="40"/>
      <c r="I46" s="139">
        <v>0</v>
      </c>
    </row>
    <row r="47" spans="1:9" ht="15.75" hidden="1" thickBot="1" x14ac:dyDescent="0.3">
      <c r="A47" s="243"/>
      <c r="B47" s="30" t="s">
        <v>521</v>
      </c>
      <c r="C47" s="30"/>
      <c r="D47" s="86"/>
      <c r="E47" s="25" t="s">
        <v>521</v>
      </c>
      <c r="F47" s="25" t="str">
        <f t="shared" si="0"/>
        <v/>
      </c>
      <c r="G47" s="29"/>
      <c r="H47" s="25"/>
      <c r="I47" s="139">
        <v>0</v>
      </c>
    </row>
    <row r="48" spans="1:9" ht="26.25" hidden="1" customHeight="1" thickBot="1" x14ac:dyDescent="0.3">
      <c r="A48" s="242" t="s">
        <v>153</v>
      </c>
      <c r="B48" s="35" t="s">
        <v>521</v>
      </c>
      <c r="C48" s="20" t="s">
        <v>120</v>
      </c>
      <c r="D48" s="87"/>
      <c r="E48" s="36" t="s">
        <v>521</v>
      </c>
      <c r="F48" s="36" t="str">
        <f t="shared" si="0"/>
        <v/>
      </c>
      <c r="G48" s="23"/>
      <c r="H48" s="24"/>
      <c r="I48" s="139">
        <v>0</v>
      </c>
    </row>
    <row r="49" spans="1:9" ht="15.75" hidden="1" thickBot="1" x14ac:dyDescent="0.3">
      <c r="A49" s="237"/>
      <c r="B49" s="26" t="s">
        <v>521</v>
      </c>
      <c r="C49" s="26"/>
      <c r="D49" s="85"/>
      <c r="E49" s="37" t="s">
        <v>521</v>
      </c>
      <c r="F49" s="25" t="str">
        <f t="shared" si="0"/>
        <v/>
      </c>
      <c r="G49" s="29"/>
      <c r="H49" s="25"/>
      <c r="I49" s="139">
        <v>0</v>
      </c>
    </row>
    <row r="50" spans="1:9" ht="26.25" hidden="1" thickBot="1" x14ac:dyDescent="0.3">
      <c r="A50" s="237"/>
      <c r="B50" s="30" t="s">
        <v>751</v>
      </c>
      <c r="C50" s="30" t="s">
        <v>120</v>
      </c>
      <c r="D50" s="31">
        <v>1.1599999999999999</v>
      </c>
      <c r="E50" s="28">
        <v>186.16200000000001</v>
      </c>
      <c r="F50" s="28">
        <f t="shared" si="0"/>
        <v>215.94791999999998</v>
      </c>
      <c r="G50" s="39">
        <f>SUM(F50:F57)</f>
        <v>682.27702877599995</v>
      </c>
      <c r="H50" s="40"/>
      <c r="I50" s="139">
        <v>0</v>
      </c>
    </row>
    <row r="51" spans="1:9" ht="15.75" hidden="1" thickBot="1" x14ac:dyDescent="0.3">
      <c r="A51" s="237"/>
      <c r="B51" s="30" t="s">
        <v>1417</v>
      </c>
      <c r="C51" s="30" t="s">
        <v>897</v>
      </c>
      <c r="D51" s="31">
        <v>174.1</v>
      </c>
      <c r="E51" s="28">
        <v>1.0449999999999999</v>
      </c>
      <c r="F51" s="28">
        <f t="shared" si="0"/>
        <v>181.93449999999999</v>
      </c>
      <c r="G51" s="39"/>
      <c r="H51" s="40"/>
      <c r="I51" s="139">
        <v>0</v>
      </c>
    </row>
    <row r="52" spans="1:9" ht="15.75" hidden="1" thickBot="1" x14ac:dyDescent="0.3">
      <c r="A52" s="237"/>
      <c r="B52" s="30" t="s">
        <v>747</v>
      </c>
      <c r="C52" s="30" t="s">
        <v>897</v>
      </c>
      <c r="D52" s="31">
        <v>195.86</v>
      </c>
      <c r="E52" s="28">
        <v>0.64600000000000002</v>
      </c>
      <c r="F52" s="28">
        <f t="shared" si="0"/>
        <v>126.52556000000001</v>
      </c>
      <c r="G52" s="39"/>
      <c r="H52" s="40"/>
      <c r="I52" s="139">
        <v>0</v>
      </c>
    </row>
    <row r="53" spans="1:9" ht="26.25" hidden="1" thickBot="1" x14ac:dyDescent="0.3">
      <c r="A53" s="237"/>
      <c r="B53" s="30" t="s">
        <v>116</v>
      </c>
      <c r="C53" s="30" t="s">
        <v>702</v>
      </c>
      <c r="D53" s="31">
        <v>4.5</v>
      </c>
      <c r="E53" s="25">
        <v>18.534500000000001</v>
      </c>
      <c r="F53" s="28">
        <f t="shared" si="0"/>
        <v>83.405250000000009</v>
      </c>
      <c r="G53" s="39"/>
      <c r="H53" s="40"/>
      <c r="I53" s="139">
        <v>0</v>
      </c>
    </row>
    <row r="54" spans="1:9" ht="39" hidden="1" thickBot="1" x14ac:dyDescent="0.3">
      <c r="A54" s="237"/>
      <c r="B54" s="30" t="s">
        <v>1418</v>
      </c>
      <c r="C54" s="30" t="s">
        <v>938</v>
      </c>
      <c r="D54" s="31">
        <v>1.05</v>
      </c>
      <c r="E54" s="25">
        <v>1.3964999999999999</v>
      </c>
      <c r="F54" s="28">
        <f t="shared" si="0"/>
        <v>1.4663249999999999</v>
      </c>
      <c r="G54" s="39"/>
      <c r="H54" s="40"/>
      <c r="I54" s="139">
        <v>0</v>
      </c>
    </row>
    <row r="55" spans="1:9" ht="39" hidden="1" thickBot="1" x14ac:dyDescent="0.3">
      <c r="A55" s="237"/>
      <c r="B55" s="30" t="s">
        <v>1419</v>
      </c>
      <c r="C55" s="30" t="s">
        <v>940</v>
      </c>
      <c r="D55" s="31">
        <v>3.45</v>
      </c>
      <c r="E55" s="25">
        <v>0.3705</v>
      </c>
      <c r="F55" s="28">
        <f t="shared" si="0"/>
        <v>1.2782249999999999</v>
      </c>
      <c r="G55" s="39"/>
      <c r="H55" s="40"/>
      <c r="I55" s="139">
        <v>0</v>
      </c>
    </row>
    <row r="56" spans="1:9" ht="51.75" hidden="1" thickBot="1" x14ac:dyDescent="0.3">
      <c r="A56" s="237"/>
      <c r="B56" s="30" t="s">
        <v>1826</v>
      </c>
      <c r="C56" s="30" t="s">
        <v>120</v>
      </c>
      <c r="D56" s="31">
        <f>ROUND(1*D50,4)</f>
        <v>1.1599999999999999</v>
      </c>
      <c r="E56" s="25">
        <v>8.0614416000000002</v>
      </c>
      <c r="F56" s="28">
        <f t="shared" si="0"/>
        <v>9.3512722559999997</v>
      </c>
      <c r="G56" s="39"/>
      <c r="H56" s="40"/>
      <c r="I56" s="139">
        <v>0</v>
      </c>
    </row>
    <row r="57" spans="1:9" ht="39" hidden="1" thickBot="1" x14ac:dyDescent="0.3">
      <c r="A57" s="237"/>
      <c r="B57" s="30" t="s">
        <v>1823</v>
      </c>
      <c r="C57" s="41" t="s">
        <v>122</v>
      </c>
      <c r="D57" s="31">
        <f>ROUND(D50*20,4)</f>
        <v>23.2</v>
      </c>
      <c r="E57" s="25">
        <v>2.6882748499999995</v>
      </c>
      <c r="F57" s="28">
        <f t="shared" si="0"/>
        <v>62.367976519999985</v>
      </c>
      <c r="G57" s="39"/>
      <c r="H57" s="40"/>
      <c r="I57" s="139">
        <v>0</v>
      </c>
    </row>
    <row r="58" spans="1:9" ht="15.75" hidden="1" thickBot="1" x14ac:dyDescent="0.3">
      <c r="A58" s="237"/>
      <c r="B58" s="45"/>
      <c r="C58" s="41"/>
      <c r="D58" s="31"/>
      <c r="E58" s="25" t="s">
        <v>521</v>
      </c>
      <c r="F58" s="28" t="str">
        <f t="shared" si="0"/>
        <v/>
      </c>
      <c r="G58" s="39"/>
      <c r="H58" s="40"/>
      <c r="I58" s="139">
        <v>0</v>
      </c>
    </row>
    <row r="59" spans="1:9" ht="15.75" hidden="1" thickBot="1" x14ac:dyDescent="0.3">
      <c r="A59" s="237"/>
      <c r="B59" s="42" t="s">
        <v>754</v>
      </c>
      <c r="C59" s="41"/>
      <c r="D59" s="31"/>
      <c r="E59" s="25" t="s">
        <v>521</v>
      </c>
      <c r="F59" s="28" t="str">
        <f t="shared" si="0"/>
        <v/>
      </c>
      <c r="G59" s="39"/>
      <c r="H59" s="40"/>
      <c r="I59" s="139">
        <v>0</v>
      </c>
    </row>
    <row r="60" spans="1:9" ht="15.75" hidden="1" thickBot="1" x14ac:dyDescent="0.3">
      <c r="A60" s="243"/>
      <c r="B60" s="30" t="s">
        <v>521</v>
      </c>
      <c r="C60" s="30"/>
      <c r="D60" s="86"/>
      <c r="E60" s="25" t="s">
        <v>521</v>
      </c>
      <c r="F60" s="25" t="str">
        <f t="shared" si="0"/>
        <v/>
      </c>
      <c r="G60" s="29"/>
      <c r="H60" s="25"/>
      <c r="I60" s="139">
        <v>0</v>
      </c>
    </row>
    <row r="61" spans="1:9" ht="26.25" hidden="1" customHeight="1" thickBot="1" x14ac:dyDescent="0.3">
      <c r="A61" s="242" t="s">
        <v>2255</v>
      </c>
      <c r="B61" s="35" t="s">
        <v>521</v>
      </c>
      <c r="C61" s="20" t="s">
        <v>988</v>
      </c>
      <c r="D61" s="87"/>
      <c r="E61" s="36" t="s">
        <v>521</v>
      </c>
      <c r="F61" s="36" t="str">
        <f t="shared" si="0"/>
        <v/>
      </c>
      <c r="G61" s="23"/>
      <c r="H61" s="24"/>
      <c r="I61" s="139">
        <v>0</v>
      </c>
    </row>
    <row r="62" spans="1:9" ht="15.75" hidden="1" thickBot="1" x14ac:dyDescent="0.3">
      <c r="A62" s="237"/>
      <c r="B62" s="26" t="s">
        <v>521</v>
      </c>
      <c r="C62" s="26"/>
      <c r="D62" s="85"/>
      <c r="E62" s="91" t="s">
        <v>521</v>
      </c>
      <c r="F62" s="92" t="str">
        <f t="shared" si="0"/>
        <v/>
      </c>
      <c r="G62" s="29"/>
      <c r="H62" s="25"/>
      <c r="I62" s="139">
        <v>0</v>
      </c>
    </row>
    <row r="63" spans="1:9" ht="15.75" hidden="1" thickBot="1" x14ac:dyDescent="0.3">
      <c r="A63" s="237"/>
      <c r="B63" s="30" t="s">
        <v>747</v>
      </c>
      <c r="C63" s="30" t="s">
        <v>897</v>
      </c>
      <c r="D63" s="31">
        <v>0.5</v>
      </c>
      <c r="E63" s="28">
        <v>0.64600000000000002</v>
      </c>
      <c r="F63" s="28">
        <f t="shared" si="0"/>
        <v>0.32300000000000001</v>
      </c>
      <c r="G63" s="39">
        <f>SUM(F63:F67)</f>
        <v>43.401631687977599</v>
      </c>
      <c r="H63" s="40"/>
      <c r="I63" s="139">
        <v>0</v>
      </c>
    </row>
    <row r="64" spans="1:9" ht="15.75" hidden="1" thickBot="1" x14ac:dyDescent="0.3">
      <c r="A64" s="237"/>
      <c r="B64" s="30" t="s">
        <v>210</v>
      </c>
      <c r="C64" s="30" t="s">
        <v>102</v>
      </c>
      <c r="D64" s="31">
        <v>0.21</v>
      </c>
      <c r="E64" s="28">
        <v>16.064499999999999</v>
      </c>
      <c r="F64" s="28">
        <f t="shared" si="0"/>
        <v>3.3735449999999996</v>
      </c>
      <c r="G64" s="39"/>
      <c r="H64" s="40"/>
      <c r="I64" s="139">
        <v>0</v>
      </c>
    </row>
    <row r="65" spans="1:9" ht="39" hidden="1" thickBot="1" x14ac:dyDescent="0.3">
      <c r="A65" s="237"/>
      <c r="B65" s="30" t="s">
        <v>1339</v>
      </c>
      <c r="C65" s="30" t="s">
        <v>120</v>
      </c>
      <c r="D65" s="31">
        <v>4.3099999999999999E-2</v>
      </c>
      <c r="E65" s="25">
        <v>727.17668649600012</v>
      </c>
      <c r="F65" s="28">
        <f t="shared" si="0"/>
        <v>31.341315187977603</v>
      </c>
      <c r="G65" s="39"/>
      <c r="H65" s="40"/>
      <c r="I65" s="139">
        <v>0</v>
      </c>
    </row>
    <row r="66" spans="1:9" ht="15.75" hidden="1" thickBot="1" x14ac:dyDescent="0.3">
      <c r="A66" s="237"/>
      <c r="B66" s="30" t="s">
        <v>1130</v>
      </c>
      <c r="C66" s="30" t="s">
        <v>702</v>
      </c>
      <c r="D66" s="31">
        <v>0.245</v>
      </c>
      <c r="E66" s="25">
        <v>24.889999999999997</v>
      </c>
      <c r="F66" s="28">
        <f t="shared" si="0"/>
        <v>6.0980499999999989</v>
      </c>
      <c r="G66" s="39"/>
      <c r="H66" s="40"/>
      <c r="I66" s="139">
        <v>0</v>
      </c>
    </row>
    <row r="67" spans="1:9" ht="15.75" hidden="1" thickBot="1" x14ac:dyDescent="0.3">
      <c r="A67" s="237"/>
      <c r="B67" s="30" t="s">
        <v>1412</v>
      </c>
      <c r="C67" s="30" t="s">
        <v>702</v>
      </c>
      <c r="D67" s="31">
        <v>0.123</v>
      </c>
      <c r="E67" s="25">
        <v>18.420500000000001</v>
      </c>
      <c r="F67" s="28">
        <f t="shared" si="0"/>
        <v>2.2657215000000002</v>
      </c>
      <c r="G67" s="39"/>
      <c r="H67" s="40"/>
      <c r="I67" s="139">
        <v>0</v>
      </c>
    </row>
    <row r="68" spans="1:9" ht="15.75" hidden="1" thickBot="1" x14ac:dyDescent="0.3">
      <c r="A68" s="243"/>
      <c r="B68" s="30" t="s">
        <v>521</v>
      </c>
      <c r="C68" s="30"/>
      <c r="D68" s="86"/>
      <c r="E68" s="25" t="s">
        <v>521</v>
      </c>
      <c r="F68" s="25" t="str">
        <f t="shared" si="0"/>
        <v/>
      </c>
      <c r="G68" s="29"/>
      <c r="H68" s="25"/>
      <c r="I68" s="139">
        <v>0</v>
      </c>
    </row>
    <row r="69" spans="1:9" ht="15" hidden="1" customHeight="1" thickBot="1" x14ac:dyDescent="0.3">
      <c r="A69" s="242" t="s">
        <v>177</v>
      </c>
      <c r="B69" s="35" t="s">
        <v>521</v>
      </c>
      <c r="C69" s="20" t="s">
        <v>120</v>
      </c>
      <c r="D69" s="87"/>
      <c r="E69" s="36" t="s">
        <v>521</v>
      </c>
      <c r="F69" s="36" t="str">
        <f t="shared" si="0"/>
        <v/>
      </c>
      <c r="G69" s="23"/>
      <c r="H69" s="24"/>
      <c r="I69" s="139">
        <v>0</v>
      </c>
    </row>
    <row r="70" spans="1:9" ht="15.75" hidden="1" thickBot="1" x14ac:dyDescent="0.3">
      <c r="A70" s="237"/>
      <c r="B70" s="26" t="s">
        <v>521</v>
      </c>
      <c r="C70" s="26"/>
      <c r="D70" s="85"/>
      <c r="E70" s="37" t="s">
        <v>521</v>
      </c>
      <c r="F70" s="25" t="str">
        <f t="shared" ref="F70:F133" si="1">IF(ISNUMBER(E70),E70*$D70,"")</f>
        <v/>
      </c>
      <c r="G70" s="29"/>
      <c r="H70" s="25"/>
      <c r="I70" s="139">
        <v>0</v>
      </c>
    </row>
    <row r="71" spans="1:9" ht="15.75" hidden="1" customHeight="1" thickBot="1" x14ac:dyDescent="0.3">
      <c r="A71" s="237"/>
      <c r="B71" s="30" t="s">
        <v>1420</v>
      </c>
      <c r="C71" s="30" t="s">
        <v>120</v>
      </c>
      <c r="D71" s="31">
        <v>0.94</v>
      </c>
      <c r="E71" s="28">
        <v>188.59399999999999</v>
      </c>
      <c r="F71" s="28">
        <f t="shared" si="1"/>
        <v>177.27835999999999</v>
      </c>
      <c r="G71" s="39">
        <f>SUM(F71:F75)</f>
        <v>711.40857228399989</v>
      </c>
      <c r="H71" s="40"/>
      <c r="I71" s="139">
        <v>0</v>
      </c>
    </row>
    <row r="72" spans="1:9" ht="15.75" hidden="1" thickBot="1" x14ac:dyDescent="0.3">
      <c r="A72" s="237"/>
      <c r="B72" s="30" t="s">
        <v>747</v>
      </c>
      <c r="C72" s="30" t="s">
        <v>897</v>
      </c>
      <c r="D72" s="31">
        <v>422.63</v>
      </c>
      <c r="E72" s="28">
        <v>0.64600000000000002</v>
      </c>
      <c r="F72" s="28">
        <f t="shared" si="1"/>
        <v>273.01898</v>
      </c>
      <c r="G72" s="39"/>
      <c r="H72" s="40"/>
      <c r="I72" s="139">
        <v>0</v>
      </c>
    </row>
    <row r="73" spans="1:9" ht="15.75" hidden="1" thickBot="1" x14ac:dyDescent="0.3">
      <c r="A73" s="237"/>
      <c r="B73" s="30" t="s">
        <v>1412</v>
      </c>
      <c r="C73" s="30" t="s">
        <v>702</v>
      </c>
      <c r="D73" s="31">
        <v>11.02</v>
      </c>
      <c r="E73" s="25">
        <v>18.420500000000001</v>
      </c>
      <c r="F73" s="28">
        <f t="shared" si="1"/>
        <v>202.99391</v>
      </c>
      <c r="G73" s="39"/>
      <c r="H73" s="40"/>
      <c r="I73" s="139">
        <v>0</v>
      </c>
    </row>
    <row r="74" spans="1:9" ht="51.75" hidden="1" thickBot="1" x14ac:dyDescent="0.3">
      <c r="A74" s="237"/>
      <c r="B74" s="30" t="s">
        <v>1826</v>
      </c>
      <c r="C74" s="30" t="s">
        <v>120</v>
      </c>
      <c r="D74" s="31">
        <f>ROUND(1*D71,4)</f>
        <v>0.94</v>
      </c>
      <c r="E74" s="25">
        <v>8.0614416000000002</v>
      </c>
      <c r="F74" s="28">
        <f t="shared" si="1"/>
        <v>7.5777551039999995</v>
      </c>
      <c r="G74" s="39"/>
      <c r="H74" s="40"/>
      <c r="I74" s="139">
        <v>0</v>
      </c>
    </row>
    <row r="75" spans="1:9" ht="39" hidden="1" thickBot="1" x14ac:dyDescent="0.3">
      <c r="A75" s="237"/>
      <c r="B75" s="30" t="s">
        <v>1823</v>
      </c>
      <c r="C75" s="41" t="s">
        <v>122</v>
      </c>
      <c r="D75" s="31">
        <f>ROUND(D71*20,4)</f>
        <v>18.8</v>
      </c>
      <c r="E75" s="25">
        <v>2.6882748499999995</v>
      </c>
      <c r="F75" s="28">
        <f t="shared" si="1"/>
        <v>50.539567179999992</v>
      </c>
      <c r="G75" s="39"/>
      <c r="H75" s="40"/>
      <c r="I75" s="139">
        <v>0</v>
      </c>
    </row>
    <row r="76" spans="1:9" ht="15.75" hidden="1" thickBot="1" x14ac:dyDescent="0.3">
      <c r="A76" s="237"/>
      <c r="B76" s="45"/>
      <c r="C76" s="41"/>
      <c r="D76" s="31"/>
      <c r="E76" s="25" t="s">
        <v>521</v>
      </c>
      <c r="F76" s="28" t="str">
        <f t="shared" si="1"/>
        <v/>
      </c>
      <c r="G76" s="39"/>
      <c r="H76" s="40"/>
      <c r="I76" s="139">
        <v>0</v>
      </c>
    </row>
    <row r="77" spans="1:9" ht="15.75" hidden="1" thickBot="1" x14ac:dyDescent="0.3">
      <c r="A77" s="237"/>
      <c r="B77" s="42" t="s">
        <v>754</v>
      </c>
      <c r="C77" s="41"/>
      <c r="D77" s="31"/>
      <c r="E77" s="25" t="s">
        <v>521</v>
      </c>
      <c r="F77" s="28" t="str">
        <f t="shared" si="1"/>
        <v/>
      </c>
      <c r="G77" s="39"/>
      <c r="H77" s="40"/>
      <c r="I77" s="139">
        <v>0</v>
      </c>
    </row>
    <row r="78" spans="1:9" ht="26.25" hidden="1" customHeight="1" thickBot="1" x14ac:dyDescent="0.3">
      <c r="A78" s="243"/>
      <c r="B78" s="30" t="s">
        <v>521</v>
      </c>
      <c r="C78" s="30"/>
      <c r="D78" s="86"/>
      <c r="E78" s="25" t="s">
        <v>521</v>
      </c>
      <c r="F78" s="25" t="str">
        <f t="shared" si="1"/>
        <v/>
      </c>
      <c r="G78" s="29"/>
      <c r="H78" s="25"/>
      <c r="I78" s="139">
        <v>0</v>
      </c>
    </row>
    <row r="79" spans="1:9" ht="15" hidden="1" customHeight="1" thickBot="1" x14ac:dyDescent="0.3">
      <c r="A79" s="242" t="s">
        <v>175</v>
      </c>
      <c r="B79" s="35" t="s">
        <v>521</v>
      </c>
      <c r="C79" s="20" t="s">
        <v>120</v>
      </c>
      <c r="D79" s="87"/>
      <c r="E79" s="36" t="s">
        <v>521</v>
      </c>
      <c r="F79" s="36" t="str">
        <f t="shared" si="1"/>
        <v/>
      </c>
      <c r="G79" s="23"/>
      <c r="H79" s="24"/>
      <c r="I79" s="139">
        <v>0</v>
      </c>
    </row>
    <row r="80" spans="1:9" ht="15.75" hidden="1" thickBot="1" x14ac:dyDescent="0.3">
      <c r="A80" s="237"/>
      <c r="B80" s="26" t="s">
        <v>521</v>
      </c>
      <c r="C80" s="26"/>
      <c r="D80" s="85"/>
      <c r="E80" s="37" t="s">
        <v>521</v>
      </c>
      <c r="F80" s="25" t="str">
        <f t="shared" si="1"/>
        <v/>
      </c>
      <c r="G80" s="29"/>
      <c r="H80" s="25"/>
      <c r="I80" s="139">
        <v>0</v>
      </c>
    </row>
    <row r="81" spans="1:9" ht="15.75" hidden="1" thickBot="1" x14ac:dyDescent="0.3">
      <c r="A81" s="237"/>
      <c r="B81" s="30" t="s">
        <v>1421</v>
      </c>
      <c r="C81" s="30" t="s">
        <v>897</v>
      </c>
      <c r="D81" s="31">
        <v>1981.23</v>
      </c>
      <c r="E81" s="28">
        <v>1.0640000000000001</v>
      </c>
      <c r="F81" s="28">
        <f t="shared" si="1"/>
        <v>2108.0287200000002</v>
      </c>
      <c r="G81" s="39">
        <f>SUM(F81:F84)</f>
        <v>2203.0591200000003</v>
      </c>
      <c r="H81" s="40"/>
      <c r="I81" s="139">
        <v>0</v>
      </c>
    </row>
    <row r="82" spans="1:9" ht="26.25" hidden="1" thickBot="1" x14ac:dyDescent="0.3">
      <c r="A82" s="237"/>
      <c r="B82" s="30" t="s">
        <v>116</v>
      </c>
      <c r="C82" s="30" t="s">
        <v>702</v>
      </c>
      <c r="D82" s="31">
        <v>4.72</v>
      </c>
      <c r="E82" s="25">
        <v>18.534500000000001</v>
      </c>
      <c r="F82" s="28">
        <f t="shared" si="1"/>
        <v>87.482839999999996</v>
      </c>
      <c r="G82" s="39"/>
      <c r="H82" s="40"/>
      <c r="I82" s="139">
        <v>0</v>
      </c>
    </row>
    <row r="83" spans="1:9" ht="26.25" hidden="1" thickBot="1" x14ac:dyDescent="0.3">
      <c r="A83" s="237"/>
      <c r="B83" s="30" t="s">
        <v>1422</v>
      </c>
      <c r="C83" s="30" t="s">
        <v>938</v>
      </c>
      <c r="D83" s="31">
        <v>1.1000000000000001</v>
      </c>
      <c r="E83" s="25">
        <v>3.61</v>
      </c>
      <c r="F83" s="88">
        <f t="shared" si="1"/>
        <v>3.9710000000000001</v>
      </c>
      <c r="G83" s="39"/>
      <c r="H83" s="40"/>
      <c r="I83" s="139">
        <v>0</v>
      </c>
    </row>
    <row r="84" spans="1:9" ht="26.25" hidden="1" thickBot="1" x14ac:dyDescent="0.3">
      <c r="A84" s="237"/>
      <c r="B84" s="30" t="s">
        <v>1423</v>
      </c>
      <c r="C84" s="30" t="s">
        <v>940</v>
      </c>
      <c r="D84" s="31">
        <v>3.62</v>
      </c>
      <c r="E84" s="25">
        <v>0.98799999999999999</v>
      </c>
      <c r="F84" s="88">
        <f t="shared" si="1"/>
        <v>3.5765600000000002</v>
      </c>
      <c r="G84" s="39"/>
      <c r="H84" s="40"/>
      <c r="I84" s="139">
        <v>0</v>
      </c>
    </row>
    <row r="85" spans="1:9" ht="15.75" hidden="1" thickBot="1" x14ac:dyDescent="0.3">
      <c r="A85" s="243"/>
      <c r="B85" s="30" t="s">
        <v>521</v>
      </c>
      <c r="C85" s="30"/>
      <c r="D85" s="86"/>
      <c r="E85" s="25" t="s">
        <v>521</v>
      </c>
      <c r="F85" s="25" t="str">
        <f t="shared" si="1"/>
        <v/>
      </c>
      <c r="G85" s="29"/>
      <c r="H85" s="25"/>
      <c r="I85" s="139">
        <v>0</v>
      </c>
    </row>
    <row r="86" spans="1:9" ht="15" hidden="1" customHeight="1" thickBot="1" x14ac:dyDescent="0.3">
      <c r="A86" s="242" t="s">
        <v>209</v>
      </c>
      <c r="B86" s="35" t="s">
        <v>521</v>
      </c>
      <c r="C86" s="20" t="s">
        <v>120</v>
      </c>
      <c r="D86" s="87"/>
      <c r="E86" s="36" t="s">
        <v>521</v>
      </c>
      <c r="F86" s="36" t="str">
        <f t="shared" si="1"/>
        <v/>
      </c>
      <c r="G86" s="23"/>
      <c r="H86" s="24"/>
      <c r="I86" s="139">
        <v>0</v>
      </c>
    </row>
    <row r="87" spans="1:9" ht="15.75" hidden="1" thickBot="1" x14ac:dyDescent="0.3">
      <c r="A87" s="237"/>
      <c r="B87" s="26" t="s">
        <v>521</v>
      </c>
      <c r="C87" s="26"/>
      <c r="D87" s="85"/>
      <c r="E87" s="37" t="s">
        <v>521</v>
      </c>
      <c r="F87" s="25" t="str">
        <f t="shared" si="1"/>
        <v/>
      </c>
      <c r="G87" s="29"/>
      <c r="H87" s="25"/>
      <c r="I87" s="139">
        <v>0</v>
      </c>
    </row>
    <row r="88" spans="1:9" ht="26.25" hidden="1" customHeight="1" thickBot="1" x14ac:dyDescent="0.3">
      <c r="A88" s="237"/>
      <c r="B88" s="30" t="s">
        <v>751</v>
      </c>
      <c r="C88" s="30" t="s">
        <v>120</v>
      </c>
      <c r="D88" s="31">
        <v>1.35</v>
      </c>
      <c r="E88" s="28">
        <v>186.16200000000001</v>
      </c>
      <c r="F88" s="28">
        <f t="shared" si="1"/>
        <v>251.31870000000004</v>
      </c>
      <c r="G88" s="39">
        <f>SUM(F88:F92)</f>
        <v>831.43765711000003</v>
      </c>
      <c r="H88" s="40"/>
      <c r="I88" s="139">
        <v>0</v>
      </c>
    </row>
    <row r="89" spans="1:9" ht="15.75" hidden="1" thickBot="1" x14ac:dyDescent="0.3">
      <c r="A89" s="237"/>
      <c r="B89" s="30" t="s">
        <v>747</v>
      </c>
      <c r="C89" s="30" t="s">
        <v>897</v>
      </c>
      <c r="D89" s="31">
        <v>454.58</v>
      </c>
      <c r="E89" s="28">
        <v>0.64600000000000002</v>
      </c>
      <c r="F89" s="28">
        <f t="shared" si="1"/>
        <v>293.65868</v>
      </c>
      <c r="G89" s="39"/>
      <c r="H89" s="40"/>
      <c r="I89" s="139">
        <v>0</v>
      </c>
    </row>
    <row r="90" spans="1:9" ht="15.75" hidden="1" thickBot="1" x14ac:dyDescent="0.3">
      <c r="A90" s="237"/>
      <c r="B90" s="30" t="s">
        <v>1412</v>
      </c>
      <c r="C90" s="30" t="s">
        <v>702</v>
      </c>
      <c r="D90" s="31">
        <v>11.02</v>
      </c>
      <c r="E90" s="25">
        <v>18.420500000000001</v>
      </c>
      <c r="F90" s="28">
        <f t="shared" si="1"/>
        <v>202.99391</v>
      </c>
      <c r="G90" s="39"/>
      <c r="H90" s="40"/>
      <c r="I90" s="139">
        <v>0</v>
      </c>
    </row>
    <row r="91" spans="1:9" ht="51.75" hidden="1" thickBot="1" x14ac:dyDescent="0.3">
      <c r="A91" s="237"/>
      <c r="B91" s="30" t="s">
        <v>1826</v>
      </c>
      <c r="C91" s="30" t="s">
        <v>120</v>
      </c>
      <c r="D91" s="31">
        <f>ROUND(1*D88,4)</f>
        <v>1.35</v>
      </c>
      <c r="E91" s="25">
        <v>8.0614416000000002</v>
      </c>
      <c r="F91" s="28">
        <f t="shared" si="1"/>
        <v>10.882946160000001</v>
      </c>
      <c r="G91" s="39"/>
      <c r="H91" s="40"/>
      <c r="I91" s="139">
        <v>0</v>
      </c>
    </row>
    <row r="92" spans="1:9" ht="39" hidden="1" thickBot="1" x14ac:dyDescent="0.3">
      <c r="A92" s="237"/>
      <c r="B92" s="30" t="s">
        <v>1823</v>
      </c>
      <c r="C92" s="41" t="s">
        <v>122</v>
      </c>
      <c r="D92" s="31">
        <f>ROUND(D88*20,4)</f>
        <v>27</v>
      </c>
      <c r="E92" s="25">
        <v>2.6882748499999995</v>
      </c>
      <c r="F92" s="28">
        <f t="shared" si="1"/>
        <v>72.58342094999999</v>
      </c>
      <c r="G92" s="39"/>
      <c r="H92" s="40"/>
      <c r="I92" s="139">
        <v>0</v>
      </c>
    </row>
    <row r="93" spans="1:9" ht="15.75" hidden="1" thickBot="1" x14ac:dyDescent="0.3">
      <c r="A93" s="237"/>
      <c r="B93" s="45"/>
      <c r="C93" s="41"/>
      <c r="D93" s="31"/>
      <c r="E93" s="25" t="s">
        <v>521</v>
      </c>
      <c r="F93" s="28" t="str">
        <f t="shared" si="1"/>
        <v/>
      </c>
      <c r="G93" s="39"/>
      <c r="H93" s="40"/>
      <c r="I93" s="139">
        <v>0</v>
      </c>
    </row>
    <row r="94" spans="1:9" ht="15.75" hidden="1" thickBot="1" x14ac:dyDescent="0.3">
      <c r="A94" s="237"/>
      <c r="B94" s="42" t="s">
        <v>754</v>
      </c>
      <c r="C94" s="41"/>
      <c r="D94" s="31"/>
      <c r="E94" s="25" t="s">
        <v>521</v>
      </c>
      <c r="F94" s="28" t="str">
        <f t="shared" si="1"/>
        <v/>
      </c>
      <c r="G94" s="39"/>
      <c r="H94" s="40"/>
      <c r="I94" s="139">
        <v>0</v>
      </c>
    </row>
    <row r="95" spans="1:9" ht="15.75" hidden="1" thickBot="1" x14ac:dyDescent="0.3">
      <c r="A95" s="243"/>
      <c r="B95" s="30" t="s">
        <v>521</v>
      </c>
      <c r="C95" s="30"/>
      <c r="D95" s="86"/>
      <c r="E95" s="25" t="s">
        <v>521</v>
      </c>
      <c r="F95" s="25" t="str">
        <f t="shared" si="1"/>
        <v/>
      </c>
      <c r="G95" s="29"/>
      <c r="H95" s="25"/>
      <c r="I95" s="139">
        <v>0</v>
      </c>
    </row>
    <row r="96" spans="1:9" ht="15" hidden="1" customHeight="1" thickBot="1" x14ac:dyDescent="0.3">
      <c r="A96" s="242" t="s">
        <v>245</v>
      </c>
      <c r="B96" s="35" t="s">
        <v>521</v>
      </c>
      <c r="C96" s="20" t="s">
        <v>120</v>
      </c>
      <c r="D96" s="87"/>
      <c r="E96" s="36" t="s">
        <v>521</v>
      </c>
      <c r="F96" s="36" t="str">
        <f t="shared" si="1"/>
        <v/>
      </c>
      <c r="G96" s="23"/>
      <c r="H96" s="24"/>
      <c r="I96" s="139">
        <v>0</v>
      </c>
    </row>
    <row r="97" spans="1:9" ht="15.75" hidden="1" thickBot="1" x14ac:dyDescent="0.3">
      <c r="A97" s="237"/>
      <c r="B97" s="26" t="s">
        <v>521</v>
      </c>
      <c r="C97" s="26"/>
      <c r="D97" s="85"/>
      <c r="E97" s="37" t="s">
        <v>521</v>
      </c>
      <c r="F97" s="25" t="str">
        <f t="shared" si="1"/>
        <v/>
      </c>
      <c r="G97" s="29"/>
      <c r="H97" s="25"/>
      <c r="I97" s="139">
        <v>0</v>
      </c>
    </row>
    <row r="98" spans="1:9" ht="15.75" hidden="1" customHeight="1" thickBot="1" x14ac:dyDescent="0.3">
      <c r="A98" s="237"/>
      <c r="B98" s="30" t="s">
        <v>751</v>
      </c>
      <c r="C98" s="30" t="s">
        <v>120</v>
      </c>
      <c r="D98" s="31">
        <v>1.1499999999999999</v>
      </c>
      <c r="E98" s="28">
        <v>186.16200000000001</v>
      </c>
      <c r="F98" s="28">
        <f t="shared" si="1"/>
        <v>214.08629999999999</v>
      </c>
      <c r="G98" s="39">
        <f>SUM(F98:F102)</f>
        <v>689.53606439000009</v>
      </c>
      <c r="H98" s="40"/>
      <c r="I98" s="139">
        <v>0</v>
      </c>
    </row>
    <row r="99" spans="1:9" ht="15.75" hidden="1" thickBot="1" x14ac:dyDescent="0.3">
      <c r="A99" s="237"/>
      <c r="B99" s="30" t="s">
        <v>747</v>
      </c>
      <c r="C99" s="30" t="s">
        <v>897</v>
      </c>
      <c r="D99" s="31">
        <v>389.54</v>
      </c>
      <c r="E99" s="28">
        <v>0.64600000000000002</v>
      </c>
      <c r="F99" s="28">
        <f t="shared" si="1"/>
        <v>251.64284000000001</v>
      </c>
      <c r="G99" s="39"/>
      <c r="H99" s="40"/>
      <c r="I99" s="139">
        <v>0</v>
      </c>
    </row>
    <row r="100" spans="1:9" ht="15.75" hidden="1" thickBot="1" x14ac:dyDescent="0.3">
      <c r="A100" s="237"/>
      <c r="B100" s="30" t="s">
        <v>1412</v>
      </c>
      <c r="C100" s="30" t="s">
        <v>702</v>
      </c>
      <c r="D100" s="31">
        <v>8.2899999999999991</v>
      </c>
      <c r="E100" s="25">
        <v>18.420500000000001</v>
      </c>
      <c r="F100" s="28">
        <f t="shared" si="1"/>
        <v>152.70594499999999</v>
      </c>
      <c r="G100" s="39"/>
      <c r="H100" s="40"/>
      <c r="I100" s="139">
        <v>0</v>
      </c>
    </row>
    <row r="101" spans="1:9" ht="51.75" hidden="1" thickBot="1" x14ac:dyDescent="0.3">
      <c r="A101" s="237"/>
      <c r="B101" s="30" t="s">
        <v>1826</v>
      </c>
      <c r="C101" s="30" t="s">
        <v>120</v>
      </c>
      <c r="D101" s="31">
        <f>ROUND(1*D98,4)</f>
        <v>1.1499999999999999</v>
      </c>
      <c r="E101" s="25">
        <v>8.0614416000000002</v>
      </c>
      <c r="F101" s="28">
        <f t="shared" si="1"/>
        <v>9.2706578400000001</v>
      </c>
      <c r="G101" s="39"/>
      <c r="H101" s="40"/>
      <c r="I101" s="139">
        <v>0</v>
      </c>
    </row>
    <row r="102" spans="1:9" ht="39" hidden="1" thickBot="1" x14ac:dyDescent="0.3">
      <c r="A102" s="237"/>
      <c r="B102" s="30" t="s">
        <v>1823</v>
      </c>
      <c r="C102" s="41" t="s">
        <v>122</v>
      </c>
      <c r="D102" s="31">
        <f>ROUND(D98*20,4)</f>
        <v>23</v>
      </c>
      <c r="E102" s="25">
        <v>2.6882748499999995</v>
      </c>
      <c r="F102" s="28">
        <f t="shared" si="1"/>
        <v>61.830321549999987</v>
      </c>
      <c r="G102" s="39"/>
      <c r="H102" s="40"/>
      <c r="I102" s="139">
        <v>0</v>
      </c>
    </row>
    <row r="103" spans="1:9" ht="15.75" hidden="1" thickBot="1" x14ac:dyDescent="0.3">
      <c r="A103" s="237"/>
      <c r="B103" s="45"/>
      <c r="C103" s="41"/>
      <c r="D103" s="31"/>
      <c r="E103" s="25" t="s">
        <v>521</v>
      </c>
      <c r="F103" s="28" t="str">
        <f t="shared" si="1"/>
        <v/>
      </c>
      <c r="G103" s="39"/>
      <c r="H103" s="40"/>
      <c r="I103" s="139">
        <v>0</v>
      </c>
    </row>
    <row r="104" spans="1:9" ht="15.75" hidden="1" customHeight="1" thickBot="1" x14ac:dyDescent="0.3">
      <c r="A104" s="237"/>
      <c r="B104" s="42" t="s">
        <v>754</v>
      </c>
      <c r="C104" s="41"/>
      <c r="D104" s="31"/>
      <c r="E104" s="25" t="s">
        <v>521</v>
      </c>
      <c r="F104" s="28" t="str">
        <f t="shared" si="1"/>
        <v/>
      </c>
      <c r="G104" s="39"/>
      <c r="H104" s="40"/>
      <c r="I104" s="139">
        <v>0</v>
      </c>
    </row>
    <row r="105" spans="1:9" ht="15.75" hidden="1" thickBot="1" x14ac:dyDescent="0.3">
      <c r="A105" s="243"/>
      <c r="B105" s="30" t="s">
        <v>521</v>
      </c>
      <c r="C105" s="30"/>
      <c r="D105" s="86"/>
      <c r="E105" s="25" t="s">
        <v>521</v>
      </c>
      <c r="F105" s="25" t="str">
        <f t="shared" si="1"/>
        <v/>
      </c>
      <c r="G105" s="29"/>
      <c r="H105" s="25"/>
      <c r="I105" s="139">
        <v>0</v>
      </c>
    </row>
    <row r="106" spans="1:9" ht="15" hidden="1" customHeight="1" thickBot="1" x14ac:dyDescent="0.3">
      <c r="A106" s="242" t="s">
        <v>1592</v>
      </c>
      <c r="B106" s="35" t="s">
        <v>521</v>
      </c>
      <c r="C106" s="20" t="s">
        <v>479</v>
      </c>
      <c r="D106" s="87"/>
      <c r="E106" s="36" t="s">
        <v>521</v>
      </c>
      <c r="F106" s="36" t="str">
        <f t="shared" si="1"/>
        <v/>
      </c>
      <c r="G106" s="23"/>
      <c r="H106" s="24"/>
      <c r="I106" s="139">
        <v>0</v>
      </c>
    </row>
    <row r="107" spans="1:9" ht="15.75" hidden="1" thickBot="1" x14ac:dyDescent="0.3">
      <c r="A107" s="237"/>
      <c r="B107" s="26" t="s">
        <v>521</v>
      </c>
      <c r="C107" s="26"/>
      <c r="D107" s="85"/>
      <c r="E107" s="37" t="s">
        <v>521</v>
      </c>
      <c r="F107" s="25" t="str">
        <f t="shared" si="1"/>
        <v/>
      </c>
      <c r="G107" s="29"/>
      <c r="H107" s="25"/>
      <c r="I107" s="139">
        <v>0</v>
      </c>
    </row>
    <row r="108" spans="1:9" ht="26.25" hidden="1" thickBot="1" x14ac:dyDescent="0.3">
      <c r="A108" s="237"/>
      <c r="B108" s="30" t="s">
        <v>2289</v>
      </c>
      <c r="C108" s="30" t="s">
        <v>279</v>
      </c>
      <c r="D108" s="31">
        <v>0.33300000000000002</v>
      </c>
      <c r="E108" s="28">
        <v>1.6624999999999999</v>
      </c>
      <c r="F108" s="28">
        <f t="shared" si="1"/>
        <v>0.55361249999999995</v>
      </c>
      <c r="G108" s="39">
        <f>SUM(F108:F110)</f>
        <v>1.4996225000000001</v>
      </c>
      <c r="H108" s="40"/>
      <c r="I108" s="139">
        <v>0</v>
      </c>
    </row>
    <row r="109" spans="1:9" ht="26.25" hidden="1" thickBot="1" x14ac:dyDescent="0.3">
      <c r="A109" s="237"/>
      <c r="B109" s="30" t="s">
        <v>107</v>
      </c>
      <c r="C109" s="30" t="s">
        <v>702</v>
      </c>
      <c r="D109" s="31">
        <v>5.0000000000000001E-3</v>
      </c>
      <c r="E109" s="25">
        <v>19.094999999999999</v>
      </c>
      <c r="F109" s="28">
        <f t="shared" si="1"/>
        <v>9.547499999999999E-2</v>
      </c>
      <c r="G109" s="39"/>
      <c r="H109" s="40"/>
      <c r="I109" s="139">
        <v>0</v>
      </c>
    </row>
    <row r="110" spans="1:9" ht="15.75" hidden="1" customHeight="1" thickBot="1" x14ac:dyDescent="0.3">
      <c r="A110" s="237"/>
      <c r="B110" s="30" t="s">
        <v>1413</v>
      </c>
      <c r="C110" s="30" t="s">
        <v>702</v>
      </c>
      <c r="D110" s="31">
        <v>3.5000000000000003E-2</v>
      </c>
      <c r="E110" s="25">
        <v>24.300999999999998</v>
      </c>
      <c r="F110" s="28">
        <f t="shared" si="1"/>
        <v>0.85053500000000004</v>
      </c>
      <c r="G110" s="39"/>
      <c r="H110" s="40"/>
      <c r="I110" s="139">
        <v>0</v>
      </c>
    </row>
    <row r="111" spans="1:9" ht="15.75" hidden="1" thickBot="1" x14ac:dyDescent="0.3">
      <c r="A111" s="243"/>
      <c r="B111" s="30" t="s">
        <v>521</v>
      </c>
      <c r="C111" s="30"/>
      <c r="D111" s="86"/>
      <c r="E111" s="25" t="s">
        <v>521</v>
      </c>
      <c r="F111" s="25" t="str">
        <f t="shared" si="1"/>
        <v/>
      </c>
      <c r="G111" s="29"/>
      <c r="H111" s="25"/>
      <c r="I111" s="139">
        <v>0</v>
      </c>
    </row>
    <row r="112" spans="1:9" ht="15.75" hidden="1" customHeight="1" thickBot="1" x14ac:dyDescent="0.3">
      <c r="A112" s="242" t="s">
        <v>2842</v>
      </c>
      <c r="B112" s="35" t="s">
        <v>521</v>
      </c>
      <c r="C112" s="20" t="s">
        <v>279</v>
      </c>
      <c r="D112" s="87"/>
      <c r="E112" s="36" t="s">
        <v>521</v>
      </c>
      <c r="F112" s="36" t="str">
        <f t="shared" si="1"/>
        <v/>
      </c>
      <c r="G112" s="23"/>
      <c r="H112" s="24"/>
      <c r="I112" s="139">
        <v>0</v>
      </c>
    </row>
    <row r="113" spans="1:9" ht="15.75" hidden="1" thickBot="1" x14ac:dyDescent="0.3">
      <c r="A113" s="237"/>
      <c r="B113" s="26" t="s">
        <v>521</v>
      </c>
      <c r="C113" s="26"/>
      <c r="D113" s="85"/>
      <c r="E113" s="37" t="s">
        <v>521</v>
      </c>
      <c r="F113" s="25" t="str">
        <f t="shared" si="1"/>
        <v/>
      </c>
      <c r="G113" s="29"/>
      <c r="H113" s="25"/>
      <c r="I113" s="139">
        <v>0</v>
      </c>
    </row>
    <row r="114" spans="1:9" ht="26.25" hidden="1" thickBot="1" x14ac:dyDescent="0.3">
      <c r="A114" s="237"/>
      <c r="B114" s="30" t="s">
        <v>1424</v>
      </c>
      <c r="C114" s="30" t="s">
        <v>279</v>
      </c>
      <c r="D114" s="31">
        <v>1</v>
      </c>
      <c r="E114" s="28">
        <v>2.4319999999999999</v>
      </c>
      <c r="F114" s="28">
        <f t="shared" si="1"/>
        <v>2.4319999999999999</v>
      </c>
      <c r="G114" s="39">
        <f>SUM(F114:F116)</f>
        <v>5.1052999999999997</v>
      </c>
      <c r="H114" s="40"/>
      <c r="I114" s="139">
        <v>0</v>
      </c>
    </row>
    <row r="115" spans="1:9" ht="15.75" hidden="1" thickBot="1" x14ac:dyDescent="0.3">
      <c r="A115" s="237"/>
      <c r="B115" s="30" t="s">
        <v>74</v>
      </c>
      <c r="C115" s="30" t="s">
        <v>702</v>
      </c>
      <c r="D115" s="31">
        <v>0.06</v>
      </c>
      <c r="E115" s="25">
        <v>19.4085</v>
      </c>
      <c r="F115" s="28">
        <f t="shared" si="1"/>
        <v>1.1645099999999999</v>
      </c>
      <c r="G115" s="39"/>
      <c r="H115" s="40"/>
      <c r="I115" s="139">
        <v>0</v>
      </c>
    </row>
    <row r="116" spans="1:9" ht="15.75" hidden="1" customHeight="1" thickBot="1" x14ac:dyDescent="0.3">
      <c r="A116" s="237"/>
      <c r="B116" s="30" t="s">
        <v>30</v>
      </c>
      <c r="C116" s="30" t="s">
        <v>702</v>
      </c>
      <c r="D116" s="31">
        <v>0.06</v>
      </c>
      <c r="E116" s="25">
        <v>25.146499999999996</v>
      </c>
      <c r="F116" s="28">
        <f t="shared" si="1"/>
        <v>1.5087899999999996</v>
      </c>
      <c r="G116" s="39"/>
      <c r="H116" s="40"/>
      <c r="I116" s="139">
        <v>0</v>
      </c>
    </row>
    <row r="117" spans="1:9" ht="15.75" hidden="1" thickBot="1" x14ac:dyDescent="0.3">
      <c r="A117" s="243"/>
      <c r="B117" s="30" t="s">
        <v>521</v>
      </c>
      <c r="C117" s="30"/>
      <c r="D117" s="86"/>
      <c r="E117" s="25" t="s">
        <v>521</v>
      </c>
      <c r="F117" s="25" t="str">
        <f t="shared" si="1"/>
        <v/>
      </c>
      <c r="G117" s="29"/>
      <c r="H117" s="25"/>
      <c r="I117" s="139">
        <v>0</v>
      </c>
    </row>
    <row r="118" spans="1:9" ht="15.75" hidden="1" customHeight="1" thickBot="1" x14ac:dyDescent="0.3">
      <c r="A118" s="242" t="s">
        <v>2843</v>
      </c>
      <c r="B118" s="35" t="s">
        <v>521</v>
      </c>
      <c r="C118" s="20" t="s">
        <v>279</v>
      </c>
      <c r="D118" s="87"/>
      <c r="E118" s="36" t="s">
        <v>521</v>
      </c>
      <c r="F118" s="36" t="str">
        <f t="shared" si="1"/>
        <v/>
      </c>
      <c r="G118" s="23"/>
      <c r="H118" s="24"/>
      <c r="I118" s="139">
        <v>0</v>
      </c>
    </row>
    <row r="119" spans="1:9" ht="15.75" hidden="1" thickBot="1" x14ac:dyDescent="0.3">
      <c r="A119" s="237"/>
      <c r="B119" s="26" t="s">
        <v>521</v>
      </c>
      <c r="C119" s="26"/>
      <c r="D119" s="85"/>
      <c r="E119" s="37" t="s">
        <v>521</v>
      </c>
      <c r="F119" s="25" t="str">
        <f t="shared" si="1"/>
        <v/>
      </c>
      <c r="G119" s="29"/>
      <c r="H119" s="25"/>
      <c r="I119" s="139">
        <v>0</v>
      </c>
    </row>
    <row r="120" spans="1:9" ht="26.25" hidden="1" thickBot="1" x14ac:dyDescent="0.3">
      <c r="A120" s="237"/>
      <c r="B120" s="30" t="s">
        <v>1425</v>
      </c>
      <c r="C120" s="30" t="s">
        <v>279</v>
      </c>
      <c r="D120" s="31">
        <v>1</v>
      </c>
      <c r="E120" s="28">
        <v>2.831</v>
      </c>
      <c r="F120" s="28">
        <f t="shared" si="1"/>
        <v>2.831</v>
      </c>
      <c r="G120" s="39">
        <f>SUM(F120:F122)</f>
        <v>5.5042999999999997</v>
      </c>
      <c r="H120" s="40"/>
      <c r="I120" s="139">
        <v>0</v>
      </c>
    </row>
    <row r="121" spans="1:9" ht="15.75" hidden="1" thickBot="1" x14ac:dyDescent="0.3">
      <c r="A121" s="237"/>
      <c r="B121" s="30" t="s">
        <v>74</v>
      </c>
      <c r="C121" s="30" t="s">
        <v>702</v>
      </c>
      <c r="D121" s="31">
        <v>0.06</v>
      </c>
      <c r="E121" s="25">
        <v>19.4085</v>
      </c>
      <c r="F121" s="28">
        <f t="shared" si="1"/>
        <v>1.1645099999999999</v>
      </c>
      <c r="G121" s="39"/>
      <c r="H121" s="40"/>
      <c r="I121" s="139">
        <v>0</v>
      </c>
    </row>
    <row r="122" spans="1:9" ht="15.75" hidden="1" customHeight="1" thickBot="1" x14ac:dyDescent="0.3">
      <c r="A122" s="237"/>
      <c r="B122" s="30" t="s">
        <v>30</v>
      </c>
      <c r="C122" s="30" t="s">
        <v>702</v>
      </c>
      <c r="D122" s="31">
        <v>0.06</v>
      </c>
      <c r="E122" s="25">
        <v>25.146499999999996</v>
      </c>
      <c r="F122" s="28">
        <f t="shared" si="1"/>
        <v>1.5087899999999996</v>
      </c>
      <c r="G122" s="39"/>
      <c r="H122" s="40"/>
      <c r="I122" s="139">
        <v>0</v>
      </c>
    </row>
    <row r="123" spans="1:9" ht="15.75" hidden="1" thickBot="1" x14ac:dyDescent="0.3">
      <c r="A123" s="243"/>
      <c r="B123" s="30" t="s">
        <v>521</v>
      </c>
      <c r="C123" s="30"/>
      <c r="D123" s="86"/>
      <c r="E123" s="25" t="s">
        <v>521</v>
      </c>
      <c r="F123" s="25" t="str">
        <f t="shared" si="1"/>
        <v/>
      </c>
      <c r="G123" s="29"/>
      <c r="H123" s="25"/>
      <c r="I123" s="139">
        <v>0</v>
      </c>
    </row>
    <row r="124" spans="1:9" ht="15" hidden="1" customHeight="1" thickBot="1" x14ac:dyDescent="0.3">
      <c r="A124" s="242" t="s">
        <v>2844</v>
      </c>
      <c r="B124" s="35" t="s">
        <v>521</v>
      </c>
      <c r="C124" s="20" t="s">
        <v>279</v>
      </c>
      <c r="D124" s="87"/>
      <c r="E124" s="36" t="s">
        <v>521</v>
      </c>
      <c r="F124" s="36" t="str">
        <f t="shared" si="1"/>
        <v/>
      </c>
      <c r="G124" s="23"/>
      <c r="H124" s="24"/>
      <c r="I124" s="139">
        <v>0</v>
      </c>
    </row>
    <row r="125" spans="1:9" ht="15.75" hidden="1" thickBot="1" x14ac:dyDescent="0.3">
      <c r="A125" s="237"/>
      <c r="B125" s="26" t="s">
        <v>521</v>
      </c>
      <c r="C125" s="26"/>
      <c r="D125" s="85"/>
      <c r="E125" s="37" t="s">
        <v>521</v>
      </c>
      <c r="F125" s="25" t="str">
        <f t="shared" si="1"/>
        <v/>
      </c>
      <c r="G125" s="29"/>
      <c r="H125" s="25"/>
      <c r="I125" s="139">
        <v>0</v>
      </c>
    </row>
    <row r="126" spans="1:9" ht="26.25" hidden="1" thickBot="1" x14ac:dyDescent="0.3">
      <c r="A126" s="237"/>
      <c r="B126" s="30" t="s">
        <v>1426</v>
      </c>
      <c r="C126" s="30" t="s">
        <v>279</v>
      </c>
      <c r="D126" s="31">
        <v>1</v>
      </c>
      <c r="E126" s="28">
        <v>5.016</v>
      </c>
      <c r="F126" s="28">
        <f t="shared" si="1"/>
        <v>5.016</v>
      </c>
      <c r="G126" s="39">
        <f>SUM(F126:F128)</f>
        <v>9.0259499999999999</v>
      </c>
      <c r="H126" s="40"/>
      <c r="I126" s="139">
        <v>0</v>
      </c>
    </row>
    <row r="127" spans="1:9" ht="15.75" hidden="1" thickBot="1" x14ac:dyDescent="0.3">
      <c r="A127" s="237"/>
      <c r="B127" s="30" t="s">
        <v>74</v>
      </c>
      <c r="C127" s="30" t="s">
        <v>702</v>
      </c>
      <c r="D127" s="31">
        <v>0.09</v>
      </c>
      <c r="E127" s="25">
        <v>19.4085</v>
      </c>
      <c r="F127" s="28">
        <f t="shared" si="1"/>
        <v>1.7467649999999999</v>
      </c>
      <c r="G127" s="39"/>
      <c r="H127" s="40"/>
      <c r="I127" s="139">
        <v>0</v>
      </c>
    </row>
    <row r="128" spans="1:9" ht="15.75" hidden="1" customHeight="1" thickBot="1" x14ac:dyDescent="0.3">
      <c r="A128" s="237"/>
      <c r="B128" s="30" t="s">
        <v>30</v>
      </c>
      <c r="C128" s="30" t="s">
        <v>702</v>
      </c>
      <c r="D128" s="31">
        <v>0.09</v>
      </c>
      <c r="E128" s="25">
        <v>25.146499999999996</v>
      </c>
      <c r="F128" s="28">
        <f t="shared" si="1"/>
        <v>2.2631849999999996</v>
      </c>
      <c r="G128" s="39"/>
      <c r="H128" s="40"/>
      <c r="I128" s="139">
        <v>0</v>
      </c>
    </row>
    <row r="129" spans="1:9" ht="15.75" hidden="1" thickBot="1" x14ac:dyDescent="0.3">
      <c r="A129" s="243"/>
      <c r="B129" s="30" t="s">
        <v>521</v>
      </c>
      <c r="C129" s="30"/>
      <c r="D129" s="86"/>
      <c r="E129" s="25" t="s">
        <v>521</v>
      </c>
      <c r="F129" s="25" t="str">
        <f t="shared" si="1"/>
        <v/>
      </c>
      <c r="G129" s="29"/>
      <c r="H129" s="25"/>
      <c r="I129" s="139">
        <v>0</v>
      </c>
    </row>
    <row r="130" spans="1:9" ht="15" hidden="1" customHeight="1" thickBot="1" x14ac:dyDescent="0.3">
      <c r="A130" s="242" t="s">
        <v>2845</v>
      </c>
      <c r="B130" s="35" t="s">
        <v>521</v>
      </c>
      <c r="C130" s="20" t="s">
        <v>279</v>
      </c>
      <c r="D130" s="87"/>
      <c r="E130" s="36" t="s">
        <v>521</v>
      </c>
      <c r="F130" s="36" t="str">
        <f t="shared" si="1"/>
        <v/>
      </c>
      <c r="G130" s="23"/>
      <c r="H130" s="24"/>
      <c r="I130" s="139">
        <v>0</v>
      </c>
    </row>
    <row r="131" spans="1:9" ht="15.75" hidden="1" thickBot="1" x14ac:dyDescent="0.3">
      <c r="A131" s="237"/>
      <c r="B131" s="26" t="s">
        <v>521</v>
      </c>
      <c r="C131" s="26"/>
      <c r="D131" s="85"/>
      <c r="E131" s="37" t="s">
        <v>521</v>
      </c>
      <c r="F131" s="25" t="str">
        <f t="shared" si="1"/>
        <v/>
      </c>
      <c r="G131" s="29"/>
      <c r="H131" s="25"/>
      <c r="I131" s="139">
        <v>0</v>
      </c>
    </row>
    <row r="132" spans="1:9" ht="26.25" hidden="1" thickBot="1" x14ac:dyDescent="0.3">
      <c r="A132" s="237"/>
      <c r="B132" s="30" t="s">
        <v>1427</v>
      </c>
      <c r="C132" s="30" t="s">
        <v>279</v>
      </c>
      <c r="D132" s="31">
        <v>1</v>
      </c>
      <c r="E132" s="28">
        <v>7.2579999999999991</v>
      </c>
      <c r="F132" s="28">
        <f t="shared" si="1"/>
        <v>7.2579999999999991</v>
      </c>
      <c r="G132" s="39">
        <f>SUM(F132:F134)</f>
        <v>11.267949999999999</v>
      </c>
      <c r="H132" s="40"/>
      <c r="I132" s="139">
        <v>0</v>
      </c>
    </row>
    <row r="133" spans="1:9" ht="15.75" hidden="1" thickBot="1" x14ac:dyDescent="0.3">
      <c r="A133" s="237"/>
      <c r="B133" s="30" t="s">
        <v>74</v>
      </c>
      <c r="C133" s="30" t="s">
        <v>702</v>
      </c>
      <c r="D133" s="31">
        <v>0.09</v>
      </c>
      <c r="E133" s="25">
        <v>19.4085</v>
      </c>
      <c r="F133" s="28">
        <f t="shared" si="1"/>
        <v>1.7467649999999999</v>
      </c>
      <c r="G133" s="39"/>
      <c r="H133" s="40"/>
      <c r="I133" s="139">
        <v>0</v>
      </c>
    </row>
    <row r="134" spans="1:9" ht="15.75" hidden="1" customHeight="1" thickBot="1" x14ac:dyDescent="0.3">
      <c r="A134" s="237"/>
      <c r="B134" s="30" t="s">
        <v>30</v>
      </c>
      <c r="C134" s="30" t="s">
        <v>702</v>
      </c>
      <c r="D134" s="31">
        <v>0.09</v>
      </c>
      <c r="E134" s="25">
        <v>25.146499999999996</v>
      </c>
      <c r="F134" s="28">
        <f t="shared" ref="F134:F197" si="2">IF(ISNUMBER(E134),E134*$D134,"")</f>
        <v>2.2631849999999996</v>
      </c>
      <c r="G134" s="39"/>
      <c r="H134" s="40"/>
      <c r="I134" s="139">
        <v>0</v>
      </c>
    </row>
    <row r="135" spans="1:9" ht="15.75" hidden="1" thickBot="1" x14ac:dyDescent="0.3">
      <c r="A135" s="243"/>
      <c r="B135" s="30" t="s">
        <v>521</v>
      </c>
      <c r="C135" s="30"/>
      <c r="D135" s="86"/>
      <c r="E135" s="25" t="s">
        <v>521</v>
      </c>
      <c r="F135" s="25" t="str">
        <f t="shared" si="2"/>
        <v/>
      </c>
      <c r="G135" s="29"/>
      <c r="H135" s="25"/>
      <c r="I135" s="139">
        <v>0</v>
      </c>
    </row>
    <row r="136" spans="1:9" ht="15" hidden="1" customHeight="1" thickBot="1" x14ac:dyDescent="0.3">
      <c r="A136" s="242" t="s">
        <v>1593</v>
      </c>
      <c r="B136" s="35" t="s">
        <v>521</v>
      </c>
      <c r="C136" s="20" t="s">
        <v>479</v>
      </c>
      <c r="D136" s="87"/>
      <c r="E136" s="36" t="s">
        <v>521</v>
      </c>
      <c r="F136" s="36" t="str">
        <f t="shared" si="2"/>
        <v/>
      </c>
      <c r="G136" s="23"/>
      <c r="H136" s="24"/>
      <c r="I136" s="139">
        <v>0</v>
      </c>
    </row>
    <row r="137" spans="1:9" ht="15.75" hidden="1" thickBot="1" x14ac:dyDescent="0.3">
      <c r="A137" s="237"/>
      <c r="B137" s="26" t="s">
        <v>521</v>
      </c>
      <c r="C137" s="26"/>
      <c r="D137" s="85"/>
      <c r="E137" s="91" t="s">
        <v>521</v>
      </c>
      <c r="F137" s="92" t="str">
        <f t="shared" si="2"/>
        <v/>
      </c>
      <c r="G137" s="29"/>
      <c r="H137" s="25"/>
      <c r="I137" s="139">
        <v>0</v>
      </c>
    </row>
    <row r="138" spans="1:9" ht="26.25" hidden="1" thickBot="1" x14ac:dyDescent="0.3">
      <c r="A138" s="237"/>
      <c r="B138" s="30" t="s">
        <v>1440</v>
      </c>
      <c r="C138" s="30" t="s">
        <v>279</v>
      </c>
      <c r="D138" s="31">
        <v>0.33300000000000002</v>
      </c>
      <c r="E138" s="28">
        <v>3.42</v>
      </c>
      <c r="F138" s="28">
        <f t="shared" si="2"/>
        <v>1.13886</v>
      </c>
      <c r="G138" s="39">
        <f>SUM(F138:F140)</f>
        <v>2.938882</v>
      </c>
      <c r="H138" s="40"/>
      <c r="I138" s="139">
        <v>0</v>
      </c>
    </row>
    <row r="139" spans="1:9" ht="26.25" hidden="1" thickBot="1" x14ac:dyDescent="0.3">
      <c r="A139" s="237"/>
      <c r="B139" s="30" t="s">
        <v>107</v>
      </c>
      <c r="C139" s="30" t="s">
        <v>702</v>
      </c>
      <c r="D139" s="31">
        <v>8.9999999999999993E-3</v>
      </c>
      <c r="E139" s="25">
        <v>19.094999999999999</v>
      </c>
      <c r="F139" s="28">
        <f t="shared" si="2"/>
        <v>0.17185499999999998</v>
      </c>
      <c r="G139" s="39"/>
      <c r="H139" s="40"/>
      <c r="I139" s="139">
        <v>0</v>
      </c>
    </row>
    <row r="140" spans="1:9" ht="15.75" hidden="1" thickBot="1" x14ac:dyDescent="0.3">
      <c r="A140" s="237"/>
      <c r="B140" s="30" t="s">
        <v>1413</v>
      </c>
      <c r="C140" s="30" t="s">
        <v>702</v>
      </c>
      <c r="D140" s="31">
        <v>6.7000000000000004E-2</v>
      </c>
      <c r="E140" s="25">
        <v>24.300999999999998</v>
      </c>
      <c r="F140" s="28">
        <f t="shared" si="2"/>
        <v>1.6281669999999999</v>
      </c>
      <c r="G140" s="39"/>
      <c r="H140" s="40"/>
      <c r="I140" s="139">
        <v>0</v>
      </c>
    </row>
    <row r="141" spans="1:9" ht="15.75" hidden="1" thickBot="1" x14ac:dyDescent="0.3">
      <c r="A141" s="243"/>
      <c r="B141" s="30" t="s">
        <v>521</v>
      </c>
      <c r="C141" s="30"/>
      <c r="D141" s="86"/>
      <c r="E141" s="25" t="s">
        <v>521</v>
      </c>
      <c r="F141" s="25" t="str">
        <f t="shared" si="2"/>
        <v/>
      </c>
      <c r="G141" s="29"/>
      <c r="H141" s="25"/>
      <c r="I141" s="139">
        <v>0</v>
      </c>
    </row>
    <row r="142" spans="1:9" ht="26.25" hidden="1" customHeight="1" thickBot="1" x14ac:dyDescent="0.3">
      <c r="A142" s="242" t="s">
        <v>163</v>
      </c>
      <c r="B142" s="35" t="s">
        <v>521</v>
      </c>
      <c r="C142" s="20" t="s">
        <v>120</v>
      </c>
      <c r="D142" s="87"/>
      <c r="E142" s="36" t="s">
        <v>521</v>
      </c>
      <c r="F142" s="36" t="str">
        <f t="shared" si="2"/>
        <v/>
      </c>
      <c r="G142" s="23"/>
      <c r="H142" s="24"/>
      <c r="I142" s="139">
        <v>0</v>
      </c>
    </row>
    <row r="143" spans="1:9" ht="15.75" hidden="1" thickBot="1" x14ac:dyDescent="0.3">
      <c r="A143" s="237"/>
      <c r="B143" s="26" t="s">
        <v>521</v>
      </c>
      <c r="C143" s="26"/>
      <c r="D143" s="85"/>
      <c r="E143" s="37" t="s">
        <v>521</v>
      </c>
      <c r="F143" s="25" t="str">
        <f t="shared" si="2"/>
        <v/>
      </c>
      <c r="G143" s="29"/>
      <c r="H143" s="25"/>
      <c r="I143" s="139">
        <v>0</v>
      </c>
    </row>
    <row r="144" spans="1:9" ht="26.25" hidden="1" thickBot="1" x14ac:dyDescent="0.3">
      <c r="A144" s="237"/>
      <c r="B144" s="30" t="s">
        <v>751</v>
      </c>
      <c r="C144" s="30" t="s">
        <v>120</v>
      </c>
      <c r="D144" s="31">
        <v>1.18</v>
      </c>
      <c r="E144" s="28">
        <v>186.16200000000001</v>
      </c>
      <c r="F144" s="28">
        <f t="shared" si="2"/>
        <v>219.67115999999999</v>
      </c>
      <c r="G144" s="39">
        <f>SUM(F144:F152)</f>
        <v>661.67791254800011</v>
      </c>
      <c r="H144" s="40"/>
      <c r="I144" s="139">
        <v>0</v>
      </c>
    </row>
    <row r="145" spans="1:9" ht="15.75" hidden="1" thickBot="1" x14ac:dyDescent="0.3">
      <c r="A145" s="237"/>
      <c r="B145" s="30" t="s">
        <v>1417</v>
      </c>
      <c r="C145" s="30" t="s">
        <v>897</v>
      </c>
      <c r="D145" s="31">
        <v>157.44</v>
      </c>
      <c r="E145" s="28">
        <v>1.0449999999999999</v>
      </c>
      <c r="F145" s="28">
        <f t="shared" si="2"/>
        <v>164.5248</v>
      </c>
      <c r="G145" s="39"/>
      <c r="H145" s="40"/>
      <c r="I145" s="139">
        <v>0</v>
      </c>
    </row>
    <row r="146" spans="1:9" ht="15.75" hidden="1" thickBot="1" x14ac:dyDescent="0.3">
      <c r="A146" s="237"/>
      <c r="B146" s="30" t="s">
        <v>747</v>
      </c>
      <c r="C146" s="30" t="s">
        <v>897</v>
      </c>
      <c r="D146" s="31">
        <v>177.12</v>
      </c>
      <c r="E146" s="28">
        <v>0.64600000000000002</v>
      </c>
      <c r="F146" s="28">
        <f t="shared" si="2"/>
        <v>114.41952000000001</v>
      </c>
      <c r="G146" s="39"/>
      <c r="H146" s="40"/>
      <c r="I146" s="139">
        <v>0</v>
      </c>
    </row>
    <row r="147" spans="1:9" ht="15.75" hidden="1" thickBot="1" x14ac:dyDescent="0.3">
      <c r="A147" s="237"/>
      <c r="B147" s="30" t="s">
        <v>1412</v>
      </c>
      <c r="C147" s="30" t="s">
        <v>702</v>
      </c>
      <c r="D147" s="31">
        <v>0.79</v>
      </c>
      <c r="E147" s="25">
        <v>18.420500000000001</v>
      </c>
      <c r="F147" s="28">
        <f t="shared" si="2"/>
        <v>14.552195000000001</v>
      </c>
      <c r="G147" s="39"/>
      <c r="H147" s="40"/>
      <c r="I147" s="139">
        <v>0</v>
      </c>
    </row>
    <row r="148" spans="1:9" ht="26.25" hidden="1" thickBot="1" x14ac:dyDescent="0.3">
      <c r="A148" s="237"/>
      <c r="B148" s="30" t="s">
        <v>116</v>
      </c>
      <c r="C148" s="30" t="s">
        <v>702</v>
      </c>
      <c r="D148" s="31">
        <v>3.65</v>
      </c>
      <c r="E148" s="25">
        <v>18.534500000000001</v>
      </c>
      <c r="F148" s="28">
        <f t="shared" si="2"/>
        <v>67.650925000000001</v>
      </c>
      <c r="G148" s="39"/>
      <c r="H148" s="40"/>
      <c r="I148" s="139">
        <v>0</v>
      </c>
    </row>
    <row r="149" spans="1:9" ht="39" hidden="1" thickBot="1" x14ac:dyDescent="0.3">
      <c r="A149" s="237"/>
      <c r="B149" s="30" t="s">
        <v>1428</v>
      </c>
      <c r="C149" s="30" t="s">
        <v>938</v>
      </c>
      <c r="D149" s="31">
        <v>0.85</v>
      </c>
      <c r="E149" s="25">
        <v>4.3224999999999998</v>
      </c>
      <c r="F149" s="28">
        <f t="shared" si="2"/>
        <v>3.6741249999999996</v>
      </c>
      <c r="G149" s="39"/>
      <c r="H149" s="40"/>
      <c r="I149" s="139">
        <v>0</v>
      </c>
    </row>
    <row r="150" spans="1:9" ht="39" hidden="1" thickBot="1" x14ac:dyDescent="0.3">
      <c r="A150" s="237"/>
      <c r="B150" s="30" t="s">
        <v>1429</v>
      </c>
      <c r="C150" s="30" t="s">
        <v>940</v>
      </c>
      <c r="D150" s="31">
        <v>2.8</v>
      </c>
      <c r="E150" s="25">
        <v>1.5105</v>
      </c>
      <c r="F150" s="28">
        <f t="shared" si="2"/>
        <v>4.2293999999999992</v>
      </c>
      <c r="G150" s="39"/>
      <c r="H150" s="40"/>
      <c r="I150" s="139">
        <v>0</v>
      </c>
    </row>
    <row r="151" spans="1:9" ht="51.75" hidden="1" thickBot="1" x14ac:dyDescent="0.3">
      <c r="A151" s="237"/>
      <c r="B151" s="30" t="s">
        <v>1826</v>
      </c>
      <c r="C151" s="30" t="s">
        <v>120</v>
      </c>
      <c r="D151" s="31">
        <f>ROUND(1*D144,4)</f>
        <v>1.18</v>
      </c>
      <c r="E151" s="25">
        <v>8.0614416000000002</v>
      </c>
      <c r="F151" s="28">
        <f t="shared" si="2"/>
        <v>9.5125010880000005</v>
      </c>
      <c r="G151" s="39"/>
      <c r="H151" s="40"/>
      <c r="I151" s="139">
        <v>0</v>
      </c>
    </row>
    <row r="152" spans="1:9" ht="39" hidden="1" thickBot="1" x14ac:dyDescent="0.3">
      <c r="A152" s="237"/>
      <c r="B152" s="30" t="s">
        <v>1823</v>
      </c>
      <c r="C152" s="41" t="s">
        <v>122</v>
      </c>
      <c r="D152" s="31">
        <f>ROUND(D144*20,4)</f>
        <v>23.6</v>
      </c>
      <c r="E152" s="25">
        <v>2.6882748499999995</v>
      </c>
      <c r="F152" s="28">
        <f t="shared" si="2"/>
        <v>63.443286459999996</v>
      </c>
      <c r="G152" s="39"/>
      <c r="H152" s="40"/>
      <c r="I152" s="139">
        <v>0</v>
      </c>
    </row>
    <row r="153" spans="1:9" ht="15.75" hidden="1" thickBot="1" x14ac:dyDescent="0.3">
      <c r="A153" s="237"/>
      <c r="B153" s="45"/>
      <c r="C153" s="41"/>
      <c r="D153" s="31"/>
      <c r="E153" s="25" t="s">
        <v>521</v>
      </c>
      <c r="F153" s="28" t="str">
        <f t="shared" si="2"/>
        <v/>
      </c>
      <c r="G153" s="39"/>
      <c r="H153" s="40"/>
      <c r="I153" s="139">
        <v>0</v>
      </c>
    </row>
    <row r="154" spans="1:9" ht="15.75" hidden="1" customHeight="1" thickBot="1" x14ac:dyDescent="0.3">
      <c r="A154" s="237"/>
      <c r="B154" s="42" t="s">
        <v>754</v>
      </c>
      <c r="C154" s="41"/>
      <c r="D154" s="31"/>
      <c r="E154" s="25" t="s">
        <v>521</v>
      </c>
      <c r="F154" s="28" t="str">
        <f t="shared" si="2"/>
        <v/>
      </c>
      <c r="G154" s="39"/>
      <c r="H154" s="40"/>
      <c r="I154" s="139">
        <v>0</v>
      </c>
    </row>
    <row r="155" spans="1:9" ht="15.75" hidden="1" thickBot="1" x14ac:dyDescent="0.3">
      <c r="A155" s="243"/>
      <c r="B155" s="30"/>
      <c r="C155" s="30"/>
      <c r="D155" s="86"/>
      <c r="E155" s="25" t="s">
        <v>521</v>
      </c>
      <c r="F155" s="25" t="str">
        <f t="shared" si="2"/>
        <v/>
      </c>
      <c r="G155" s="29"/>
      <c r="H155" s="25"/>
      <c r="I155" s="139">
        <v>0</v>
      </c>
    </row>
    <row r="156" spans="1:9" ht="15" hidden="1" customHeight="1" thickBot="1" x14ac:dyDescent="0.3">
      <c r="A156" s="242" t="s">
        <v>1339</v>
      </c>
      <c r="B156" s="35" t="s">
        <v>521</v>
      </c>
      <c r="C156" s="20" t="s">
        <v>120</v>
      </c>
      <c r="D156" s="87"/>
      <c r="E156" s="36" t="s">
        <v>521</v>
      </c>
      <c r="F156" s="36" t="str">
        <f t="shared" si="2"/>
        <v/>
      </c>
      <c r="G156" s="23"/>
      <c r="H156" s="24"/>
      <c r="I156" s="139">
        <v>0</v>
      </c>
    </row>
    <row r="157" spans="1:9" ht="15.75" hidden="1" thickBot="1" x14ac:dyDescent="0.3">
      <c r="A157" s="237"/>
      <c r="B157" s="26" t="s">
        <v>521</v>
      </c>
      <c r="C157" s="26"/>
      <c r="D157" s="85"/>
      <c r="E157" s="37" t="s">
        <v>521</v>
      </c>
      <c r="F157" s="25" t="str">
        <f t="shared" si="2"/>
        <v/>
      </c>
      <c r="G157" s="29"/>
      <c r="H157" s="25"/>
      <c r="I157" s="139">
        <v>0</v>
      </c>
    </row>
    <row r="158" spans="1:9" ht="26.25" hidden="1" thickBot="1" x14ac:dyDescent="0.3">
      <c r="A158" s="237"/>
      <c r="B158" s="30" t="s">
        <v>751</v>
      </c>
      <c r="C158" s="30" t="s">
        <v>120</v>
      </c>
      <c r="D158" s="31">
        <v>1.36</v>
      </c>
      <c r="E158" s="28">
        <v>186.16200000000001</v>
      </c>
      <c r="F158" s="28">
        <f t="shared" si="2"/>
        <v>253.18032000000002</v>
      </c>
      <c r="G158" s="39">
        <f>SUM(F158:F164)</f>
        <v>727.17668649599989</v>
      </c>
      <c r="H158" s="40"/>
      <c r="I158" s="139">
        <v>0</v>
      </c>
    </row>
    <row r="159" spans="1:9" ht="15.75" hidden="1" thickBot="1" x14ac:dyDescent="0.3">
      <c r="A159" s="237"/>
      <c r="B159" s="30" t="s">
        <v>747</v>
      </c>
      <c r="C159" s="30" t="s">
        <v>897</v>
      </c>
      <c r="D159" s="31">
        <v>459.85</v>
      </c>
      <c r="E159" s="28">
        <v>0.64600000000000002</v>
      </c>
      <c r="F159" s="28">
        <f t="shared" si="2"/>
        <v>297.06310000000002</v>
      </c>
      <c r="G159" s="39"/>
      <c r="H159" s="40"/>
      <c r="I159" s="139">
        <v>0</v>
      </c>
    </row>
    <row r="160" spans="1:9" ht="15.75" hidden="1" customHeight="1" thickBot="1" x14ac:dyDescent="0.3">
      <c r="A160" s="237"/>
      <c r="B160" s="30" t="s">
        <v>116</v>
      </c>
      <c r="C160" s="30" t="s">
        <v>702</v>
      </c>
      <c r="D160" s="31">
        <v>4.8499999999999996</v>
      </c>
      <c r="E160" s="25">
        <v>18.534500000000001</v>
      </c>
      <c r="F160" s="28">
        <f t="shared" si="2"/>
        <v>89.892325</v>
      </c>
      <c r="G160" s="39"/>
      <c r="H160" s="40"/>
      <c r="I160" s="139">
        <v>0</v>
      </c>
    </row>
    <row r="161" spans="1:9" ht="39" hidden="1" thickBot="1" x14ac:dyDescent="0.3">
      <c r="A161" s="237"/>
      <c r="B161" s="30" t="s">
        <v>1418</v>
      </c>
      <c r="C161" s="30" t="s">
        <v>938</v>
      </c>
      <c r="D161" s="31">
        <v>1.1299999999999999</v>
      </c>
      <c r="E161" s="25">
        <v>1.3964999999999999</v>
      </c>
      <c r="F161" s="28">
        <f t="shared" si="2"/>
        <v>1.5780449999999997</v>
      </c>
      <c r="G161" s="39"/>
      <c r="H161" s="40"/>
      <c r="I161" s="139">
        <v>0</v>
      </c>
    </row>
    <row r="162" spans="1:9" ht="39" hidden="1" thickBot="1" x14ac:dyDescent="0.3">
      <c r="A162" s="237"/>
      <c r="B162" s="30" t="s">
        <v>1419</v>
      </c>
      <c r="C162" s="30" t="s">
        <v>940</v>
      </c>
      <c r="D162" s="31">
        <v>3.72</v>
      </c>
      <c r="E162" s="25">
        <v>0.3705</v>
      </c>
      <c r="F162" s="28">
        <f t="shared" si="2"/>
        <v>1.37826</v>
      </c>
      <c r="G162" s="39"/>
      <c r="H162" s="40"/>
      <c r="I162" s="139">
        <v>0</v>
      </c>
    </row>
    <row r="163" spans="1:9" ht="51.75" hidden="1" thickBot="1" x14ac:dyDescent="0.3">
      <c r="A163" s="237"/>
      <c r="B163" s="30" t="s">
        <v>1826</v>
      </c>
      <c r="C163" s="30" t="s">
        <v>120</v>
      </c>
      <c r="D163" s="31">
        <f>ROUND(1*D158,4)</f>
        <v>1.36</v>
      </c>
      <c r="E163" s="25">
        <v>8.0614416000000002</v>
      </c>
      <c r="F163" s="28">
        <f t="shared" si="2"/>
        <v>10.963560576000001</v>
      </c>
      <c r="G163" s="39"/>
      <c r="H163" s="40"/>
      <c r="I163" s="139">
        <v>0</v>
      </c>
    </row>
    <row r="164" spans="1:9" ht="39" hidden="1" thickBot="1" x14ac:dyDescent="0.3">
      <c r="A164" s="237"/>
      <c r="B164" s="30" t="s">
        <v>1823</v>
      </c>
      <c r="C164" s="41" t="s">
        <v>122</v>
      </c>
      <c r="D164" s="31">
        <f>ROUND(D158*20,4)</f>
        <v>27.2</v>
      </c>
      <c r="E164" s="25">
        <v>2.6882748499999995</v>
      </c>
      <c r="F164" s="28">
        <f t="shared" si="2"/>
        <v>73.121075919999981</v>
      </c>
      <c r="G164" s="39"/>
      <c r="H164" s="40"/>
      <c r="I164" s="139">
        <v>0</v>
      </c>
    </row>
    <row r="165" spans="1:9" ht="15.75" hidden="1" thickBot="1" x14ac:dyDescent="0.3">
      <c r="A165" s="237"/>
      <c r="B165" s="45"/>
      <c r="C165" s="41"/>
      <c r="D165" s="31"/>
      <c r="E165" s="25" t="s">
        <v>521</v>
      </c>
      <c r="F165" s="28" t="str">
        <f t="shared" si="2"/>
        <v/>
      </c>
      <c r="G165" s="39"/>
      <c r="H165" s="40"/>
      <c r="I165" s="139">
        <v>0</v>
      </c>
    </row>
    <row r="166" spans="1:9" ht="15.75" hidden="1" customHeight="1" thickBot="1" x14ac:dyDescent="0.3">
      <c r="A166" s="237"/>
      <c r="B166" s="42" t="s">
        <v>754</v>
      </c>
      <c r="C166" s="41"/>
      <c r="D166" s="31"/>
      <c r="E166" s="25" t="s">
        <v>521</v>
      </c>
      <c r="F166" s="28" t="str">
        <f t="shared" si="2"/>
        <v/>
      </c>
      <c r="G166" s="39"/>
      <c r="H166" s="40"/>
      <c r="I166" s="139">
        <v>0</v>
      </c>
    </row>
    <row r="167" spans="1:9" ht="15.75" hidden="1" thickBot="1" x14ac:dyDescent="0.3">
      <c r="A167" s="243"/>
      <c r="B167" s="30"/>
      <c r="C167" s="30"/>
      <c r="D167" s="86"/>
      <c r="E167" s="25" t="s">
        <v>521</v>
      </c>
      <c r="F167" s="25" t="str">
        <f t="shared" si="2"/>
        <v/>
      </c>
      <c r="G167" s="29"/>
      <c r="H167" s="25"/>
      <c r="I167" s="139">
        <v>0</v>
      </c>
    </row>
    <row r="168" spans="1:9" ht="15" customHeight="1" thickBot="1" x14ac:dyDescent="0.3">
      <c r="A168" s="242" t="s">
        <v>941</v>
      </c>
      <c r="B168" s="35" t="s">
        <v>521</v>
      </c>
      <c r="C168" s="20" t="s">
        <v>120</v>
      </c>
      <c r="D168" s="87"/>
      <c r="E168" s="36" t="s">
        <v>521</v>
      </c>
      <c r="F168" s="36" t="str">
        <f t="shared" si="2"/>
        <v/>
      </c>
      <c r="G168" s="23"/>
      <c r="H168" s="24"/>
      <c r="I168" s="139">
        <v>1625.4</v>
      </c>
    </row>
    <row r="169" spans="1:9" x14ac:dyDescent="0.25">
      <c r="A169" s="237"/>
      <c r="B169" s="26" t="s">
        <v>521</v>
      </c>
      <c r="C169" s="26"/>
      <c r="D169" s="85"/>
      <c r="E169" s="37" t="s">
        <v>521</v>
      </c>
      <c r="F169" s="25" t="str">
        <f t="shared" si="2"/>
        <v/>
      </c>
      <c r="G169" s="29"/>
      <c r="H169" s="25"/>
      <c r="I169" s="139">
        <v>1625.4</v>
      </c>
    </row>
    <row r="170" spans="1:9" ht="51" x14ac:dyDescent="0.25">
      <c r="A170" s="237"/>
      <c r="B170" s="30" t="s">
        <v>943</v>
      </c>
      <c r="C170" s="30" t="s">
        <v>938</v>
      </c>
      <c r="D170" s="31">
        <v>6.0000000000000001E-3</v>
      </c>
      <c r="E170" s="28">
        <v>322.48699999999997</v>
      </c>
      <c r="F170" s="28">
        <f t="shared" si="2"/>
        <v>1.9349219999999998</v>
      </c>
      <c r="G170" s="39">
        <f>SUM(F170:F172)</f>
        <v>2.2585679999999999</v>
      </c>
      <c r="H170" s="40"/>
      <c r="I170" s="139">
        <v>1625.4</v>
      </c>
    </row>
    <row r="171" spans="1:9" ht="51" x14ac:dyDescent="0.25">
      <c r="A171" s="237"/>
      <c r="B171" s="30" t="s">
        <v>944</v>
      </c>
      <c r="C171" s="30" t="s">
        <v>940</v>
      </c>
      <c r="D171" s="31">
        <v>3.0000000000000001E-3</v>
      </c>
      <c r="E171" s="28">
        <v>52.6205</v>
      </c>
      <c r="F171" s="28">
        <f t="shared" si="2"/>
        <v>0.15786150000000002</v>
      </c>
      <c r="G171" s="39"/>
      <c r="H171" s="40"/>
      <c r="I171" s="139">
        <v>1625.4</v>
      </c>
    </row>
    <row r="172" spans="1:9" ht="15.75" customHeight="1" x14ac:dyDescent="0.25">
      <c r="A172" s="237"/>
      <c r="B172" s="30" t="s">
        <v>703</v>
      </c>
      <c r="C172" s="30" t="s">
        <v>702</v>
      </c>
      <c r="D172" s="31">
        <v>8.9999999999999993E-3</v>
      </c>
      <c r="E172" s="28">
        <v>18.420500000000001</v>
      </c>
      <c r="F172" s="28">
        <f t="shared" si="2"/>
        <v>0.1657845</v>
      </c>
      <c r="G172" s="39"/>
      <c r="H172" s="40"/>
      <c r="I172" s="139">
        <v>1625.4</v>
      </c>
    </row>
    <row r="173" spans="1:9" ht="15.75" thickBot="1" x14ac:dyDescent="0.3">
      <c r="A173" s="243"/>
      <c r="B173" s="30"/>
      <c r="C173" s="30"/>
      <c r="D173" s="86"/>
      <c r="E173" s="25" t="s">
        <v>521</v>
      </c>
      <c r="F173" s="25" t="str">
        <f t="shared" si="2"/>
        <v/>
      </c>
      <c r="G173" s="29"/>
      <c r="H173" s="25"/>
      <c r="I173" s="139">
        <v>1625.4</v>
      </c>
    </row>
    <row r="174" spans="1:9" ht="15" hidden="1" customHeight="1" x14ac:dyDescent="0.25">
      <c r="A174" s="242" t="s">
        <v>2798</v>
      </c>
      <c r="B174" s="35" t="s">
        <v>521</v>
      </c>
      <c r="C174" s="20" t="s">
        <v>897</v>
      </c>
      <c r="D174" s="87"/>
      <c r="E174" s="36" t="s">
        <v>521</v>
      </c>
      <c r="F174" s="36" t="str">
        <f t="shared" si="2"/>
        <v/>
      </c>
      <c r="G174" s="23"/>
      <c r="H174" s="24"/>
      <c r="I174" s="139">
        <v>0</v>
      </c>
    </row>
    <row r="175" spans="1:9" ht="15.75" hidden="1" thickBot="1" x14ac:dyDescent="0.3">
      <c r="A175" s="237"/>
      <c r="B175" s="26" t="s">
        <v>521</v>
      </c>
      <c r="C175" s="26"/>
      <c r="D175" s="85"/>
      <c r="E175" s="37" t="s">
        <v>521</v>
      </c>
      <c r="F175" s="25" t="str">
        <f t="shared" si="2"/>
        <v/>
      </c>
      <c r="G175" s="29"/>
      <c r="H175" s="25"/>
      <c r="I175" s="139">
        <v>0</v>
      </c>
    </row>
    <row r="176" spans="1:9" ht="15.75" hidden="1" thickBot="1" x14ac:dyDescent="0.3">
      <c r="A176" s="237"/>
      <c r="B176" s="30" t="s">
        <v>768</v>
      </c>
      <c r="C176" s="30" t="s">
        <v>897</v>
      </c>
      <c r="D176" s="31">
        <v>1.1100000000000001</v>
      </c>
      <c r="E176" s="28">
        <v>10.6495</v>
      </c>
      <c r="F176" s="28">
        <f t="shared" si="2"/>
        <v>11.820945</v>
      </c>
      <c r="G176" s="39">
        <f>SUM(F176:F178)</f>
        <v>12.269648999999999</v>
      </c>
      <c r="H176" s="40"/>
      <c r="I176" s="139">
        <v>0</v>
      </c>
    </row>
    <row r="177" spans="1:9" ht="15.75" hidden="1" customHeight="1" thickBot="1" x14ac:dyDescent="0.3">
      <c r="A177" s="237"/>
      <c r="B177" s="30" t="s">
        <v>899</v>
      </c>
      <c r="C177" s="30" t="s">
        <v>702</v>
      </c>
      <c r="D177" s="31">
        <v>2.5999999999999999E-3</v>
      </c>
      <c r="E177" s="28">
        <v>18.3825</v>
      </c>
      <c r="F177" s="28">
        <f t="shared" si="2"/>
        <v>4.7794499999999997E-2</v>
      </c>
      <c r="G177" s="39"/>
      <c r="H177" s="40"/>
      <c r="I177" s="139">
        <v>0</v>
      </c>
    </row>
    <row r="178" spans="1:9" ht="15.75" hidden="1" thickBot="1" x14ac:dyDescent="0.3">
      <c r="A178" s="237"/>
      <c r="B178" s="30" t="s">
        <v>900</v>
      </c>
      <c r="C178" s="30" t="s">
        <v>702</v>
      </c>
      <c r="D178" s="31">
        <v>1.6199999999999999E-2</v>
      </c>
      <c r="E178" s="28">
        <v>24.747499999999999</v>
      </c>
      <c r="F178" s="28">
        <f t="shared" si="2"/>
        <v>0.40090949999999997</v>
      </c>
      <c r="G178" s="39"/>
      <c r="H178" s="40"/>
      <c r="I178" s="139">
        <v>0</v>
      </c>
    </row>
    <row r="179" spans="1:9" ht="15.75" hidden="1" thickBot="1" x14ac:dyDescent="0.3">
      <c r="A179" s="243"/>
      <c r="B179" s="30" t="s">
        <v>521</v>
      </c>
      <c r="C179" s="30"/>
      <c r="D179" s="86"/>
      <c r="E179" s="25" t="s">
        <v>521</v>
      </c>
      <c r="F179" s="25" t="str">
        <f t="shared" si="2"/>
        <v/>
      </c>
      <c r="G179" s="29"/>
      <c r="H179" s="25"/>
      <c r="I179" s="139">
        <v>0</v>
      </c>
    </row>
    <row r="180" spans="1:9" ht="15" hidden="1" customHeight="1" thickBot="1" x14ac:dyDescent="0.3">
      <c r="A180" s="242" t="s">
        <v>2799</v>
      </c>
      <c r="B180" s="35" t="s">
        <v>521</v>
      </c>
      <c r="C180" s="20" t="s">
        <v>897</v>
      </c>
      <c r="D180" s="87"/>
      <c r="E180" s="36" t="s">
        <v>521</v>
      </c>
      <c r="F180" s="36" t="str">
        <f t="shared" si="2"/>
        <v/>
      </c>
      <c r="G180" s="23"/>
      <c r="H180" s="24"/>
      <c r="I180" s="139">
        <v>0</v>
      </c>
    </row>
    <row r="181" spans="1:9" ht="15.75" hidden="1" customHeight="1" thickBot="1" x14ac:dyDescent="0.3">
      <c r="A181" s="237"/>
      <c r="B181" s="26" t="s">
        <v>521</v>
      </c>
      <c r="C181" s="26"/>
      <c r="D181" s="85"/>
      <c r="E181" s="37" t="s">
        <v>521</v>
      </c>
      <c r="F181" s="25" t="str">
        <f t="shared" si="2"/>
        <v/>
      </c>
      <c r="G181" s="29"/>
      <c r="H181" s="25"/>
      <c r="I181" s="139">
        <v>0</v>
      </c>
    </row>
    <row r="182" spans="1:9" ht="15.75" hidden="1" thickBot="1" x14ac:dyDescent="0.3">
      <c r="A182" s="237"/>
      <c r="B182" s="30" t="s">
        <v>772</v>
      </c>
      <c r="C182" s="30" t="s">
        <v>897</v>
      </c>
      <c r="D182" s="31">
        <v>1.1100000000000001</v>
      </c>
      <c r="E182" s="28">
        <v>8.6925000000000008</v>
      </c>
      <c r="F182" s="28">
        <f t="shared" si="2"/>
        <v>9.6486750000000026</v>
      </c>
      <c r="G182" s="39">
        <f>SUM(F182:F184)</f>
        <v>9.7821690000000032</v>
      </c>
      <c r="H182" s="40"/>
      <c r="I182" s="139">
        <v>0</v>
      </c>
    </row>
    <row r="183" spans="1:9" ht="15.75" hidden="1" thickBot="1" x14ac:dyDescent="0.3">
      <c r="A183" s="237"/>
      <c r="B183" s="30" t="s">
        <v>899</v>
      </c>
      <c r="C183" s="30" t="s">
        <v>702</v>
      </c>
      <c r="D183" s="31">
        <v>8.0000000000000004E-4</v>
      </c>
      <c r="E183" s="28">
        <v>18.3825</v>
      </c>
      <c r="F183" s="28">
        <f t="shared" si="2"/>
        <v>1.4706E-2</v>
      </c>
      <c r="G183" s="39"/>
      <c r="H183" s="40"/>
      <c r="I183" s="139">
        <v>0</v>
      </c>
    </row>
    <row r="184" spans="1:9" ht="15.75" hidden="1" thickBot="1" x14ac:dyDescent="0.3">
      <c r="A184" s="237"/>
      <c r="B184" s="30" t="s">
        <v>900</v>
      </c>
      <c r="C184" s="30" t="s">
        <v>702</v>
      </c>
      <c r="D184" s="31">
        <v>4.7999999999999996E-3</v>
      </c>
      <c r="E184" s="28">
        <v>24.747499999999999</v>
      </c>
      <c r="F184" s="28">
        <f t="shared" si="2"/>
        <v>0.11878799999999998</v>
      </c>
      <c r="G184" s="39"/>
      <c r="H184" s="40"/>
      <c r="I184" s="139">
        <v>0</v>
      </c>
    </row>
    <row r="185" spans="1:9" ht="15.75" hidden="1" thickBot="1" x14ac:dyDescent="0.3">
      <c r="A185" s="243"/>
      <c r="B185" s="30" t="s">
        <v>521</v>
      </c>
      <c r="C185" s="30"/>
      <c r="D185" s="86"/>
      <c r="E185" s="25" t="s">
        <v>521</v>
      </c>
      <c r="F185" s="25" t="str">
        <f t="shared" si="2"/>
        <v/>
      </c>
      <c r="G185" s="29"/>
      <c r="H185" s="25"/>
      <c r="I185" s="139">
        <v>0</v>
      </c>
    </row>
    <row r="186" spans="1:9" ht="15" hidden="1" customHeight="1" thickBot="1" x14ac:dyDescent="0.3">
      <c r="A186" s="242" t="s">
        <v>2800</v>
      </c>
      <c r="B186" s="35" t="s">
        <v>521</v>
      </c>
      <c r="C186" s="20" t="s">
        <v>897</v>
      </c>
      <c r="D186" s="87"/>
      <c r="E186" s="36" t="s">
        <v>521</v>
      </c>
      <c r="F186" s="36" t="str">
        <f t="shared" si="2"/>
        <v/>
      </c>
      <c r="G186" s="23"/>
      <c r="H186" s="24"/>
      <c r="I186" s="139">
        <v>0</v>
      </c>
    </row>
    <row r="187" spans="1:9" ht="15.75" hidden="1" thickBot="1" x14ac:dyDescent="0.3">
      <c r="A187" s="237"/>
      <c r="B187" s="26" t="s">
        <v>521</v>
      </c>
      <c r="C187" s="26"/>
      <c r="D187" s="85"/>
      <c r="E187" s="37" t="s">
        <v>521</v>
      </c>
      <c r="F187" s="25" t="str">
        <f t="shared" si="2"/>
        <v/>
      </c>
      <c r="G187" s="29"/>
      <c r="H187" s="25"/>
      <c r="I187" s="139">
        <v>0</v>
      </c>
    </row>
    <row r="188" spans="1:9" ht="15.75" hidden="1" thickBot="1" x14ac:dyDescent="0.3">
      <c r="A188" s="237"/>
      <c r="B188" s="30" t="s">
        <v>772</v>
      </c>
      <c r="C188" s="30" t="s">
        <v>897</v>
      </c>
      <c r="D188" s="31">
        <v>1.1100000000000001</v>
      </c>
      <c r="E188" s="28">
        <v>8.6925000000000008</v>
      </c>
      <c r="F188" s="28">
        <f t="shared" si="2"/>
        <v>9.6486750000000026</v>
      </c>
      <c r="G188" s="39">
        <f>SUM(F188:F189)</f>
        <v>9.7105437500000029</v>
      </c>
      <c r="H188" s="40"/>
      <c r="I188" s="139">
        <v>0</v>
      </c>
    </row>
    <row r="189" spans="1:9" ht="15.75" hidden="1" customHeight="1" thickBot="1" x14ac:dyDescent="0.3">
      <c r="A189" s="237"/>
      <c r="B189" s="30" t="s">
        <v>900</v>
      </c>
      <c r="C189" s="30" t="s">
        <v>702</v>
      </c>
      <c r="D189" s="31">
        <v>2.5000000000000001E-3</v>
      </c>
      <c r="E189" s="28">
        <v>24.747499999999999</v>
      </c>
      <c r="F189" s="28">
        <f t="shared" si="2"/>
        <v>6.186875E-2</v>
      </c>
      <c r="G189" s="39"/>
      <c r="H189" s="40"/>
      <c r="I189" s="139">
        <v>0</v>
      </c>
    </row>
    <row r="190" spans="1:9" ht="15.75" hidden="1" thickBot="1" x14ac:dyDescent="0.3">
      <c r="A190" s="243"/>
      <c r="B190" s="30" t="s">
        <v>521</v>
      </c>
      <c r="C190" s="30"/>
      <c r="D190" s="86"/>
      <c r="E190" s="25" t="s">
        <v>521</v>
      </c>
      <c r="F190" s="25" t="str">
        <f t="shared" si="2"/>
        <v/>
      </c>
      <c r="G190" s="29"/>
      <c r="H190" s="25"/>
      <c r="I190" s="139">
        <v>0</v>
      </c>
    </row>
    <row r="191" spans="1:9" ht="15" hidden="1" customHeight="1" thickBot="1" x14ac:dyDescent="0.3">
      <c r="A191" s="242" t="s">
        <v>982</v>
      </c>
      <c r="B191" s="35" t="s">
        <v>521</v>
      </c>
      <c r="C191" s="20" t="s">
        <v>983</v>
      </c>
      <c r="D191" s="87"/>
      <c r="E191" s="36" t="s">
        <v>521</v>
      </c>
      <c r="F191" s="36" t="str">
        <f t="shared" si="2"/>
        <v/>
      </c>
      <c r="G191" s="23"/>
      <c r="H191" s="24"/>
      <c r="I191" s="139">
        <v>0</v>
      </c>
    </row>
    <row r="192" spans="1:9" ht="15.75" hidden="1" thickBot="1" x14ac:dyDescent="0.3">
      <c r="A192" s="237"/>
      <c r="B192" s="26" t="s">
        <v>521</v>
      </c>
      <c r="C192" s="26"/>
      <c r="D192" s="85"/>
      <c r="E192" s="37" t="s">
        <v>521</v>
      </c>
      <c r="F192" s="25" t="str">
        <f t="shared" si="2"/>
        <v/>
      </c>
      <c r="G192" s="29"/>
      <c r="H192" s="25"/>
      <c r="I192" s="139">
        <v>0</v>
      </c>
    </row>
    <row r="193" spans="1:9" ht="15.75" hidden="1" thickBot="1" x14ac:dyDescent="0.3">
      <c r="A193" s="237"/>
      <c r="B193" s="30" t="s">
        <v>703</v>
      </c>
      <c r="C193" s="30" t="s">
        <v>702</v>
      </c>
      <c r="D193" s="31">
        <v>0.61180000000000001</v>
      </c>
      <c r="E193" s="28">
        <v>18.420500000000001</v>
      </c>
      <c r="F193" s="28">
        <f t="shared" si="2"/>
        <v>11.269661900000001</v>
      </c>
      <c r="G193" s="39">
        <f>SUM(F193:F193)</f>
        <v>11.269661900000001</v>
      </c>
      <c r="H193" s="40"/>
      <c r="I193" s="139">
        <v>0</v>
      </c>
    </row>
    <row r="194" spans="1:9" ht="15.75" hidden="1" customHeight="1" thickBot="1" x14ac:dyDescent="0.3">
      <c r="A194" s="243"/>
      <c r="B194" s="49" t="s">
        <v>521</v>
      </c>
      <c r="C194" s="49"/>
      <c r="D194" s="89"/>
      <c r="E194" s="61" t="s">
        <v>521</v>
      </c>
      <c r="F194" s="61" t="str">
        <f t="shared" si="2"/>
        <v/>
      </c>
      <c r="G194" s="63"/>
      <c r="H194" s="25"/>
      <c r="I194" s="139">
        <v>0</v>
      </c>
    </row>
    <row r="195" spans="1:9" ht="15" hidden="1" customHeight="1" thickBot="1" x14ac:dyDescent="0.3">
      <c r="A195" s="242" t="s">
        <v>2713</v>
      </c>
      <c r="B195" s="35" t="s">
        <v>521</v>
      </c>
      <c r="C195" s="20" t="s">
        <v>120</v>
      </c>
      <c r="D195" s="87"/>
      <c r="E195" s="36" t="s">
        <v>521</v>
      </c>
      <c r="F195" s="36" t="str">
        <f t="shared" si="2"/>
        <v/>
      </c>
      <c r="G195" s="23"/>
      <c r="H195" s="24"/>
      <c r="I195" s="139">
        <v>0</v>
      </c>
    </row>
    <row r="196" spans="1:9" ht="15.75" hidden="1" thickBot="1" x14ac:dyDescent="0.3">
      <c r="A196" s="237"/>
      <c r="B196" s="26" t="s">
        <v>521</v>
      </c>
      <c r="C196" s="26"/>
      <c r="D196" s="85"/>
      <c r="E196" s="37" t="s">
        <v>521</v>
      </c>
      <c r="F196" s="25" t="str">
        <f t="shared" si="2"/>
        <v/>
      </c>
      <c r="G196" s="29"/>
      <c r="H196" s="25"/>
      <c r="I196" s="139">
        <v>0</v>
      </c>
    </row>
    <row r="197" spans="1:9" ht="15.75" hidden="1" thickBot="1" x14ac:dyDescent="0.3">
      <c r="A197" s="237"/>
      <c r="B197" s="30" t="s">
        <v>78</v>
      </c>
      <c r="C197" s="30" t="s">
        <v>12</v>
      </c>
      <c r="D197" s="31">
        <v>2.4590000000000001</v>
      </c>
      <c r="E197" s="28">
        <v>24.633499999999998</v>
      </c>
      <c r="F197" s="28">
        <f t="shared" si="2"/>
        <v>60.573776499999994</v>
      </c>
      <c r="G197" s="39">
        <f>SUM(F197:F201)</f>
        <v>259.64763499999998</v>
      </c>
      <c r="H197" s="40"/>
      <c r="I197" s="139">
        <v>0</v>
      </c>
    </row>
    <row r="198" spans="1:9" ht="15.75" hidden="1" thickBot="1" x14ac:dyDescent="0.3">
      <c r="A198" s="237"/>
      <c r="B198" s="30" t="s">
        <v>22</v>
      </c>
      <c r="C198" s="30" t="s">
        <v>12</v>
      </c>
      <c r="D198" s="31">
        <v>2.4590000000000001</v>
      </c>
      <c r="E198" s="28">
        <v>24.889999999999997</v>
      </c>
      <c r="F198" s="28">
        <f t="shared" ref="F198:F261" si="3">IF(ISNUMBER(E198),E198*$D198,"")</f>
        <v>61.204509999999992</v>
      </c>
      <c r="G198" s="39"/>
      <c r="H198" s="40"/>
      <c r="I198" s="139">
        <v>0</v>
      </c>
    </row>
    <row r="199" spans="1:9" ht="15.75" hidden="1" customHeight="1" thickBot="1" x14ac:dyDescent="0.3">
      <c r="A199" s="237"/>
      <c r="B199" s="30" t="s">
        <v>23</v>
      </c>
      <c r="C199" s="30" t="s">
        <v>12</v>
      </c>
      <c r="D199" s="31">
        <v>7.3769999999999998</v>
      </c>
      <c r="E199" s="25">
        <v>18.420500000000001</v>
      </c>
      <c r="F199" s="28">
        <f t="shared" si="3"/>
        <v>135.88802849999999</v>
      </c>
      <c r="G199" s="39"/>
      <c r="H199" s="40"/>
      <c r="I199" s="139">
        <v>0</v>
      </c>
    </row>
    <row r="200" spans="1:9" ht="26.25" hidden="1" thickBot="1" x14ac:dyDescent="0.3">
      <c r="A200" s="237"/>
      <c r="B200" s="30" t="s">
        <v>1430</v>
      </c>
      <c r="C200" s="41" t="s">
        <v>33</v>
      </c>
      <c r="D200" s="31">
        <v>1.042</v>
      </c>
      <c r="E200" s="25">
        <v>1.1779999999999999</v>
      </c>
      <c r="F200" s="88">
        <f t="shared" si="3"/>
        <v>1.227476</v>
      </c>
      <c r="G200" s="39"/>
      <c r="H200" s="40"/>
      <c r="I200" s="139">
        <v>0</v>
      </c>
    </row>
    <row r="201" spans="1:9" ht="26.25" hidden="1" thickBot="1" x14ac:dyDescent="0.3">
      <c r="A201" s="237"/>
      <c r="B201" s="30" t="s">
        <v>1431</v>
      </c>
      <c r="C201" s="41" t="s">
        <v>35</v>
      </c>
      <c r="D201" s="31">
        <v>1.417</v>
      </c>
      <c r="E201" s="25">
        <v>0.53200000000000003</v>
      </c>
      <c r="F201" s="88">
        <f t="shared" si="3"/>
        <v>0.75384400000000007</v>
      </c>
      <c r="G201" s="39"/>
      <c r="H201" s="40"/>
      <c r="I201" s="139">
        <v>0</v>
      </c>
    </row>
    <row r="202" spans="1:9" ht="15.75" hidden="1" thickBot="1" x14ac:dyDescent="0.3">
      <c r="A202" s="243"/>
      <c r="B202" s="30"/>
      <c r="C202" s="30"/>
      <c r="D202" s="86"/>
      <c r="E202" s="25" t="s">
        <v>521</v>
      </c>
      <c r="F202" s="25" t="str">
        <f t="shared" si="3"/>
        <v/>
      </c>
      <c r="G202" s="29"/>
      <c r="H202" s="25"/>
      <c r="I202" s="139">
        <v>0</v>
      </c>
    </row>
    <row r="203" spans="1:9" ht="15" customHeight="1" thickBot="1" x14ac:dyDescent="0.3">
      <c r="A203" s="242" t="s">
        <v>1823</v>
      </c>
      <c r="B203" s="35" t="s">
        <v>521</v>
      </c>
      <c r="C203" s="20" t="s">
        <v>122</v>
      </c>
      <c r="D203" s="87"/>
      <c r="E203" s="36" t="s">
        <v>521</v>
      </c>
      <c r="F203" s="36" t="str">
        <f t="shared" si="3"/>
        <v/>
      </c>
      <c r="G203" s="23"/>
      <c r="H203" s="24"/>
      <c r="I203" s="139">
        <v>5978.2499999999991</v>
      </c>
    </row>
    <row r="204" spans="1:9" x14ac:dyDescent="0.25">
      <c r="A204" s="237"/>
      <c r="B204" s="26" t="s">
        <v>521</v>
      </c>
      <c r="C204" s="26"/>
      <c r="D204" s="85"/>
      <c r="E204" s="37" t="s">
        <v>521</v>
      </c>
      <c r="F204" s="25" t="str">
        <f t="shared" si="3"/>
        <v/>
      </c>
      <c r="G204" s="29"/>
      <c r="H204" s="25"/>
      <c r="I204" s="139">
        <v>5978.2499999999991</v>
      </c>
    </row>
    <row r="205" spans="1:9" ht="51" x14ac:dyDescent="0.25">
      <c r="A205" s="237"/>
      <c r="B205" s="30" t="s">
        <v>1073</v>
      </c>
      <c r="C205" s="30" t="s">
        <v>938</v>
      </c>
      <c r="D205" s="31">
        <v>1.3899999999999999E-2</v>
      </c>
      <c r="E205" s="28">
        <v>174.20150000000001</v>
      </c>
      <c r="F205" s="28">
        <f t="shared" si="3"/>
        <v>2.4214008499999999</v>
      </c>
      <c r="G205" s="39">
        <f>SUM(F205:F206)</f>
        <v>2.68827485</v>
      </c>
      <c r="H205" s="40"/>
      <c r="I205" s="139">
        <v>5978.2499999999991</v>
      </c>
    </row>
    <row r="206" spans="1:9" ht="51" x14ac:dyDescent="0.25">
      <c r="A206" s="237"/>
      <c r="B206" s="30" t="s">
        <v>1074</v>
      </c>
      <c r="C206" s="30" t="s">
        <v>940</v>
      </c>
      <c r="D206" s="31">
        <v>6.0000000000000001E-3</v>
      </c>
      <c r="E206" s="28">
        <v>44.478999999999999</v>
      </c>
      <c r="F206" s="28">
        <f t="shared" si="3"/>
        <v>0.266874</v>
      </c>
      <c r="G206" s="39"/>
      <c r="H206" s="40"/>
      <c r="I206" s="139">
        <v>5978.2499999999991</v>
      </c>
    </row>
    <row r="207" spans="1:9" ht="15.75" thickBot="1" x14ac:dyDescent="0.3">
      <c r="A207" s="243"/>
      <c r="B207" s="49" t="s">
        <v>521</v>
      </c>
      <c r="C207" s="49"/>
      <c r="D207" s="89"/>
      <c r="E207" s="61" t="s">
        <v>521</v>
      </c>
      <c r="F207" s="61" t="str">
        <f t="shared" si="3"/>
        <v/>
      </c>
      <c r="G207" s="63"/>
      <c r="H207" s="25"/>
      <c r="I207" s="139">
        <v>5978.2499999999991</v>
      </c>
    </row>
    <row r="208" spans="1:9" ht="15" customHeight="1" thickBot="1" x14ac:dyDescent="0.3">
      <c r="A208" s="242" t="s">
        <v>1821</v>
      </c>
      <c r="B208" s="35" t="s">
        <v>521</v>
      </c>
      <c r="C208" s="20" t="s">
        <v>753</v>
      </c>
      <c r="D208" s="87"/>
      <c r="E208" s="36" t="s">
        <v>521</v>
      </c>
      <c r="F208" s="36" t="str">
        <f t="shared" si="3"/>
        <v/>
      </c>
      <c r="G208" s="23"/>
      <c r="H208" s="24"/>
      <c r="I208" s="139">
        <v>3.4</v>
      </c>
    </row>
    <row r="209" spans="1:9" x14ac:dyDescent="0.25">
      <c r="A209" s="237"/>
      <c r="B209" s="26" t="s">
        <v>521</v>
      </c>
      <c r="C209" s="26"/>
      <c r="D209" s="85"/>
      <c r="E209" s="37" t="s">
        <v>521</v>
      </c>
      <c r="F209" s="25" t="str">
        <f t="shared" si="3"/>
        <v/>
      </c>
      <c r="G209" s="29"/>
      <c r="H209" s="25"/>
      <c r="I209" s="139">
        <v>3.4</v>
      </c>
    </row>
    <row r="210" spans="1:9" ht="51" x14ac:dyDescent="0.25">
      <c r="A210" s="237"/>
      <c r="B210" s="30" t="s">
        <v>1073</v>
      </c>
      <c r="C210" s="30" t="s">
        <v>938</v>
      </c>
      <c r="D210" s="31">
        <v>9.2999999999999992E-3</v>
      </c>
      <c r="E210" s="28">
        <v>174.20150000000001</v>
      </c>
      <c r="F210" s="28">
        <f t="shared" si="3"/>
        <v>1.6200739499999999</v>
      </c>
      <c r="G210" s="39">
        <f>SUM(F210:F211)</f>
        <v>1.7979899499999998</v>
      </c>
      <c r="H210" s="40"/>
      <c r="I210" s="139">
        <v>3.4</v>
      </c>
    </row>
    <row r="211" spans="1:9" ht="51" x14ac:dyDescent="0.25">
      <c r="A211" s="237"/>
      <c r="B211" s="30" t="s">
        <v>1074</v>
      </c>
      <c r="C211" s="30" t="s">
        <v>940</v>
      </c>
      <c r="D211" s="31">
        <v>4.0000000000000001E-3</v>
      </c>
      <c r="E211" s="28">
        <v>44.478999999999999</v>
      </c>
      <c r="F211" s="28">
        <f t="shared" si="3"/>
        <v>0.17791599999999999</v>
      </c>
      <c r="G211" s="39"/>
      <c r="H211" s="40"/>
      <c r="I211" s="139">
        <v>3.4</v>
      </c>
    </row>
    <row r="212" spans="1:9" ht="15.75" thickBot="1" x14ac:dyDescent="0.3">
      <c r="A212" s="243"/>
      <c r="B212" s="49" t="s">
        <v>521</v>
      </c>
      <c r="C212" s="49"/>
      <c r="D212" s="89"/>
      <c r="E212" s="61" t="s">
        <v>521</v>
      </c>
      <c r="F212" s="61" t="str">
        <f t="shared" si="3"/>
        <v/>
      </c>
      <c r="G212" s="63"/>
      <c r="H212" s="25"/>
      <c r="I212" s="139">
        <v>3.4</v>
      </c>
    </row>
    <row r="213" spans="1:9" ht="15.75" hidden="1" customHeight="1" x14ac:dyDescent="0.25">
      <c r="A213" s="242" t="s">
        <v>2251</v>
      </c>
      <c r="B213" s="35" t="s">
        <v>521</v>
      </c>
      <c r="C213" s="20" t="s">
        <v>120</v>
      </c>
      <c r="D213" s="87"/>
      <c r="E213" s="36" t="s">
        <v>521</v>
      </c>
      <c r="F213" s="36" t="str">
        <f t="shared" si="3"/>
        <v/>
      </c>
      <c r="G213" s="23"/>
      <c r="H213" s="24"/>
      <c r="I213" s="139">
        <v>0</v>
      </c>
    </row>
    <row r="214" spans="1:9" ht="15.75" hidden="1" thickBot="1" x14ac:dyDescent="0.3">
      <c r="A214" s="237"/>
      <c r="B214" s="26" t="s">
        <v>521</v>
      </c>
      <c r="C214" s="26"/>
      <c r="D214" s="85"/>
      <c r="E214" s="37" t="s">
        <v>521</v>
      </c>
      <c r="F214" s="25" t="str">
        <f t="shared" si="3"/>
        <v/>
      </c>
      <c r="G214" s="29"/>
      <c r="H214" s="25"/>
      <c r="I214" s="139">
        <v>0</v>
      </c>
    </row>
    <row r="215" spans="1:9" ht="26.25" hidden="1" thickBot="1" x14ac:dyDescent="0.3">
      <c r="A215" s="237"/>
      <c r="B215" s="30" t="s">
        <v>751</v>
      </c>
      <c r="C215" s="30" t="s">
        <v>120</v>
      </c>
      <c r="D215" s="31">
        <v>0.76090000000000002</v>
      </c>
      <c r="E215" s="28">
        <v>186.16200000000001</v>
      </c>
      <c r="F215" s="28">
        <f t="shared" si="3"/>
        <v>141.65066580000001</v>
      </c>
      <c r="G215" s="39">
        <f>SUM(F215:F223)</f>
        <v>589.46462208106004</v>
      </c>
      <c r="H215" s="40"/>
      <c r="I215" s="139">
        <v>0</v>
      </c>
    </row>
    <row r="216" spans="1:9" ht="15.75" hidden="1" thickBot="1" x14ac:dyDescent="0.3">
      <c r="A216" s="237"/>
      <c r="B216" s="30" t="s">
        <v>747</v>
      </c>
      <c r="C216" s="30" t="s">
        <v>897</v>
      </c>
      <c r="D216" s="31">
        <v>325.15890000000002</v>
      </c>
      <c r="E216" s="28">
        <v>0.64600000000000002</v>
      </c>
      <c r="F216" s="28">
        <f t="shared" si="3"/>
        <v>210.05264940000001</v>
      </c>
      <c r="G216" s="39"/>
      <c r="H216" s="40"/>
      <c r="I216" s="139">
        <v>0</v>
      </c>
    </row>
    <row r="217" spans="1:9" ht="26.25" hidden="1" thickBot="1" x14ac:dyDescent="0.3">
      <c r="A217" s="237"/>
      <c r="B217" s="30" t="s">
        <v>759</v>
      </c>
      <c r="C217" s="30" t="s">
        <v>120</v>
      </c>
      <c r="D217" s="31">
        <v>0.59119999999999995</v>
      </c>
      <c r="E217" s="28">
        <v>151.202</v>
      </c>
      <c r="F217" s="28">
        <f t="shared" si="3"/>
        <v>89.390622399999998</v>
      </c>
      <c r="G217" s="39"/>
      <c r="H217" s="40"/>
      <c r="I217" s="139">
        <v>0</v>
      </c>
    </row>
    <row r="218" spans="1:9" ht="15.75" hidden="1" thickBot="1" x14ac:dyDescent="0.3">
      <c r="A218" s="237"/>
      <c r="B218" s="30" t="s">
        <v>703</v>
      </c>
      <c r="C218" s="30" t="s">
        <v>702</v>
      </c>
      <c r="D218" s="31">
        <v>2.0266999999999999</v>
      </c>
      <c r="E218" s="25">
        <v>18.420500000000001</v>
      </c>
      <c r="F218" s="28">
        <f t="shared" si="3"/>
        <v>37.332827350000002</v>
      </c>
      <c r="G218" s="39"/>
      <c r="H218" s="40"/>
      <c r="I218" s="139">
        <v>0</v>
      </c>
    </row>
    <row r="219" spans="1:9" ht="26.25" hidden="1" thickBot="1" x14ac:dyDescent="0.3">
      <c r="A219" s="237"/>
      <c r="B219" s="30" t="s">
        <v>1434</v>
      </c>
      <c r="C219" s="30" t="s">
        <v>702</v>
      </c>
      <c r="D219" s="31">
        <v>1.2767999999999999</v>
      </c>
      <c r="E219" s="25">
        <v>18.534500000000001</v>
      </c>
      <c r="F219" s="88">
        <f t="shared" si="3"/>
        <v>23.6648496</v>
      </c>
      <c r="G219" s="39"/>
      <c r="H219" s="40"/>
      <c r="I219" s="139">
        <v>0</v>
      </c>
    </row>
    <row r="220" spans="1:9" ht="39" hidden="1" thickBot="1" x14ac:dyDescent="0.3">
      <c r="A220" s="237"/>
      <c r="B220" s="30" t="s">
        <v>1361</v>
      </c>
      <c r="C220" s="30" t="s">
        <v>938</v>
      </c>
      <c r="D220" s="31">
        <v>0.65720000000000001</v>
      </c>
      <c r="E220" s="25">
        <v>4.3224999999999998</v>
      </c>
      <c r="F220" s="88">
        <f t="shared" si="3"/>
        <v>2.8407469999999999</v>
      </c>
      <c r="G220" s="39"/>
      <c r="H220" s="40"/>
      <c r="I220" s="139">
        <v>0</v>
      </c>
    </row>
    <row r="221" spans="1:9" ht="39" hidden="1" thickBot="1" x14ac:dyDescent="0.3">
      <c r="A221" s="237"/>
      <c r="B221" s="30" t="s">
        <v>1435</v>
      </c>
      <c r="C221" s="41" t="s">
        <v>940</v>
      </c>
      <c r="D221" s="31">
        <v>0.61970000000000003</v>
      </c>
      <c r="E221" s="25">
        <v>1.5105</v>
      </c>
      <c r="F221" s="28">
        <f t="shared" si="3"/>
        <v>0.93605685000000005</v>
      </c>
      <c r="G221" s="39"/>
      <c r="H221" s="40"/>
      <c r="I221" s="139">
        <v>0</v>
      </c>
    </row>
    <row r="222" spans="1:9" ht="51.75" hidden="1" thickBot="1" x14ac:dyDescent="0.3">
      <c r="A222" s="237"/>
      <c r="B222" s="30" t="s">
        <v>1826</v>
      </c>
      <c r="C222" s="30" t="s">
        <v>120</v>
      </c>
      <c r="D222" s="31">
        <f>ROUND(1*(D215+D217),4)</f>
        <v>1.3521000000000001</v>
      </c>
      <c r="E222" s="25">
        <v>8.0614416000000002</v>
      </c>
      <c r="F222" s="28">
        <f t="shared" si="3"/>
        <v>10.899875187360001</v>
      </c>
      <c r="G222" s="39"/>
      <c r="H222" s="40"/>
      <c r="I222" s="139">
        <v>0</v>
      </c>
    </row>
    <row r="223" spans="1:9" ht="39" hidden="1" thickBot="1" x14ac:dyDescent="0.3">
      <c r="A223" s="237"/>
      <c r="B223" s="30" t="s">
        <v>1823</v>
      </c>
      <c r="C223" s="41" t="s">
        <v>122</v>
      </c>
      <c r="D223" s="31">
        <f>ROUND((D215+D217)*20,4)</f>
        <v>27.042000000000002</v>
      </c>
      <c r="E223" s="25">
        <v>2.6882748499999995</v>
      </c>
      <c r="F223" s="28">
        <f t="shared" si="3"/>
        <v>72.696328493699994</v>
      </c>
      <c r="G223" s="39"/>
      <c r="H223" s="40"/>
      <c r="I223" s="139">
        <v>0</v>
      </c>
    </row>
    <row r="224" spans="1:9" ht="15.75" hidden="1" thickBot="1" x14ac:dyDescent="0.3">
      <c r="A224" s="237"/>
      <c r="B224" s="45"/>
      <c r="C224" s="41"/>
      <c r="D224" s="31"/>
      <c r="E224" s="25" t="s">
        <v>521</v>
      </c>
      <c r="F224" s="28" t="str">
        <f t="shared" si="3"/>
        <v/>
      </c>
      <c r="G224" s="39"/>
      <c r="H224" s="40"/>
      <c r="I224" s="139">
        <v>0</v>
      </c>
    </row>
    <row r="225" spans="1:9" ht="26.25" hidden="1" thickBot="1" x14ac:dyDescent="0.3">
      <c r="A225" s="237"/>
      <c r="B225" s="42" t="s">
        <v>123</v>
      </c>
      <c r="C225" s="41"/>
      <c r="D225" s="31"/>
      <c r="E225" s="25" t="s">
        <v>521</v>
      </c>
      <c r="F225" s="28" t="str">
        <f t="shared" si="3"/>
        <v/>
      </c>
      <c r="G225" s="39"/>
      <c r="H225" s="40"/>
      <c r="I225" s="139">
        <v>0</v>
      </c>
    </row>
    <row r="226" spans="1:9" ht="15.75" hidden="1" thickBot="1" x14ac:dyDescent="0.3">
      <c r="A226" s="243"/>
      <c r="B226" s="30" t="s">
        <v>521</v>
      </c>
      <c r="C226" s="30"/>
      <c r="D226" s="86"/>
      <c r="E226" s="25" t="s">
        <v>521</v>
      </c>
      <c r="F226" s="25" t="str">
        <f t="shared" si="3"/>
        <v/>
      </c>
      <c r="G226" s="29"/>
      <c r="H226" s="25"/>
      <c r="I226" s="139">
        <v>0</v>
      </c>
    </row>
    <row r="227" spans="1:9" ht="26.25" hidden="1" customHeight="1" thickBot="1" x14ac:dyDescent="0.3">
      <c r="A227" s="242" t="s">
        <v>2248</v>
      </c>
      <c r="B227" s="35" t="s">
        <v>521</v>
      </c>
      <c r="C227" s="20" t="s">
        <v>120</v>
      </c>
      <c r="D227" s="87"/>
      <c r="E227" s="36" t="s">
        <v>521</v>
      </c>
      <c r="F227" s="36" t="str">
        <f t="shared" si="3"/>
        <v/>
      </c>
      <c r="G227" s="23"/>
      <c r="H227" s="24"/>
      <c r="I227" s="139">
        <v>0</v>
      </c>
    </row>
    <row r="228" spans="1:9" ht="15.75" hidden="1" thickBot="1" x14ac:dyDescent="0.3">
      <c r="A228" s="237"/>
      <c r="B228" s="26" t="s">
        <v>521</v>
      </c>
      <c r="C228" s="26"/>
      <c r="D228" s="85"/>
      <c r="E228" s="91" t="s">
        <v>521</v>
      </c>
      <c r="F228" s="92" t="str">
        <f t="shared" si="3"/>
        <v/>
      </c>
      <c r="G228" s="29"/>
      <c r="H228" s="25"/>
      <c r="I228" s="139">
        <v>0</v>
      </c>
    </row>
    <row r="229" spans="1:9" ht="26.25" hidden="1" thickBot="1" x14ac:dyDescent="0.3">
      <c r="A229" s="237"/>
      <c r="B229" s="30" t="s">
        <v>751</v>
      </c>
      <c r="C229" s="30" t="s">
        <v>120</v>
      </c>
      <c r="D229" s="31">
        <v>0.82689999999999997</v>
      </c>
      <c r="E229" s="28">
        <v>186.16200000000001</v>
      </c>
      <c r="F229" s="28">
        <f t="shared" si="3"/>
        <v>153.9373578</v>
      </c>
      <c r="G229" s="39">
        <f>SUM(F229:F237)</f>
        <v>537.14699097686002</v>
      </c>
      <c r="H229" s="40"/>
      <c r="I229" s="139">
        <v>0</v>
      </c>
    </row>
    <row r="230" spans="1:9" ht="15.75" hidden="1" thickBot="1" x14ac:dyDescent="0.3">
      <c r="A230" s="237"/>
      <c r="B230" s="30" t="s">
        <v>747</v>
      </c>
      <c r="C230" s="30" t="s">
        <v>897</v>
      </c>
      <c r="D230" s="31">
        <v>212.01939999999999</v>
      </c>
      <c r="E230" s="28">
        <v>0.64600000000000002</v>
      </c>
      <c r="F230" s="28">
        <f t="shared" si="3"/>
        <v>136.9645324</v>
      </c>
      <c r="G230" s="39"/>
      <c r="H230" s="40"/>
      <c r="I230" s="139">
        <v>0</v>
      </c>
    </row>
    <row r="231" spans="1:9" ht="26.25" hidden="1" thickBot="1" x14ac:dyDescent="0.3">
      <c r="A231" s="237"/>
      <c r="B231" s="30" t="s">
        <v>759</v>
      </c>
      <c r="C231" s="30" t="s">
        <v>120</v>
      </c>
      <c r="D231" s="31">
        <v>0.57820000000000005</v>
      </c>
      <c r="E231" s="28">
        <v>151.202</v>
      </c>
      <c r="F231" s="28">
        <f t="shared" si="3"/>
        <v>87.424996400000012</v>
      </c>
      <c r="G231" s="39"/>
      <c r="H231" s="40"/>
      <c r="I231" s="139">
        <v>0</v>
      </c>
    </row>
    <row r="232" spans="1:9" ht="15.75" hidden="1" thickBot="1" x14ac:dyDescent="0.3">
      <c r="A232" s="237"/>
      <c r="B232" s="30" t="s">
        <v>703</v>
      </c>
      <c r="C232" s="30" t="s">
        <v>702</v>
      </c>
      <c r="D232" s="31">
        <v>2.3433000000000002</v>
      </c>
      <c r="E232" s="25">
        <v>18.420500000000001</v>
      </c>
      <c r="F232" s="28">
        <f t="shared" si="3"/>
        <v>43.164757650000006</v>
      </c>
      <c r="G232" s="39"/>
      <c r="H232" s="40"/>
      <c r="I232" s="139">
        <v>0</v>
      </c>
    </row>
    <row r="233" spans="1:9" ht="26.25" hidden="1" thickBot="1" x14ac:dyDescent="0.3">
      <c r="A233" s="237"/>
      <c r="B233" s="30" t="s">
        <v>1434</v>
      </c>
      <c r="C233" s="30" t="s">
        <v>702</v>
      </c>
      <c r="D233" s="31">
        <v>1.4811000000000001</v>
      </c>
      <c r="E233" s="25">
        <v>18.534500000000001</v>
      </c>
      <c r="F233" s="93">
        <f t="shared" si="3"/>
        <v>27.451447950000002</v>
      </c>
      <c r="G233" s="39"/>
      <c r="H233" s="40"/>
      <c r="I233" s="139">
        <v>0</v>
      </c>
    </row>
    <row r="234" spans="1:9" ht="39" hidden="1" thickBot="1" x14ac:dyDescent="0.3">
      <c r="A234" s="237"/>
      <c r="B234" s="30" t="s">
        <v>117</v>
      </c>
      <c r="C234" s="30" t="s">
        <v>938</v>
      </c>
      <c r="D234" s="31">
        <v>0.76229999999999998</v>
      </c>
      <c r="E234" s="25">
        <v>1.3964999999999999</v>
      </c>
      <c r="F234" s="93">
        <f t="shared" si="3"/>
        <v>1.0645519499999998</v>
      </c>
      <c r="G234" s="39"/>
      <c r="H234" s="40"/>
      <c r="I234" s="139">
        <v>0</v>
      </c>
    </row>
    <row r="235" spans="1:9" ht="39" hidden="1" thickBot="1" x14ac:dyDescent="0.3">
      <c r="A235" s="237"/>
      <c r="B235" s="30" t="s">
        <v>118</v>
      </c>
      <c r="C235" s="41" t="s">
        <v>940</v>
      </c>
      <c r="D235" s="31">
        <v>0.71879999999999999</v>
      </c>
      <c r="E235" s="25">
        <v>0.3705</v>
      </c>
      <c r="F235" s="28">
        <f t="shared" si="3"/>
        <v>0.26631539999999998</v>
      </c>
      <c r="G235" s="39"/>
      <c r="H235" s="40"/>
      <c r="I235" s="139">
        <v>0</v>
      </c>
    </row>
    <row r="236" spans="1:9" ht="51.75" hidden="1" thickBot="1" x14ac:dyDescent="0.3">
      <c r="A236" s="237"/>
      <c r="B236" s="30" t="s">
        <v>1826</v>
      </c>
      <c r="C236" s="30" t="s">
        <v>120</v>
      </c>
      <c r="D236" s="31">
        <f>ROUND(1*(D229+D231),4)</f>
        <v>1.4051</v>
      </c>
      <c r="E236" s="25">
        <v>8.0614416000000002</v>
      </c>
      <c r="F236" s="28">
        <f t="shared" si="3"/>
        <v>11.327131592160001</v>
      </c>
      <c r="G236" s="39"/>
      <c r="H236" s="40"/>
      <c r="I236" s="139">
        <v>0</v>
      </c>
    </row>
    <row r="237" spans="1:9" ht="15.75" hidden="1" customHeight="1" thickBot="1" x14ac:dyDescent="0.3">
      <c r="A237" s="237"/>
      <c r="B237" s="30" t="s">
        <v>1823</v>
      </c>
      <c r="C237" s="41" t="s">
        <v>122</v>
      </c>
      <c r="D237" s="31">
        <f>ROUND((D229+D231)*20,4)</f>
        <v>28.102</v>
      </c>
      <c r="E237" s="25">
        <v>2.6882748499999995</v>
      </c>
      <c r="F237" s="28">
        <f t="shared" si="3"/>
        <v>75.545899834699995</v>
      </c>
      <c r="G237" s="39"/>
      <c r="H237" s="40"/>
      <c r="I237" s="139">
        <v>0</v>
      </c>
    </row>
    <row r="238" spans="1:9" ht="15.75" hidden="1" thickBot="1" x14ac:dyDescent="0.3">
      <c r="A238" s="237"/>
      <c r="B238" s="45"/>
      <c r="C238" s="41"/>
      <c r="D238" s="31"/>
      <c r="E238" s="25" t="s">
        <v>521</v>
      </c>
      <c r="F238" s="28" t="str">
        <f t="shared" si="3"/>
        <v/>
      </c>
      <c r="G238" s="39"/>
      <c r="H238" s="40"/>
      <c r="I238" s="139">
        <v>0</v>
      </c>
    </row>
    <row r="239" spans="1:9" ht="26.25" hidden="1" thickBot="1" x14ac:dyDescent="0.3">
      <c r="A239" s="237"/>
      <c r="B239" s="42" t="s">
        <v>123</v>
      </c>
      <c r="C239" s="41"/>
      <c r="D239" s="31"/>
      <c r="E239" s="25" t="s">
        <v>521</v>
      </c>
      <c r="F239" s="28" t="str">
        <f t="shared" si="3"/>
        <v/>
      </c>
      <c r="G239" s="39"/>
      <c r="H239" s="40"/>
      <c r="I239" s="139">
        <v>0</v>
      </c>
    </row>
    <row r="240" spans="1:9" ht="15.75" hidden="1" thickBot="1" x14ac:dyDescent="0.3">
      <c r="A240" s="243"/>
      <c r="B240" s="30" t="s">
        <v>521</v>
      </c>
      <c r="C240" s="30"/>
      <c r="D240" s="86"/>
      <c r="E240" s="25" t="s">
        <v>521</v>
      </c>
      <c r="F240" s="25" t="str">
        <f t="shared" si="3"/>
        <v/>
      </c>
      <c r="G240" s="29"/>
      <c r="H240" s="25"/>
      <c r="I240" s="139">
        <v>0</v>
      </c>
    </row>
    <row r="241" spans="1:9" ht="15" hidden="1" customHeight="1" thickBot="1" x14ac:dyDescent="0.3">
      <c r="A241" s="242" t="s">
        <v>2324</v>
      </c>
      <c r="B241" s="35" t="s">
        <v>521</v>
      </c>
      <c r="C241" s="20" t="s">
        <v>120</v>
      </c>
      <c r="D241" s="87"/>
      <c r="E241" s="36" t="s">
        <v>521</v>
      </c>
      <c r="F241" s="43" t="str">
        <f t="shared" si="3"/>
        <v/>
      </c>
      <c r="G241" s="23"/>
      <c r="H241" s="24"/>
      <c r="I241" s="139">
        <v>0</v>
      </c>
    </row>
    <row r="242" spans="1:9" ht="15.75" hidden="1" thickBot="1" x14ac:dyDescent="0.3">
      <c r="A242" s="237"/>
      <c r="B242" s="26" t="s">
        <v>521</v>
      </c>
      <c r="C242" s="26"/>
      <c r="D242" s="85"/>
      <c r="E242" s="37" t="s">
        <v>521</v>
      </c>
      <c r="F242" s="25" t="str">
        <f t="shared" si="3"/>
        <v/>
      </c>
      <c r="G242" s="29"/>
      <c r="H242" s="25"/>
      <c r="I242" s="139">
        <v>0</v>
      </c>
    </row>
    <row r="243" spans="1:9" ht="26.25" hidden="1" thickBot="1" x14ac:dyDescent="0.3">
      <c r="A243" s="237"/>
      <c r="B243" s="30" t="s">
        <v>1282</v>
      </c>
      <c r="C243" s="30" t="s">
        <v>120</v>
      </c>
      <c r="D243" s="31">
        <v>0.57979999999999998</v>
      </c>
      <c r="E243" s="28">
        <v>188.59399999999999</v>
      </c>
      <c r="F243" s="28">
        <f t="shared" si="3"/>
        <v>109.34680119999999</v>
      </c>
      <c r="G243" s="39">
        <f>SUM(F243:F252)</f>
        <v>703.60033828648</v>
      </c>
      <c r="H243" s="40"/>
      <c r="I243" s="139">
        <v>0</v>
      </c>
    </row>
    <row r="244" spans="1:9" ht="15.75" hidden="1" thickBot="1" x14ac:dyDescent="0.3">
      <c r="A244" s="237"/>
      <c r="B244" s="30" t="s">
        <v>1436</v>
      </c>
      <c r="C244" s="30" t="s">
        <v>897</v>
      </c>
      <c r="D244" s="31">
        <v>12.3698</v>
      </c>
      <c r="E244" s="28">
        <v>1.0449999999999999</v>
      </c>
      <c r="F244" s="28">
        <f t="shared" si="3"/>
        <v>12.926440999999999</v>
      </c>
      <c r="G244" s="39"/>
      <c r="H244" s="40"/>
      <c r="I244" s="139">
        <v>0</v>
      </c>
    </row>
    <row r="245" spans="1:9" ht="15.75" hidden="1" customHeight="1" thickBot="1" x14ac:dyDescent="0.3">
      <c r="A245" s="237"/>
      <c r="B245" s="30" t="s">
        <v>747</v>
      </c>
      <c r="C245" s="30" t="s">
        <v>897</v>
      </c>
      <c r="D245" s="31">
        <v>515.40949999999998</v>
      </c>
      <c r="E245" s="28">
        <v>0.64600000000000002</v>
      </c>
      <c r="F245" s="28">
        <f t="shared" si="3"/>
        <v>332.95453700000002</v>
      </c>
      <c r="G245" s="39"/>
      <c r="H245" s="40"/>
      <c r="I245" s="139">
        <v>0</v>
      </c>
    </row>
    <row r="246" spans="1:9" ht="26.25" hidden="1" thickBot="1" x14ac:dyDescent="0.3">
      <c r="A246" s="237"/>
      <c r="B246" s="30" t="s">
        <v>756</v>
      </c>
      <c r="C246" s="30" t="s">
        <v>120</v>
      </c>
      <c r="D246" s="31">
        <v>0.56699999999999995</v>
      </c>
      <c r="E246" s="25">
        <v>174.5625</v>
      </c>
      <c r="F246" s="28">
        <f t="shared" si="3"/>
        <v>98.976937499999991</v>
      </c>
      <c r="G246" s="39"/>
      <c r="H246" s="40"/>
      <c r="I246" s="139">
        <v>0</v>
      </c>
    </row>
    <row r="247" spans="1:9" ht="15.75" hidden="1" thickBot="1" x14ac:dyDescent="0.3">
      <c r="A247" s="237"/>
      <c r="B247" s="30" t="s">
        <v>703</v>
      </c>
      <c r="C247" s="30" t="s">
        <v>702</v>
      </c>
      <c r="D247" s="31">
        <v>2.5491999999999999</v>
      </c>
      <c r="E247" s="25">
        <v>18.420500000000001</v>
      </c>
      <c r="F247" s="28">
        <f t="shared" si="3"/>
        <v>46.957538599999999</v>
      </c>
      <c r="G247" s="39"/>
      <c r="H247" s="40"/>
      <c r="I247" s="139">
        <v>0</v>
      </c>
    </row>
    <row r="248" spans="1:9" ht="26.25" hidden="1" thickBot="1" x14ac:dyDescent="0.3">
      <c r="A248" s="237"/>
      <c r="B248" s="30" t="s">
        <v>1434</v>
      </c>
      <c r="C248" s="30" t="s">
        <v>702</v>
      </c>
      <c r="D248" s="31">
        <v>1.6075999999999999</v>
      </c>
      <c r="E248" s="25">
        <v>18.534500000000001</v>
      </c>
      <c r="F248" s="28">
        <f t="shared" si="3"/>
        <v>29.796062200000001</v>
      </c>
      <c r="G248" s="39"/>
      <c r="H248" s="40"/>
      <c r="I248" s="139">
        <v>0</v>
      </c>
    </row>
    <row r="249" spans="1:9" ht="39" hidden="1" thickBot="1" x14ac:dyDescent="0.3">
      <c r="A249" s="237"/>
      <c r="B249" s="30" t="s">
        <v>117</v>
      </c>
      <c r="C249" s="30" t="s">
        <v>938</v>
      </c>
      <c r="D249" s="31">
        <v>1.1143000000000001</v>
      </c>
      <c r="E249" s="25">
        <v>1.3964999999999999</v>
      </c>
      <c r="F249" s="90">
        <f t="shared" si="3"/>
        <v>1.55611995</v>
      </c>
      <c r="G249" s="39"/>
      <c r="H249" s="40"/>
      <c r="I249" s="139">
        <v>0</v>
      </c>
    </row>
    <row r="250" spans="1:9" ht="39" hidden="1" thickBot="1" x14ac:dyDescent="0.3">
      <c r="A250" s="237"/>
      <c r="B250" s="30" t="s">
        <v>118</v>
      </c>
      <c r="C250" s="30" t="s">
        <v>940</v>
      </c>
      <c r="D250" s="31">
        <v>0.49330000000000002</v>
      </c>
      <c r="E250" s="25">
        <v>0.3705</v>
      </c>
      <c r="F250" s="90">
        <f t="shared" si="3"/>
        <v>0.18276765</v>
      </c>
      <c r="G250" s="39"/>
      <c r="H250" s="40"/>
      <c r="I250" s="139">
        <v>0</v>
      </c>
    </row>
    <row r="251" spans="1:9" ht="51.75" hidden="1" thickBot="1" x14ac:dyDescent="0.3">
      <c r="A251" s="237"/>
      <c r="B251" s="30" t="s">
        <v>1826</v>
      </c>
      <c r="C251" s="30" t="s">
        <v>120</v>
      </c>
      <c r="D251" s="31">
        <f>ROUND(1*(D243+D246),4)</f>
        <v>1.1468</v>
      </c>
      <c r="E251" s="25">
        <v>8.0614416000000002</v>
      </c>
      <c r="F251" s="28">
        <f t="shared" si="3"/>
        <v>9.2448612268800012</v>
      </c>
      <c r="G251" s="39"/>
      <c r="H251" s="40"/>
      <c r="I251" s="139">
        <v>0</v>
      </c>
    </row>
    <row r="252" spans="1:9" ht="39" hidden="1" thickBot="1" x14ac:dyDescent="0.3">
      <c r="A252" s="237"/>
      <c r="B252" s="30" t="s">
        <v>1823</v>
      </c>
      <c r="C252" s="41" t="s">
        <v>122</v>
      </c>
      <c r="D252" s="31">
        <f>ROUND((D243+D246)*20,4)</f>
        <v>22.936</v>
      </c>
      <c r="E252" s="25">
        <v>2.6882748499999995</v>
      </c>
      <c r="F252" s="28">
        <f t="shared" si="3"/>
        <v>61.658271959599986</v>
      </c>
      <c r="G252" s="39"/>
      <c r="H252" s="40"/>
      <c r="I252" s="139">
        <v>0</v>
      </c>
    </row>
    <row r="253" spans="1:9" ht="15.75" hidden="1" thickBot="1" x14ac:dyDescent="0.3">
      <c r="A253" s="237"/>
      <c r="B253" s="45"/>
      <c r="C253" s="41"/>
      <c r="D253" s="31"/>
      <c r="E253" s="25" t="s">
        <v>521</v>
      </c>
      <c r="F253" s="28" t="str">
        <f t="shared" si="3"/>
        <v/>
      </c>
      <c r="G253" s="39"/>
      <c r="H253" s="40"/>
      <c r="I253" s="139">
        <v>0</v>
      </c>
    </row>
    <row r="254" spans="1:9" ht="15.75" hidden="1" customHeight="1" thickBot="1" x14ac:dyDescent="0.3">
      <c r="A254" s="237"/>
      <c r="B254" s="42" t="s">
        <v>123</v>
      </c>
      <c r="C254" s="41"/>
      <c r="D254" s="31"/>
      <c r="E254" s="25" t="s">
        <v>521</v>
      </c>
      <c r="F254" s="28" t="str">
        <f t="shared" si="3"/>
        <v/>
      </c>
      <c r="G254" s="39"/>
      <c r="H254" s="40"/>
      <c r="I254" s="139">
        <v>0</v>
      </c>
    </row>
    <row r="255" spans="1:9" ht="15.75" hidden="1" thickBot="1" x14ac:dyDescent="0.3">
      <c r="A255" s="237"/>
      <c r="B255" s="30"/>
      <c r="C255" s="30"/>
      <c r="D255" s="86"/>
      <c r="E255" s="25" t="s">
        <v>521</v>
      </c>
      <c r="F255" s="25" t="str">
        <f t="shared" si="3"/>
        <v/>
      </c>
      <c r="G255" s="29"/>
      <c r="H255" s="25"/>
      <c r="I255" s="139">
        <v>0</v>
      </c>
    </row>
    <row r="256" spans="1:9" ht="15" hidden="1" customHeight="1" thickBot="1" x14ac:dyDescent="0.3">
      <c r="A256" s="237" t="s">
        <v>1013</v>
      </c>
      <c r="B256" s="35" t="s">
        <v>521</v>
      </c>
      <c r="C256" s="20" t="s">
        <v>120</v>
      </c>
      <c r="D256" s="87"/>
      <c r="E256" s="22" t="s">
        <v>521</v>
      </c>
      <c r="F256" s="20" t="str">
        <f t="shared" si="3"/>
        <v/>
      </c>
      <c r="G256" s="23"/>
      <c r="H256" s="24"/>
      <c r="I256" s="139">
        <v>0</v>
      </c>
    </row>
    <row r="257" spans="1:9" ht="15.75" hidden="1" thickBot="1" x14ac:dyDescent="0.3">
      <c r="A257" s="237"/>
      <c r="B257" s="26" t="s">
        <v>521</v>
      </c>
      <c r="C257" s="26"/>
      <c r="D257" s="85"/>
      <c r="E257" s="25" t="s">
        <v>521</v>
      </c>
      <c r="F257" s="25" t="str">
        <f t="shared" si="3"/>
        <v/>
      </c>
      <c r="G257" s="29"/>
      <c r="H257" s="25"/>
      <c r="I257" s="139">
        <v>0</v>
      </c>
    </row>
    <row r="258" spans="1:9" ht="26.25" hidden="1" thickBot="1" x14ac:dyDescent="0.3">
      <c r="A258" s="237"/>
      <c r="B258" s="30" t="s">
        <v>751</v>
      </c>
      <c r="C258" s="30" t="s">
        <v>120</v>
      </c>
      <c r="D258" s="31">
        <v>1.25</v>
      </c>
      <c r="E258" s="25">
        <v>186.16200000000001</v>
      </c>
      <c r="F258" s="28">
        <f t="shared" si="3"/>
        <v>232.70250000000001</v>
      </c>
      <c r="G258" s="39">
        <f>SUM(F258:F262)</f>
        <v>888.66413825000006</v>
      </c>
      <c r="H258" s="40"/>
      <c r="I258" s="139">
        <v>0</v>
      </c>
    </row>
    <row r="259" spans="1:9" ht="15.75" hidden="1" thickBot="1" x14ac:dyDescent="0.3">
      <c r="A259" s="237"/>
      <c r="B259" s="30" t="s">
        <v>747</v>
      </c>
      <c r="C259" s="30" t="s">
        <v>897</v>
      </c>
      <c r="D259" s="31">
        <v>563.59</v>
      </c>
      <c r="E259" s="28">
        <v>0.64600000000000002</v>
      </c>
      <c r="F259" s="28">
        <f t="shared" si="3"/>
        <v>364.07914000000005</v>
      </c>
      <c r="G259" s="39"/>
      <c r="H259" s="40"/>
      <c r="I259" s="139">
        <v>0</v>
      </c>
    </row>
    <row r="260" spans="1:9" ht="15.75" hidden="1" thickBot="1" x14ac:dyDescent="0.3">
      <c r="A260" s="237"/>
      <c r="B260" s="30" t="s">
        <v>1412</v>
      </c>
      <c r="C260" s="30" t="s">
        <v>702</v>
      </c>
      <c r="D260" s="31">
        <v>11.65</v>
      </c>
      <c r="E260" s="25">
        <v>18.420500000000001</v>
      </c>
      <c r="F260" s="28">
        <f t="shared" si="3"/>
        <v>214.59882500000001</v>
      </c>
      <c r="G260" s="39"/>
      <c r="H260" s="40"/>
      <c r="I260" s="139">
        <v>0</v>
      </c>
    </row>
    <row r="261" spans="1:9" ht="51.75" hidden="1" thickBot="1" x14ac:dyDescent="0.3">
      <c r="A261" s="237"/>
      <c r="B261" s="30" t="s">
        <v>1826</v>
      </c>
      <c r="C261" s="30" t="s">
        <v>120</v>
      </c>
      <c r="D261" s="31">
        <f>ROUND(1*(D258),4)</f>
        <v>1.25</v>
      </c>
      <c r="E261" s="25">
        <v>8.0614416000000002</v>
      </c>
      <c r="F261" s="28">
        <f t="shared" si="3"/>
        <v>10.076802000000001</v>
      </c>
      <c r="G261" s="39"/>
      <c r="H261" s="40"/>
      <c r="I261" s="139">
        <v>0</v>
      </c>
    </row>
    <row r="262" spans="1:9" ht="39" hidden="1" thickBot="1" x14ac:dyDescent="0.3">
      <c r="A262" s="237"/>
      <c r="B262" s="30" t="s">
        <v>1823</v>
      </c>
      <c r="C262" s="41" t="s">
        <v>122</v>
      </c>
      <c r="D262" s="31">
        <f>ROUND(D258*20,4)</f>
        <v>25</v>
      </c>
      <c r="E262" s="25">
        <v>2.6882748499999995</v>
      </c>
      <c r="F262" s="28">
        <f t="shared" ref="F262:F325" si="4">IF(ISNUMBER(E262),E262*$D262,"")</f>
        <v>67.206871249999992</v>
      </c>
      <c r="G262" s="39"/>
      <c r="H262" s="40"/>
      <c r="I262" s="139">
        <v>0</v>
      </c>
    </row>
    <row r="263" spans="1:9" ht="15.75" hidden="1" thickBot="1" x14ac:dyDescent="0.3">
      <c r="A263" s="237"/>
      <c r="B263" s="45"/>
      <c r="C263" s="41"/>
      <c r="D263" s="31"/>
      <c r="E263" s="25" t="s">
        <v>521</v>
      </c>
      <c r="F263" s="28" t="str">
        <f t="shared" si="4"/>
        <v/>
      </c>
      <c r="G263" s="39"/>
      <c r="H263" s="40"/>
      <c r="I263" s="139">
        <v>0</v>
      </c>
    </row>
    <row r="264" spans="1:9" ht="15.75" hidden="1" thickBot="1" x14ac:dyDescent="0.3">
      <c r="A264" s="237"/>
      <c r="B264" s="42" t="s">
        <v>754</v>
      </c>
      <c r="C264" s="41"/>
      <c r="D264" s="31"/>
      <c r="E264" s="25" t="s">
        <v>521</v>
      </c>
      <c r="F264" s="28" t="str">
        <f t="shared" si="4"/>
        <v/>
      </c>
      <c r="G264" s="39"/>
      <c r="H264" s="40"/>
      <c r="I264" s="139">
        <v>0</v>
      </c>
    </row>
    <row r="265" spans="1:9" ht="15.75" hidden="1" thickBot="1" x14ac:dyDescent="0.3">
      <c r="A265" s="243"/>
      <c r="B265" s="30" t="s">
        <v>521</v>
      </c>
      <c r="C265" s="30"/>
      <c r="D265" s="86"/>
      <c r="E265" s="25" t="s">
        <v>521</v>
      </c>
      <c r="F265" s="28" t="str">
        <f t="shared" si="4"/>
        <v/>
      </c>
      <c r="G265" s="29"/>
      <c r="H265" s="25"/>
      <c r="I265" s="139">
        <v>0</v>
      </c>
    </row>
    <row r="266" spans="1:9" ht="15" hidden="1" customHeight="1" thickBot="1" x14ac:dyDescent="0.3">
      <c r="A266" s="242" t="s">
        <v>695</v>
      </c>
      <c r="B266" s="35" t="s">
        <v>521</v>
      </c>
      <c r="C266" s="20" t="s">
        <v>20</v>
      </c>
      <c r="D266" s="87"/>
      <c r="E266" s="22" t="s">
        <v>521</v>
      </c>
      <c r="F266" s="20" t="str">
        <f t="shared" si="4"/>
        <v/>
      </c>
      <c r="G266" s="23"/>
      <c r="H266" s="24"/>
      <c r="I266" s="139">
        <v>0</v>
      </c>
    </row>
    <row r="267" spans="1:9" ht="15.75" hidden="1" thickBot="1" x14ac:dyDescent="0.3">
      <c r="A267" s="237"/>
      <c r="B267" s="26" t="s">
        <v>521</v>
      </c>
      <c r="C267" s="26"/>
      <c r="D267" s="85"/>
      <c r="E267" s="25" t="s">
        <v>521</v>
      </c>
      <c r="F267" s="25" t="str">
        <f t="shared" si="4"/>
        <v/>
      </c>
      <c r="G267" s="29"/>
      <c r="H267" s="25"/>
      <c r="I267" s="139">
        <v>0</v>
      </c>
    </row>
    <row r="268" spans="1:9" ht="15.75" hidden="1" customHeight="1" thickBot="1" x14ac:dyDescent="0.3">
      <c r="A268" s="237"/>
      <c r="B268" s="30" t="s">
        <v>2290</v>
      </c>
      <c r="C268" s="30" t="s">
        <v>1437</v>
      </c>
      <c r="D268" s="31">
        <v>1</v>
      </c>
      <c r="E268" s="25">
        <v>270.75</v>
      </c>
      <c r="F268" s="28">
        <f t="shared" si="4"/>
        <v>270.75</v>
      </c>
      <c r="G268" s="39">
        <f>SUM(F268:F272)</f>
        <v>361.32526100000001</v>
      </c>
      <c r="H268" s="40"/>
      <c r="I268" s="139">
        <v>0</v>
      </c>
    </row>
    <row r="269" spans="1:9" ht="15.75" hidden="1" thickBot="1" x14ac:dyDescent="0.3">
      <c r="A269" s="237"/>
      <c r="B269" s="30" t="s">
        <v>1438</v>
      </c>
      <c r="C269" s="30" t="s">
        <v>897</v>
      </c>
      <c r="D269" s="31">
        <v>1.0999999999999999E-2</v>
      </c>
      <c r="E269" s="28">
        <v>28.9085</v>
      </c>
      <c r="F269" s="28">
        <f t="shared" si="4"/>
        <v>0.31799349999999998</v>
      </c>
      <c r="G269" s="39"/>
      <c r="H269" s="40"/>
      <c r="I269" s="139">
        <v>0</v>
      </c>
    </row>
    <row r="270" spans="1:9" ht="15.75" hidden="1" thickBot="1" x14ac:dyDescent="0.3">
      <c r="A270" s="237"/>
      <c r="B270" s="30" t="s">
        <v>98</v>
      </c>
      <c r="C270" s="30" t="s">
        <v>897</v>
      </c>
      <c r="D270" s="31">
        <v>2.4E-2</v>
      </c>
      <c r="E270" s="25">
        <v>21.935499999999998</v>
      </c>
      <c r="F270" s="28">
        <f t="shared" si="4"/>
        <v>0.52645199999999992</v>
      </c>
      <c r="G270" s="39"/>
      <c r="H270" s="40"/>
      <c r="I270" s="139">
        <v>0</v>
      </c>
    </row>
    <row r="271" spans="1:9" ht="15.75" hidden="1" thickBot="1" x14ac:dyDescent="0.3">
      <c r="A271" s="237"/>
      <c r="B271" s="30" t="s">
        <v>701</v>
      </c>
      <c r="C271" s="30" t="s">
        <v>702</v>
      </c>
      <c r="D271" s="31">
        <v>2.7410000000000001</v>
      </c>
      <c r="E271" s="25">
        <v>23.616999999999997</v>
      </c>
      <c r="F271" s="28">
        <f t="shared" si="4"/>
        <v>64.734196999999995</v>
      </c>
      <c r="G271" s="39"/>
      <c r="H271" s="40"/>
      <c r="I271" s="139">
        <v>0</v>
      </c>
    </row>
    <row r="272" spans="1:9" ht="15.75" hidden="1" thickBot="1" x14ac:dyDescent="0.3">
      <c r="A272" s="237"/>
      <c r="B272" s="30" t="s">
        <v>703</v>
      </c>
      <c r="C272" s="41" t="s">
        <v>702</v>
      </c>
      <c r="D272" s="31">
        <v>1.357</v>
      </c>
      <c r="E272" s="25">
        <v>18.420500000000001</v>
      </c>
      <c r="F272" s="28">
        <f t="shared" si="4"/>
        <v>24.9966185</v>
      </c>
      <c r="G272" s="39"/>
      <c r="H272" s="40"/>
      <c r="I272" s="139">
        <v>0</v>
      </c>
    </row>
    <row r="273" spans="1:9" ht="15.75" hidden="1" thickBot="1" x14ac:dyDescent="0.3">
      <c r="A273" s="243"/>
      <c r="B273" s="45"/>
      <c r="C273" s="41"/>
      <c r="D273" s="31"/>
      <c r="E273" s="25" t="s">
        <v>521</v>
      </c>
      <c r="F273" s="28" t="str">
        <f t="shared" si="4"/>
        <v/>
      </c>
      <c r="G273" s="39"/>
      <c r="H273" s="40"/>
      <c r="I273" s="139">
        <v>0</v>
      </c>
    </row>
    <row r="274" spans="1:9" ht="15" hidden="1" customHeight="1" thickBot="1" x14ac:dyDescent="0.3">
      <c r="A274" s="242" t="s">
        <v>1441</v>
      </c>
      <c r="B274" s="35" t="s">
        <v>521</v>
      </c>
      <c r="C274" s="20" t="s">
        <v>120</v>
      </c>
      <c r="D274" s="87"/>
      <c r="E274" s="22" t="s">
        <v>521</v>
      </c>
      <c r="F274" s="22" t="str">
        <f t="shared" si="4"/>
        <v/>
      </c>
      <c r="G274" s="23"/>
      <c r="H274" s="24"/>
      <c r="I274" s="139">
        <v>0</v>
      </c>
    </row>
    <row r="275" spans="1:9" ht="15.75" hidden="1" thickBot="1" x14ac:dyDescent="0.3">
      <c r="A275" s="237"/>
      <c r="B275" s="26" t="s">
        <v>521</v>
      </c>
      <c r="C275" s="26"/>
      <c r="D275" s="85"/>
      <c r="E275" s="25" t="s">
        <v>521</v>
      </c>
      <c r="F275" s="92" t="str">
        <f t="shared" si="4"/>
        <v/>
      </c>
      <c r="G275" s="94"/>
      <c r="H275" s="92"/>
      <c r="I275" s="139">
        <v>0</v>
      </c>
    </row>
    <row r="276" spans="1:9" ht="26.25" hidden="1" thickBot="1" x14ac:dyDescent="0.3">
      <c r="A276" s="237"/>
      <c r="B276" s="30" t="s">
        <v>751</v>
      </c>
      <c r="C276" s="30" t="s">
        <v>120</v>
      </c>
      <c r="D276" s="31">
        <v>1.07</v>
      </c>
      <c r="E276" s="25">
        <v>186.16200000000001</v>
      </c>
      <c r="F276" s="28">
        <f t="shared" si="4"/>
        <v>199.19334000000001</v>
      </c>
      <c r="G276" s="39">
        <f>SUM(F276:F281)</f>
        <v>725.34082430199987</v>
      </c>
      <c r="H276" s="40"/>
      <c r="I276" s="139">
        <v>0</v>
      </c>
    </row>
    <row r="277" spans="1:9" ht="15.75" hidden="1" thickBot="1" x14ac:dyDescent="0.3">
      <c r="A277" s="237"/>
      <c r="B277" s="30" t="s">
        <v>1436</v>
      </c>
      <c r="C277" s="30" t="s">
        <v>897</v>
      </c>
      <c r="D277" s="31">
        <v>75.47</v>
      </c>
      <c r="E277" s="25">
        <v>1.0449999999999999</v>
      </c>
      <c r="F277" s="28">
        <f t="shared" si="4"/>
        <v>78.86614999999999</v>
      </c>
      <c r="G277" s="39"/>
      <c r="H277" s="40"/>
      <c r="I277" s="139">
        <v>0</v>
      </c>
    </row>
    <row r="278" spans="1:9" ht="15.75" hidden="1" customHeight="1" thickBot="1" x14ac:dyDescent="0.3">
      <c r="A278" s="237"/>
      <c r="B278" s="30" t="s">
        <v>747</v>
      </c>
      <c r="C278" s="30" t="s">
        <v>897</v>
      </c>
      <c r="D278" s="31">
        <v>339.62</v>
      </c>
      <c r="E278" s="28">
        <v>0.64600000000000002</v>
      </c>
      <c r="F278" s="28">
        <f t="shared" si="4"/>
        <v>219.39452</v>
      </c>
      <c r="G278" s="39"/>
      <c r="H278" s="40"/>
      <c r="I278" s="139">
        <v>0</v>
      </c>
    </row>
    <row r="279" spans="1:9" ht="15.75" hidden="1" thickBot="1" x14ac:dyDescent="0.3">
      <c r="A279" s="237"/>
      <c r="B279" s="30" t="s">
        <v>1412</v>
      </c>
      <c r="C279" s="30" t="s">
        <v>702</v>
      </c>
      <c r="D279" s="31">
        <v>8.7799999999999994</v>
      </c>
      <c r="E279" s="25">
        <v>18.420500000000001</v>
      </c>
      <c r="F279" s="28">
        <f t="shared" si="4"/>
        <v>161.73199</v>
      </c>
      <c r="G279" s="39"/>
      <c r="H279" s="40"/>
      <c r="I279" s="139">
        <v>0</v>
      </c>
    </row>
    <row r="280" spans="1:9" ht="51.75" hidden="1" thickBot="1" x14ac:dyDescent="0.3">
      <c r="A280" s="237"/>
      <c r="B280" s="30" t="s">
        <v>1826</v>
      </c>
      <c r="C280" s="30" t="s">
        <v>120</v>
      </c>
      <c r="D280" s="31">
        <f>ROUND(1*D276,4)</f>
        <v>1.07</v>
      </c>
      <c r="E280" s="25">
        <v>8.0614416000000002</v>
      </c>
      <c r="F280" s="28">
        <f t="shared" si="4"/>
        <v>8.6257425120000004</v>
      </c>
      <c r="G280" s="39"/>
      <c r="H280" s="40"/>
      <c r="I280" s="139">
        <v>0</v>
      </c>
    </row>
    <row r="281" spans="1:9" ht="39" hidden="1" thickBot="1" x14ac:dyDescent="0.3">
      <c r="A281" s="237"/>
      <c r="B281" s="30" t="s">
        <v>1823</v>
      </c>
      <c r="C281" s="41" t="s">
        <v>122</v>
      </c>
      <c r="D281" s="31">
        <f>ROUND(D276*20,4)</f>
        <v>21.4</v>
      </c>
      <c r="E281" s="25">
        <v>2.6882748499999995</v>
      </c>
      <c r="F281" s="28">
        <f t="shared" si="4"/>
        <v>57.529081789999985</v>
      </c>
      <c r="G281" s="39"/>
      <c r="H281" s="40"/>
      <c r="I281" s="139">
        <v>0</v>
      </c>
    </row>
    <row r="282" spans="1:9" ht="15.75" hidden="1" thickBot="1" x14ac:dyDescent="0.3">
      <c r="A282" s="237"/>
      <c r="B282" s="45"/>
      <c r="C282" s="41"/>
      <c r="D282" s="31"/>
      <c r="E282" s="25" t="s">
        <v>521</v>
      </c>
      <c r="F282" s="28" t="str">
        <f t="shared" si="4"/>
        <v/>
      </c>
      <c r="G282" s="39"/>
      <c r="H282" s="40"/>
      <c r="I282" s="139">
        <v>0</v>
      </c>
    </row>
    <row r="283" spans="1:9" ht="15.75" hidden="1" thickBot="1" x14ac:dyDescent="0.3">
      <c r="A283" s="237"/>
      <c r="B283" s="42" t="s">
        <v>754</v>
      </c>
      <c r="C283" s="41"/>
      <c r="D283" s="31"/>
      <c r="E283" s="25" t="s">
        <v>521</v>
      </c>
      <c r="F283" s="28" t="str">
        <f t="shared" si="4"/>
        <v/>
      </c>
      <c r="G283" s="39"/>
      <c r="H283" s="40"/>
      <c r="I283" s="139">
        <v>0</v>
      </c>
    </row>
    <row r="284" spans="1:9" ht="15.75" hidden="1" thickBot="1" x14ac:dyDescent="0.3">
      <c r="A284" s="243"/>
      <c r="B284" s="49" t="s">
        <v>521</v>
      </c>
      <c r="C284" s="49"/>
      <c r="D284" s="89"/>
      <c r="E284" s="61" t="s">
        <v>521</v>
      </c>
      <c r="F284" s="61" t="str">
        <f t="shared" si="4"/>
        <v/>
      </c>
      <c r="G284" s="63"/>
      <c r="H284" s="25"/>
      <c r="I284" s="139">
        <v>0</v>
      </c>
    </row>
    <row r="285" spans="1:9" ht="15" hidden="1" customHeight="1" thickBot="1" x14ac:dyDescent="0.3">
      <c r="A285" s="242" t="s">
        <v>2794</v>
      </c>
      <c r="B285" s="149" t="s">
        <v>521</v>
      </c>
      <c r="C285" s="83" t="s">
        <v>897</v>
      </c>
      <c r="D285" s="84"/>
      <c r="E285" s="65" t="s">
        <v>521</v>
      </c>
      <c r="F285" s="65" t="str">
        <f t="shared" si="4"/>
        <v/>
      </c>
      <c r="G285" s="66"/>
      <c r="H285" s="24"/>
      <c r="I285" s="139">
        <v>0</v>
      </c>
    </row>
    <row r="286" spans="1:9" ht="15.75" hidden="1" thickBot="1" x14ac:dyDescent="0.3">
      <c r="A286" s="237"/>
      <c r="B286" s="26" t="s">
        <v>521</v>
      </c>
      <c r="C286" s="26"/>
      <c r="D286" s="85"/>
      <c r="E286" s="25" t="s">
        <v>521</v>
      </c>
      <c r="F286" s="25" t="str">
        <f t="shared" si="4"/>
        <v/>
      </c>
      <c r="G286" s="29"/>
      <c r="H286" s="25"/>
      <c r="I286" s="139">
        <v>0</v>
      </c>
    </row>
    <row r="287" spans="1:9" ht="39" hidden="1" thickBot="1" x14ac:dyDescent="0.3">
      <c r="A287" s="237"/>
      <c r="B287" s="30" t="s">
        <v>898</v>
      </c>
      <c r="C287" s="30" t="s">
        <v>279</v>
      </c>
      <c r="D287" s="31">
        <v>2.8159999999999998</v>
      </c>
      <c r="E287" s="25">
        <v>0.20899999999999999</v>
      </c>
      <c r="F287" s="28">
        <f t="shared" si="4"/>
        <v>0.58854399999999996</v>
      </c>
      <c r="G287" s="39">
        <f>SUM(F287:F291)</f>
        <v>16.795586749999998</v>
      </c>
      <c r="H287" s="40"/>
      <c r="I287" s="139">
        <v>0</v>
      </c>
    </row>
    <row r="288" spans="1:9" ht="26.25" hidden="1" thickBot="1" x14ac:dyDescent="0.3">
      <c r="A288" s="237"/>
      <c r="B288" s="30" t="s">
        <v>1808</v>
      </c>
      <c r="C288" s="30" t="s">
        <v>897</v>
      </c>
      <c r="D288" s="31">
        <v>2.5000000000000001E-2</v>
      </c>
      <c r="E288" s="25">
        <v>22.61</v>
      </c>
      <c r="F288" s="28">
        <f t="shared" si="4"/>
        <v>0.56525000000000003</v>
      </c>
      <c r="G288" s="39"/>
      <c r="H288" s="40"/>
      <c r="I288" s="139">
        <v>0</v>
      </c>
    </row>
    <row r="289" spans="1:9" ht="15.75" hidden="1" thickBot="1" x14ac:dyDescent="0.3">
      <c r="A289" s="237"/>
      <c r="B289" s="30" t="s">
        <v>899</v>
      </c>
      <c r="C289" s="30" t="s">
        <v>702</v>
      </c>
      <c r="D289" s="31">
        <v>1.72E-2</v>
      </c>
      <c r="E289" s="28">
        <v>18.3825</v>
      </c>
      <c r="F289" s="28">
        <f t="shared" si="4"/>
        <v>0.31617899999999999</v>
      </c>
      <c r="G289" s="39"/>
      <c r="H289" s="40"/>
      <c r="I289" s="139">
        <v>0</v>
      </c>
    </row>
    <row r="290" spans="1:9" ht="15.75" hidden="1" customHeight="1" thickBot="1" x14ac:dyDescent="0.3">
      <c r="A290" s="237"/>
      <c r="B290" s="30" t="s">
        <v>900</v>
      </c>
      <c r="C290" s="30" t="s">
        <v>702</v>
      </c>
      <c r="D290" s="31">
        <v>0.1055</v>
      </c>
      <c r="E290" s="25">
        <v>24.747499999999999</v>
      </c>
      <c r="F290" s="28">
        <f t="shared" si="4"/>
        <v>2.6108612499999997</v>
      </c>
      <c r="G290" s="39"/>
      <c r="H290" s="40"/>
      <c r="I290" s="139">
        <v>0</v>
      </c>
    </row>
    <row r="291" spans="1:9" ht="26.25" hidden="1" thickBot="1" x14ac:dyDescent="0.3">
      <c r="A291" s="237"/>
      <c r="B291" s="30" t="s">
        <v>1439</v>
      </c>
      <c r="C291" s="41" t="s">
        <v>897</v>
      </c>
      <c r="D291" s="31">
        <v>1</v>
      </c>
      <c r="E291" s="25">
        <v>12.714752499999999</v>
      </c>
      <c r="F291" s="28">
        <f t="shared" si="4"/>
        <v>12.714752499999999</v>
      </c>
      <c r="G291" s="39"/>
      <c r="H291" s="40"/>
      <c r="I291" s="139">
        <v>0</v>
      </c>
    </row>
    <row r="292" spans="1:9" ht="15.75" hidden="1" thickBot="1" x14ac:dyDescent="0.3">
      <c r="A292" s="243"/>
      <c r="B292" s="45"/>
      <c r="C292" s="41"/>
      <c r="D292" s="31"/>
      <c r="E292" s="25" t="s">
        <v>521</v>
      </c>
      <c r="F292" s="28" t="str">
        <f t="shared" si="4"/>
        <v/>
      </c>
      <c r="G292" s="39"/>
      <c r="H292" s="40"/>
      <c r="I292" s="139">
        <v>0</v>
      </c>
    </row>
    <row r="293" spans="1:9" ht="15" hidden="1" customHeight="1" thickBot="1" x14ac:dyDescent="0.3">
      <c r="A293" s="242" t="s">
        <v>2796</v>
      </c>
      <c r="B293" s="35" t="s">
        <v>521</v>
      </c>
      <c r="C293" s="20" t="s">
        <v>897</v>
      </c>
      <c r="D293" s="87"/>
      <c r="E293" s="22" t="s">
        <v>521</v>
      </c>
      <c r="F293" s="20" t="str">
        <f t="shared" si="4"/>
        <v/>
      </c>
      <c r="G293" s="23"/>
      <c r="H293" s="24"/>
      <c r="I293" s="139">
        <v>0</v>
      </c>
    </row>
    <row r="294" spans="1:9" ht="15.75" hidden="1" customHeight="1" thickBot="1" x14ac:dyDescent="0.3">
      <c r="A294" s="237"/>
      <c r="B294" s="26" t="s">
        <v>521</v>
      </c>
      <c r="C294" s="26"/>
      <c r="D294" s="85"/>
      <c r="E294" s="25" t="s">
        <v>521</v>
      </c>
      <c r="F294" s="92" t="str">
        <f t="shared" si="4"/>
        <v/>
      </c>
      <c r="G294" s="94"/>
      <c r="H294" s="92"/>
      <c r="I294" s="139">
        <v>0</v>
      </c>
    </row>
    <row r="295" spans="1:9" ht="15.75" hidden="1" thickBot="1" x14ac:dyDescent="0.3">
      <c r="A295" s="237"/>
      <c r="B295" s="30" t="s">
        <v>1442</v>
      </c>
      <c r="C295" s="30" t="s">
        <v>897</v>
      </c>
      <c r="D295" s="31">
        <v>1.07</v>
      </c>
      <c r="E295" s="28">
        <v>9.5</v>
      </c>
      <c r="F295" s="28">
        <f t="shared" si="4"/>
        <v>10.165000000000001</v>
      </c>
      <c r="G295" s="39">
        <f>SUM(F295:F297)</f>
        <v>12.714752499999999</v>
      </c>
      <c r="H295" s="40"/>
      <c r="I295" s="139">
        <v>0</v>
      </c>
    </row>
    <row r="296" spans="1:9" ht="15.75" hidden="1" thickBot="1" x14ac:dyDescent="0.3">
      <c r="A296" s="237"/>
      <c r="B296" s="30" t="s">
        <v>899</v>
      </c>
      <c r="C296" s="30" t="s">
        <v>702</v>
      </c>
      <c r="D296" s="31">
        <v>1.3100000000000001E-2</v>
      </c>
      <c r="E296" s="28">
        <v>18.3825</v>
      </c>
      <c r="F296" s="28">
        <f t="shared" si="4"/>
        <v>0.24081075000000002</v>
      </c>
      <c r="G296" s="39"/>
      <c r="H296" s="40"/>
      <c r="I296" s="139">
        <v>0</v>
      </c>
    </row>
    <row r="297" spans="1:9" ht="15.75" hidden="1" thickBot="1" x14ac:dyDescent="0.3">
      <c r="A297" s="237"/>
      <c r="B297" s="30" t="s">
        <v>900</v>
      </c>
      <c r="C297" s="30" t="s">
        <v>702</v>
      </c>
      <c r="D297" s="31">
        <v>9.3299999999999994E-2</v>
      </c>
      <c r="E297" s="25">
        <v>24.747499999999999</v>
      </c>
      <c r="F297" s="28">
        <f t="shared" si="4"/>
        <v>2.3089417499999998</v>
      </c>
      <c r="G297" s="39"/>
      <c r="H297" s="40"/>
      <c r="I297" s="139">
        <v>0</v>
      </c>
    </row>
    <row r="298" spans="1:9" ht="15.75" hidden="1" thickBot="1" x14ac:dyDescent="0.3">
      <c r="A298" s="243"/>
      <c r="B298" s="49" t="s">
        <v>521</v>
      </c>
      <c r="C298" s="49"/>
      <c r="D298" s="89"/>
      <c r="E298" s="61" t="s">
        <v>521</v>
      </c>
      <c r="F298" s="62" t="str">
        <f t="shared" si="4"/>
        <v/>
      </c>
      <c r="G298" s="63"/>
      <c r="H298" s="25"/>
      <c r="I298" s="139">
        <v>0</v>
      </c>
    </row>
    <row r="299" spans="1:9" ht="15" hidden="1" customHeight="1" thickBot="1" x14ac:dyDescent="0.3">
      <c r="A299" s="242" t="s">
        <v>2250</v>
      </c>
      <c r="B299" s="35" t="s">
        <v>521</v>
      </c>
      <c r="C299" s="20" t="s">
        <v>120</v>
      </c>
      <c r="D299" s="87"/>
      <c r="E299" s="36" t="s">
        <v>521</v>
      </c>
      <c r="F299" s="36" t="str">
        <f t="shared" si="4"/>
        <v/>
      </c>
      <c r="G299" s="23"/>
      <c r="H299" s="24"/>
      <c r="I299" s="139">
        <v>0</v>
      </c>
    </row>
    <row r="300" spans="1:9" ht="15.75" hidden="1" thickBot="1" x14ac:dyDescent="0.3">
      <c r="A300" s="237"/>
      <c r="B300" s="26" t="s">
        <v>521</v>
      </c>
      <c r="C300" s="26"/>
      <c r="D300" s="85"/>
      <c r="E300" s="37" t="s">
        <v>521</v>
      </c>
      <c r="F300" s="25" t="str">
        <f t="shared" si="4"/>
        <v/>
      </c>
      <c r="G300" s="29"/>
      <c r="H300" s="25"/>
      <c r="I300" s="139">
        <v>0</v>
      </c>
    </row>
    <row r="301" spans="1:9" ht="26.25" hidden="1" thickBot="1" x14ac:dyDescent="0.3">
      <c r="A301" s="237"/>
      <c r="B301" s="30" t="s">
        <v>751</v>
      </c>
      <c r="C301" s="30" t="s">
        <v>120</v>
      </c>
      <c r="D301" s="31">
        <v>0.80759999999999998</v>
      </c>
      <c r="E301" s="28">
        <v>186.16200000000001</v>
      </c>
      <c r="F301" s="28">
        <f t="shared" si="4"/>
        <v>150.3444312</v>
      </c>
      <c r="G301" s="39">
        <f>SUM(F301:F309)</f>
        <v>566.04477497153994</v>
      </c>
      <c r="H301" s="40"/>
      <c r="I301" s="139">
        <v>0</v>
      </c>
    </row>
    <row r="302" spans="1:9" ht="15.75" hidden="1" thickBot="1" x14ac:dyDescent="0.3">
      <c r="A302" s="237"/>
      <c r="B302" s="30" t="s">
        <v>747</v>
      </c>
      <c r="C302" s="30" t="s">
        <v>897</v>
      </c>
      <c r="D302" s="31">
        <v>274.06349999999998</v>
      </c>
      <c r="E302" s="28">
        <v>0.64600000000000002</v>
      </c>
      <c r="F302" s="28">
        <f t="shared" si="4"/>
        <v>177.04502099999999</v>
      </c>
      <c r="G302" s="39"/>
      <c r="H302" s="40"/>
      <c r="I302" s="139">
        <v>0</v>
      </c>
    </row>
    <row r="303" spans="1:9" ht="26.25" hidden="1" thickBot="1" x14ac:dyDescent="0.3">
      <c r="A303" s="237"/>
      <c r="B303" s="30" t="s">
        <v>759</v>
      </c>
      <c r="C303" s="30" t="s">
        <v>120</v>
      </c>
      <c r="D303" s="31">
        <v>0.58130000000000004</v>
      </c>
      <c r="E303" s="28">
        <v>151.202</v>
      </c>
      <c r="F303" s="28">
        <f t="shared" si="4"/>
        <v>87.893722600000004</v>
      </c>
      <c r="G303" s="39"/>
      <c r="H303" s="40"/>
      <c r="I303" s="139">
        <v>0</v>
      </c>
    </row>
    <row r="304" spans="1:9" ht="15.75" hidden="1" thickBot="1" x14ac:dyDescent="0.3">
      <c r="A304" s="237"/>
      <c r="B304" s="30" t="s">
        <v>703</v>
      </c>
      <c r="C304" s="30" t="s">
        <v>702</v>
      </c>
      <c r="D304" s="31">
        <v>2.0266999999999999</v>
      </c>
      <c r="E304" s="25">
        <v>18.420500000000001</v>
      </c>
      <c r="F304" s="28">
        <f t="shared" si="4"/>
        <v>37.332827350000002</v>
      </c>
      <c r="G304" s="39"/>
      <c r="H304" s="40"/>
      <c r="I304" s="139">
        <v>0</v>
      </c>
    </row>
    <row r="305" spans="1:9" ht="26.25" hidden="1" thickBot="1" x14ac:dyDescent="0.3">
      <c r="A305" s="237"/>
      <c r="B305" s="30" t="s">
        <v>1434</v>
      </c>
      <c r="C305" s="30" t="s">
        <v>702</v>
      </c>
      <c r="D305" s="31">
        <v>1.2822</v>
      </c>
      <c r="E305" s="25">
        <v>18.534500000000001</v>
      </c>
      <c r="F305" s="88">
        <f t="shared" si="4"/>
        <v>23.764935900000001</v>
      </c>
      <c r="G305" s="39"/>
      <c r="H305" s="40"/>
      <c r="I305" s="139">
        <v>0</v>
      </c>
    </row>
    <row r="306" spans="1:9" ht="39" hidden="1" thickBot="1" x14ac:dyDescent="0.3">
      <c r="A306" s="237"/>
      <c r="B306" s="30" t="s">
        <v>1361</v>
      </c>
      <c r="C306" s="30" t="s">
        <v>938</v>
      </c>
      <c r="D306" s="31">
        <v>0.65990000000000004</v>
      </c>
      <c r="E306" s="25">
        <v>4.3224999999999998</v>
      </c>
      <c r="F306" s="88">
        <f t="shared" si="4"/>
        <v>2.8524177499999999</v>
      </c>
      <c r="G306" s="39"/>
      <c r="H306" s="40"/>
      <c r="I306" s="139">
        <v>0</v>
      </c>
    </row>
    <row r="307" spans="1:9" ht="39" hidden="1" thickBot="1" x14ac:dyDescent="0.3">
      <c r="A307" s="237"/>
      <c r="B307" s="30" t="s">
        <v>1435</v>
      </c>
      <c r="C307" s="41" t="s">
        <v>940</v>
      </c>
      <c r="D307" s="31">
        <v>0.62229999999999996</v>
      </c>
      <c r="E307" s="25">
        <v>1.5105</v>
      </c>
      <c r="F307" s="28">
        <f t="shared" si="4"/>
        <v>0.93998414999999991</v>
      </c>
      <c r="G307" s="39"/>
      <c r="H307" s="40"/>
      <c r="I307" s="139">
        <v>0</v>
      </c>
    </row>
    <row r="308" spans="1:9" ht="51.75" hidden="1" thickBot="1" x14ac:dyDescent="0.3">
      <c r="A308" s="237"/>
      <c r="B308" s="30" t="s">
        <v>1826</v>
      </c>
      <c r="C308" s="30" t="s">
        <v>120</v>
      </c>
      <c r="D308" s="31">
        <f>ROUND(1*(D301+D303),4)</f>
        <v>1.3889</v>
      </c>
      <c r="E308" s="25">
        <v>8.0614416000000002</v>
      </c>
      <c r="F308" s="28">
        <f t="shared" si="4"/>
        <v>11.19653623824</v>
      </c>
      <c r="G308" s="39"/>
      <c r="H308" s="40"/>
      <c r="I308" s="139">
        <v>0</v>
      </c>
    </row>
    <row r="309" spans="1:9" ht="39" hidden="1" thickBot="1" x14ac:dyDescent="0.3">
      <c r="A309" s="237"/>
      <c r="B309" s="30" t="s">
        <v>1823</v>
      </c>
      <c r="C309" s="41" t="s">
        <v>122</v>
      </c>
      <c r="D309" s="31">
        <f>ROUND((D301+D303)*20,4)</f>
        <v>27.777999999999999</v>
      </c>
      <c r="E309" s="25">
        <v>2.6882748499999995</v>
      </c>
      <c r="F309" s="28">
        <f t="shared" si="4"/>
        <v>74.67489878329998</v>
      </c>
      <c r="G309" s="39"/>
      <c r="H309" s="40"/>
      <c r="I309" s="139">
        <v>0</v>
      </c>
    </row>
    <row r="310" spans="1:9" ht="15.75" hidden="1" thickBot="1" x14ac:dyDescent="0.3">
      <c r="A310" s="237"/>
      <c r="B310" s="45"/>
      <c r="C310" s="41"/>
      <c r="D310" s="31"/>
      <c r="E310" s="25" t="s">
        <v>521</v>
      </c>
      <c r="F310" s="28" t="str">
        <f t="shared" si="4"/>
        <v/>
      </c>
      <c r="G310" s="39"/>
      <c r="H310" s="40"/>
      <c r="I310" s="139">
        <v>0</v>
      </c>
    </row>
    <row r="311" spans="1:9" ht="26.25" hidden="1" thickBot="1" x14ac:dyDescent="0.3">
      <c r="A311" s="237"/>
      <c r="B311" s="42" t="s">
        <v>123</v>
      </c>
      <c r="C311" s="41"/>
      <c r="D311" s="31"/>
      <c r="E311" s="25" t="s">
        <v>521</v>
      </c>
      <c r="F311" s="28" t="str">
        <f t="shared" si="4"/>
        <v/>
      </c>
      <c r="G311" s="39"/>
      <c r="H311" s="40"/>
      <c r="I311" s="139">
        <v>0</v>
      </c>
    </row>
    <row r="312" spans="1:9" ht="15.75" hidden="1" thickBot="1" x14ac:dyDescent="0.3">
      <c r="A312" s="243"/>
      <c r="B312" s="30" t="s">
        <v>521</v>
      </c>
      <c r="C312" s="30"/>
      <c r="D312" s="86"/>
      <c r="E312" s="25" t="s">
        <v>521</v>
      </c>
      <c r="F312" s="25" t="str">
        <f t="shared" si="4"/>
        <v/>
      </c>
      <c r="G312" s="29"/>
      <c r="H312" s="25"/>
      <c r="I312" s="139">
        <v>0</v>
      </c>
    </row>
    <row r="313" spans="1:9" ht="15" customHeight="1" thickBot="1" x14ac:dyDescent="0.3">
      <c r="A313" s="242" t="s">
        <v>2249</v>
      </c>
      <c r="B313" s="35" t="s">
        <v>521</v>
      </c>
      <c r="C313" s="20" t="s">
        <v>120</v>
      </c>
      <c r="D313" s="87"/>
      <c r="E313" s="36" t="s">
        <v>521</v>
      </c>
      <c r="F313" s="36" t="str">
        <f t="shared" si="4"/>
        <v/>
      </c>
      <c r="G313" s="23"/>
      <c r="H313" s="24"/>
      <c r="I313" s="139">
        <v>18.452899999999996</v>
      </c>
    </row>
    <row r="314" spans="1:9" x14ac:dyDescent="0.25">
      <c r="A314" s="237"/>
      <c r="B314" s="26" t="s">
        <v>521</v>
      </c>
      <c r="C314" s="26"/>
      <c r="D314" s="85"/>
      <c r="E314" s="37" t="s">
        <v>521</v>
      </c>
      <c r="F314" s="25" t="str">
        <f t="shared" si="4"/>
        <v/>
      </c>
      <c r="G314" s="29"/>
      <c r="H314" s="25"/>
      <c r="I314" s="139">
        <v>18.452899999999996</v>
      </c>
    </row>
    <row r="315" spans="1:9" ht="25.5" x14ac:dyDescent="0.25">
      <c r="A315" s="237"/>
      <c r="B315" s="30" t="s">
        <v>751</v>
      </c>
      <c r="C315" s="30" t="s">
        <v>120</v>
      </c>
      <c r="D315" s="31">
        <v>0.83250000000000002</v>
      </c>
      <c r="E315" s="28">
        <v>186.16200000000001</v>
      </c>
      <c r="F315" s="28">
        <f t="shared" si="4"/>
        <v>154.97986500000002</v>
      </c>
      <c r="G315" s="39">
        <f>SUM(F315:F323)</f>
        <v>535.75250914355991</v>
      </c>
      <c r="H315" s="40"/>
      <c r="I315" s="139">
        <v>18.452899999999996</v>
      </c>
    </row>
    <row r="316" spans="1:9" x14ac:dyDescent="0.25">
      <c r="A316" s="237"/>
      <c r="B316" s="30" t="s">
        <v>747</v>
      </c>
      <c r="C316" s="30" t="s">
        <v>897</v>
      </c>
      <c r="D316" s="31">
        <v>213.45310000000001</v>
      </c>
      <c r="E316" s="28">
        <v>0.64600000000000002</v>
      </c>
      <c r="F316" s="28">
        <f t="shared" si="4"/>
        <v>137.8907026</v>
      </c>
      <c r="G316" s="39"/>
      <c r="H316" s="40"/>
      <c r="I316" s="139">
        <v>18.452899999999996</v>
      </c>
    </row>
    <row r="317" spans="1:9" ht="25.5" x14ac:dyDescent="0.25">
      <c r="A317" s="237"/>
      <c r="B317" s="30" t="s">
        <v>759</v>
      </c>
      <c r="C317" s="30" t="s">
        <v>120</v>
      </c>
      <c r="D317" s="31">
        <v>0.58209999999999995</v>
      </c>
      <c r="E317" s="28">
        <v>151.202</v>
      </c>
      <c r="F317" s="28">
        <f t="shared" si="4"/>
        <v>88.014684199999991</v>
      </c>
      <c r="G317" s="39"/>
      <c r="H317" s="40"/>
      <c r="I317" s="139">
        <v>18.452899999999996</v>
      </c>
    </row>
    <row r="318" spans="1:9" x14ac:dyDescent="0.25">
      <c r="A318" s="237"/>
      <c r="B318" s="30" t="s">
        <v>703</v>
      </c>
      <c r="C318" s="30" t="s">
        <v>702</v>
      </c>
      <c r="D318" s="31">
        <v>2.1057999999999999</v>
      </c>
      <c r="E318" s="25">
        <v>18.420500000000001</v>
      </c>
      <c r="F318" s="28">
        <f t="shared" si="4"/>
        <v>38.789888900000001</v>
      </c>
      <c r="G318" s="39"/>
      <c r="H318" s="40"/>
      <c r="I318" s="139">
        <v>18.452899999999996</v>
      </c>
    </row>
    <row r="319" spans="1:9" ht="25.5" x14ac:dyDescent="0.25">
      <c r="A319" s="237"/>
      <c r="B319" s="30" t="s">
        <v>1434</v>
      </c>
      <c r="C319" s="30" t="s">
        <v>702</v>
      </c>
      <c r="D319" s="31">
        <v>1.3314999999999999</v>
      </c>
      <c r="E319" s="25">
        <v>18.534500000000001</v>
      </c>
      <c r="F319" s="88">
        <f t="shared" si="4"/>
        <v>24.678686750000001</v>
      </c>
      <c r="G319" s="39"/>
      <c r="H319" s="40"/>
      <c r="I319" s="139">
        <v>18.452899999999996</v>
      </c>
    </row>
    <row r="320" spans="1:9" ht="38.25" x14ac:dyDescent="0.25">
      <c r="A320" s="237"/>
      <c r="B320" s="30" t="s">
        <v>1361</v>
      </c>
      <c r="C320" s="30" t="s">
        <v>938</v>
      </c>
      <c r="D320" s="31">
        <v>0.68530000000000002</v>
      </c>
      <c r="E320" s="25">
        <v>4.3224999999999998</v>
      </c>
      <c r="F320" s="88">
        <f t="shared" si="4"/>
        <v>2.9622092499999999</v>
      </c>
      <c r="G320" s="39"/>
      <c r="H320" s="40"/>
      <c r="I320" s="139">
        <v>18.452899999999996</v>
      </c>
    </row>
    <row r="321" spans="1:9" ht="38.25" x14ac:dyDescent="0.25">
      <c r="A321" s="237"/>
      <c r="B321" s="30" t="s">
        <v>1435</v>
      </c>
      <c r="C321" s="41" t="s">
        <v>940</v>
      </c>
      <c r="D321" s="31">
        <v>0.6462</v>
      </c>
      <c r="E321" s="25">
        <v>1.5105</v>
      </c>
      <c r="F321" s="28">
        <f t="shared" si="4"/>
        <v>0.97608509999999993</v>
      </c>
      <c r="G321" s="39"/>
      <c r="H321" s="40"/>
      <c r="I321" s="139">
        <v>18.452899999999996</v>
      </c>
    </row>
    <row r="322" spans="1:9" ht="51" x14ac:dyDescent="0.25">
      <c r="A322" s="237"/>
      <c r="B322" s="30" t="s">
        <v>1826</v>
      </c>
      <c r="C322" s="30" t="s">
        <v>120</v>
      </c>
      <c r="D322" s="31">
        <f>ROUND(1*(D315+D317),4)</f>
        <v>1.4146000000000001</v>
      </c>
      <c r="E322" s="25">
        <v>8.0614416000000002</v>
      </c>
      <c r="F322" s="28">
        <f t="shared" si="4"/>
        <v>11.403715287360001</v>
      </c>
      <c r="G322" s="39"/>
      <c r="H322" s="40"/>
      <c r="I322" s="139">
        <v>18.452899999999996</v>
      </c>
    </row>
    <row r="323" spans="1:9" ht="38.25" x14ac:dyDescent="0.25">
      <c r="A323" s="237"/>
      <c r="B323" s="30" t="s">
        <v>1823</v>
      </c>
      <c r="C323" s="41" t="s">
        <v>122</v>
      </c>
      <c r="D323" s="31">
        <f>ROUND((D315+D317)*20,4)</f>
        <v>28.292000000000002</v>
      </c>
      <c r="E323" s="25">
        <v>2.6882748499999995</v>
      </c>
      <c r="F323" s="28">
        <f t="shared" si="4"/>
        <v>76.056672056199986</v>
      </c>
      <c r="G323" s="39"/>
      <c r="H323" s="40"/>
      <c r="I323" s="139">
        <v>18.452899999999996</v>
      </c>
    </row>
    <row r="324" spans="1:9" x14ac:dyDescent="0.25">
      <c r="A324" s="237"/>
      <c r="B324" s="45"/>
      <c r="C324" s="41"/>
      <c r="D324" s="31"/>
      <c r="E324" s="25" t="s">
        <v>521</v>
      </c>
      <c r="F324" s="28" t="str">
        <f t="shared" si="4"/>
        <v/>
      </c>
      <c r="G324" s="39"/>
      <c r="H324" s="40"/>
      <c r="I324" s="139">
        <v>18.452899999999996</v>
      </c>
    </row>
    <row r="325" spans="1:9" ht="25.5" x14ac:dyDescent="0.25">
      <c r="A325" s="237"/>
      <c r="B325" s="42" t="s">
        <v>123</v>
      </c>
      <c r="C325" s="41"/>
      <c r="D325" s="31"/>
      <c r="E325" s="25" t="s">
        <v>521</v>
      </c>
      <c r="F325" s="28" t="str">
        <f t="shared" si="4"/>
        <v/>
      </c>
      <c r="G325" s="39"/>
      <c r="H325" s="40"/>
      <c r="I325" s="139">
        <v>18.452899999999996</v>
      </c>
    </row>
    <row r="326" spans="1:9" ht="15.75" thickBot="1" x14ac:dyDescent="0.3">
      <c r="A326" s="243"/>
      <c r="B326" s="30" t="s">
        <v>521</v>
      </c>
      <c r="C326" s="30"/>
      <c r="D326" s="86"/>
      <c r="E326" s="25" t="s">
        <v>521</v>
      </c>
      <c r="F326" s="25" t="str">
        <f t="shared" ref="F326:F389" si="5">IF(ISNUMBER(E326),E326*$D326,"")</f>
        <v/>
      </c>
      <c r="G326" s="29"/>
      <c r="H326" s="25"/>
      <c r="I326" s="139">
        <v>18.452899999999996</v>
      </c>
    </row>
    <row r="327" spans="1:9" ht="15" customHeight="1" thickBot="1" x14ac:dyDescent="0.3">
      <c r="A327" s="242" t="s">
        <v>998</v>
      </c>
      <c r="B327" s="35" t="s">
        <v>521</v>
      </c>
      <c r="C327" s="20" t="s">
        <v>120</v>
      </c>
      <c r="D327" s="87"/>
      <c r="E327" s="22" t="s">
        <v>521</v>
      </c>
      <c r="F327" s="22" t="str">
        <f t="shared" si="5"/>
        <v/>
      </c>
      <c r="G327" s="23"/>
      <c r="H327" s="24"/>
      <c r="I327" s="139">
        <v>5.5333333333333332E-2</v>
      </c>
    </row>
    <row r="328" spans="1:9" x14ac:dyDescent="0.25">
      <c r="A328" s="237"/>
      <c r="B328" s="26" t="s">
        <v>521</v>
      </c>
      <c r="C328" s="26"/>
      <c r="D328" s="85"/>
      <c r="E328" s="25" t="s">
        <v>521</v>
      </c>
      <c r="F328" s="25" t="str">
        <f t="shared" si="5"/>
        <v/>
      </c>
      <c r="G328" s="29"/>
      <c r="H328" s="25"/>
      <c r="I328" s="139">
        <v>5.5333333333333332E-2</v>
      </c>
    </row>
    <row r="329" spans="1:9" ht="25.5" x14ac:dyDescent="0.25">
      <c r="A329" s="237"/>
      <c r="B329" s="30" t="s">
        <v>1282</v>
      </c>
      <c r="C329" s="30" t="s">
        <v>120</v>
      </c>
      <c r="D329" s="31">
        <v>1.02</v>
      </c>
      <c r="E329" s="25">
        <v>188.59399999999999</v>
      </c>
      <c r="F329" s="28">
        <f t="shared" si="5"/>
        <v>192.36588</v>
      </c>
      <c r="G329" s="39">
        <f>SUM(F329:F335)</f>
        <v>566.17055737200008</v>
      </c>
      <c r="H329" s="40"/>
      <c r="I329" s="139">
        <v>5.5333333333333332E-2</v>
      </c>
    </row>
    <row r="330" spans="1:9" x14ac:dyDescent="0.25">
      <c r="A330" s="237"/>
      <c r="B330" s="30" t="s">
        <v>747</v>
      </c>
      <c r="C330" s="30" t="s">
        <v>897</v>
      </c>
      <c r="D330" s="31">
        <v>343.52</v>
      </c>
      <c r="E330" s="28">
        <v>0.64600000000000002</v>
      </c>
      <c r="F330" s="28">
        <f t="shared" si="5"/>
        <v>221.91391999999999</v>
      </c>
      <c r="G330" s="39"/>
      <c r="H330" s="40"/>
      <c r="I330" s="139">
        <v>5.5333333333333332E-2</v>
      </c>
    </row>
    <row r="331" spans="1:9" ht="25.5" x14ac:dyDescent="0.25">
      <c r="A331" s="237"/>
      <c r="B331" s="30" t="s">
        <v>1434</v>
      </c>
      <c r="C331" s="30" t="s">
        <v>702</v>
      </c>
      <c r="D331" s="31">
        <v>4.6399999999999997</v>
      </c>
      <c r="E331" s="25">
        <v>18.534500000000001</v>
      </c>
      <c r="F331" s="28">
        <f t="shared" si="5"/>
        <v>86.000079999999997</v>
      </c>
      <c r="G331" s="39"/>
      <c r="H331" s="40"/>
      <c r="I331" s="139">
        <v>5.5333333333333332E-2</v>
      </c>
    </row>
    <row r="332" spans="1:9" ht="38.25" x14ac:dyDescent="0.25">
      <c r="A332" s="237"/>
      <c r="B332" s="30" t="s">
        <v>117</v>
      </c>
      <c r="C332" s="30" t="s">
        <v>938</v>
      </c>
      <c r="D332" s="31">
        <v>1.08</v>
      </c>
      <c r="E332" s="25">
        <v>1.3964999999999999</v>
      </c>
      <c r="F332" s="28">
        <f t="shared" si="5"/>
        <v>1.5082199999999999</v>
      </c>
      <c r="G332" s="39"/>
      <c r="H332" s="40"/>
      <c r="I332" s="139">
        <v>5.5333333333333332E-2</v>
      </c>
    </row>
    <row r="333" spans="1:9" ht="38.25" x14ac:dyDescent="0.25">
      <c r="A333" s="237"/>
      <c r="B333" s="30" t="s">
        <v>118</v>
      </c>
      <c r="C333" s="30" t="s">
        <v>940</v>
      </c>
      <c r="D333" s="31">
        <v>3.56</v>
      </c>
      <c r="E333" s="25">
        <v>0.3705</v>
      </c>
      <c r="F333" s="28">
        <f t="shared" si="5"/>
        <v>1.31898</v>
      </c>
      <c r="G333" s="39"/>
      <c r="H333" s="40"/>
      <c r="I333" s="139">
        <v>5.5333333333333332E-2</v>
      </c>
    </row>
    <row r="334" spans="1:9" ht="51" x14ac:dyDescent="0.25">
      <c r="A334" s="237"/>
      <c r="B334" s="30" t="s">
        <v>1826</v>
      </c>
      <c r="C334" s="30" t="s">
        <v>120</v>
      </c>
      <c r="D334" s="31">
        <f>ROUND(1*(D329),4)</f>
        <v>1.02</v>
      </c>
      <c r="E334" s="25">
        <v>8.0614416000000002</v>
      </c>
      <c r="F334" s="28">
        <f t="shared" si="5"/>
        <v>8.222670432000001</v>
      </c>
      <c r="G334" s="39"/>
      <c r="H334" s="40"/>
      <c r="I334" s="139">
        <v>5.5333333333333332E-2</v>
      </c>
    </row>
    <row r="335" spans="1:9" ht="38.25" x14ac:dyDescent="0.25">
      <c r="A335" s="237"/>
      <c r="B335" s="30" t="s">
        <v>1823</v>
      </c>
      <c r="C335" s="41" t="s">
        <v>122</v>
      </c>
      <c r="D335" s="31">
        <f>ROUND(D329*20,4)</f>
        <v>20.399999999999999</v>
      </c>
      <c r="E335" s="25">
        <v>2.6882748499999995</v>
      </c>
      <c r="F335" s="28">
        <f t="shared" si="5"/>
        <v>54.840806939999986</v>
      </c>
      <c r="G335" s="39"/>
      <c r="H335" s="40"/>
      <c r="I335" s="139">
        <v>5.5333333333333332E-2</v>
      </c>
    </row>
    <row r="336" spans="1:9" x14ac:dyDescent="0.25">
      <c r="A336" s="237"/>
      <c r="B336" s="30"/>
      <c r="C336" s="30"/>
      <c r="D336" s="31"/>
      <c r="E336" s="25" t="s">
        <v>521</v>
      </c>
      <c r="F336" s="28" t="str">
        <f t="shared" si="5"/>
        <v/>
      </c>
      <c r="G336" s="39"/>
      <c r="H336" s="40"/>
      <c r="I336" s="139">
        <v>5.5333333333333332E-2</v>
      </c>
    </row>
    <row r="337" spans="1:9" ht="24.95" customHeight="1" x14ac:dyDescent="0.25">
      <c r="A337" s="237"/>
      <c r="B337" s="42" t="s">
        <v>754</v>
      </c>
      <c r="C337" s="41"/>
      <c r="D337" s="31"/>
      <c r="E337" s="25" t="s">
        <v>521</v>
      </c>
      <c r="F337" s="28" t="str">
        <f t="shared" si="5"/>
        <v/>
      </c>
      <c r="G337" s="39"/>
      <c r="H337" s="40"/>
      <c r="I337" s="139">
        <v>5.5333333333333332E-2</v>
      </c>
    </row>
    <row r="338" spans="1:9" ht="15.75" thickBot="1" x14ac:dyDescent="0.3">
      <c r="A338" s="243"/>
      <c r="B338" s="49" t="s">
        <v>521</v>
      </c>
      <c r="C338" s="49"/>
      <c r="D338" s="89"/>
      <c r="E338" s="61" t="s">
        <v>521</v>
      </c>
      <c r="F338" s="62" t="str">
        <f t="shared" si="5"/>
        <v/>
      </c>
      <c r="G338" s="63"/>
      <c r="H338" s="25"/>
      <c r="I338" s="139">
        <v>5.5333333333333332E-2</v>
      </c>
    </row>
    <row r="339" spans="1:9" ht="15" customHeight="1" thickBot="1" x14ac:dyDescent="0.3">
      <c r="A339" s="242" t="s">
        <v>1826</v>
      </c>
      <c r="B339" s="35" t="s">
        <v>521</v>
      </c>
      <c r="C339" s="20" t="s">
        <v>120</v>
      </c>
      <c r="D339" s="87"/>
      <c r="E339" s="22" t="s">
        <v>521</v>
      </c>
      <c r="F339" s="20" t="str">
        <f t="shared" si="5"/>
        <v/>
      </c>
      <c r="G339" s="23"/>
      <c r="H339" s="24"/>
      <c r="I339" s="139">
        <v>298.91250000000002</v>
      </c>
    </row>
    <row r="340" spans="1:9" x14ac:dyDescent="0.25">
      <c r="A340" s="237"/>
      <c r="B340" s="26" t="s">
        <v>521</v>
      </c>
      <c r="C340" s="26"/>
      <c r="D340" s="85"/>
      <c r="E340" s="25" t="s">
        <v>521</v>
      </c>
      <c r="F340" s="25" t="str">
        <f t="shared" si="5"/>
        <v/>
      </c>
      <c r="G340" s="29"/>
      <c r="H340" s="25"/>
      <c r="I340" s="139">
        <v>298.91250000000002</v>
      </c>
    </row>
    <row r="341" spans="1:9" ht="38.25" x14ac:dyDescent="0.25">
      <c r="A341" s="237"/>
      <c r="B341" s="30" t="s">
        <v>1569</v>
      </c>
      <c r="C341" s="30" t="s">
        <v>938</v>
      </c>
      <c r="D341" s="31">
        <v>8.3000000000000001E-3</v>
      </c>
      <c r="E341" s="25">
        <v>171.02849999999998</v>
      </c>
      <c r="F341" s="28">
        <f t="shared" si="5"/>
        <v>1.4195365499999999</v>
      </c>
      <c r="G341" s="39">
        <f>SUM(F341:F344)</f>
        <v>7.8564315999999996</v>
      </c>
      <c r="H341" s="40"/>
      <c r="I341" s="139">
        <v>298.91250000000002</v>
      </c>
    </row>
    <row r="342" spans="1:9" ht="38.25" x14ac:dyDescent="0.25">
      <c r="A342" s="237"/>
      <c r="B342" s="30" t="s">
        <v>1575</v>
      </c>
      <c r="C342" s="41" t="s">
        <v>940</v>
      </c>
      <c r="D342" s="31">
        <v>1.5100000000000001E-2</v>
      </c>
      <c r="E342" s="25">
        <v>58.462999999999994</v>
      </c>
      <c r="F342" s="28">
        <f t="shared" si="5"/>
        <v>0.88279129999999995</v>
      </c>
      <c r="G342" s="39"/>
      <c r="H342" s="40"/>
      <c r="I342" s="139">
        <v>298.91250000000002</v>
      </c>
    </row>
    <row r="343" spans="1:9" ht="51" x14ac:dyDescent="0.25">
      <c r="A343" s="237"/>
      <c r="B343" s="30" t="s">
        <v>1073</v>
      </c>
      <c r="C343" s="41" t="s">
        <v>938</v>
      </c>
      <c r="D343" s="31">
        <v>2.6700000000000002E-2</v>
      </c>
      <c r="E343" s="25">
        <v>174.20150000000001</v>
      </c>
      <c r="F343" s="28">
        <f t="shared" si="5"/>
        <v>4.6511800500000007</v>
      </c>
      <c r="G343" s="39"/>
      <c r="H343" s="40"/>
      <c r="I343" s="139">
        <v>298.91250000000002</v>
      </c>
    </row>
    <row r="344" spans="1:9" ht="51" x14ac:dyDescent="0.25">
      <c r="A344" s="237"/>
      <c r="B344" s="30" t="s">
        <v>1074</v>
      </c>
      <c r="C344" s="41" t="s">
        <v>940</v>
      </c>
      <c r="D344" s="31">
        <v>2.0299999999999999E-2</v>
      </c>
      <c r="E344" s="25">
        <v>44.478999999999999</v>
      </c>
      <c r="F344" s="28">
        <f t="shared" si="5"/>
        <v>0.90292369999999988</v>
      </c>
      <c r="G344" s="39"/>
      <c r="H344" s="40"/>
      <c r="I344" s="139">
        <v>298.91250000000002</v>
      </c>
    </row>
    <row r="345" spans="1:9" ht="15.75" thickBot="1" x14ac:dyDescent="0.3">
      <c r="A345" s="243"/>
      <c r="B345" s="49" t="s">
        <v>521</v>
      </c>
      <c r="C345" s="49"/>
      <c r="D345" s="89"/>
      <c r="E345" s="61" t="s">
        <v>521</v>
      </c>
      <c r="F345" s="62" t="str">
        <f t="shared" si="5"/>
        <v/>
      </c>
      <c r="G345" s="63"/>
      <c r="H345" s="25"/>
      <c r="I345" s="139">
        <v>298.91250000000002</v>
      </c>
    </row>
    <row r="346" spans="1:9" ht="15" customHeight="1" thickBot="1" x14ac:dyDescent="0.3">
      <c r="A346" s="242" t="s">
        <v>1827</v>
      </c>
      <c r="B346" s="35" t="s">
        <v>521</v>
      </c>
      <c r="C346" s="20" t="s">
        <v>1284</v>
      </c>
      <c r="D346" s="87"/>
      <c r="E346" s="22" t="s">
        <v>521</v>
      </c>
      <c r="F346" s="20" t="str">
        <f t="shared" si="5"/>
        <v/>
      </c>
      <c r="G346" s="23"/>
      <c r="H346" s="24"/>
      <c r="I346" s="139">
        <v>0.20399999999999999</v>
      </c>
    </row>
    <row r="347" spans="1:9" x14ac:dyDescent="0.25">
      <c r="A347" s="237"/>
      <c r="B347" s="26" t="s">
        <v>521</v>
      </c>
      <c r="C347" s="26"/>
      <c r="D347" s="85"/>
      <c r="E347" s="25" t="s">
        <v>521</v>
      </c>
      <c r="F347" s="25" t="str">
        <f t="shared" si="5"/>
        <v/>
      </c>
      <c r="G347" s="29"/>
      <c r="H347" s="25"/>
      <c r="I347" s="139">
        <v>0.20399999999999999</v>
      </c>
    </row>
    <row r="348" spans="1:9" ht="38.25" x14ac:dyDescent="0.25">
      <c r="A348" s="237"/>
      <c r="B348" s="30" t="s">
        <v>1569</v>
      </c>
      <c r="C348" s="30" t="s">
        <v>938</v>
      </c>
      <c r="D348" s="31">
        <v>5.5599999999999998E-3</v>
      </c>
      <c r="E348" s="25">
        <v>171.02849999999998</v>
      </c>
      <c r="F348" s="28">
        <f t="shared" si="5"/>
        <v>0.95091845999999991</v>
      </c>
      <c r="G348" s="39">
        <f>SUM(F348:F351)</f>
        <v>5.2426479599999993</v>
      </c>
      <c r="H348" s="40"/>
      <c r="I348" s="139">
        <v>0.20399999999999999</v>
      </c>
    </row>
    <row r="349" spans="1:9" ht="38.25" x14ac:dyDescent="0.25">
      <c r="A349" s="237"/>
      <c r="B349" s="30" t="s">
        <v>1575</v>
      </c>
      <c r="C349" s="41" t="s">
        <v>940</v>
      </c>
      <c r="D349" s="31">
        <v>1.01E-2</v>
      </c>
      <c r="E349" s="25">
        <v>58.462999999999994</v>
      </c>
      <c r="F349" s="28">
        <f t="shared" si="5"/>
        <v>0.59047629999999995</v>
      </c>
      <c r="G349" s="39"/>
      <c r="H349" s="40"/>
      <c r="I349" s="139">
        <v>0.20399999999999999</v>
      </c>
    </row>
    <row r="350" spans="1:9" ht="51" x14ac:dyDescent="0.25">
      <c r="A350" s="237"/>
      <c r="B350" s="30" t="s">
        <v>1073</v>
      </c>
      <c r="C350" s="41" t="s">
        <v>938</v>
      </c>
      <c r="D350" s="31">
        <v>1.78E-2</v>
      </c>
      <c r="E350" s="25">
        <v>174.20150000000001</v>
      </c>
      <c r="F350" s="28">
        <f t="shared" si="5"/>
        <v>3.1007867</v>
      </c>
      <c r="G350" s="39"/>
      <c r="H350" s="40"/>
      <c r="I350" s="139">
        <v>0.20399999999999999</v>
      </c>
    </row>
    <row r="351" spans="1:9" ht="51" x14ac:dyDescent="0.25">
      <c r="A351" s="237"/>
      <c r="B351" s="30" t="s">
        <v>1074</v>
      </c>
      <c r="C351" s="41" t="s">
        <v>940</v>
      </c>
      <c r="D351" s="31">
        <v>1.35E-2</v>
      </c>
      <c r="E351" s="25">
        <v>44.478999999999999</v>
      </c>
      <c r="F351" s="28">
        <f t="shared" si="5"/>
        <v>0.60046650000000001</v>
      </c>
      <c r="G351" s="39"/>
      <c r="H351" s="40"/>
      <c r="I351" s="139">
        <v>0.20399999999999999</v>
      </c>
    </row>
    <row r="352" spans="1:9" ht="15.75" thickBot="1" x14ac:dyDescent="0.3">
      <c r="A352" s="243"/>
      <c r="B352" s="49" t="s">
        <v>521</v>
      </c>
      <c r="C352" s="49"/>
      <c r="D352" s="89"/>
      <c r="E352" s="61" t="s">
        <v>521</v>
      </c>
      <c r="F352" s="62" t="str">
        <f t="shared" si="5"/>
        <v/>
      </c>
      <c r="G352" s="63"/>
      <c r="H352" s="25"/>
      <c r="I352" s="139">
        <v>0.20399999999999999</v>
      </c>
    </row>
    <row r="353" spans="1:9" ht="15" hidden="1" customHeight="1" x14ac:dyDescent="0.25">
      <c r="A353" s="242" t="s">
        <v>1915</v>
      </c>
      <c r="B353" s="35" t="s">
        <v>521</v>
      </c>
      <c r="C353" s="20" t="s">
        <v>988</v>
      </c>
      <c r="D353" s="87"/>
      <c r="E353" s="22" t="s">
        <v>521</v>
      </c>
      <c r="F353" s="22" t="str">
        <f t="shared" si="5"/>
        <v/>
      </c>
      <c r="G353" s="23"/>
      <c r="H353" s="24"/>
      <c r="I353" s="139">
        <v>0</v>
      </c>
    </row>
    <row r="354" spans="1:9" ht="15.75" hidden="1" thickBot="1" x14ac:dyDescent="0.3">
      <c r="A354" s="237"/>
      <c r="B354" s="26" t="s">
        <v>521</v>
      </c>
      <c r="C354" s="26"/>
      <c r="D354" s="85"/>
      <c r="E354" s="25" t="s">
        <v>521</v>
      </c>
      <c r="F354" s="25" t="str">
        <f t="shared" si="5"/>
        <v/>
      </c>
      <c r="G354" s="29"/>
      <c r="H354" s="25"/>
      <c r="I354" s="139">
        <v>0</v>
      </c>
    </row>
    <row r="355" spans="1:9" ht="26.25" hidden="1" thickBot="1" x14ac:dyDescent="0.3">
      <c r="A355" s="237"/>
      <c r="B355" s="30" t="s">
        <v>1148</v>
      </c>
      <c r="C355" s="30" t="s">
        <v>102</v>
      </c>
      <c r="D355" s="31">
        <v>1.7000000000000001E-2</v>
      </c>
      <c r="E355" s="25">
        <v>7.0964999999999998</v>
      </c>
      <c r="F355" s="28">
        <f t="shared" si="5"/>
        <v>0.12064050000000001</v>
      </c>
      <c r="G355" s="39">
        <f>SUM(F355:F359)</f>
        <v>203.11503471499998</v>
      </c>
      <c r="H355" s="40"/>
      <c r="I355" s="139">
        <v>0</v>
      </c>
    </row>
    <row r="356" spans="1:9" ht="15.75" hidden="1" thickBot="1" x14ac:dyDescent="0.3">
      <c r="A356" s="237"/>
      <c r="B356" s="30" t="s">
        <v>1719</v>
      </c>
      <c r="C356" s="30" t="s">
        <v>897</v>
      </c>
      <c r="D356" s="31">
        <v>2.7E-2</v>
      </c>
      <c r="E356" s="28">
        <v>27.074999999999999</v>
      </c>
      <c r="F356" s="28">
        <f t="shared" si="5"/>
        <v>0.73102499999999992</v>
      </c>
      <c r="G356" s="39"/>
      <c r="H356" s="40"/>
      <c r="I356" s="139">
        <v>0</v>
      </c>
    </row>
    <row r="357" spans="1:9" ht="15.75" hidden="1" thickBot="1" x14ac:dyDescent="0.3">
      <c r="A357" s="237"/>
      <c r="B357" s="30" t="s">
        <v>785</v>
      </c>
      <c r="C357" s="30" t="s">
        <v>702</v>
      </c>
      <c r="D357" s="31">
        <v>0.48899999999999999</v>
      </c>
      <c r="E357" s="25">
        <v>19.494</v>
      </c>
      <c r="F357" s="28">
        <f t="shared" si="5"/>
        <v>9.5325659999999992</v>
      </c>
      <c r="G357" s="39"/>
      <c r="H357" s="40"/>
      <c r="I357" s="139">
        <v>0</v>
      </c>
    </row>
    <row r="358" spans="1:9" ht="15.75" hidden="1" thickBot="1" x14ac:dyDescent="0.3">
      <c r="A358" s="237"/>
      <c r="B358" s="30" t="s">
        <v>989</v>
      </c>
      <c r="C358" s="30" t="s">
        <v>702</v>
      </c>
      <c r="D358" s="31">
        <v>2.6680000000000001</v>
      </c>
      <c r="E358" s="25">
        <v>24.633499999999998</v>
      </c>
      <c r="F358" s="28">
        <f t="shared" si="5"/>
        <v>65.722178</v>
      </c>
      <c r="G358" s="39"/>
      <c r="H358" s="40"/>
      <c r="I358" s="139">
        <v>0</v>
      </c>
    </row>
    <row r="359" spans="1:9" ht="26.25" hidden="1" thickBot="1" x14ac:dyDescent="0.3">
      <c r="A359" s="237"/>
      <c r="B359" s="30" t="s">
        <v>1578</v>
      </c>
      <c r="C359" s="30" t="s">
        <v>988</v>
      </c>
      <c r="D359" s="31">
        <v>0.53</v>
      </c>
      <c r="E359" s="25">
        <v>239.63891549999997</v>
      </c>
      <c r="F359" s="28">
        <f t="shared" si="5"/>
        <v>127.008625215</v>
      </c>
      <c r="G359" s="39"/>
      <c r="H359" s="40"/>
      <c r="I359" s="139">
        <v>0</v>
      </c>
    </row>
    <row r="360" spans="1:9" ht="15.75" hidden="1" thickBot="1" x14ac:dyDescent="0.3">
      <c r="A360" s="243"/>
      <c r="B360" s="49" t="s">
        <v>521</v>
      </c>
      <c r="C360" s="49"/>
      <c r="D360" s="89"/>
      <c r="E360" s="61" t="s">
        <v>521</v>
      </c>
      <c r="F360" s="62" t="str">
        <f t="shared" si="5"/>
        <v/>
      </c>
      <c r="G360" s="63"/>
      <c r="H360" s="25"/>
      <c r="I360" s="139">
        <v>0</v>
      </c>
    </row>
    <row r="361" spans="1:9" ht="15" hidden="1" customHeight="1" thickBot="1" x14ac:dyDescent="0.3">
      <c r="A361" s="242" t="s">
        <v>1595</v>
      </c>
      <c r="B361" s="35" t="s">
        <v>521</v>
      </c>
      <c r="C361" s="20" t="s">
        <v>988</v>
      </c>
      <c r="D361" s="87"/>
      <c r="E361" s="22" t="s">
        <v>521</v>
      </c>
      <c r="F361" s="22" t="str">
        <f t="shared" si="5"/>
        <v/>
      </c>
      <c r="G361" s="23"/>
      <c r="H361" s="24"/>
      <c r="I361" s="139">
        <v>0</v>
      </c>
    </row>
    <row r="362" spans="1:9" ht="15.75" hidden="1" thickBot="1" x14ac:dyDescent="0.3">
      <c r="A362" s="237"/>
      <c r="B362" s="26" t="s">
        <v>521</v>
      </c>
      <c r="C362" s="26"/>
      <c r="D362" s="85"/>
      <c r="E362" s="25" t="s">
        <v>521</v>
      </c>
      <c r="F362" s="25" t="str">
        <f t="shared" si="5"/>
        <v/>
      </c>
      <c r="G362" s="29"/>
      <c r="H362" s="25"/>
      <c r="I362" s="139">
        <v>0</v>
      </c>
    </row>
    <row r="363" spans="1:9" ht="39" hidden="1" thickBot="1" x14ac:dyDescent="0.3">
      <c r="A363" s="237"/>
      <c r="B363" s="30" t="s">
        <v>1599</v>
      </c>
      <c r="C363" s="30" t="s">
        <v>120</v>
      </c>
      <c r="D363" s="31">
        <v>4.1999999999999997E-3</v>
      </c>
      <c r="E363" s="25">
        <v>596.11829166999985</v>
      </c>
      <c r="F363" s="28">
        <f t="shared" si="5"/>
        <v>2.503696825013999</v>
      </c>
      <c r="G363" s="39">
        <f>SUM(F363:F365)</f>
        <v>4.3749403250139993</v>
      </c>
      <c r="H363" s="40"/>
      <c r="I363" s="139">
        <v>0</v>
      </c>
    </row>
    <row r="364" spans="1:9" ht="15.75" hidden="1" thickBot="1" x14ac:dyDescent="0.3">
      <c r="A364" s="237"/>
      <c r="B364" s="30" t="s">
        <v>710</v>
      </c>
      <c r="C364" s="30" t="s">
        <v>702</v>
      </c>
      <c r="D364" s="31">
        <v>7.0000000000000007E-2</v>
      </c>
      <c r="E364" s="28">
        <v>24.889999999999997</v>
      </c>
      <c r="F364" s="28">
        <f t="shared" si="5"/>
        <v>1.7423</v>
      </c>
      <c r="G364" s="39"/>
      <c r="H364" s="40"/>
      <c r="I364" s="139">
        <v>0</v>
      </c>
    </row>
    <row r="365" spans="1:9" ht="15.75" hidden="1" thickBot="1" x14ac:dyDescent="0.3">
      <c r="A365" s="237"/>
      <c r="B365" s="30" t="s">
        <v>703</v>
      </c>
      <c r="C365" s="30" t="s">
        <v>702</v>
      </c>
      <c r="D365" s="31">
        <v>7.0000000000000001E-3</v>
      </c>
      <c r="E365" s="25">
        <v>18.420500000000001</v>
      </c>
      <c r="F365" s="28">
        <f t="shared" si="5"/>
        <v>0.12894350000000002</v>
      </c>
      <c r="G365" s="39"/>
      <c r="H365" s="40"/>
      <c r="I365" s="139">
        <v>0</v>
      </c>
    </row>
    <row r="366" spans="1:9" ht="15.75" hidden="1" thickBot="1" x14ac:dyDescent="0.3">
      <c r="A366" s="243"/>
      <c r="B366" s="30"/>
      <c r="C366" s="30"/>
      <c r="D366" s="31"/>
      <c r="E366" s="25" t="s">
        <v>521</v>
      </c>
      <c r="F366" s="28"/>
      <c r="G366" s="39"/>
      <c r="H366" s="40"/>
      <c r="I366" s="139">
        <v>0</v>
      </c>
    </row>
    <row r="367" spans="1:9" ht="15" hidden="1" customHeight="1" thickBot="1" x14ac:dyDescent="0.3">
      <c r="A367" s="242" t="s">
        <v>1596</v>
      </c>
      <c r="B367" s="35" t="s">
        <v>521</v>
      </c>
      <c r="C367" s="20" t="s">
        <v>988</v>
      </c>
      <c r="D367" s="87"/>
      <c r="E367" s="22" t="s">
        <v>521</v>
      </c>
      <c r="F367" s="22" t="str">
        <f>IF(ISNUMBER(E367),E367*$D367,"")</f>
        <v/>
      </c>
      <c r="G367" s="23"/>
      <c r="H367" s="24"/>
      <c r="I367" s="139">
        <v>0</v>
      </c>
    </row>
    <row r="368" spans="1:9" ht="15.75" hidden="1" thickBot="1" x14ac:dyDescent="0.3">
      <c r="A368" s="237"/>
      <c r="B368" s="26" t="s">
        <v>521</v>
      </c>
      <c r="C368" s="26"/>
      <c r="D368" s="85"/>
      <c r="E368" s="25" t="s">
        <v>521</v>
      </c>
      <c r="F368" s="25" t="str">
        <f>IF(ISNUMBER(E368),E368*$D368,"")</f>
        <v/>
      </c>
      <c r="G368" s="29"/>
      <c r="H368" s="25"/>
      <c r="I368" s="139">
        <v>0</v>
      </c>
    </row>
    <row r="369" spans="1:9" ht="51.75" hidden="1" thickBot="1" x14ac:dyDescent="0.3">
      <c r="A369" s="237"/>
      <c r="B369" s="30" t="s">
        <v>153</v>
      </c>
      <c r="C369" s="30" t="s">
        <v>120</v>
      </c>
      <c r="D369" s="31">
        <v>2.1299999999999999E-2</v>
      </c>
      <c r="E369" s="25">
        <v>682.27702877599995</v>
      </c>
      <c r="F369" s="28">
        <f>IF(ISNUMBER(E369),E369*$D369,"")</f>
        <v>14.532500712928799</v>
      </c>
      <c r="G369" s="39">
        <f>SUM(F369:F371)</f>
        <v>29.058124212928799</v>
      </c>
      <c r="H369" s="40"/>
      <c r="I369" s="139">
        <v>0</v>
      </c>
    </row>
    <row r="370" spans="1:9" ht="15.75" hidden="1" thickBot="1" x14ac:dyDescent="0.3">
      <c r="A370" s="237"/>
      <c r="B370" s="30" t="s">
        <v>710</v>
      </c>
      <c r="C370" s="30" t="s">
        <v>702</v>
      </c>
      <c r="D370" s="31">
        <v>0.46</v>
      </c>
      <c r="E370" s="28">
        <v>24.889999999999997</v>
      </c>
      <c r="F370" s="28">
        <f>IF(ISNUMBER(E370),E370*$D370,"")</f>
        <v>11.449399999999999</v>
      </c>
      <c r="G370" s="39"/>
      <c r="H370" s="40"/>
      <c r="I370" s="139">
        <v>0</v>
      </c>
    </row>
    <row r="371" spans="1:9" ht="15.75" hidden="1" thickBot="1" x14ac:dyDescent="0.3">
      <c r="A371" s="237"/>
      <c r="B371" s="30" t="s">
        <v>703</v>
      </c>
      <c r="C371" s="30" t="s">
        <v>702</v>
      </c>
      <c r="D371" s="31">
        <v>0.16700000000000001</v>
      </c>
      <c r="E371" s="25">
        <v>18.420500000000001</v>
      </c>
      <c r="F371" s="28">
        <f>IF(ISNUMBER(E371),E371*$D371,"")</f>
        <v>3.0762235000000002</v>
      </c>
      <c r="G371" s="39"/>
      <c r="H371" s="40"/>
      <c r="I371" s="139">
        <v>0</v>
      </c>
    </row>
    <row r="372" spans="1:9" ht="15.75" hidden="1" thickBot="1" x14ac:dyDescent="0.3">
      <c r="A372" s="243"/>
      <c r="B372" s="30"/>
      <c r="C372" s="30"/>
      <c r="D372" s="31"/>
      <c r="E372" s="25" t="s">
        <v>521</v>
      </c>
      <c r="F372" s="28"/>
      <c r="G372" s="39"/>
      <c r="H372" s="40"/>
      <c r="I372" s="139">
        <v>0</v>
      </c>
    </row>
    <row r="373" spans="1:9" ht="15" hidden="1" customHeight="1" thickBot="1" x14ac:dyDescent="0.3">
      <c r="A373" s="242" t="s">
        <v>2374</v>
      </c>
      <c r="B373" s="35" t="s">
        <v>521</v>
      </c>
      <c r="C373" s="20" t="s">
        <v>988</v>
      </c>
      <c r="D373" s="87"/>
      <c r="E373" s="22" t="s">
        <v>521</v>
      </c>
      <c r="F373" s="22" t="str">
        <f t="shared" ref="F373:F381" si="6">IF(ISNUMBER(E373),E373*$D373,"")</f>
        <v/>
      </c>
      <c r="G373" s="23"/>
      <c r="H373" s="24"/>
      <c r="I373" s="139">
        <v>0</v>
      </c>
    </row>
    <row r="374" spans="1:9" ht="15.75" hidden="1" thickBot="1" x14ac:dyDescent="0.3">
      <c r="A374" s="237"/>
      <c r="B374" s="26" t="s">
        <v>521</v>
      </c>
      <c r="C374" s="26"/>
      <c r="D374" s="85"/>
      <c r="E374" s="25" t="s">
        <v>521</v>
      </c>
      <c r="F374" s="25" t="str">
        <f t="shared" si="6"/>
        <v/>
      </c>
      <c r="G374" s="29"/>
      <c r="H374" s="25"/>
      <c r="I374" s="139">
        <v>0</v>
      </c>
    </row>
    <row r="375" spans="1:9" ht="26.25" hidden="1" thickBot="1" x14ac:dyDescent="0.3">
      <c r="A375" s="237"/>
      <c r="B375" s="30" t="s">
        <v>1737</v>
      </c>
      <c r="C375" s="30" t="s">
        <v>479</v>
      </c>
      <c r="D375" s="31">
        <v>0.42</v>
      </c>
      <c r="E375" s="25">
        <v>3.1159999999999997</v>
      </c>
      <c r="F375" s="28">
        <f t="shared" si="6"/>
        <v>1.3087199999999999</v>
      </c>
      <c r="G375" s="39">
        <f>SUM(F375:F380)</f>
        <v>56.75151609927039</v>
      </c>
      <c r="H375" s="40"/>
      <c r="I375" s="139">
        <v>0</v>
      </c>
    </row>
    <row r="376" spans="1:9" ht="15.75" hidden="1" thickBot="1" x14ac:dyDescent="0.3">
      <c r="A376" s="237"/>
      <c r="B376" s="30" t="s">
        <v>1716</v>
      </c>
      <c r="C376" s="30" t="s">
        <v>1245</v>
      </c>
      <c r="D376" s="31">
        <v>5.0000000000000001E-3</v>
      </c>
      <c r="E376" s="28">
        <v>38.313499999999998</v>
      </c>
      <c r="F376" s="28">
        <f t="shared" si="6"/>
        <v>0.1915675</v>
      </c>
      <c r="G376" s="39"/>
      <c r="H376" s="40"/>
      <c r="I376" s="139">
        <v>0</v>
      </c>
    </row>
    <row r="377" spans="1:9" ht="26.25" hidden="1" thickBot="1" x14ac:dyDescent="0.3">
      <c r="A377" s="237"/>
      <c r="B377" s="30" t="s">
        <v>2357</v>
      </c>
      <c r="C377" s="30" t="s">
        <v>279</v>
      </c>
      <c r="D377" s="31">
        <v>13.6</v>
      </c>
      <c r="E377" s="25">
        <v>2.0614999999999997</v>
      </c>
      <c r="F377" s="28">
        <f t="shared" si="6"/>
        <v>28.036399999999993</v>
      </c>
      <c r="G377" s="39"/>
      <c r="H377" s="40"/>
      <c r="I377" s="139">
        <v>0</v>
      </c>
    </row>
    <row r="378" spans="1:9" ht="51.75" hidden="1" thickBot="1" x14ac:dyDescent="0.3">
      <c r="A378" s="237"/>
      <c r="B378" s="30" t="s">
        <v>153</v>
      </c>
      <c r="C378" s="30" t="s">
        <v>120</v>
      </c>
      <c r="D378" s="31">
        <v>1.04E-2</v>
      </c>
      <c r="E378" s="25">
        <v>682.27702877599995</v>
      </c>
      <c r="F378" s="28">
        <f t="shared" si="6"/>
        <v>7.0956810992703989</v>
      </c>
      <c r="G378" s="39"/>
      <c r="H378" s="40"/>
      <c r="I378" s="139">
        <v>0</v>
      </c>
    </row>
    <row r="379" spans="1:9" ht="15.75" hidden="1" thickBot="1" x14ac:dyDescent="0.3">
      <c r="A379" s="237"/>
      <c r="B379" s="30" t="s">
        <v>710</v>
      </c>
      <c r="C379" s="30" t="s">
        <v>702</v>
      </c>
      <c r="D379" s="31">
        <v>0.59</v>
      </c>
      <c r="E379" s="25">
        <v>24.889999999999997</v>
      </c>
      <c r="F379" s="28">
        <f t="shared" si="6"/>
        <v>14.685099999999997</v>
      </c>
      <c r="G379" s="39"/>
      <c r="H379" s="40"/>
      <c r="I379" s="139">
        <v>0</v>
      </c>
    </row>
    <row r="380" spans="1:9" ht="15.75" hidden="1" thickBot="1" x14ac:dyDescent="0.3">
      <c r="A380" s="237"/>
      <c r="B380" s="30" t="s">
        <v>703</v>
      </c>
      <c r="C380" s="30" t="s">
        <v>702</v>
      </c>
      <c r="D380" s="31">
        <v>0.29499999999999998</v>
      </c>
      <c r="E380" s="25">
        <v>18.420500000000001</v>
      </c>
      <c r="F380" s="28">
        <f t="shared" si="6"/>
        <v>5.4340475000000001</v>
      </c>
      <c r="G380" s="39"/>
      <c r="H380" s="40"/>
      <c r="I380" s="139">
        <v>0</v>
      </c>
    </row>
    <row r="381" spans="1:9" ht="15.75" hidden="1" thickBot="1" x14ac:dyDescent="0.3">
      <c r="A381" s="243"/>
      <c r="B381" s="49" t="s">
        <v>521</v>
      </c>
      <c r="C381" s="49"/>
      <c r="D381" s="89"/>
      <c r="E381" s="61" t="s">
        <v>521</v>
      </c>
      <c r="F381" s="62" t="str">
        <f t="shared" si="6"/>
        <v/>
      </c>
      <c r="G381" s="63"/>
      <c r="H381" s="25"/>
      <c r="I381" s="139">
        <v>0</v>
      </c>
    </row>
    <row r="382" spans="1:9" ht="26.25" hidden="1" customHeight="1" thickBot="1" x14ac:dyDescent="0.3">
      <c r="A382" s="242" t="s">
        <v>1913</v>
      </c>
      <c r="B382" s="35" t="s">
        <v>521</v>
      </c>
      <c r="C382" s="72" t="s">
        <v>988</v>
      </c>
      <c r="D382" s="87"/>
      <c r="E382" s="36" t="s">
        <v>521</v>
      </c>
      <c r="F382" s="36" t="str">
        <f t="shared" ref="F382:F398" si="7">IF(ISNUMBER(E382),ROUND(E382*$D382,2),"")</f>
        <v/>
      </c>
      <c r="G382" s="23"/>
      <c r="H382" s="24"/>
      <c r="I382" s="139">
        <v>0</v>
      </c>
    </row>
    <row r="383" spans="1:9" ht="15.75" hidden="1" thickBot="1" x14ac:dyDescent="0.3">
      <c r="A383" s="237"/>
      <c r="B383" s="26" t="s">
        <v>521</v>
      </c>
      <c r="C383" s="73"/>
      <c r="D383" s="85"/>
      <c r="E383" s="91" t="s">
        <v>521</v>
      </c>
      <c r="F383" s="92" t="str">
        <f t="shared" si="7"/>
        <v/>
      </c>
      <c r="G383" s="29"/>
      <c r="H383" s="25"/>
      <c r="I383" s="139">
        <v>0</v>
      </c>
    </row>
    <row r="384" spans="1:9" ht="26.25" hidden="1" thickBot="1" x14ac:dyDescent="0.3">
      <c r="A384" s="237"/>
      <c r="B384" s="30" t="s">
        <v>1930</v>
      </c>
      <c r="C384" s="44" t="s">
        <v>479</v>
      </c>
      <c r="D384" s="31">
        <v>4.4320000000000004</v>
      </c>
      <c r="E384" s="28">
        <v>2.8025000000000002</v>
      </c>
      <c r="F384" s="28">
        <f t="shared" si="7"/>
        <v>12.42</v>
      </c>
      <c r="G384" s="39">
        <f>SUM(F384:F390)</f>
        <v>239.64</v>
      </c>
      <c r="H384" s="40"/>
      <c r="I384" s="139">
        <v>0</v>
      </c>
    </row>
    <row r="385" spans="1:9" ht="15.75" hidden="1" thickBot="1" x14ac:dyDescent="0.3">
      <c r="A385" s="237"/>
      <c r="B385" s="30" t="s">
        <v>1362</v>
      </c>
      <c r="C385" s="44" t="s">
        <v>897</v>
      </c>
      <c r="D385" s="31">
        <v>8.5999999999999993E-2</v>
      </c>
      <c r="E385" s="28">
        <v>21.935499999999998</v>
      </c>
      <c r="F385" s="28">
        <f t="shared" si="7"/>
        <v>1.89</v>
      </c>
      <c r="G385" s="39"/>
      <c r="H385" s="40"/>
      <c r="I385" s="139">
        <v>0</v>
      </c>
    </row>
    <row r="386" spans="1:9" ht="26.25" hidden="1" thickBot="1" x14ac:dyDescent="0.3">
      <c r="A386" s="237"/>
      <c r="B386" s="30" t="s">
        <v>1955</v>
      </c>
      <c r="C386" s="44" t="s">
        <v>479</v>
      </c>
      <c r="D386" s="31">
        <v>6.53</v>
      </c>
      <c r="E386" s="25">
        <v>30.950999999999997</v>
      </c>
      <c r="F386" s="28">
        <f t="shared" si="7"/>
        <v>202.11</v>
      </c>
      <c r="G386" s="39"/>
      <c r="H386" s="40"/>
      <c r="I386" s="139">
        <v>0</v>
      </c>
    </row>
    <row r="387" spans="1:9" ht="15.75" hidden="1" thickBot="1" x14ac:dyDescent="0.3">
      <c r="A387" s="237"/>
      <c r="B387" s="30" t="s">
        <v>785</v>
      </c>
      <c r="C387" s="44" t="s">
        <v>702</v>
      </c>
      <c r="D387" s="31">
        <v>0.14299999999999999</v>
      </c>
      <c r="E387" s="25">
        <v>19.494</v>
      </c>
      <c r="F387" s="28">
        <f t="shared" si="7"/>
        <v>2.79</v>
      </c>
      <c r="G387" s="39"/>
      <c r="H387" s="40"/>
      <c r="I387" s="139">
        <v>0</v>
      </c>
    </row>
    <row r="388" spans="1:9" ht="15.75" hidden="1" thickBot="1" x14ac:dyDescent="0.3">
      <c r="A388" s="237"/>
      <c r="B388" s="30" t="s">
        <v>989</v>
      </c>
      <c r="C388" s="44" t="s">
        <v>702</v>
      </c>
      <c r="D388" s="31">
        <v>0.71499999999999997</v>
      </c>
      <c r="E388" s="25">
        <v>24.633499999999998</v>
      </c>
      <c r="F388" s="28">
        <f t="shared" si="7"/>
        <v>17.61</v>
      </c>
      <c r="G388" s="39"/>
      <c r="H388" s="40"/>
      <c r="I388" s="139">
        <v>0</v>
      </c>
    </row>
    <row r="389" spans="1:9" ht="26.25" hidden="1" thickBot="1" x14ac:dyDescent="0.3">
      <c r="A389" s="237"/>
      <c r="B389" s="30" t="s">
        <v>1152</v>
      </c>
      <c r="C389" s="44" t="s">
        <v>938</v>
      </c>
      <c r="D389" s="31">
        <v>0.05</v>
      </c>
      <c r="E389" s="25">
        <v>20.234999999999999</v>
      </c>
      <c r="F389" s="28">
        <f t="shared" si="7"/>
        <v>1.01</v>
      </c>
      <c r="G389" s="39"/>
      <c r="H389" s="40"/>
      <c r="I389" s="139">
        <v>0</v>
      </c>
    </row>
    <row r="390" spans="1:9" ht="26.25" hidden="1" thickBot="1" x14ac:dyDescent="0.3">
      <c r="A390" s="237"/>
      <c r="B390" s="30" t="s">
        <v>1153</v>
      </c>
      <c r="C390" s="44" t="s">
        <v>940</v>
      </c>
      <c r="D390" s="31">
        <v>9.2999999999999999E-2</v>
      </c>
      <c r="E390" s="28">
        <v>19.456</v>
      </c>
      <c r="F390" s="28">
        <f t="shared" si="7"/>
        <v>1.81</v>
      </c>
      <c r="G390" s="39"/>
      <c r="H390" s="40"/>
      <c r="I390" s="139">
        <v>0</v>
      </c>
    </row>
    <row r="391" spans="1:9" ht="15.75" hidden="1" thickBot="1" x14ac:dyDescent="0.3">
      <c r="A391" s="243"/>
      <c r="B391" s="97"/>
      <c r="C391" s="74"/>
      <c r="D391" s="89"/>
      <c r="E391" s="61" t="s">
        <v>521</v>
      </c>
      <c r="F391" s="61" t="str">
        <f t="shared" si="7"/>
        <v/>
      </c>
      <c r="G391" s="63"/>
      <c r="H391" s="25"/>
      <c r="I391" s="139">
        <v>0</v>
      </c>
    </row>
    <row r="392" spans="1:9" ht="26.25" hidden="1" customHeight="1" thickBot="1" x14ac:dyDescent="0.3">
      <c r="A392" s="242" t="s">
        <v>1599</v>
      </c>
      <c r="B392" s="35" t="s">
        <v>521</v>
      </c>
      <c r="C392" s="72" t="s">
        <v>120</v>
      </c>
      <c r="D392" s="87"/>
      <c r="E392" s="36" t="s">
        <v>521</v>
      </c>
      <c r="F392" s="36" t="str">
        <f t="shared" si="7"/>
        <v/>
      </c>
      <c r="G392" s="23"/>
      <c r="H392" s="24"/>
      <c r="I392" s="139">
        <v>0</v>
      </c>
    </row>
    <row r="393" spans="1:9" ht="15.75" hidden="1" thickBot="1" x14ac:dyDescent="0.3">
      <c r="A393" s="237"/>
      <c r="B393" s="26" t="s">
        <v>521</v>
      </c>
      <c r="C393" s="73"/>
      <c r="D393" s="85"/>
      <c r="E393" s="91" t="s">
        <v>521</v>
      </c>
      <c r="F393" s="92" t="str">
        <f t="shared" si="7"/>
        <v/>
      </c>
      <c r="G393" s="29"/>
      <c r="H393" s="25"/>
      <c r="I393" s="139">
        <v>0</v>
      </c>
    </row>
    <row r="394" spans="1:9" ht="26.25" hidden="1" thickBot="1" x14ac:dyDescent="0.3">
      <c r="A394" s="237"/>
      <c r="B394" s="30" t="s">
        <v>1282</v>
      </c>
      <c r="C394" s="44" t="s">
        <v>120</v>
      </c>
      <c r="D394" s="31">
        <v>0.95</v>
      </c>
      <c r="E394" s="28">
        <v>188.59399999999999</v>
      </c>
      <c r="F394" s="28">
        <f t="shared" si="7"/>
        <v>179.16</v>
      </c>
      <c r="G394" s="39">
        <f>SUM(F394:F402)</f>
        <v>596.11559166999996</v>
      </c>
      <c r="H394" s="40"/>
      <c r="I394" s="139">
        <v>0</v>
      </c>
    </row>
    <row r="395" spans="1:9" ht="15.75" hidden="1" thickBot="1" x14ac:dyDescent="0.3">
      <c r="A395" s="237"/>
      <c r="B395" s="30" t="s">
        <v>747</v>
      </c>
      <c r="C395" s="44" t="s">
        <v>897</v>
      </c>
      <c r="D395" s="31">
        <v>426.49</v>
      </c>
      <c r="E395" s="28">
        <v>0.64600000000000002</v>
      </c>
      <c r="F395" s="28">
        <f t="shared" si="7"/>
        <v>275.51</v>
      </c>
      <c r="G395" s="39"/>
      <c r="H395" s="40"/>
      <c r="I395" s="139">
        <v>0</v>
      </c>
    </row>
    <row r="396" spans="1:9" ht="26.25" hidden="1" thickBot="1" x14ac:dyDescent="0.3">
      <c r="A396" s="237"/>
      <c r="B396" s="30" t="s">
        <v>1434</v>
      </c>
      <c r="C396" s="44" t="s">
        <v>702</v>
      </c>
      <c r="D396" s="31">
        <v>4.32</v>
      </c>
      <c r="E396" s="25">
        <v>18.534500000000001</v>
      </c>
      <c r="F396" s="28">
        <f t="shared" si="7"/>
        <v>80.069999999999993</v>
      </c>
      <c r="G396" s="39"/>
      <c r="H396" s="40"/>
      <c r="I396" s="139">
        <v>0</v>
      </c>
    </row>
    <row r="397" spans="1:9" ht="39" hidden="1" thickBot="1" x14ac:dyDescent="0.3">
      <c r="A397" s="237"/>
      <c r="B397" s="30" t="s">
        <v>117</v>
      </c>
      <c r="C397" s="44" t="s">
        <v>938</v>
      </c>
      <c r="D397" s="31">
        <v>1.01</v>
      </c>
      <c r="E397" s="25">
        <v>1.3964999999999999</v>
      </c>
      <c r="F397" s="28">
        <f t="shared" si="7"/>
        <v>1.41</v>
      </c>
      <c r="G397" s="39"/>
      <c r="H397" s="40"/>
      <c r="I397" s="139">
        <v>0</v>
      </c>
    </row>
    <row r="398" spans="1:9" ht="39" hidden="1" thickBot="1" x14ac:dyDescent="0.3">
      <c r="A398" s="237"/>
      <c r="B398" s="30" t="s">
        <v>118</v>
      </c>
      <c r="C398" s="44" t="s">
        <v>940</v>
      </c>
      <c r="D398" s="31">
        <v>3.31</v>
      </c>
      <c r="E398" s="25">
        <v>0.3705</v>
      </c>
      <c r="F398" s="28">
        <f t="shared" si="7"/>
        <v>1.23</v>
      </c>
      <c r="G398" s="39"/>
      <c r="H398" s="40"/>
      <c r="I398" s="139">
        <v>0</v>
      </c>
    </row>
    <row r="399" spans="1:9" ht="51.75" hidden="1" thickBot="1" x14ac:dyDescent="0.3">
      <c r="A399" s="237"/>
      <c r="B399" s="30" t="s">
        <v>1826</v>
      </c>
      <c r="C399" s="30" t="s">
        <v>120</v>
      </c>
      <c r="D399" s="31">
        <f>ROUND(1*(D394),4)</f>
        <v>0.95</v>
      </c>
      <c r="E399" s="25">
        <v>8.0614416000000002</v>
      </c>
      <c r="F399" s="28">
        <f>IF(ISNUMBER(E399),E399*$D399,"")</f>
        <v>7.6583695199999999</v>
      </c>
      <c r="G399" s="39"/>
      <c r="H399" s="40"/>
      <c r="I399" s="139">
        <v>0</v>
      </c>
    </row>
    <row r="400" spans="1:9" ht="39" hidden="1" thickBot="1" x14ac:dyDescent="0.3">
      <c r="A400" s="237"/>
      <c r="B400" s="30" t="s">
        <v>1823</v>
      </c>
      <c r="C400" s="41" t="s">
        <v>122</v>
      </c>
      <c r="D400" s="31">
        <f>ROUND(D394*20,4)</f>
        <v>19</v>
      </c>
      <c r="E400" s="25">
        <v>2.6882748499999995</v>
      </c>
      <c r="F400" s="28">
        <f>IF(ISNUMBER(E400),E400*$D400,"")</f>
        <v>51.07722214999999</v>
      </c>
      <c r="G400" s="39"/>
      <c r="H400" s="40"/>
      <c r="I400" s="139">
        <v>0</v>
      </c>
    </row>
    <row r="401" spans="1:9" ht="15.75" hidden="1" thickBot="1" x14ac:dyDescent="0.3">
      <c r="A401" s="237"/>
      <c r="B401" s="45"/>
      <c r="C401" s="119"/>
      <c r="D401" s="31"/>
      <c r="E401" s="25" t="s">
        <v>521</v>
      </c>
      <c r="F401" s="28" t="str">
        <f t="shared" ref="F401:F410" si="8">IF(ISNUMBER(E401),ROUND(E401*$D401,2),"")</f>
        <v/>
      </c>
      <c r="G401" s="39"/>
      <c r="H401" s="40"/>
      <c r="I401" s="139">
        <v>0</v>
      </c>
    </row>
    <row r="402" spans="1:9" ht="15.75" hidden="1" thickBot="1" x14ac:dyDescent="0.3">
      <c r="A402" s="237"/>
      <c r="B402" s="42" t="s">
        <v>754</v>
      </c>
      <c r="C402" s="119"/>
      <c r="D402" s="31"/>
      <c r="E402" s="25" t="s">
        <v>521</v>
      </c>
      <c r="F402" s="28" t="str">
        <f t="shared" si="8"/>
        <v/>
      </c>
      <c r="G402" s="39"/>
      <c r="H402" s="40"/>
      <c r="I402" s="139">
        <v>0</v>
      </c>
    </row>
    <row r="403" spans="1:9" ht="15.75" hidden="1" thickBot="1" x14ac:dyDescent="0.3">
      <c r="A403" s="243"/>
      <c r="B403" s="97"/>
      <c r="C403" s="74"/>
      <c r="D403" s="89"/>
      <c r="E403" s="61" t="s">
        <v>521</v>
      </c>
      <c r="F403" s="61" t="str">
        <f t="shared" si="8"/>
        <v/>
      </c>
      <c r="G403" s="63"/>
      <c r="H403" s="25"/>
      <c r="I403" s="139">
        <v>0</v>
      </c>
    </row>
    <row r="404" spans="1:9" ht="26.25" hidden="1" customHeight="1" thickBot="1" x14ac:dyDescent="0.3">
      <c r="A404" s="242" t="s">
        <v>1598</v>
      </c>
      <c r="B404" s="35" t="s">
        <v>521</v>
      </c>
      <c r="C404" s="72" t="s">
        <v>120</v>
      </c>
      <c r="D404" s="87"/>
      <c r="E404" s="36" t="s">
        <v>521</v>
      </c>
      <c r="F404" s="36" t="str">
        <f t="shared" si="8"/>
        <v/>
      </c>
      <c r="G404" s="23"/>
      <c r="H404" s="24"/>
      <c r="I404" s="139">
        <v>0</v>
      </c>
    </row>
    <row r="405" spans="1:9" ht="15.75" hidden="1" thickBot="1" x14ac:dyDescent="0.3">
      <c r="A405" s="237"/>
      <c r="B405" s="26" t="s">
        <v>521</v>
      </c>
      <c r="C405" s="73"/>
      <c r="D405" s="85"/>
      <c r="E405" s="91" t="s">
        <v>521</v>
      </c>
      <c r="F405" s="92" t="str">
        <f t="shared" si="8"/>
        <v/>
      </c>
      <c r="G405" s="29"/>
      <c r="H405" s="25"/>
      <c r="I405" s="139">
        <v>0</v>
      </c>
    </row>
    <row r="406" spans="1:9" ht="26.25" hidden="1" thickBot="1" x14ac:dyDescent="0.3">
      <c r="A406" s="237"/>
      <c r="B406" s="30" t="s">
        <v>1282</v>
      </c>
      <c r="C406" s="44" t="s">
        <v>120</v>
      </c>
      <c r="D406" s="31">
        <v>1.27</v>
      </c>
      <c r="E406" s="28">
        <v>188.59399999999999</v>
      </c>
      <c r="F406" s="28">
        <f t="shared" si="8"/>
        <v>239.51</v>
      </c>
      <c r="G406" s="39">
        <f>SUM(F406:F414)</f>
        <v>773.20021202199996</v>
      </c>
      <c r="H406" s="40"/>
      <c r="I406" s="139">
        <v>0</v>
      </c>
    </row>
    <row r="407" spans="1:9" ht="15.75" hidden="1" thickBot="1" x14ac:dyDescent="0.3">
      <c r="A407" s="237"/>
      <c r="B407" s="30" t="s">
        <v>747</v>
      </c>
      <c r="C407" s="44" t="s">
        <v>897</v>
      </c>
      <c r="D407" s="31">
        <v>573.61</v>
      </c>
      <c r="E407" s="28">
        <v>0.64600000000000002</v>
      </c>
      <c r="F407" s="28">
        <f t="shared" si="8"/>
        <v>370.55</v>
      </c>
      <c r="G407" s="39"/>
      <c r="H407" s="40"/>
      <c r="I407" s="139">
        <v>0</v>
      </c>
    </row>
    <row r="408" spans="1:9" ht="26.25" hidden="1" thickBot="1" x14ac:dyDescent="0.3">
      <c r="A408" s="237"/>
      <c r="B408" s="30" t="s">
        <v>1434</v>
      </c>
      <c r="C408" s="44" t="s">
        <v>702</v>
      </c>
      <c r="D408" s="31">
        <v>4.42</v>
      </c>
      <c r="E408" s="25">
        <v>18.534500000000001</v>
      </c>
      <c r="F408" s="28">
        <f t="shared" si="8"/>
        <v>81.92</v>
      </c>
      <c r="G408" s="39"/>
      <c r="H408" s="40"/>
      <c r="I408" s="139">
        <v>0</v>
      </c>
    </row>
    <row r="409" spans="1:9" ht="39" hidden="1" thickBot="1" x14ac:dyDescent="0.3">
      <c r="A409" s="237"/>
      <c r="B409" s="30" t="s">
        <v>117</v>
      </c>
      <c r="C409" s="44" t="s">
        <v>938</v>
      </c>
      <c r="D409" s="31">
        <v>1.03</v>
      </c>
      <c r="E409" s="25">
        <v>1.3964999999999999</v>
      </c>
      <c r="F409" s="28">
        <f t="shared" si="8"/>
        <v>1.44</v>
      </c>
      <c r="G409" s="39"/>
      <c r="H409" s="40"/>
      <c r="I409" s="139">
        <v>0</v>
      </c>
    </row>
    <row r="410" spans="1:9" ht="39" hidden="1" thickBot="1" x14ac:dyDescent="0.3">
      <c r="A410" s="237"/>
      <c r="B410" s="30" t="s">
        <v>118</v>
      </c>
      <c r="C410" s="44" t="s">
        <v>940</v>
      </c>
      <c r="D410" s="31">
        <v>3.39</v>
      </c>
      <c r="E410" s="25">
        <v>0.3705</v>
      </c>
      <c r="F410" s="28">
        <f t="shared" si="8"/>
        <v>1.26</v>
      </c>
      <c r="G410" s="39"/>
      <c r="H410" s="40"/>
      <c r="I410" s="139">
        <v>0</v>
      </c>
    </row>
    <row r="411" spans="1:9" ht="51.75" hidden="1" thickBot="1" x14ac:dyDescent="0.3">
      <c r="A411" s="237"/>
      <c r="B411" s="30" t="s">
        <v>1826</v>
      </c>
      <c r="C411" s="30" t="s">
        <v>120</v>
      </c>
      <c r="D411" s="31">
        <f>ROUND(1*(D406),4)</f>
        <v>1.27</v>
      </c>
      <c r="E411" s="25">
        <v>8.0614416000000002</v>
      </c>
      <c r="F411" s="28">
        <f>IF(ISNUMBER(E411),E411*$D411,"")</f>
        <v>10.238030832</v>
      </c>
      <c r="G411" s="39"/>
      <c r="H411" s="40"/>
      <c r="I411" s="139">
        <v>0</v>
      </c>
    </row>
    <row r="412" spans="1:9" ht="39" hidden="1" thickBot="1" x14ac:dyDescent="0.3">
      <c r="A412" s="237"/>
      <c r="B412" s="30" t="s">
        <v>1823</v>
      </c>
      <c r="C412" s="41" t="s">
        <v>122</v>
      </c>
      <c r="D412" s="31">
        <f>ROUND(D406*20,4)</f>
        <v>25.4</v>
      </c>
      <c r="E412" s="25">
        <v>2.6882748499999995</v>
      </c>
      <c r="F412" s="28">
        <f>IF(ISNUMBER(E412),E412*$D412,"")</f>
        <v>68.282181189999989</v>
      </c>
      <c r="G412" s="39"/>
      <c r="H412" s="40"/>
      <c r="I412" s="139">
        <v>0</v>
      </c>
    </row>
    <row r="413" spans="1:9" ht="15.75" hidden="1" thickBot="1" x14ac:dyDescent="0.3">
      <c r="A413" s="237"/>
      <c r="B413" s="45"/>
      <c r="C413" s="119"/>
      <c r="D413" s="31"/>
      <c r="E413" s="25" t="s">
        <v>521</v>
      </c>
      <c r="F413" s="28" t="str">
        <f t="shared" ref="F413:F421" si="9">IF(ISNUMBER(E413),ROUND(E413*$D413,2),"")</f>
        <v/>
      </c>
      <c r="G413" s="39"/>
      <c r="H413" s="40"/>
      <c r="I413" s="139">
        <v>0</v>
      </c>
    </row>
    <row r="414" spans="1:9" ht="24.95" hidden="1" customHeight="1" thickBot="1" x14ac:dyDescent="0.3">
      <c r="A414" s="237"/>
      <c r="B414" s="42" t="s">
        <v>754</v>
      </c>
      <c r="C414" s="119"/>
      <c r="D414" s="31"/>
      <c r="E414" s="25" t="s">
        <v>521</v>
      </c>
      <c r="F414" s="28" t="str">
        <f t="shared" si="9"/>
        <v/>
      </c>
      <c r="G414" s="39"/>
      <c r="H414" s="40"/>
      <c r="I414" s="139">
        <v>0</v>
      </c>
    </row>
    <row r="415" spans="1:9" ht="15.75" hidden="1" thickBot="1" x14ac:dyDescent="0.3">
      <c r="A415" s="243"/>
      <c r="B415" s="97"/>
      <c r="C415" s="74"/>
      <c r="D415" s="89"/>
      <c r="E415" s="61" t="s">
        <v>521</v>
      </c>
      <c r="F415" s="61" t="str">
        <f t="shared" si="9"/>
        <v/>
      </c>
      <c r="G415" s="63"/>
      <c r="H415" s="25"/>
      <c r="I415" s="139">
        <v>0</v>
      </c>
    </row>
    <row r="416" spans="1:9" ht="26.25" customHeight="1" thickBot="1" x14ac:dyDescent="0.3">
      <c r="A416" s="242" t="s">
        <v>1600</v>
      </c>
      <c r="B416" s="35" t="s">
        <v>521</v>
      </c>
      <c r="C416" s="72" t="s">
        <v>120</v>
      </c>
      <c r="D416" s="87"/>
      <c r="E416" s="36" t="s">
        <v>521</v>
      </c>
      <c r="F416" s="36" t="str">
        <f t="shared" si="9"/>
        <v/>
      </c>
      <c r="G416" s="23"/>
      <c r="H416" s="24"/>
      <c r="I416" s="139">
        <v>0.15359999999999999</v>
      </c>
    </row>
    <row r="417" spans="1:9" x14ac:dyDescent="0.25">
      <c r="A417" s="237"/>
      <c r="B417" s="26" t="s">
        <v>521</v>
      </c>
      <c r="C417" s="73"/>
      <c r="D417" s="85"/>
      <c r="E417" s="91" t="s">
        <v>521</v>
      </c>
      <c r="F417" s="92" t="str">
        <f t="shared" si="9"/>
        <v/>
      </c>
      <c r="G417" s="29"/>
      <c r="H417" s="25"/>
      <c r="I417" s="139">
        <v>0.15359999999999999</v>
      </c>
    </row>
    <row r="418" spans="1:9" ht="25.5" x14ac:dyDescent="0.25">
      <c r="A418" s="237"/>
      <c r="B418" s="30" t="s">
        <v>751</v>
      </c>
      <c r="C418" s="44" t="s">
        <v>120</v>
      </c>
      <c r="D418" s="31">
        <v>1.1599999999999999</v>
      </c>
      <c r="E418" s="28">
        <v>186.16200000000001</v>
      </c>
      <c r="F418" s="28">
        <f t="shared" si="9"/>
        <v>215.95</v>
      </c>
      <c r="G418" s="39">
        <f>SUM(F418:F425)</f>
        <v>785.34924877599997</v>
      </c>
      <c r="H418" s="40"/>
      <c r="I418" s="139">
        <v>0.15359999999999999</v>
      </c>
    </row>
    <row r="419" spans="1:9" x14ac:dyDescent="0.25">
      <c r="A419" s="237"/>
      <c r="B419" s="30" t="s">
        <v>1436</v>
      </c>
      <c r="C419" s="44" t="s">
        <v>897</v>
      </c>
      <c r="D419" s="31">
        <v>116.4</v>
      </c>
      <c r="E419" s="28">
        <v>1.0449999999999999</v>
      </c>
      <c r="F419" s="28">
        <f t="shared" si="9"/>
        <v>121.64</v>
      </c>
      <c r="G419" s="39"/>
      <c r="H419" s="40"/>
      <c r="I419" s="139">
        <v>0.15359999999999999</v>
      </c>
    </row>
    <row r="420" spans="1:9" x14ac:dyDescent="0.25">
      <c r="A420" s="237"/>
      <c r="B420" s="30" t="s">
        <v>747</v>
      </c>
      <c r="C420" s="44" t="s">
        <v>897</v>
      </c>
      <c r="D420" s="31">
        <v>261.89</v>
      </c>
      <c r="E420" s="25">
        <v>0.64600000000000002</v>
      </c>
      <c r="F420" s="28">
        <f t="shared" si="9"/>
        <v>169.18</v>
      </c>
      <c r="G420" s="39"/>
      <c r="H420" s="40"/>
      <c r="I420" s="139">
        <v>0.15359999999999999</v>
      </c>
    </row>
    <row r="421" spans="1:9" x14ac:dyDescent="0.25">
      <c r="A421" s="237"/>
      <c r="B421" s="30" t="s">
        <v>703</v>
      </c>
      <c r="C421" s="44" t="s">
        <v>702</v>
      </c>
      <c r="D421" s="31">
        <v>11.23</v>
      </c>
      <c r="E421" s="25">
        <v>18.420500000000001</v>
      </c>
      <c r="F421" s="28">
        <f t="shared" si="9"/>
        <v>206.86</v>
      </c>
      <c r="G421" s="39"/>
      <c r="H421" s="40"/>
      <c r="I421" s="139">
        <v>0.15359999999999999</v>
      </c>
    </row>
    <row r="422" spans="1:9" ht="51" x14ac:dyDescent="0.25">
      <c r="A422" s="237"/>
      <c r="B422" s="30" t="s">
        <v>1826</v>
      </c>
      <c r="C422" s="30" t="s">
        <v>120</v>
      </c>
      <c r="D422" s="31">
        <f>ROUND(1*(D418),4)</f>
        <v>1.1599999999999999</v>
      </c>
      <c r="E422" s="25">
        <v>8.0614416000000002</v>
      </c>
      <c r="F422" s="28">
        <f>IF(ISNUMBER(E422),E422*$D422,"")</f>
        <v>9.3512722559999997</v>
      </c>
      <c r="G422" s="39"/>
      <c r="H422" s="40"/>
      <c r="I422" s="139">
        <v>0.15359999999999999</v>
      </c>
    </row>
    <row r="423" spans="1:9" ht="38.25" x14ac:dyDescent="0.25">
      <c r="A423" s="237"/>
      <c r="B423" s="30" t="s">
        <v>1823</v>
      </c>
      <c r="C423" s="41" t="s">
        <v>122</v>
      </c>
      <c r="D423" s="31">
        <f>ROUND(D418*20,4)</f>
        <v>23.2</v>
      </c>
      <c r="E423" s="25">
        <v>2.6882748499999995</v>
      </c>
      <c r="F423" s="28">
        <f>IF(ISNUMBER(E423),E423*$D423,"")</f>
        <v>62.367976519999985</v>
      </c>
      <c r="G423" s="39"/>
      <c r="H423" s="40"/>
      <c r="I423" s="139">
        <v>0.15359999999999999</v>
      </c>
    </row>
    <row r="424" spans="1:9" x14ac:dyDescent="0.25">
      <c r="A424" s="237"/>
      <c r="B424" s="45"/>
      <c r="C424" s="119"/>
      <c r="D424" s="31"/>
      <c r="E424" s="25" t="s">
        <v>521</v>
      </c>
      <c r="F424" s="28" t="str">
        <f t="shared" ref="F424:F433" si="10">IF(ISNUMBER(E424),ROUND(E424*$D424,2),"")</f>
        <v/>
      </c>
      <c r="G424" s="39"/>
      <c r="H424" s="40"/>
      <c r="I424" s="139">
        <v>0.15359999999999999</v>
      </c>
    </row>
    <row r="425" spans="1:9" ht="24.95" customHeight="1" x14ac:dyDescent="0.25">
      <c r="A425" s="237"/>
      <c r="B425" s="42" t="s">
        <v>754</v>
      </c>
      <c r="C425" s="119"/>
      <c r="D425" s="31"/>
      <c r="E425" s="25" t="s">
        <v>521</v>
      </c>
      <c r="F425" s="28" t="str">
        <f t="shared" si="10"/>
        <v/>
      </c>
      <c r="G425" s="39"/>
      <c r="H425" s="40"/>
      <c r="I425" s="139">
        <v>0.15359999999999999</v>
      </c>
    </row>
    <row r="426" spans="1:9" ht="15.75" thickBot="1" x14ac:dyDescent="0.3">
      <c r="A426" s="243"/>
      <c r="B426" s="97"/>
      <c r="C426" s="74"/>
      <c r="D426" s="89"/>
      <c r="E426" s="61" t="s">
        <v>521</v>
      </c>
      <c r="F426" s="61" t="str">
        <f t="shared" si="10"/>
        <v/>
      </c>
      <c r="G426" s="63"/>
      <c r="H426" s="25"/>
      <c r="I426" s="139">
        <v>0.15359999999999999</v>
      </c>
    </row>
    <row r="427" spans="1:9" ht="26.25" customHeight="1" thickBot="1" x14ac:dyDescent="0.3">
      <c r="A427" s="242" t="s">
        <v>1601</v>
      </c>
      <c r="B427" s="35" t="s">
        <v>521</v>
      </c>
      <c r="C427" s="72" t="s">
        <v>120</v>
      </c>
      <c r="D427" s="87"/>
      <c r="E427" s="36" t="s">
        <v>521</v>
      </c>
      <c r="F427" s="36" t="str">
        <f t="shared" si="10"/>
        <v/>
      </c>
      <c r="G427" s="23"/>
      <c r="H427" s="24"/>
      <c r="I427" s="139">
        <v>3.8456666666666663</v>
      </c>
    </row>
    <row r="428" spans="1:9" x14ac:dyDescent="0.25">
      <c r="A428" s="237"/>
      <c r="B428" s="26" t="s">
        <v>521</v>
      </c>
      <c r="C428" s="73"/>
      <c r="D428" s="85"/>
      <c r="E428" s="91" t="s">
        <v>521</v>
      </c>
      <c r="F428" s="92" t="str">
        <f t="shared" si="10"/>
        <v/>
      </c>
      <c r="G428" s="29"/>
      <c r="H428" s="25"/>
      <c r="I428" s="139">
        <v>3.8456666666666663</v>
      </c>
    </row>
    <row r="429" spans="1:9" ht="25.5" x14ac:dyDescent="0.25">
      <c r="A429" s="237"/>
      <c r="B429" s="30" t="s">
        <v>751</v>
      </c>
      <c r="C429" s="44" t="s">
        <v>120</v>
      </c>
      <c r="D429" s="31">
        <v>1.07</v>
      </c>
      <c r="E429" s="28">
        <v>186.16200000000001</v>
      </c>
      <c r="F429" s="28">
        <f t="shared" si="10"/>
        <v>199.19</v>
      </c>
      <c r="G429" s="39">
        <f>SUM(F429:F437)</f>
        <v>643.29482430200005</v>
      </c>
      <c r="H429" s="40"/>
      <c r="I429" s="139">
        <v>3.8456666666666663</v>
      </c>
    </row>
    <row r="430" spans="1:9" x14ac:dyDescent="0.25">
      <c r="A430" s="237"/>
      <c r="B430" s="30" t="s">
        <v>747</v>
      </c>
      <c r="C430" s="44" t="s">
        <v>897</v>
      </c>
      <c r="D430" s="31">
        <v>483.7</v>
      </c>
      <c r="E430" s="28">
        <v>0.64600000000000002</v>
      </c>
      <c r="F430" s="28">
        <f t="shared" si="10"/>
        <v>312.47000000000003</v>
      </c>
      <c r="G430" s="39"/>
      <c r="H430" s="40"/>
      <c r="I430" s="139">
        <v>3.8456666666666663</v>
      </c>
    </row>
    <row r="431" spans="1:9" ht="25.5" x14ac:dyDescent="0.25">
      <c r="A431" s="237"/>
      <c r="B431" s="30" t="s">
        <v>1434</v>
      </c>
      <c r="C431" s="44" t="s">
        <v>702</v>
      </c>
      <c r="D431" s="31">
        <v>3.42</v>
      </c>
      <c r="E431" s="25">
        <v>18.534500000000001</v>
      </c>
      <c r="F431" s="28">
        <f t="shared" si="10"/>
        <v>63.39</v>
      </c>
      <c r="G431" s="39"/>
      <c r="H431" s="40"/>
      <c r="I431" s="139">
        <v>3.8456666666666663</v>
      </c>
    </row>
    <row r="432" spans="1:9" ht="38.25" x14ac:dyDescent="0.25">
      <c r="A432" s="237"/>
      <c r="B432" s="30" t="s">
        <v>117</v>
      </c>
      <c r="C432" s="44" t="s">
        <v>938</v>
      </c>
      <c r="D432" s="31">
        <v>0.8</v>
      </c>
      <c r="E432" s="25">
        <v>1.3964999999999999</v>
      </c>
      <c r="F432" s="28">
        <f t="shared" si="10"/>
        <v>1.1200000000000001</v>
      </c>
      <c r="G432" s="39"/>
      <c r="H432" s="40"/>
      <c r="I432" s="139">
        <v>3.8456666666666663</v>
      </c>
    </row>
    <row r="433" spans="1:9" ht="38.25" x14ac:dyDescent="0.25">
      <c r="A433" s="237"/>
      <c r="B433" s="30" t="s">
        <v>118</v>
      </c>
      <c r="C433" s="44" t="s">
        <v>940</v>
      </c>
      <c r="D433" s="31">
        <v>2.62</v>
      </c>
      <c r="E433" s="25">
        <v>0.3705</v>
      </c>
      <c r="F433" s="28">
        <f t="shared" si="10"/>
        <v>0.97</v>
      </c>
      <c r="G433" s="39"/>
      <c r="H433" s="40"/>
      <c r="I433" s="139">
        <v>3.8456666666666663</v>
      </c>
    </row>
    <row r="434" spans="1:9" ht="51" x14ac:dyDescent="0.25">
      <c r="A434" s="237"/>
      <c r="B434" s="30" t="s">
        <v>1826</v>
      </c>
      <c r="C434" s="30" t="s">
        <v>120</v>
      </c>
      <c r="D434" s="31">
        <f>ROUND(1*(D429),4)</f>
        <v>1.07</v>
      </c>
      <c r="E434" s="25">
        <v>8.0614416000000002</v>
      </c>
      <c r="F434" s="28">
        <f>IF(ISNUMBER(E434),E434*$D434,"")</f>
        <v>8.6257425120000004</v>
      </c>
      <c r="G434" s="39"/>
      <c r="H434" s="40"/>
      <c r="I434" s="139">
        <v>3.8456666666666663</v>
      </c>
    </row>
    <row r="435" spans="1:9" ht="38.25" x14ac:dyDescent="0.25">
      <c r="A435" s="237"/>
      <c r="B435" s="30" t="s">
        <v>1823</v>
      </c>
      <c r="C435" s="41" t="s">
        <v>122</v>
      </c>
      <c r="D435" s="31">
        <f>ROUND(D429*20,4)</f>
        <v>21.4</v>
      </c>
      <c r="E435" s="25">
        <v>2.6882748499999995</v>
      </c>
      <c r="F435" s="28">
        <f>IF(ISNUMBER(E435),E435*$D435,"")</f>
        <v>57.529081789999985</v>
      </c>
      <c r="G435" s="39"/>
      <c r="H435" s="40"/>
      <c r="I435" s="139">
        <v>3.8456666666666663</v>
      </c>
    </row>
    <row r="436" spans="1:9" x14ac:dyDescent="0.25">
      <c r="A436" s="237"/>
      <c r="B436" s="45"/>
      <c r="C436" s="119"/>
      <c r="D436" s="31"/>
      <c r="E436" s="25" t="s">
        <v>521</v>
      </c>
      <c r="F436" s="28" t="str">
        <f t="shared" ref="F436:F445" si="11">IF(ISNUMBER(E436),ROUND(E436*$D436,2),"")</f>
        <v/>
      </c>
      <c r="G436" s="39"/>
      <c r="H436" s="40"/>
      <c r="I436" s="139">
        <v>3.8456666666666663</v>
      </c>
    </row>
    <row r="437" spans="1:9" ht="24.95" customHeight="1" x14ac:dyDescent="0.25">
      <c r="A437" s="237"/>
      <c r="B437" s="42" t="s">
        <v>754</v>
      </c>
      <c r="C437" s="119"/>
      <c r="D437" s="31"/>
      <c r="E437" s="25" t="s">
        <v>521</v>
      </c>
      <c r="F437" s="28" t="str">
        <f t="shared" si="11"/>
        <v/>
      </c>
      <c r="G437" s="39"/>
      <c r="H437" s="40"/>
      <c r="I437" s="139">
        <v>3.8456666666666663</v>
      </c>
    </row>
    <row r="438" spans="1:9" ht="15.75" thickBot="1" x14ac:dyDescent="0.3">
      <c r="A438" s="243"/>
      <c r="B438" s="97"/>
      <c r="C438" s="74"/>
      <c r="D438" s="89"/>
      <c r="E438" s="61" t="s">
        <v>521</v>
      </c>
      <c r="F438" s="61" t="str">
        <f t="shared" si="11"/>
        <v/>
      </c>
      <c r="G438" s="63"/>
      <c r="H438" s="25"/>
      <c r="I438" s="139">
        <v>3.8456666666666663</v>
      </c>
    </row>
    <row r="439" spans="1:9" ht="26.25" hidden="1" customHeight="1" x14ac:dyDescent="0.25">
      <c r="A439" s="242" t="s">
        <v>1589</v>
      </c>
      <c r="B439" s="35" t="s">
        <v>521</v>
      </c>
      <c r="C439" s="72" t="s">
        <v>120</v>
      </c>
      <c r="D439" s="87"/>
      <c r="E439" s="36" t="s">
        <v>521</v>
      </c>
      <c r="F439" s="36" t="str">
        <f t="shared" si="11"/>
        <v/>
      </c>
      <c r="G439" s="23"/>
      <c r="H439" s="24"/>
      <c r="I439" s="139">
        <v>0</v>
      </c>
    </row>
    <row r="440" spans="1:9" ht="15.75" hidden="1" thickBot="1" x14ac:dyDescent="0.3">
      <c r="A440" s="237"/>
      <c r="B440" s="26" t="s">
        <v>521</v>
      </c>
      <c r="C440" s="73"/>
      <c r="D440" s="85"/>
      <c r="E440" s="91" t="s">
        <v>521</v>
      </c>
      <c r="F440" s="92" t="str">
        <f t="shared" si="11"/>
        <v/>
      </c>
      <c r="G440" s="29"/>
      <c r="H440" s="25"/>
      <c r="I440" s="139">
        <v>0</v>
      </c>
    </row>
    <row r="441" spans="1:9" ht="39" hidden="1" thickBot="1" x14ac:dyDescent="0.3">
      <c r="A441" s="237"/>
      <c r="B441" s="30" t="s">
        <v>2360</v>
      </c>
      <c r="C441" s="44" t="s">
        <v>988</v>
      </c>
      <c r="D441" s="31">
        <v>1.3111999999999999</v>
      </c>
      <c r="E441" s="28">
        <v>57.911999999999999</v>
      </c>
      <c r="F441" s="28">
        <f t="shared" si="11"/>
        <v>75.930000000000007</v>
      </c>
      <c r="G441" s="39">
        <f>SUM(F441:F456)</f>
        <v>2442.8499462031473</v>
      </c>
      <c r="H441" s="40"/>
      <c r="I441" s="139">
        <v>0</v>
      </c>
    </row>
    <row r="442" spans="1:9" ht="26.25" hidden="1" thickBot="1" x14ac:dyDescent="0.3">
      <c r="A442" s="237"/>
      <c r="B442" s="30" t="s">
        <v>1148</v>
      </c>
      <c r="C442" s="44" t="s">
        <v>102</v>
      </c>
      <c r="D442" s="31">
        <v>5.67E-2</v>
      </c>
      <c r="E442" s="28">
        <v>7.0964999999999998</v>
      </c>
      <c r="F442" s="28">
        <f t="shared" si="11"/>
        <v>0.4</v>
      </c>
      <c r="G442" s="39"/>
      <c r="H442" s="40"/>
      <c r="I442" s="139">
        <v>0</v>
      </c>
    </row>
    <row r="443" spans="1:9" ht="26.25" hidden="1" thickBot="1" x14ac:dyDescent="0.3">
      <c r="A443" s="237"/>
      <c r="B443" s="30" t="s">
        <v>1930</v>
      </c>
      <c r="C443" s="44" t="s">
        <v>479</v>
      </c>
      <c r="D443" s="31">
        <v>4.4770000000000003</v>
      </c>
      <c r="E443" s="25">
        <v>2.8025000000000002</v>
      </c>
      <c r="F443" s="28">
        <f t="shared" si="11"/>
        <v>12.55</v>
      </c>
      <c r="G443" s="39"/>
      <c r="H443" s="40"/>
      <c r="I443" s="139">
        <v>0</v>
      </c>
    </row>
    <row r="444" spans="1:9" ht="15.75" hidden="1" thickBot="1" x14ac:dyDescent="0.3">
      <c r="A444" s="237"/>
      <c r="B444" s="30" t="s">
        <v>1149</v>
      </c>
      <c r="C444" s="44" t="s">
        <v>897</v>
      </c>
      <c r="D444" s="31">
        <v>0.26190000000000002</v>
      </c>
      <c r="E444" s="25">
        <v>24.291499999999999</v>
      </c>
      <c r="F444" s="28">
        <f t="shared" si="11"/>
        <v>6.36</v>
      </c>
      <c r="G444" s="39"/>
      <c r="H444" s="40"/>
      <c r="I444" s="139">
        <v>0</v>
      </c>
    </row>
    <row r="445" spans="1:9" ht="15.75" hidden="1" thickBot="1" x14ac:dyDescent="0.3">
      <c r="A445" s="237"/>
      <c r="B445" s="30" t="s">
        <v>785</v>
      </c>
      <c r="C445" s="44" t="s">
        <v>702</v>
      </c>
      <c r="D445" s="31">
        <v>0.73560000000000003</v>
      </c>
      <c r="E445" s="25">
        <v>19.494</v>
      </c>
      <c r="F445" s="28">
        <f t="shared" si="11"/>
        <v>14.34</v>
      </c>
      <c r="G445" s="39"/>
      <c r="H445" s="40"/>
      <c r="I445" s="139">
        <v>0</v>
      </c>
    </row>
    <row r="446" spans="1:9" ht="15.75" hidden="1" thickBot="1" x14ac:dyDescent="0.3">
      <c r="A446" s="237"/>
      <c r="B446" s="30" t="s">
        <v>701</v>
      </c>
      <c r="C446" s="30" t="s">
        <v>702</v>
      </c>
      <c r="D446" s="31">
        <v>3.6779999999999999</v>
      </c>
      <c r="E446" s="25">
        <v>23.616999999999997</v>
      </c>
      <c r="F446" s="28">
        <f t="shared" ref="F446:F454" si="12">IF(ISNUMBER(E446),E446*$D446,"")</f>
        <v>86.863325999999986</v>
      </c>
      <c r="G446" s="39"/>
      <c r="H446" s="40"/>
      <c r="I446" s="139">
        <v>0</v>
      </c>
    </row>
    <row r="447" spans="1:9" ht="15.75" hidden="1" thickBot="1" x14ac:dyDescent="0.3">
      <c r="A447" s="237"/>
      <c r="B447" s="30" t="s">
        <v>710</v>
      </c>
      <c r="C447" s="30" t="s">
        <v>702</v>
      </c>
      <c r="D447" s="31">
        <v>22.888400000000001</v>
      </c>
      <c r="E447" s="25">
        <v>24.889999999999997</v>
      </c>
      <c r="F447" s="28">
        <f t="shared" si="12"/>
        <v>569.69227599999999</v>
      </c>
      <c r="G447" s="39"/>
      <c r="H447" s="40"/>
      <c r="I447" s="139">
        <v>0</v>
      </c>
    </row>
    <row r="448" spans="1:9" ht="15.75" hidden="1" thickBot="1" x14ac:dyDescent="0.3">
      <c r="A448" s="237"/>
      <c r="B448" s="30" t="s">
        <v>703</v>
      </c>
      <c r="C448" s="30" t="s">
        <v>702</v>
      </c>
      <c r="D448" s="31">
        <v>22.888400000000001</v>
      </c>
      <c r="E448" s="25">
        <v>18.420500000000001</v>
      </c>
      <c r="F448" s="28">
        <f t="shared" si="12"/>
        <v>421.61577220000004</v>
      </c>
      <c r="G448" s="39"/>
      <c r="H448" s="40"/>
      <c r="I448" s="139">
        <v>0</v>
      </c>
    </row>
    <row r="449" spans="1:9" ht="26.25" hidden="1" thickBot="1" x14ac:dyDescent="0.3">
      <c r="A449" s="237"/>
      <c r="B449" s="30" t="s">
        <v>1150</v>
      </c>
      <c r="C449" s="30" t="s">
        <v>938</v>
      </c>
      <c r="D449" s="31">
        <v>4.7533000000000003</v>
      </c>
      <c r="E449" s="25">
        <v>1.1779999999999999</v>
      </c>
      <c r="F449" s="28">
        <f t="shared" si="12"/>
        <v>5.5993874000000003</v>
      </c>
      <c r="G449" s="39"/>
      <c r="H449" s="40"/>
      <c r="I449" s="139">
        <v>0</v>
      </c>
    </row>
    <row r="450" spans="1:9" ht="26.25" hidden="1" thickBot="1" x14ac:dyDescent="0.3">
      <c r="A450" s="237"/>
      <c r="B450" s="30" t="s">
        <v>1151</v>
      </c>
      <c r="C450" s="30" t="s">
        <v>940</v>
      </c>
      <c r="D450" s="31">
        <v>13.0715</v>
      </c>
      <c r="E450" s="25">
        <v>0.53200000000000003</v>
      </c>
      <c r="F450" s="28">
        <f t="shared" si="12"/>
        <v>6.9540380000000006</v>
      </c>
      <c r="G450" s="39"/>
      <c r="H450" s="40"/>
      <c r="I450" s="139">
        <v>0</v>
      </c>
    </row>
    <row r="451" spans="1:9" ht="26.25" hidden="1" thickBot="1" x14ac:dyDescent="0.3">
      <c r="A451" s="237"/>
      <c r="B451" s="30" t="s">
        <v>1152</v>
      </c>
      <c r="C451" s="30" t="s">
        <v>938</v>
      </c>
      <c r="D451" s="31">
        <v>0.313</v>
      </c>
      <c r="E451" s="25">
        <v>20.234999999999999</v>
      </c>
      <c r="F451" s="28">
        <f t="shared" si="12"/>
        <v>6.3335549999999996</v>
      </c>
      <c r="G451" s="39"/>
      <c r="H451" s="40"/>
      <c r="I451" s="139">
        <v>0</v>
      </c>
    </row>
    <row r="452" spans="1:9" ht="26.25" hidden="1" thickBot="1" x14ac:dyDescent="0.3">
      <c r="A452" s="237"/>
      <c r="B452" s="30" t="s">
        <v>1153</v>
      </c>
      <c r="C452" s="30" t="s">
        <v>940</v>
      </c>
      <c r="D452" s="31">
        <v>0.42259999999999998</v>
      </c>
      <c r="E452" s="25">
        <v>19.456</v>
      </c>
      <c r="F452" s="28">
        <f t="shared" si="12"/>
        <v>8.222105599999999</v>
      </c>
      <c r="G452" s="39"/>
      <c r="H452" s="40"/>
      <c r="I452" s="139">
        <v>0</v>
      </c>
    </row>
    <row r="453" spans="1:9" ht="39" hidden="1" thickBot="1" x14ac:dyDescent="0.3">
      <c r="A453" s="237"/>
      <c r="B453" s="30" t="s">
        <v>1154</v>
      </c>
      <c r="C453" s="30" t="s">
        <v>897</v>
      </c>
      <c r="D453" s="31">
        <v>28.936900000000001</v>
      </c>
      <c r="E453" s="25">
        <v>16.795586749999998</v>
      </c>
      <c r="F453" s="28">
        <f t="shared" si="12"/>
        <v>486.01221422607495</v>
      </c>
      <c r="G453" s="39"/>
      <c r="H453" s="40"/>
      <c r="I453" s="139">
        <v>0</v>
      </c>
    </row>
    <row r="454" spans="1:9" ht="26.25" hidden="1" thickBot="1" x14ac:dyDescent="0.3">
      <c r="A454" s="237"/>
      <c r="B454" s="30" t="s">
        <v>1587</v>
      </c>
      <c r="C454" s="41" t="s">
        <v>120</v>
      </c>
      <c r="D454" s="31">
        <v>1.2</v>
      </c>
      <c r="E454" s="25">
        <v>618.31439314756005</v>
      </c>
      <c r="F454" s="28">
        <f t="shared" si="12"/>
        <v>741.97727177707202</v>
      </c>
      <c r="G454" s="39"/>
      <c r="H454" s="40"/>
      <c r="I454" s="139">
        <v>0</v>
      </c>
    </row>
    <row r="455" spans="1:9" ht="15.75" hidden="1" thickBot="1" x14ac:dyDescent="0.3">
      <c r="A455" s="237"/>
      <c r="B455" s="45"/>
      <c r="C455" s="119"/>
      <c r="D455" s="31"/>
      <c r="E455" s="25" t="s">
        <v>521</v>
      </c>
      <c r="F455" s="28" t="str">
        <f t="shared" ref="F455:F464" si="13">IF(ISNUMBER(E455),ROUND(E455*$D455,2),"")</f>
        <v/>
      </c>
      <c r="G455" s="39"/>
      <c r="H455" s="40"/>
      <c r="I455" s="139">
        <v>0</v>
      </c>
    </row>
    <row r="456" spans="1:9" ht="24.95" hidden="1" customHeight="1" thickBot="1" x14ac:dyDescent="0.3">
      <c r="A456" s="237"/>
      <c r="B456" s="42" t="s">
        <v>754</v>
      </c>
      <c r="C456" s="119"/>
      <c r="D456" s="31"/>
      <c r="E456" s="25" t="s">
        <v>521</v>
      </c>
      <c r="F456" s="28" t="str">
        <f t="shared" si="13"/>
        <v/>
      </c>
      <c r="G456" s="39"/>
      <c r="H456" s="40"/>
      <c r="I456" s="139">
        <v>0</v>
      </c>
    </row>
    <row r="457" spans="1:9" ht="15.75" hidden="1" thickBot="1" x14ac:dyDescent="0.3">
      <c r="A457" s="243"/>
      <c r="B457" s="97"/>
      <c r="C457" s="74"/>
      <c r="D457" s="89"/>
      <c r="E457" s="61" t="s">
        <v>521</v>
      </c>
      <c r="F457" s="61" t="str">
        <f t="shared" si="13"/>
        <v/>
      </c>
      <c r="G457" s="63"/>
      <c r="H457" s="25"/>
      <c r="I457" s="139">
        <v>0</v>
      </c>
    </row>
    <row r="458" spans="1:9" ht="26.25" hidden="1" customHeight="1" thickBot="1" x14ac:dyDescent="0.3">
      <c r="A458" s="242" t="s">
        <v>1918</v>
      </c>
      <c r="B458" s="35" t="s">
        <v>521</v>
      </c>
      <c r="C458" s="72" t="s">
        <v>120</v>
      </c>
      <c r="D458" s="87"/>
      <c r="E458" s="36" t="s">
        <v>521</v>
      </c>
      <c r="F458" s="36" t="str">
        <f t="shared" si="13"/>
        <v/>
      </c>
      <c r="G458" s="23"/>
      <c r="H458" s="24"/>
      <c r="I458" s="139">
        <v>0</v>
      </c>
    </row>
    <row r="459" spans="1:9" ht="15.75" hidden="1" thickBot="1" x14ac:dyDescent="0.3">
      <c r="A459" s="237"/>
      <c r="B459" s="26" t="s">
        <v>521</v>
      </c>
      <c r="C459" s="73"/>
      <c r="D459" s="85"/>
      <c r="E459" s="91" t="s">
        <v>521</v>
      </c>
      <c r="F459" s="92" t="str">
        <f t="shared" si="13"/>
        <v/>
      </c>
      <c r="G459" s="29"/>
      <c r="H459" s="25"/>
      <c r="I459" s="139">
        <v>0</v>
      </c>
    </row>
    <row r="460" spans="1:9" ht="26.25" hidden="1" thickBot="1" x14ac:dyDescent="0.3">
      <c r="A460" s="237"/>
      <c r="B460" s="30" t="s">
        <v>756</v>
      </c>
      <c r="C460" s="44" t="s">
        <v>120</v>
      </c>
      <c r="D460" s="31">
        <v>1.1000000000000001</v>
      </c>
      <c r="E460" s="28">
        <v>174.5625</v>
      </c>
      <c r="F460" s="28">
        <f t="shared" si="13"/>
        <v>192.02</v>
      </c>
      <c r="G460" s="39">
        <f>SUM(F460:F470)</f>
        <v>361.40378085999998</v>
      </c>
      <c r="H460" s="40"/>
      <c r="I460" s="139">
        <v>0</v>
      </c>
    </row>
    <row r="461" spans="1:9" ht="51.75" hidden="1" thickBot="1" x14ac:dyDescent="0.3">
      <c r="A461" s="237"/>
      <c r="B461" s="30" t="s">
        <v>1567</v>
      </c>
      <c r="C461" s="44" t="s">
        <v>938</v>
      </c>
      <c r="D461" s="31">
        <v>0.128</v>
      </c>
      <c r="E461" s="28">
        <v>139.09899999999999</v>
      </c>
      <c r="F461" s="28">
        <f t="shared" si="13"/>
        <v>17.8</v>
      </c>
      <c r="G461" s="39"/>
      <c r="H461" s="40"/>
      <c r="I461" s="139">
        <v>0</v>
      </c>
    </row>
    <row r="462" spans="1:9" ht="51.75" hidden="1" thickBot="1" x14ac:dyDescent="0.3">
      <c r="A462" s="237"/>
      <c r="B462" s="30" t="s">
        <v>1573</v>
      </c>
      <c r="C462" s="44" t="s">
        <v>940</v>
      </c>
      <c r="D462" s="31">
        <v>0.63980000000000004</v>
      </c>
      <c r="E462" s="25">
        <v>49.875</v>
      </c>
      <c r="F462" s="28">
        <f t="shared" si="13"/>
        <v>31.91</v>
      </c>
      <c r="G462" s="39"/>
      <c r="H462" s="40"/>
      <c r="I462" s="139">
        <v>0</v>
      </c>
    </row>
    <row r="463" spans="1:9" ht="15.75" hidden="1" thickBot="1" x14ac:dyDescent="0.3">
      <c r="A463" s="237"/>
      <c r="B463" s="30" t="s">
        <v>710</v>
      </c>
      <c r="C463" s="44" t="s">
        <v>702</v>
      </c>
      <c r="D463" s="31">
        <v>0.92130000000000001</v>
      </c>
      <c r="E463" s="25">
        <v>24.889999999999997</v>
      </c>
      <c r="F463" s="28">
        <f t="shared" si="13"/>
        <v>22.93</v>
      </c>
      <c r="G463" s="39"/>
      <c r="H463" s="40"/>
      <c r="I463" s="139">
        <v>0</v>
      </c>
    </row>
    <row r="464" spans="1:9" ht="15.75" hidden="1" thickBot="1" x14ac:dyDescent="0.3">
      <c r="A464" s="237"/>
      <c r="B464" s="30" t="s">
        <v>703</v>
      </c>
      <c r="C464" s="44" t="s">
        <v>702</v>
      </c>
      <c r="D464" s="31">
        <v>1.3818999999999999</v>
      </c>
      <c r="E464" s="25">
        <v>18.420500000000001</v>
      </c>
      <c r="F464" s="28">
        <f t="shared" si="13"/>
        <v>25.46</v>
      </c>
      <c r="G464" s="39"/>
      <c r="H464" s="40"/>
      <c r="I464" s="139">
        <v>0</v>
      </c>
    </row>
    <row r="465" spans="1:9" ht="26.25" hidden="1" thickBot="1" x14ac:dyDescent="0.3">
      <c r="A465" s="237"/>
      <c r="B465" s="30" t="s">
        <v>937</v>
      </c>
      <c r="C465" s="30" t="s">
        <v>938</v>
      </c>
      <c r="D465" s="31">
        <v>7.1800000000000003E-2</v>
      </c>
      <c r="E465" s="25">
        <v>26.875499999999999</v>
      </c>
      <c r="F465" s="28">
        <f>IF(ISNUMBER(E465),E465*$D465,"")</f>
        <v>1.9296609</v>
      </c>
      <c r="G465" s="39"/>
      <c r="H465" s="40"/>
      <c r="I465" s="139">
        <v>0</v>
      </c>
    </row>
    <row r="466" spans="1:9" ht="26.25" hidden="1" thickBot="1" x14ac:dyDescent="0.3">
      <c r="A466" s="237"/>
      <c r="B466" s="30" t="s">
        <v>939</v>
      </c>
      <c r="C466" s="41" t="s">
        <v>940</v>
      </c>
      <c r="D466" s="31">
        <v>6.6600000000000006E-2</v>
      </c>
      <c r="E466" s="25">
        <v>20.1875</v>
      </c>
      <c r="F466" s="28">
        <f>IF(ISNUMBER(E466),E466*$D466,"")</f>
        <v>1.3444875000000001</v>
      </c>
      <c r="G466" s="39"/>
      <c r="H466" s="40"/>
      <c r="I466" s="139">
        <v>0</v>
      </c>
    </row>
    <row r="467" spans="1:9" ht="51.75" hidden="1" thickBot="1" x14ac:dyDescent="0.3">
      <c r="A467" s="237"/>
      <c r="B467" s="30" t="s">
        <v>1826</v>
      </c>
      <c r="C467" s="30" t="s">
        <v>120</v>
      </c>
      <c r="D467" s="31">
        <f>ROUND(1*(D460),4)</f>
        <v>1.1000000000000001</v>
      </c>
      <c r="E467" s="25">
        <v>8.0614416000000002</v>
      </c>
      <c r="F467" s="28">
        <f>IF(ISNUMBER(E467),E467*$D467,"")</f>
        <v>8.8675857600000008</v>
      </c>
      <c r="G467" s="39"/>
      <c r="H467" s="40"/>
      <c r="I467" s="139">
        <v>0</v>
      </c>
    </row>
    <row r="468" spans="1:9" ht="39" hidden="1" thickBot="1" x14ac:dyDescent="0.3">
      <c r="A468" s="237"/>
      <c r="B468" s="30" t="s">
        <v>1823</v>
      </c>
      <c r="C468" s="41" t="s">
        <v>122</v>
      </c>
      <c r="D468" s="31">
        <f>ROUND(D460*20,4)</f>
        <v>22</v>
      </c>
      <c r="E468" s="25">
        <v>2.6882748499999995</v>
      </c>
      <c r="F468" s="28">
        <f>IF(ISNUMBER(E468),E468*$D468,"")</f>
        <v>59.142046699999987</v>
      </c>
      <c r="G468" s="39"/>
      <c r="H468" s="40"/>
      <c r="I468" s="139">
        <v>0</v>
      </c>
    </row>
    <row r="469" spans="1:9" ht="15.75" hidden="1" thickBot="1" x14ac:dyDescent="0.3">
      <c r="A469" s="237"/>
      <c r="B469" s="45"/>
      <c r="C469" s="119"/>
      <c r="D469" s="31"/>
      <c r="E469" s="25" t="s">
        <v>521</v>
      </c>
      <c r="F469" s="28" t="str">
        <f t="shared" ref="F469:F478" si="14">IF(ISNUMBER(E469),ROUND(E469*$D469,2),"")</f>
        <v/>
      </c>
      <c r="G469" s="39"/>
      <c r="H469" s="40"/>
      <c r="I469" s="139">
        <v>0</v>
      </c>
    </row>
    <row r="470" spans="1:9" ht="24.95" hidden="1" customHeight="1" thickBot="1" x14ac:dyDescent="0.3">
      <c r="A470" s="237"/>
      <c r="B470" s="42" t="s">
        <v>754</v>
      </c>
      <c r="C470" s="119"/>
      <c r="D470" s="31"/>
      <c r="E470" s="25" t="s">
        <v>521</v>
      </c>
      <c r="F470" s="28" t="str">
        <f t="shared" si="14"/>
        <v/>
      </c>
      <c r="G470" s="39"/>
      <c r="H470" s="40"/>
      <c r="I470" s="139">
        <v>0</v>
      </c>
    </row>
    <row r="471" spans="1:9" ht="15.75" hidden="1" thickBot="1" x14ac:dyDescent="0.3">
      <c r="A471" s="243"/>
      <c r="B471" s="97"/>
      <c r="C471" s="74"/>
      <c r="D471" s="89"/>
      <c r="E471" s="61" t="s">
        <v>521</v>
      </c>
      <c r="F471" s="61" t="str">
        <f t="shared" si="14"/>
        <v/>
      </c>
      <c r="G471" s="63"/>
      <c r="H471" s="25"/>
      <c r="I471" s="139">
        <v>0</v>
      </c>
    </row>
    <row r="472" spans="1:9" ht="26.25" customHeight="1" thickBot="1" x14ac:dyDescent="0.3">
      <c r="A472" s="242" t="s">
        <v>1588</v>
      </c>
      <c r="B472" s="35" t="s">
        <v>521</v>
      </c>
      <c r="C472" s="72" t="s">
        <v>120</v>
      </c>
      <c r="D472" s="87"/>
      <c r="E472" s="36" t="s">
        <v>521</v>
      </c>
      <c r="F472" s="36" t="str">
        <f t="shared" si="14"/>
        <v/>
      </c>
      <c r="G472" s="23"/>
      <c r="H472" s="24"/>
      <c r="I472" s="139">
        <v>1.4525000000000001</v>
      </c>
    </row>
    <row r="473" spans="1:9" x14ac:dyDescent="0.25">
      <c r="A473" s="237"/>
      <c r="B473" s="26" t="s">
        <v>521</v>
      </c>
      <c r="C473" s="73"/>
      <c r="D473" s="85"/>
      <c r="E473" s="91" t="s">
        <v>521</v>
      </c>
      <c r="F473" s="92" t="str">
        <f t="shared" si="14"/>
        <v/>
      </c>
      <c r="G473" s="29"/>
      <c r="H473" s="25"/>
      <c r="I473" s="139">
        <v>1.4525000000000001</v>
      </c>
    </row>
    <row r="474" spans="1:9" ht="38.25" x14ac:dyDescent="0.25">
      <c r="A474" s="237"/>
      <c r="B474" s="30" t="s">
        <v>2360</v>
      </c>
      <c r="C474" s="44" t="s">
        <v>988</v>
      </c>
      <c r="D474" s="31">
        <v>1.9403999999999999</v>
      </c>
      <c r="E474" s="28">
        <v>57.911999999999999</v>
      </c>
      <c r="F474" s="28">
        <f t="shared" si="14"/>
        <v>112.37</v>
      </c>
      <c r="G474" s="39">
        <f>SUM(F474:F489)</f>
        <v>2907.3210830670041</v>
      </c>
      <c r="H474" s="40"/>
      <c r="I474" s="139">
        <v>1.4525000000000001</v>
      </c>
    </row>
    <row r="475" spans="1:9" ht="25.5" x14ac:dyDescent="0.25">
      <c r="A475" s="237"/>
      <c r="B475" s="30" t="s">
        <v>1148</v>
      </c>
      <c r="C475" s="44" t="s">
        <v>102</v>
      </c>
      <c r="D475" s="31">
        <v>8.3299999999999999E-2</v>
      </c>
      <c r="E475" s="28">
        <v>7.0964999999999998</v>
      </c>
      <c r="F475" s="28">
        <f t="shared" si="14"/>
        <v>0.59</v>
      </c>
      <c r="G475" s="39"/>
      <c r="H475" s="40"/>
      <c r="I475" s="139">
        <v>1.4525000000000001</v>
      </c>
    </row>
    <row r="476" spans="1:9" ht="25.5" x14ac:dyDescent="0.25">
      <c r="A476" s="237"/>
      <c r="B476" s="30" t="s">
        <v>1930</v>
      </c>
      <c r="C476" s="44" t="s">
        <v>479</v>
      </c>
      <c r="D476" s="31">
        <v>5.6283000000000003</v>
      </c>
      <c r="E476" s="25">
        <v>2.8025000000000002</v>
      </c>
      <c r="F476" s="28">
        <f t="shared" si="14"/>
        <v>15.77</v>
      </c>
      <c r="G476" s="39"/>
      <c r="H476" s="40"/>
      <c r="I476" s="139">
        <v>1.4525000000000001</v>
      </c>
    </row>
    <row r="477" spans="1:9" x14ac:dyDescent="0.25">
      <c r="A477" s="237"/>
      <c r="B477" s="30" t="s">
        <v>1149</v>
      </c>
      <c r="C477" s="44" t="s">
        <v>897</v>
      </c>
      <c r="D477" s="31">
        <v>0.4365</v>
      </c>
      <c r="E477" s="25">
        <v>24.291499999999999</v>
      </c>
      <c r="F477" s="28">
        <f t="shared" si="14"/>
        <v>10.6</v>
      </c>
      <c r="G477" s="39"/>
      <c r="H477" s="40"/>
      <c r="I477" s="139">
        <v>1.4525000000000001</v>
      </c>
    </row>
    <row r="478" spans="1:9" x14ac:dyDescent="0.25">
      <c r="A478" s="237"/>
      <c r="B478" s="30" t="s">
        <v>785</v>
      </c>
      <c r="C478" s="44" t="s">
        <v>702</v>
      </c>
      <c r="D478" s="31">
        <v>1.1919999999999999</v>
      </c>
      <c r="E478" s="25">
        <v>19.494</v>
      </c>
      <c r="F478" s="28">
        <f t="shared" si="14"/>
        <v>23.24</v>
      </c>
      <c r="G478" s="39"/>
      <c r="H478" s="40"/>
      <c r="I478" s="139">
        <v>1.4525000000000001</v>
      </c>
    </row>
    <row r="479" spans="1:9" x14ac:dyDescent="0.25">
      <c r="A479" s="237"/>
      <c r="B479" s="30" t="s">
        <v>701</v>
      </c>
      <c r="C479" s="30" t="s">
        <v>702</v>
      </c>
      <c r="D479" s="31">
        <v>5.96</v>
      </c>
      <c r="E479" s="25">
        <v>23.616999999999997</v>
      </c>
      <c r="F479" s="28">
        <f t="shared" ref="F479:F487" si="15">IF(ISNUMBER(E479),E479*$D479,"")</f>
        <v>140.75731999999999</v>
      </c>
      <c r="G479" s="39"/>
      <c r="H479" s="40"/>
      <c r="I479" s="139">
        <v>1.4525000000000001</v>
      </c>
    </row>
    <row r="480" spans="1:9" x14ac:dyDescent="0.25">
      <c r="A480" s="237"/>
      <c r="B480" s="30" t="s">
        <v>710</v>
      </c>
      <c r="C480" s="30" t="s">
        <v>702</v>
      </c>
      <c r="D480" s="31">
        <v>31.5459</v>
      </c>
      <c r="E480" s="25">
        <v>24.889999999999997</v>
      </c>
      <c r="F480" s="28">
        <f t="shared" si="15"/>
        <v>785.17745099999991</v>
      </c>
      <c r="G480" s="39"/>
      <c r="H480" s="40"/>
      <c r="I480" s="139">
        <v>1.4525000000000001</v>
      </c>
    </row>
    <row r="481" spans="1:9" x14ac:dyDescent="0.25">
      <c r="A481" s="237"/>
      <c r="B481" s="30" t="s">
        <v>703</v>
      </c>
      <c r="C481" s="30" t="s">
        <v>702</v>
      </c>
      <c r="D481" s="31">
        <v>31.5459</v>
      </c>
      <c r="E481" s="25">
        <v>18.420500000000001</v>
      </c>
      <c r="F481" s="28">
        <f t="shared" si="15"/>
        <v>581.09125095000002</v>
      </c>
      <c r="G481" s="39"/>
      <c r="H481" s="40"/>
      <c r="I481" s="139">
        <v>1.4525000000000001</v>
      </c>
    </row>
    <row r="482" spans="1:9" ht="25.5" x14ac:dyDescent="0.25">
      <c r="A482" s="237"/>
      <c r="B482" s="30" t="s">
        <v>1150</v>
      </c>
      <c r="C482" s="30" t="s">
        <v>938</v>
      </c>
      <c r="D482" s="31">
        <v>6.6349999999999998</v>
      </c>
      <c r="E482" s="25">
        <v>1.1779999999999999</v>
      </c>
      <c r="F482" s="28">
        <f t="shared" si="15"/>
        <v>7.8160299999999996</v>
      </c>
      <c r="G482" s="39"/>
      <c r="H482" s="40"/>
      <c r="I482" s="139">
        <v>1.4525000000000001</v>
      </c>
    </row>
    <row r="483" spans="1:9" ht="25.5" x14ac:dyDescent="0.25">
      <c r="A483" s="237"/>
      <c r="B483" s="30" t="s">
        <v>1151</v>
      </c>
      <c r="C483" s="30" t="s">
        <v>940</v>
      </c>
      <c r="D483" s="31">
        <v>18.246200000000002</v>
      </c>
      <c r="E483" s="25">
        <v>0.53200000000000003</v>
      </c>
      <c r="F483" s="28">
        <f t="shared" si="15"/>
        <v>9.7069784000000006</v>
      </c>
      <c r="G483" s="39"/>
      <c r="H483" s="40"/>
      <c r="I483" s="139">
        <v>1.4525000000000001</v>
      </c>
    </row>
    <row r="484" spans="1:9" ht="25.5" x14ac:dyDescent="0.25">
      <c r="A484" s="237"/>
      <c r="B484" s="30" t="s">
        <v>1152</v>
      </c>
      <c r="C484" s="30" t="s">
        <v>938</v>
      </c>
      <c r="D484" s="31">
        <v>0.48770000000000002</v>
      </c>
      <c r="E484" s="25">
        <v>20.234999999999999</v>
      </c>
      <c r="F484" s="28">
        <f t="shared" si="15"/>
        <v>9.8686094999999998</v>
      </c>
      <c r="G484" s="39"/>
      <c r="H484" s="40"/>
      <c r="I484" s="139">
        <v>1.4525000000000001</v>
      </c>
    </row>
    <row r="485" spans="1:9" ht="25.5" x14ac:dyDescent="0.25">
      <c r="A485" s="237"/>
      <c r="B485" s="30" t="s">
        <v>1153</v>
      </c>
      <c r="C485" s="30" t="s">
        <v>940</v>
      </c>
      <c r="D485" s="31">
        <v>0.70430000000000004</v>
      </c>
      <c r="E485" s="25">
        <v>19.456</v>
      </c>
      <c r="F485" s="28">
        <f t="shared" si="15"/>
        <v>13.7028608</v>
      </c>
      <c r="G485" s="39"/>
      <c r="H485" s="40"/>
      <c r="I485" s="139">
        <v>1.4525000000000001</v>
      </c>
    </row>
    <row r="486" spans="1:9" ht="38.25" x14ac:dyDescent="0.25">
      <c r="A486" s="237"/>
      <c r="B486" s="30" t="s">
        <v>1154</v>
      </c>
      <c r="C486" s="30" t="s">
        <v>897</v>
      </c>
      <c r="D486" s="31">
        <v>27.898800000000001</v>
      </c>
      <c r="E486" s="25">
        <v>16.795586749999998</v>
      </c>
      <c r="F486" s="28">
        <f t="shared" si="15"/>
        <v>468.57671562089996</v>
      </c>
      <c r="G486" s="39"/>
      <c r="H486" s="40"/>
      <c r="I486" s="139">
        <v>1.4525000000000001</v>
      </c>
    </row>
    <row r="487" spans="1:9" ht="25.5" x14ac:dyDescent="0.25">
      <c r="A487" s="237"/>
      <c r="B487" s="30" t="s">
        <v>1586</v>
      </c>
      <c r="C487" s="41" t="s">
        <v>120</v>
      </c>
      <c r="D487" s="31">
        <v>1.2</v>
      </c>
      <c r="E487" s="25">
        <v>606.71155566341997</v>
      </c>
      <c r="F487" s="28">
        <f t="shared" si="15"/>
        <v>728.05386679610399</v>
      </c>
      <c r="G487" s="39"/>
      <c r="H487" s="40"/>
      <c r="I487" s="139">
        <v>1.4525000000000001</v>
      </c>
    </row>
    <row r="488" spans="1:9" x14ac:dyDescent="0.25">
      <c r="A488" s="237"/>
      <c r="B488" s="45"/>
      <c r="C488" s="119"/>
      <c r="D488" s="31"/>
      <c r="E488" s="25" t="s">
        <v>521</v>
      </c>
      <c r="F488" s="28" t="str">
        <f t="shared" ref="F488:F495" si="16">IF(ISNUMBER(E488),ROUND(E488*$D488,2),"")</f>
        <v/>
      </c>
      <c r="G488" s="39"/>
      <c r="H488" s="40"/>
      <c r="I488" s="139">
        <v>1.4525000000000001</v>
      </c>
    </row>
    <row r="489" spans="1:9" ht="24.95" customHeight="1" x14ac:dyDescent="0.25">
      <c r="A489" s="237"/>
      <c r="B489" s="42" t="s">
        <v>754</v>
      </c>
      <c r="C489" s="119"/>
      <c r="D489" s="31"/>
      <c r="E489" s="25" t="s">
        <v>521</v>
      </c>
      <c r="F489" s="28" t="str">
        <f t="shared" si="16"/>
        <v/>
      </c>
      <c r="G489" s="39"/>
      <c r="H489" s="40"/>
      <c r="I489" s="139">
        <v>1.4525000000000001</v>
      </c>
    </row>
    <row r="490" spans="1:9" ht="15.75" thickBot="1" x14ac:dyDescent="0.3">
      <c r="A490" s="243"/>
      <c r="B490" s="97"/>
      <c r="C490" s="74"/>
      <c r="D490" s="89"/>
      <c r="E490" s="61" t="s">
        <v>521</v>
      </c>
      <c r="F490" s="61" t="str">
        <f t="shared" si="16"/>
        <v/>
      </c>
      <c r="G490" s="63"/>
      <c r="H490" s="25"/>
      <c r="I490" s="139">
        <v>1.4525000000000001</v>
      </c>
    </row>
    <row r="491" spans="1:9" ht="26.25" customHeight="1" thickBot="1" x14ac:dyDescent="0.3">
      <c r="A491" s="242" t="s">
        <v>1917</v>
      </c>
      <c r="B491" s="35" t="s">
        <v>521</v>
      </c>
      <c r="C491" s="72" t="s">
        <v>120</v>
      </c>
      <c r="D491" s="87"/>
      <c r="E491" s="36" t="s">
        <v>521</v>
      </c>
      <c r="F491" s="36" t="str">
        <f t="shared" si="16"/>
        <v/>
      </c>
      <c r="G491" s="23"/>
      <c r="H491" s="24"/>
      <c r="I491" s="139">
        <v>2.988</v>
      </c>
    </row>
    <row r="492" spans="1:9" x14ac:dyDescent="0.25">
      <c r="A492" s="237"/>
      <c r="B492" s="26" t="s">
        <v>521</v>
      </c>
      <c r="C492" s="73"/>
      <c r="D492" s="85"/>
      <c r="E492" s="91" t="s">
        <v>521</v>
      </c>
      <c r="F492" s="92" t="str">
        <f t="shared" si="16"/>
        <v/>
      </c>
      <c r="G492" s="29"/>
      <c r="H492" s="25"/>
      <c r="I492" s="139">
        <v>2.988</v>
      </c>
    </row>
    <row r="493" spans="1:9" ht="25.5" x14ac:dyDescent="0.25">
      <c r="A493" s="237"/>
      <c r="B493" s="30" t="s">
        <v>756</v>
      </c>
      <c r="C493" s="44" t="s">
        <v>120</v>
      </c>
      <c r="D493" s="31">
        <v>1.1000000000000001</v>
      </c>
      <c r="E493" s="28">
        <v>174.5625</v>
      </c>
      <c r="F493" s="28">
        <f t="shared" si="16"/>
        <v>192.02</v>
      </c>
      <c r="G493" s="39">
        <f>SUM(F493:F501)</f>
        <v>394.28378085999998</v>
      </c>
      <c r="H493" s="40"/>
      <c r="I493" s="139">
        <v>2.988</v>
      </c>
    </row>
    <row r="494" spans="1:9" x14ac:dyDescent="0.25">
      <c r="A494" s="237"/>
      <c r="B494" s="30" t="s">
        <v>710</v>
      </c>
      <c r="C494" s="44" t="s">
        <v>702</v>
      </c>
      <c r="D494" s="31">
        <v>2.4937999999999998</v>
      </c>
      <c r="E494" s="25">
        <v>24.889999999999997</v>
      </c>
      <c r="F494" s="28">
        <f t="shared" si="16"/>
        <v>62.07</v>
      </c>
      <c r="G494" s="39"/>
      <c r="H494" s="40"/>
      <c r="I494" s="139">
        <v>2.988</v>
      </c>
    </row>
    <row r="495" spans="1:9" x14ac:dyDescent="0.25">
      <c r="A495" s="237"/>
      <c r="B495" s="30" t="s">
        <v>703</v>
      </c>
      <c r="C495" s="44" t="s">
        <v>702</v>
      </c>
      <c r="D495" s="31">
        <v>3.7406999999999999</v>
      </c>
      <c r="E495" s="25">
        <v>18.420500000000001</v>
      </c>
      <c r="F495" s="28">
        <f t="shared" si="16"/>
        <v>68.91</v>
      </c>
      <c r="G495" s="39"/>
      <c r="H495" s="40"/>
      <c r="I495" s="139">
        <v>2.988</v>
      </c>
    </row>
    <row r="496" spans="1:9" ht="25.5" x14ac:dyDescent="0.25">
      <c r="A496" s="237"/>
      <c r="B496" s="30" t="s">
        <v>937</v>
      </c>
      <c r="C496" s="30" t="s">
        <v>938</v>
      </c>
      <c r="D496" s="31">
        <v>7.1800000000000003E-2</v>
      </c>
      <c r="E496" s="25">
        <v>26.875499999999999</v>
      </c>
      <c r="F496" s="28">
        <f>IF(ISNUMBER(E496),E496*$D496,"")</f>
        <v>1.9296609</v>
      </c>
      <c r="G496" s="39"/>
      <c r="H496" s="40"/>
      <c r="I496" s="139">
        <v>2.988</v>
      </c>
    </row>
    <row r="497" spans="1:9" ht="25.5" x14ac:dyDescent="0.25">
      <c r="A497" s="237"/>
      <c r="B497" s="30" t="s">
        <v>939</v>
      </c>
      <c r="C497" s="41" t="s">
        <v>940</v>
      </c>
      <c r="D497" s="31">
        <v>6.6600000000000006E-2</v>
      </c>
      <c r="E497" s="25">
        <v>20.1875</v>
      </c>
      <c r="F497" s="28">
        <f>IF(ISNUMBER(E497),E497*$D497,"")</f>
        <v>1.3444875000000001</v>
      </c>
      <c r="G497" s="39"/>
      <c r="H497" s="40"/>
      <c r="I497" s="139">
        <v>2.988</v>
      </c>
    </row>
    <row r="498" spans="1:9" ht="51" x14ac:dyDescent="0.25">
      <c r="A498" s="237"/>
      <c r="B498" s="30" t="s">
        <v>1826</v>
      </c>
      <c r="C498" s="30" t="s">
        <v>120</v>
      </c>
      <c r="D498" s="31">
        <f>ROUND(1*(D493),4)</f>
        <v>1.1000000000000001</v>
      </c>
      <c r="E498" s="25">
        <v>8.0614416000000002</v>
      </c>
      <c r="F498" s="28">
        <f>IF(ISNUMBER(E498),E498*$D498,"")</f>
        <v>8.8675857600000008</v>
      </c>
      <c r="G498" s="39"/>
      <c r="H498" s="40"/>
      <c r="I498" s="139">
        <v>2.988</v>
      </c>
    </row>
    <row r="499" spans="1:9" ht="38.25" x14ac:dyDescent="0.25">
      <c r="A499" s="237"/>
      <c r="B499" s="30" t="s">
        <v>1823</v>
      </c>
      <c r="C499" s="41" t="s">
        <v>122</v>
      </c>
      <c r="D499" s="31">
        <f>ROUND(D493*20,4)</f>
        <v>22</v>
      </c>
      <c r="E499" s="25">
        <v>2.6882748499999995</v>
      </c>
      <c r="F499" s="28">
        <f>IF(ISNUMBER(E499),E499*$D499,"")</f>
        <v>59.142046699999987</v>
      </c>
      <c r="G499" s="39"/>
      <c r="H499" s="40"/>
      <c r="I499" s="139">
        <v>2.988</v>
      </c>
    </row>
    <row r="500" spans="1:9" x14ac:dyDescent="0.25">
      <c r="A500" s="237"/>
      <c r="B500" s="45"/>
      <c r="C500" s="119"/>
      <c r="D500" s="31"/>
      <c r="E500" s="25" t="s">
        <v>521</v>
      </c>
      <c r="F500" s="28" t="str">
        <f t="shared" ref="F500:F508" si="17">IF(ISNUMBER(E500),ROUND(E500*$D500,2),"")</f>
        <v/>
      </c>
      <c r="G500" s="39"/>
      <c r="H500" s="40"/>
      <c r="I500" s="139">
        <v>2.988</v>
      </c>
    </row>
    <row r="501" spans="1:9" ht="24.95" customHeight="1" x14ac:dyDescent="0.25">
      <c r="A501" s="237"/>
      <c r="B501" s="42" t="s">
        <v>754</v>
      </c>
      <c r="C501" s="119"/>
      <c r="D501" s="31"/>
      <c r="E501" s="25" t="s">
        <v>521</v>
      </c>
      <c r="F501" s="28" t="str">
        <f t="shared" si="17"/>
        <v/>
      </c>
      <c r="G501" s="39"/>
      <c r="H501" s="40"/>
      <c r="I501" s="139">
        <v>2.988</v>
      </c>
    </row>
    <row r="502" spans="1:9" ht="15.75" thickBot="1" x14ac:dyDescent="0.3">
      <c r="A502" s="243"/>
      <c r="B502" s="97"/>
      <c r="C502" s="74"/>
      <c r="D502" s="89"/>
      <c r="E502" s="61" t="s">
        <v>521</v>
      </c>
      <c r="F502" s="61" t="str">
        <f t="shared" si="17"/>
        <v/>
      </c>
      <c r="G502" s="63"/>
      <c r="H502" s="25"/>
      <c r="I502" s="139">
        <v>2.988</v>
      </c>
    </row>
    <row r="503" spans="1:9" ht="26.25" hidden="1" customHeight="1" x14ac:dyDescent="0.25">
      <c r="A503" s="242" t="s">
        <v>2254</v>
      </c>
      <c r="B503" s="35" t="s">
        <v>521</v>
      </c>
      <c r="C503" s="72" t="s">
        <v>120</v>
      </c>
      <c r="D503" s="87"/>
      <c r="E503" s="36" t="s">
        <v>521</v>
      </c>
      <c r="F503" s="36" t="str">
        <f t="shared" si="17"/>
        <v/>
      </c>
      <c r="G503" s="23"/>
      <c r="H503" s="24"/>
      <c r="I503" s="139">
        <v>0</v>
      </c>
    </row>
    <row r="504" spans="1:9" ht="15.75" hidden="1" thickBot="1" x14ac:dyDescent="0.3">
      <c r="A504" s="237"/>
      <c r="B504" s="26" t="s">
        <v>521</v>
      </c>
      <c r="C504" s="73"/>
      <c r="D504" s="85"/>
      <c r="E504" s="91" t="s">
        <v>521</v>
      </c>
      <c r="F504" s="92" t="str">
        <f t="shared" si="17"/>
        <v/>
      </c>
      <c r="G504" s="29"/>
      <c r="H504" s="25"/>
      <c r="I504" s="139">
        <v>0</v>
      </c>
    </row>
    <row r="505" spans="1:9" ht="26.25" hidden="1" thickBot="1" x14ac:dyDescent="0.3">
      <c r="A505" s="237"/>
      <c r="B505" s="30" t="s">
        <v>751</v>
      </c>
      <c r="C505" s="44" t="s">
        <v>120</v>
      </c>
      <c r="D505" s="31">
        <v>0.85299999999999998</v>
      </c>
      <c r="E505" s="28">
        <v>186.16200000000001</v>
      </c>
      <c r="F505" s="28">
        <f t="shared" si="17"/>
        <v>158.80000000000001</v>
      </c>
      <c r="G505" s="39">
        <f>SUM(F505:F512)</f>
        <v>595.95524366385996</v>
      </c>
      <c r="H505" s="40"/>
      <c r="I505" s="139">
        <v>0</v>
      </c>
    </row>
    <row r="506" spans="1:9" ht="15.75" hidden="1" thickBot="1" x14ac:dyDescent="0.3">
      <c r="A506" s="237"/>
      <c r="B506" s="30" t="s">
        <v>747</v>
      </c>
      <c r="C506" s="44" t="s">
        <v>897</v>
      </c>
      <c r="D506" s="31">
        <v>218.93</v>
      </c>
      <c r="E506" s="28">
        <v>0.64600000000000002</v>
      </c>
      <c r="F506" s="28">
        <f t="shared" si="17"/>
        <v>141.43</v>
      </c>
      <c r="G506" s="39"/>
      <c r="H506" s="40"/>
      <c r="I506" s="139">
        <v>0</v>
      </c>
    </row>
    <row r="507" spans="1:9" ht="26.25" hidden="1" thickBot="1" x14ac:dyDescent="0.3">
      <c r="A507" s="237"/>
      <c r="B507" s="30" t="s">
        <v>759</v>
      </c>
      <c r="C507" s="44" t="s">
        <v>120</v>
      </c>
      <c r="D507" s="31">
        <v>0.59709999999999996</v>
      </c>
      <c r="E507" s="25">
        <v>151.202</v>
      </c>
      <c r="F507" s="28">
        <f t="shared" si="17"/>
        <v>90.28</v>
      </c>
      <c r="G507" s="39"/>
      <c r="H507" s="40"/>
      <c r="I507" s="139">
        <v>0</v>
      </c>
    </row>
    <row r="508" spans="1:9" ht="15.75" hidden="1" thickBot="1" x14ac:dyDescent="0.3">
      <c r="A508" s="237"/>
      <c r="B508" s="30" t="s">
        <v>703</v>
      </c>
      <c r="C508" s="44" t="s">
        <v>702</v>
      </c>
      <c r="D508" s="31">
        <v>6.2858000000000001</v>
      </c>
      <c r="E508" s="25">
        <v>18.420500000000001</v>
      </c>
      <c r="F508" s="28">
        <f t="shared" si="17"/>
        <v>115.79</v>
      </c>
      <c r="G508" s="39"/>
      <c r="H508" s="40"/>
      <c r="I508" s="139">
        <v>0</v>
      </c>
    </row>
    <row r="509" spans="1:9" ht="51.75" hidden="1" thickBot="1" x14ac:dyDescent="0.3">
      <c r="A509" s="237"/>
      <c r="B509" s="30" t="s">
        <v>1826</v>
      </c>
      <c r="C509" s="30" t="s">
        <v>120</v>
      </c>
      <c r="D509" s="31">
        <f>ROUND(1*(D505+D507),4)</f>
        <v>1.4500999999999999</v>
      </c>
      <c r="E509" s="25">
        <v>8.0614416000000002</v>
      </c>
      <c r="F509" s="28">
        <f>IF(ISNUMBER(E509),E509*$D509,"")</f>
        <v>11.68989646416</v>
      </c>
      <c r="G509" s="39"/>
      <c r="H509" s="40"/>
      <c r="I509" s="139">
        <v>0</v>
      </c>
    </row>
    <row r="510" spans="1:9" ht="39" hidden="1" thickBot="1" x14ac:dyDescent="0.3">
      <c r="A510" s="237"/>
      <c r="B510" s="30" t="s">
        <v>1823</v>
      </c>
      <c r="C510" s="41" t="s">
        <v>122</v>
      </c>
      <c r="D510" s="31">
        <f>ROUND((D505+D507)*20,4)</f>
        <v>29.001999999999999</v>
      </c>
      <c r="E510" s="25">
        <v>2.6882748499999995</v>
      </c>
      <c r="F510" s="28">
        <f>IF(ISNUMBER(E510),E510*$D510,"")</f>
        <v>77.965347199699977</v>
      </c>
      <c r="G510" s="39"/>
      <c r="H510" s="40"/>
      <c r="I510" s="139">
        <v>0</v>
      </c>
    </row>
    <row r="511" spans="1:9" ht="15.75" hidden="1" thickBot="1" x14ac:dyDescent="0.3">
      <c r="A511" s="237"/>
      <c r="B511" s="45"/>
      <c r="C511" s="119"/>
      <c r="D511" s="31"/>
      <c r="E511" s="25" t="s">
        <v>521</v>
      </c>
      <c r="F511" s="28" t="str">
        <f t="shared" ref="F511:F543" si="18">IF(ISNUMBER(E511),ROUND(E511*$D511,2),"")</f>
        <v/>
      </c>
      <c r="G511" s="39"/>
      <c r="H511" s="40"/>
      <c r="I511" s="139">
        <v>0</v>
      </c>
    </row>
    <row r="512" spans="1:9" ht="24.95" hidden="1" customHeight="1" thickBot="1" x14ac:dyDescent="0.3">
      <c r="A512" s="237"/>
      <c r="B512" s="42" t="s">
        <v>123</v>
      </c>
      <c r="C512" s="119"/>
      <c r="D512" s="31"/>
      <c r="E512" s="25" t="s">
        <v>521</v>
      </c>
      <c r="F512" s="28" t="str">
        <f t="shared" si="18"/>
        <v/>
      </c>
      <c r="G512" s="39"/>
      <c r="H512" s="40"/>
      <c r="I512" s="139">
        <v>0</v>
      </c>
    </row>
    <row r="513" spans="1:9" ht="15.75" hidden="1" thickBot="1" x14ac:dyDescent="0.3">
      <c r="A513" s="243"/>
      <c r="B513" s="97"/>
      <c r="C513" s="74"/>
      <c r="D513" s="89"/>
      <c r="E513" s="61" t="s">
        <v>521</v>
      </c>
      <c r="F513" s="61" t="str">
        <f t="shared" si="18"/>
        <v/>
      </c>
      <c r="G513" s="63"/>
      <c r="H513" s="25"/>
      <c r="I513" s="139">
        <v>0</v>
      </c>
    </row>
    <row r="514" spans="1:9" ht="26.25" hidden="1" customHeight="1" thickBot="1" x14ac:dyDescent="0.3">
      <c r="A514" s="242" t="s">
        <v>1603</v>
      </c>
      <c r="B514" s="35" t="s">
        <v>521</v>
      </c>
      <c r="C514" s="72" t="s">
        <v>279</v>
      </c>
      <c r="D514" s="87"/>
      <c r="E514" s="36" t="s">
        <v>521</v>
      </c>
      <c r="F514" s="36" t="str">
        <f t="shared" si="18"/>
        <v/>
      </c>
      <c r="G514" s="23"/>
      <c r="H514" s="24"/>
      <c r="I514" s="139">
        <v>0</v>
      </c>
    </row>
    <row r="515" spans="1:9" ht="15.75" hidden="1" thickBot="1" x14ac:dyDescent="0.3">
      <c r="A515" s="237"/>
      <c r="B515" s="26" t="s">
        <v>521</v>
      </c>
      <c r="C515" s="73"/>
      <c r="D515" s="85"/>
      <c r="E515" s="91" t="s">
        <v>521</v>
      </c>
      <c r="F515" s="92" t="str">
        <f t="shared" si="18"/>
        <v/>
      </c>
      <c r="G515" s="29"/>
      <c r="H515" s="25"/>
      <c r="I515" s="139">
        <v>0</v>
      </c>
    </row>
    <row r="516" spans="1:9" ht="15.75" hidden="1" thickBot="1" x14ac:dyDescent="0.3">
      <c r="A516" s="237"/>
      <c r="B516" s="30" t="s">
        <v>1362</v>
      </c>
      <c r="C516" s="44" t="s">
        <v>897</v>
      </c>
      <c r="D516" s="31">
        <v>3.3999999999999998E-3</v>
      </c>
      <c r="E516" s="28">
        <v>21.935499999999998</v>
      </c>
      <c r="F516" s="28">
        <f t="shared" si="18"/>
        <v>7.0000000000000007E-2</v>
      </c>
      <c r="G516" s="39">
        <f>SUM(F516:F518)</f>
        <v>2.29</v>
      </c>
      <c r="H516" s="40"/>
      <c r="I516" s="139">
        <v>0</v>
      </c>
    </row>
    <row r="517" spans="1:9" ht="15.75" hidden="1" thickBot="1" x14ac:dyDescent="0.3">
      <c r="A517" s="237"/>
      <c r="B517" s="30" t="s">
        <v>785</v>
      </c>
      <c r="C517" s="44" t="s">
        <v>702</v>
      </c>
      <c r="D517" s="31">
        <v>3.2300000000000002E-2</v>
      </c>
      <c r="E517" s="28">
        <v>19.494</v>
      </c>
      <c r="F517" s="28">
        <f t="shared" si="18"/>
        <v>0.63</v>
      </c>
      <c r="G517" s="39"/>
      <c r="H517" s="40"/>
      <c r="I517" s="139">
        <v>0</v>
      </c>
    </row>
    <row r="518" spans="1:9" ht="15.75" hidden="1" thickBot="1" x14ac:dyDescent="0.3">
      <c r="A518" s="237"/>
      <c r="B518" s="30" t="s">
        <v>989</v>
      </c>
      <c r="C518" s="44" t="s">
        <v>702</v>
      </c>
      <c r="D518" s="31">
        <v>6.4500000000000002E-2</v>
      </c>
      <c r="E518" s="25">
        <v>24.633499999999998</v>
      </c>
      <c r="F518" s="28">
        <f t="shared" si="18"/>
        <v>1.59</v>
      </c>
      <c r="G518" s="39"/>
      <c r="H518" s="40"/>
      <c r="I518" s="139">
        <v>0</v>
      </c>
    </row>
    <row r="519" spans="1:9" ht="15.75" hidden="1" thickBot="1" x14ac:dyDescent="0.3">
      <c r="A519" s="243"/>
      <c r="B519" s="97"/>
      <c r="C519" s="74"/>
      <c r="D519" s="89"/>
      <c r="E519" s="61" t="s">
        <v>521</v>
      </c>
      <c r="F519" s="61" t="str">
        <f t="shared" si="18"/>
        <v/>
      </c>
      <c r="G519" s="63"/>
      <c r="H519" s="25"/>
      <c r="I519" s="139">
        <v>0</v>
      </c>
    </row>
    <row r="520" spans="1:9" ht="26.25" hidden="1" customHeight="1" thickBot="1" x14ac:dyDescent="0.3">
      <c r="A520" s="242" t="s">
        <v>2321</v>
      </c>
      <c r="B520" s="35" t="s">
        <v>521</v>
      </c>
      <c r="C520" s="72" t="s">
        <v>120</v>
      </c>
      <c r="D520" s="87"/>
      <c r="E520" s="36" t="s">
        <v>521</v>
      </c>
      <c r="F520" s="36" t="str">
        <f t="shared" si="18"/>
        <v/>
      </c>
      <c r="G520" s="23"/>
      <c r="H520" s="24"/>
      <c r="I520" s="139">
        <v>0</v>
      </c>
    </row>
    <row r="521" spans="1:9" ht="15.75" hidden="1" thickBot="1" x14ac:dyDescent="0.3">
      <c r="A521" s="237"/>
      <c r="B521" s="26" t="s">
        <v>521</v>
      </c>
      <c r="C521" s="73"/>
      <c r="D521" s="85"/>
      <c r="E521" s="91" t="s">
        <v>521</v>
      </c>
      <c r="F521" s="92" t="str">
        <f t="shared" si="18"/>
        <v/>
      </c>
      <c r="G521" s="29"/>
      <c r="H521" s="25"/>
      <c r="I521" s="139">
        <v>0</v>
      </c>
    </row>
    <row r="522" spans="1:9" ht="15.75" hidden="1" thickBot="1" x14ac:dyDescent="0.3">
      <c r="A522" s="237"/>
      <c r="B522" s="30" t="s">
        <v>710</v>
      </c>
      <c r="C522" s="44" t="s">
        <v>702</v>
      </c>
      <c r="D522" s="31">
        <v>8.2972999999999999</v>
      </c>
      <c r="E522" s="28">
        <v>24.889999999999997</v>
      </c>
      <c r="F522" s="28">
        <f t="shared" si="18"/>
        <v>206.52</v>
      </c>
      <c r="G522" s="39">
        <f>SUM(F522:F524)</f>
        <v>1105.47</v>
      </c>
      <c r="H522" s="40"/>
      <c r="I522" s="139">
        <v>0</v>
      </c>
    </row>
    <row r="523" spans="1:9" ht="15.75" hidden="1" thickBot="1" x14ac:dyDescent="0.3">
      <c r="A523" s="237"/>
      <c r="B523" s="30" t="s">
        <v>703</v>
      </c>
      <c r="C523" s="44" t="s">
        <v>702</v>
      </c>
      <c r="D523" s="31">
        <v>5.5315000000000003</v>
      </c>
      <c r="E523" s="28">
        <v>18.420500000000001</v>
      </c>
      <c r="F523" s="28">
        <f t="shared" si="18"/>
        <v>101.89</v>
      </c>
      <c r="G523" s="39"/>
      <c r="H523" s="40"/>
      <c r="I523" s="139">
        <v>0</v>
      </c>
    </row>
    <row r="524" spans="1:9" ht="39" hidden="1" thickBot="1" x14ac:dyDescent="0.3">
      <c r="A524" s="237"/>
      <c r="B524" s="30" t="s">
        <v>2323</v>
      </c>
      <c r="C524" s="44" t="s">
        <v>120</v>
      </c>
      <c r="D524" s="31">
        <v>1.2030000000000001</v>
      </c>
      <c r="E524" s="25">
        <v>662.56307689024004</v>
      </c>
      <c r="F524" s="28">
        <f t="shared" si="18"/>
        <v>797.06</v>
      </c>
      <c r="G524" s="39"/>
      <c r="H524" s="40"/>
      <c r="I524" s="139">
        <v>0</v>
      </c>
    </row>
    <row r="525" spans="1:9" ht="15.75" hidden="1" thickBot="1" x14ac:dyDescent="0.3">
      <c r="A525" s="243"/>
      <c r="B525" s="97"/>
      <c r="C525" s="74"/>
      <c r="D525" s="89"/>
      <c r="E525" s="61" t="s">
        <v>521</v>
      </c>
      <c r="F525" s="61" t="str">
        <f t="shared" si="18"/>
        <v/>
      </c>
      <c r="G525" s="63"/>
      <c r="H525" s="25"/>
      <c r="I525" s="139">
        <v>0</v>
      </c>
    </row>
    <row r="526" spans="1:9" ht="26.25" hidden="1" customHeight="1" thickBot="1" x14ac:dyDescent="0.3">
      <c r="A526" s="242" t="s">
        <v>2322</v>
      </c>
      <c r="B526" s="35" t="s">
        <v>521</v>
      </c>
      <c r="C526" s="72" t="s">
        <v>120</v>
      </c>
      <c r="D526" s="87"/>
      <c r="E526" s="36" t="s">
        <v>521</v>
      </c>
      <c r="F526" s="36" t="str">
        <f t="shared" si="18"/>
        <v/>
      </c>
      <c r="G526" s="23"/>
      <c r="H526" s="24"/>
      <c r="I526" s="139">
        <v>0</v>
      </c>
    </row>
    <row r="527" spans="1:9" ht="15.75" hidden="1" thickBot="1" x14ac:dyDescent="0.3">
      <c r="A527" s="237"/>
      <c r="B527" s="26" t="s">
        <v>521</v>
      </c>
      <c r="C527" s="73"/>
      <c r="D527" s="85"/>
      <c r="E527" s="91" t="s">
        <v>521</v>
      </c>
      <c r="F527" s="92" t="str">
        <f t="shared" si="18"/>
        <v/>
      </c>
      <c r="G527" s="29"/>
      <c r="H527" s="25"/>
      <c r="I527" s="139">
        <v>0</v>
      </c>
    </row>
    <row r="528" spans="1:9" ht="15.75" hidden="1" thickBot="1" x14ac:dyDescent="0.3">
      <c r="A528" s="237"/>
      <c r="B528" s="30" t="s">
        <v>710</v>
      </c>
      <c r="C528" s="44" t="s">
        <v>702</v>
      </c>
      <c r="D528" s="31">
        <v>7.4147999999999996</v>
      </c>
      <c r="E528" s="28">
        <v>24.889999999999997</v>
      </c>
      <c r="F528" s="28">
        <f t="shared" si="18"/>
        <v>184.55</v>
      </c>
      <c r="G528" s="39">
        <f>SUM(F528:F530)</f>
        <v>1072.67</v>
      </c>
      <c r="H528" s="40"/>
      <c r="I528" s="139">
        <v>0</v>
      </c>
    </row>
    <row r="529" spans="1:9" ht="15.75" hidden="1" thickBot="1" x14ac:dyDescent="0.3">
      <c r="A529" s="237"/>
      <c r="B529" s="30" t="s">
        <v>703</v>
      </c>
      <c r="C529" s="44" t="s">
        <v>702</v>
      </c>
      <c r="D529" s="31">
        <v>4.9432</v>
      </c>
      <c r="E529" s="28">
        <v>18.420500000000001</v>
      </c>
      <c r="F529" s="28">
        <f t="shared" si="18"/>
        <v>91.06</v>
      </c>
      <c r="G529" s="39"/>
      <c r="H529" s="40"/>
      <c r="I529" s="139">
        <v>0</v>
      </c>
    </row>
    <row r="530" spans="1:9" ht="39" hidden="1" thickBot="1" x14ac:dyDescent="0.3">
      <c r="A530" s="237"/>
      <c r="B530" s="30" t="s">
        <v>2323</v>
      </c>
      <c r="C530" s="44" t="s">
        <v>120</v>
      </c>
      <c r="D530" s="31">
        <v>1.2030000000000001</v>
      </c>
      <c r="E530" s="25">
        <v>662.56307689024004</v>
      </c>
      <c r="F530" s="28">
        <f t="shared" si="18"/>
        <v>797.06</v>
      </c>
      <c r="G530" s="39"/>
      <c r="H530" s="40"/>
      <c r="I530" s="139">
        <v>0</v>
      </c>
    </row>
    <row r="531" spans="1:9" ht="15.75" hidden="1" thickBot="1" x14ac:dyDescent="0.3">
      <c r="A531" s="243"/>
      <c r="B531" s="97"/>
      <c r="C531" s="74"/>
      <c r="D531" s="89"/>
      <c r="E531" s="61" t="s">
        <v>521</v>
      </c>
      <c r="F531" s="61" t="str">
        <f t="shared" si="18"/>
        <v/>
      </c>
      <c r="G531" s="63"/>
      <c r="H531" s="25"/>
      <c r="I531" s="139">
        <v>0</v>
      </c>
    </row>
    <row r="532" spans="1:9" ht="26.25" hidden="1" customHeight="1" thickBot="1" x14ac:dyDescent="0.3">
      <c r="A532" s="242" t="s">
        <v>2318</v>
      </c>
      <c r="B532" s="35" t="s">
        <v>521</v>
      </c>
      <c r="C532" s="72" t="s">
        <v>897</v>
      </c>
      <c r="D532" s="87"/>
      <c r="E532" s="36" t="s">
        <v>521</v>
      </c>
      <c r="F532" s="36" t="str">
        <f t="shared" si="18"/>
        <v/>
      </c>
      <c r="G532" s="23"/>
      <c r="H532" s="24"/>
      <c r="I532" s="139">
        <v>0</v>
      </c>
    </row>
    <row r="533" spans="1:9" ht="15.75" hidden="1" thickBot="1" x14ac:dyDescent="0.3">
      <c r="A533" s="237"/>
      <c r="B533" s="26" t="s">
        <v>521</v>
      </c>
      <c r="C533" s="73"/>
      <c r="D533" s="85"/>
      <c r="E533" s="91" t="s">
        <v>521</v>
      </c>
      <c r="F533" s="92" t="str">
        <f t="shared" si="18"/>
        <v/>
      </c>
      <c r="G533" s="29"/>
      <c r="H533" s="25"/>
      <c r="I533" s="139">
        <v>0</v>
      </c>
    </row>
    <row r="534" spans="1:9" ht="15.75" hidden="1" thickBot="1" x14ac:dyDescent="0.3">
      <c r="A534" s="237"/>
      <c r="B534" s="30" t="s">
        <v>770</v>
      </c>
      <c r="C534" s="44" t="s">
        <v>897</v>
      </c>
      <c r="D534" s="31">
        <v>1</v>
      </c>
      <c r="E534" s="28">
        <v>10.032</v>
      </c>
      <c r="F534" s="28">
        <f t="shared" si="18"/>
        <v>10.029999999999999</v>
      </c>
      <c r="G534" s="39">
        <f>SUM(F534:F536)</f>
        <v>12.41</v>
      </c>
      <c r="H534" s="40"/>
      <c r="I534" s="139">
        <v>0</v>
      </c>
    </row>
    <row r="535" spans="1:9" ht="15.75" hidden="1" thickBot="1" x14ac:dyDescent="0.3">
      <c r="A535" s="237"/>
      <c r="B535" s="30" t="s">
        <v>710</v>
      </c>
      <c r="C535" s="44" t="s">
        <v>702</v>
      </c>
      <c r="D535" s="31">
        <v>6.2700000000000006E-2</v>
      </c>
      <c r="E535" s="28">
        <v>24.889999999999997</v>
      </c>
      <c r="F535" s="28">
        <f t="shared" si="18"/>
        <v>1.56</v>
      </c>
      <c r="G535" s="39"/>
      <c r="H535" s="40"/>
      <c r="I535" s="139">
        <v>0</v>
      </c>
    </row>
    <row r="536" spans="1:9" ht="15.75" hidden="1" thickBot="1" x14ac:dyDescent="0.3">
      <c r="A536" s="237"/>
      <c r="B536" s="30" t="s">
        <v>703</v>
      </c>
      <c r="C536" s="44" t="s">
        <v>702</v>
      </c>
      <c r="D536" s="31">
        <v>4.4299999999999999E-2</v>
      </c>
      <c r="E536" s="25">
        <v>18.420500000000001</v>
      </c>
      <c r="F536" s="28">
        <f t="shared" si="18"/>
        <v>0.82</v>
      </c>
      <c r="G536" s="39"/>
      <c r="H536" s="40"/>
      <c r="I536" s="139">
        <v>0</v>
      </c>
    </row>
    <row r="537" spans="1:9" ht="15.75" hidden="1" thickBot="1" x14ac:dyDescent="0.3">
      <c r="A537" s="243"/>
      <c r="B537" s="97"/>
      <c r="C537" s="74"/>
      <c r="D537" s="89"/>
      <c r="E537" s="61" t="s">
        <v>521</v>
      </c>
      <c r="F537" s="61" t="str">
        <f t="shared" si="18"/>
        <v/>
      </c>
      <c r="G537" s="63"/>
      <c r="H537" s="25"/>
      <c r="I537" s="139">
        <v>0</v>
      </c>
    </row>
    <row r="538" spans="1:9" ht="26.25" hidden="1" customHeight="1" thickBot="1" x14ac:dyDescent="0.3">
      <c r="A538" s="242" t="s">
        <v>2319</v>
      </c>
      <c r="B538" s="35" t="s">
        <v>521</v>
      </c>
      <c r="C538" s="72" t="s">
        <v>897</v>
      </c>
      <c r="D538" s="87"/>
      <c r="E538" s="36" t="s">
        <v>521</v>
      </c>
      <c r="F538" s="36" t="str">
        <f t="shared" si="18"/>
        <v/>
      </c>
      <c r="G538" s="23"/>
      <c r="H538" s="24"/>
      <c r="I538" s="139">
        <v>0</v>
      </c>
    </row>
    <row r="539" spans="1:9" ht="15.75" hidden="1" thickBot="1" x14ac:dyDescent="0.3">
      <c r="A539" s="237"/>
      <c r="B539" s="26" t="s">
        <v>521</v>
      </c>
      <c r="C539" s="73"/>
      <c r="D539" s="85"/>
      <c r="E539" s="91" t="s">
        <v>521</v>
      </c>
      <c r="F539" s="92" t="str">
        <f t="shared" si="18"/>
        <v/>
      </c>
      <c r="G539" s="29"/>
      <c r="H539" s="25"/>
      <c r="I539" s="139">
        <v>0</v>
      </c>
    </row>
    <row r="540" spans="1:9" ht="15.75" hidden="1" thickBot="1" x14ac:dyDescent="0.3">
      <c r="A540" s="237"/>
      <c r="B540" s="30" t="s">
        <v>770</v>
      </c>
      <c r="C540" s="44" t="s">
        <v>897</v>
      </c>
      <c r="D540" s="31">
        <v>1</v>
      </c>
      <c r="E540" s="28">
        <v>10.032</v>
      </c>
      <c r="F540" s="28">
        <f t="shared" si="18"/>
        <v>10.029999999999999</v>
      </c>
      <c r="G540" s="39">
        <f>SUM(F540:F542)</f>
        <v>11.89</v>
      </c>
      <c r="H540" s="40"/>
      <c r="I540" s="139">
        <v>0</v>
      </c>
    </row>
    <row r="541" spans="1:9" ht="15.75" hidden="1" thickBot="1" x14ac:dyDescent="0.3">
      <c r="A541" s="237"/>
      <c r="B541" s="30" t="s">
        <v>710</v>
      </c>
      <c r="C541" s="44" t="s">
        <v>702</v>
      </c>
      <c r="D541" s="31">
        <v>4.9200000000000001E-2</v>
      </c>
      <c r="E541" s="28">
        <v>24.889999999999997</v>
      </c>
      <c r="F541" s="28">
        <f t="shared" si="18"/>
        <v>1.22</v>
      </c>
      <c r="G541" s="39"/>
      <c r="H541" s="40"/>
      <c r="I541" s="139">
        <v>0</v>
      </c>
    </row>
    <row r="542" spans="1:9" ht="15.75" hidden="1" thickBot="1" x14ac:dyDescent="0.3">
      <c r="A542" s="237"/>
      <c r="B542" s="30" t="s">
        <v>703</v>
      </c>
      <c r="C542" s="44" t="s">
        <v>702</v>
      </c>
      <c r="D542" s="31">
        <v>3.4799999999999998E-2</v>
      </c>
      <c r="E542" s="25">
        <v>18.420500000000001</v>
      </c>
      <c r="F542" s="28">
        <f t="shared" si="18"/>
        <v>0.64</v>
      </c>
      <c r="G542" s="39"/>
      <c r="H542" s="40"/>
      <c r="I542" s="139">
        <v>0</v>
      </c>
    </row>
    <row r="543" spans="1:9" ht="15.75" hidden="1" thickBot="1" x14ac:dyDescent="0.3">
      <c r="A543" s="243"/>
      <c r="B543" s="97"/>
      <c r="C543" s="74"/>
      <c r="D543" s="89"/>
      <c r="E543" s="61" t="s">
        <v>521</v>
      </c>
      <c r="F543" s="61" t="str">
        <f t="shared" si="18"/>
        <v/>
      </c>
      <c r="G543" s="63"/>
      <c r="H543" s="25"/>
      <c r="I543" s="139">
        <v>0</v>
      </c>
    </row>
    <row r="544" spans="1:9" ht="15" hidden="1" customHeight="1" thickBot="1" x14ac:dyDescent="0.3">
      <c r="A544" s="242" t="s">
        <v>1916</v>
      </c>
      <c r="B544" s="35" t="s">
        <v>521</v>
      </c>
      <c r="C544" s="20" t="s">
        <v>988</v>
      </c>
      <c r="D544" s="87"/>
      <c r="E544" s="22" t="s">
        <v>521</v>
      </c>
      <c r="F544" s="22" t="str">
        <f t="shared" ref="F544:F550" si="19">IF(ISNUMBER(E544),E544*$D544,"")</f>
        <v/>
      </c>
      <c r="G544" s="23"/>
      <c r="H544" s="24"/>
      <c r="I544" s="139">
        <v>0</v>
      </c>
    </row>
    <row r="545" spans="1:9" ht="15.75" hidden="1" thickBot="1" x14ac:dyDescent="0.3">
      <c r="A545" s="237"/>
      <c r="B545" s="26" t="s">
        <v>521</v>
      </c>
      <c r="C545" s="26"/>
      <c r="D545" s="85"/>
      <c r="E545" s="25" t="s">
        <v>521</v>
      </c>
      <c r="F545" s="25" t="str">
        <f t="shared" si="19"/>
        <v/>
      </c>
      <c r="G545" s="29"/>
      <c r="H545" s="25"/>
      <c r="I545" s="139">
        <v>0</v>
      </c>
    </row>
    <row r="546" spans="1:9" ht="15.75" hidden="1" thickBot="1" x14ac:dyDescent="0.3">
      <c r="A546" s="237"/>
      <c r="B546" s="30" t="s">
        <v>710</v>
      </c>
      <c r="C546" s="30" t="s">
        <v>702</v>
      </c>
      <c r="D546" s="31">
        <v>5.0700000000000002E-2</v>
      </c>
      <c r="E546" s="25">
        <v>24.889999999999997</v>
      </c>
      <c r="F546" s="28">
        <f t="shared" si="19"/>
        <v>1.2619229999999999</v>
      </c>
      <c r="G546" s="39">
        <f>SUM(F546:F549)</f>
        <v>2.7371818000000006</v>
      </c>
      <c r="H546" s="40"/>
      <c r="I546" s="139">
        <v>0</v>
      </c>
    </row>
    <row r="547" spans="1:9" ht="15.75" hidden="1" thickBot="1" x14ac:dyDescent="0.3">
      <c r="A547" s="237"/>
      <c r="B547" s="30" t="s">
        <v>703</v>
      </c>
      <c r="C547" s="30" t="s">
        <v>702</v>
      </c>
      <c r="D547" s="31">
        <v>7.5999999999999998E-2</v>
      </c>
      <c r="E547" s="28">
        <v>18.420500000000001</v>
      </c>
      <c r="F547" s="28">
        <f t="shared" si="19"/>
        <v>1.399958</v>
      </c>
      <c r="G547" s="39"/>
      <c r="H547" s="40"/>
      <c r="I547" s="139">
        <v>0</v>
      </c>
    </row>
    <row r="548" spans="1:9" ht="26.25" hidden="1" thickBot="1" x14ac:dyDescent="0.3">
      <c r="A548" s="237"/>
      <c r="B548" s="30" t="s">
        <v>937</v>
      </c>
      <c r="C548" s="30" t="s">
        <v>938</v>
      </c>
      <c r="D548" s="31">
        <v>1.6000000000000001E-3</v>
      </c>
      <c r="E548" s="25">
        <v>26.875499999999999</v>
      </c>
      <c r="F548" s="28">
        <f t="shared" si="19"/>
        <v>4.3000799999999999E-2</v>
      </c>
      <c r="G548" s="39"/>
      <c r="H548" s="40"/>
      <c r="I548" s="139">
        <v>0</v>
      </c>
    </row>
    <row r="549" spans="1:9" ht="26.25" hidden="1" thickBot="1" x14ac:dyDescent="0.3">
      <c r="A549" s="237"/>
      <c r="B549" s="30" t="s">
        <v>939</v>
      </c>
      <c r="C549" s="30" t="s">
        <v>940</v>
      </c>
      <c r="D549" s="31">
        <v>1.6000000000000001E-3</v>
      </c>
      <c r="E549" s="25">
        <v>20.1875</v>
      </c>
      <c r="F549" s="28">
        <f t="shared" si="19"/>
        <v>3.2300000000000002E-2</v>
      </c>
      <c r="G549" s="39"/>
      <c r="H549" s="40"/>
      <c r="I549" s="139">
        <v>0</v>
      </c>
    </row>
    <row r="550" spans="1:9" ht="15.75" hidden="1" thickBot="1" x14ac:dyDescent="0.3">
      <c r="A550" s="243"/>
      <c r="B550" s="49" t="s">
        <v>521</v>
      </c>
      <c r="C550" s="49"/>
      <c r="D550" s="89"/>
      <c r="E550" s="61" t="s">
        <v>521</v>
      </c>
      <c r="F550" s="62" t="str">
        <f t="shared" si="19"/>
        <v/>
      </c>
      <c r="G550" s="63"/>
      <c r="H550" s="25"/>
      <c r="I550" s="139">
        <v>0</v>
      </c>
    </row>
    <row r="551" spans="1:9" ht="26.25" hidden="1" customHeight="1" thickBot="1" x14ac:dyDescent="0.3">
      <c r="A551" s="242" t="s">
        <v>1597</v>
      </c>
      <c r="B551" s="35" t="s">
        <v>521</v>
      </c>
      <c r="C551" s="72" t="s">
        <v>120</v>
      </c>
      <c r="D551" s="87"/>
      <c r="E551" s="36" t="s">
        <v>521</v>
      </c>
      <c r="F551" s="36" t="str">
        <f>IF(ISNUMBER(E551),ROUND(E551*$D551,2),"")</f>
        <v/>
      </c>
      <c r="G551" s="23"/>
      <c r="H551" s="24"/>
      <c r="I551" s="139">
        <v>0</v>
      </c>
    </row>
    <row r="552" spans="1:9" ht="15.75" hidden="1" thickBot="1" x14ac:dyDescent="0.3">
      <c r="A552" s="237"/>
      <c r="B552" s="26" t="s">
        <v>521</v>
      </c>
      <c r="C552" s="73"/>
      <c r="D552" s="85"/>
      <c r="E552" s="91" t="s">
        <v>521</v>
      </c>
      <c r="F552" s="92" t="str">
        <f>IF(ISNUMBER(E552),ROUND(E552*$D552,2),"")</f>
        <v/>
      </c>
      <c r="G552" s="29"/>
      <c r="H552" s="25"/>
      <c r="I552" s="139">
        <v>0</v>
      </c>
    </row>
    <row r="553" spans="1:9" ht="26.25" hidden="1" thickBot="1" x14ac:dyDescent="0.3">
      <c r="A553" s="237"/>
      <c r="B553" s="30" t="s">
        <v>751</v>
      </c>
      <c r="C553" s="44" t="s">
        <v>120</v>
      </c>
      <c r="D553" s="31">
        <v>1.17</v>
      </c>
      <c r="E553" s="28">
        <v>186.16200000000001</v>
      </c>
      <c r="F553" s="28">
        <f>IF(ISNUMBER(E553),ROUND(E553*$D553,2),"")</f>
        <v>217.81</v>
      </c>
      <c r="G553" s="39">
        <f>SUM(F553:F562)</f>
        <v>681.79851816200005</v>
      </c>
      <c r="H553" s="40"/>
      <c r="I553" s="139">
        <v>0</v>
      </c>
    </row>
    <row r="554" spans="1:9" ht="15.75" hidden="1" thickBot="1" x14ac:dyDescent="0.3">
      <c r="A554" s="237"/>
      <c r="B554" s="30" t="s">
        <v>1436</v>
      </c>
      <c r="C554" s="44" t="s">
        <v>897</v>
      </c>
      <c r="D554" s="31">
        <v>117.22</v>
      </c>
      <c r="E554" s="25">
        <v>1.0449999999999999</v>
      </c>
      <c r="F554" s="28">
        <f>IF(ISNUMBER(E554),ROUND(E554*$D554,2),"")</f>
        <v>122.49</v>
      </c>
      <c r="G554" s="39"/>
      <c r="H554" s="40"/>
      <c r="I554" s="139">
        <v>0</v>
      </c>
    </row>
    <row r="555" spans="1:9" ht="15.75" hidden="1" thickBot="1" x14ac:dyDescent="0.3">
      <c r="A555" s="237"/>
      <c r="B555" s="30" t="s">
        <v>747</v>
      </c>
      <c r="C555" s="44" t="s">
        <v>897</v>
      </c>
      <c r="D555" s="31">
        <v>263.74</v>
      </c>
      <c r="E555" s="25">
        <v>0.64600000000000002</v>
      </c>
      <c r="F555" s="28">
        <f>IF(ISNUMBER(E555),ROUND(E555*$D555,2),"")</f>
        <v>170.38</v>
      </c>
      <c r="G555" s="39"/>
      <c r="H555" s="40"/>
      <c r="I555" s="139">
        <v>0</v>
      </c>
    </row>
    <row r="556" spans="1:9" ht="26.25" hidden="1" thickBot="1" x14ac:dyDescent="0.3">
      <c r="A556" s="237"/>
      <c r="B556" s="30" t="s">
        <v>1434</v>
      </c>
      <c r="C556" s="30" t="s">
        <v>702</v>
      </c>
      <c r="D556" s="31">
        <v>5.16</v>
      </c>
      <c r="E556" s="25">
        <v>18.534500000000001</v>
      </c>
      <c r="F556" s="28">
        <f>IF(ISNUMBER(E556),E556*$D556,"")</f>
        <v>95.638020000000012</v>
      </c>
      <c r="G556" s="39"/>
      <c r="H556" s="40"/>
      <c r="I556" s="139">
        <v>0</v>
      </c>
    </row>
    <row r="557" spans="1:9" ht="39" hidden="1" thickBot="1" x14ac:dyDescent="0.3">
      <c r="A557" s="237"/>
      <c r="B557" s="30" t="s">
        <v>117</v>
      </c>
      <c r="C557" s="41" t="s">
        <v>938</v>
      </c>
      <c r="D557" s="31">
        <v>1.2</v>
      </c>
      <c r="E557" s="25">
        <v>1.3964999999999999</v>
      </c>
      <c r="F557" s="28">
        <f>IF(ISNUMBER(E557),E557*$D557,"")</f>
        <v>1.6757999999999997</v>
      </c>
      <c r="G557" s="39"/>
      <c r="H557" s="40"/>
      <c r="I557" s="139">
        <v>0</v>
      </c>
    </row>
    <row r="558" spans="1:9" ht="39" hidden="1" thickBot="1" x14ac:dyDescent="0.3">
      <c r="A558" s="237"/>
      <c r="B558" s="30" t="s">
        <v>118</v>
      </c>
      <c r="C558" s="41" t="s">
        <v>940</v>
      </c>
      <c r="D558" s="31">
        <v>3.96</v>
      </c>
      <c r="E558" s="25">
        <v>0.3705</v>
      </c>
      <c r="F558" s="28">
        <f>IF(ISNUMBER(E558),E558*$D558,"")</f>
        <v>1.4671799999999999</v>
      </c>
      <c r="G558" s="39"/>
      <c r="H558" s="40"/>
      <c r="I558" s="139">
        <v>0</v>
      </c>
    </row>
    <row r="559" spans="1:9" ht="51.75" hidden="1" thickBot="1" x14ac:dyDescent="0.3">
      <c r="A559" s="237"/>
      <c r="B559" s="30" t="s">
        <v>1826</v>
      </c>
      <c r="C559" s="30" t="s">
        <v>120</v>
      </c>
      <c r="D559" s="31">
        <f>ROUND(1*(D553),4)</f>
        <v>1.17</v>
      </c>
      <c r="E559" s="25">
        <v>8.0614416000000002</v>
      </c>
      <c r="F559" s="28">
        <f>IF(ISNUMBER(E559),E559*$D559,"")</f>
        <v>9.4318866719999992</v>
      </c>
      <c r="G559" s="39"/>
      <c r="H559" s="40"/>
      <c r="I559" s="139">
        <v>0</v>
      </c>
    </row>
    <row r="560" spans="1:9" ht="39" hidden="1" thickBot="1" x14ac:dyDescent="0.3">
      <c r="A560" s="237"/>
      <c r="B560" s="30" t="s">
        <v>1823</v>
      </c>
      <c r="C560" s="41" t="s">
        <v>122</v>
      </c>
      <c r="D560" s="31">
        <f>ROUND(D553*20,4)</f>
        <v>23.4</v>
      </c>
      <c r="E560" s="25">
        <v>2.6882748499999995</v>
      </c>
      <c r="F560" s="28">
        <f>IF(ISNUMBER(E560),E560*$D560,"")</f>
        <v>62.905631489999983</v>
      </c>
      <c r="G560" s="39"/>
      <c r="H560" s="40"/>
      <c r="I560" s="139">
        <v>0</v>
      </c>
    </row>
    <row r="561" spans="1:9" ht="15.75" hidden="1" thickBot="1" x14ac:dyDescent="0.3">
      <c r="A561" s="237"/>
      <c r="B561" s="45"/>
      <c r="C561" s="119"/>
      <c r="D561" s="31"/>
      <c r="E561" s="25" t="s">
        <v>521</v>
      </c>
      <c r="F561" s="28" t="str">
        <f t="shared" ref="F561:F586" si="20">IF(ISNUMBER(E561),ROUND(E561*$D561,2),"")</f>
        <v/>
      </c>
      <c r="G561" s="39"/>
      <c r="H561" s="40"/>
      <c r="I561" s="139">
        <v>0</v>
      </c>
    </row>
    <row r="562" spans="1:9" ht="24.95" hidden="1" customHeight="1" thickBot="1" x14ac:dyDescent="0.3">
      <c r="A562" s="237"/>
      <c r="B562" s="42" t="s">
        <v>754</v>
      </c>
      <c r="C562" s="119"/>
      <c r="D562" s="31"/>
      <c r="E562" s="25" t="s">
        <v>521</v>
      </c>
      <c r="F562" s="28" t="str">
        <f t="shared" si="20"/>
        <v/>
      </c>
      <c r="G562" s="39"/>
      <c r="H562" s="40"/>
      <c r="I562" s="139">
        <v>0</v>
      </c>
    </row>
    <row r="563" spans="1:9" ht="15.75" hidden="1" thickBot="1" x14ac:dyDescent="0.3">
      <c r="A563" s="243"/>
      <c r="B563" s="97"/>
      <c r="C563" s="74"/>
      <c r="D563" s="89"/>
      <c r="E563" s="61" t="s">
        <v>521</v>
      </c>
      <c r="F563" s="61" t="str">
        <f t="shared" si="20"/>
        <v/>
      </c>
      <c r="G563" s="63"/>
      <c r="H563" s="25"/>
      <c r="I563" s="139">
        <v>0</v>
      </c>
    </row>
    <row r="564" spans="1:9" ht="26.25" hidden="1" customHeight="1" thickBot="1" x14ac:dyDescent="0.3">
      <c r="A564" s="242" t="s">
        <v>2797</v>
      </c>
      <c r="B564" s="35" t="s">
        <v>521</v>
      </c>
      <c r="C564" s="72" t="s">
        <v>897</v>
      </c>
      <c r="D564" s="87"/>
      <c r="E564" s="36" t="s">
        <v>521</v>
      </c>
      <c r="F564" s="36" t="str">
        <f t="shared" si="20"/>
        <v/>
      </c>
      <c r="G564" s="23"/>
      <c r="H564" s="24"/>
      <c r="I564" s="139">
        <v>0</v>
      </c>
    </row>
    <row r="565" spans="1:9" ht="15.75" hidden="1" thickBot="1" x14ac:dyDescent="0.3">
      <c r="A565" s="237"/>
      <c r="B565" s="26" t="s">
        <v>521</v>
      </c>
      <c r="C565" s="73"/>
      <c r="D565" s="85"/>
      <c r="E565" s="91" t="s">
        <v>521</v>
      </c>
      <c r="F565" s="92" t="str">
        <f t="shared" si="20"/>
        <v/>
      </c>
      <c r="G565" s="29"/>
      <c r="H565" s="25"/>
      <c r="I565" s="139">
        <v>0</v>
      </c>
    </row>
    <row r="566" spans="1:9" ht="15.75" hidden="1" thickBot="1" x14ac:dyDescent="0.3">
      <c r="A566" s="237"/>
      <c r="B566" s="30" t="s">
        <v>1442</v>
      </c>
      <c r="C566" s="44" t="s">
        <v>897</v>
      </c>
      <c r="D566" s="31">
        <v>1.07</v>
      </c>
      <c r="E566" s="28">
        <v>9.5</v>
      </c>
      <c r="F566" s="28">
        <f t="shared" si="20"/>
        <v>10.17</v>
      </c>
      <c r="G566" s="39">
        <f>SUM(F566:F568)</f>
        <v>11.78</v>
      </c>
      <c r="H566" s="40"/>
      <c r="I566" s="139">
        <v>0</v>
      </c>
    </row>
    <row r="567" spans="1:9" ht="15.75" hidden="1" thickBot="1" x14ac:dyDescent="0.3">
      <c r="A567" s="237"/>
      <c r="B567" s="30" t="s">
        <v>899</v>
      </c>
      <c r="C567" s="44" t="s">
        <v>702</v>
      </c>
      <c r="D567" s="31">
        <v>9.4999999999999998E-3</v>
      </c>
      <c r="E567" s="28">
        <v>18.3825</v>
      </c>
      <c r="F567" s="28">
        <f t="shared" si="20"/>
        <v>0.17</v>
      </c>
      <c r="G567" s="39"/>
      <c r="H567" s="40"/>
      <c r="I567" s="139">
        <v>0</v>
      </c>
    </row>
    <row r="568" spans="1:9" ht="15.75" hidden="1" thickBot="1" x14ac:dyDescent="0.3">
      <c r="A568" s="237"/>
      <c r="B568" s="30" t="s">
        <v>900</v>
      </c>
      <c r="C568" s="44" t="s">
        <v>702</v>
      </c>
      <c r="D568" s="31">
        <v>5.8099999999999999E-2</v>
      </c>
      <c r="E568" s="25">
        <v>24.747499999999999</v>
      </c>
      <c r="F568" s="28">
        <f t="shared" si="20"/>
        <v>1.44</v>
      </c>
      <c r="G568" s="39"/>
      <c r="H568" s="40"/>
      <c r="I568" s="139">
        <v>0</v>
      </c>
    </row>
    <row r="569" spans="1:9" ht="15.75" hidden="1" thickBot="1" x14ac:dyDescent="0.3">
      <c r="A569" s="243"/>
      <c r="B569" s="97"/>
      <c r="C569" s="74"/>
      <c r="D569" s="89"/>
      <c r="E569" s="61" t="s">
        <v>521</v>
      </c>
      <c r="F569" s="61" t="str">
        <f t="shared" si="20"/>
        <v/>
      </c>
      <c r="G569" s="63"/>
      <c r="H569" s="25"/>
      <c r="I569" s="139">
        <v>0</v>
      </c>
    </row>
    <row r="570" spans="1:9" ht="26.25" hidden="1" customHeight="1" thickBot="1" x14ac:dyDescent="0.3">
      <c r="A570" s="242" t="s">
        <v>2320</v>
      </c>
      <c r="B570" s="35" t="s">
        <v>521</v>
      </c>
      <c r="C570" s="72" t="s">
        <v>897</v>
      </c>
      <c r="D570" s="87"/>
      <c r="E570" s="36" t="s">
        <v>521</v>
      </c>
      <c r="F570" s="36" t="str">
        <f t="shared" si="20"/>
        <v/>
      </c>
      <c r="G570" s="23"/>
      <c r="H570" s="24"/>
      <c r="I570" s="139">
        <v>0</v>
      </c>
    </row>
    <row r="571" spans="1:9" ht="15.75" hidden="1" thickBot="1" x14ac:dyDescent="0.3">
      <c r="A571" s="237"/>
      <c r="B571" s="26" t="s">
        <v>521</v>
      </c>
      <c r="C571" s="73"/>
      <c r="D571" s="85"/>
      <c r="E571" s="91" t="s">
        <v>521</v>
      </c>
      <c r="F571" s="92" t="str">
        <f t="shared" si="20"/>
        <v/>
      </c>
      <c r="G571" s="29"/>
      <c r="H571" s="25"/>
      <c r="I571" s="139">
        <v>0</v>
      </c>
    </row>
    <row r="572" spans="1:9" ht="26.25" hidden="1" thickBot="1" x14ac:dyDescent="0.3">
      <c r="A572" s="237"/>
      <c r="B572" s="30" t="s">
        <v>1808</v>
      </c>
      <c r="C572" s="44" t="s">
        <v>897</v>
      </c>
      <c r="D572" s="31">
        <v>0.02</v>
      </c>
      <c r="E572" s="28">
        <v>22.61</v>
      </c>
      <c r="F572" s="28">
        <f t="shared" si="20"/>
        <v>0.45</v>
      </c>
      <c r="G572" s="39">
        <f>SUM(F572:F575)</f>
        <v>10.46</v>
      </c>
      <c r="H572" s="40"/>
      <c r="I572" s="139">
        <v>0</v>
      </c>
    </row>
    <row r="573" spans="1:9" ht="15.75" hidden="1" thickBot="1" x14ac:dyDescent="0.3">
      <c r="A573" s="237"/>
      <c r="B573" s="30" t="s">
        <v>899</v>
      </c>
      <c r="C573" s="44" t="s">
        <v>702</v>
      </c>
      <c r="D573" s="31">
        <v>2.0999999999999999E-3</v>
      </c>
      <c r="E573" s="28">
        <v>18.3825</v>
      </c>
      <c r="F573" s="28">
        <f t="shared" si="20"/>
        <v>0.04</v>
      </c>
      <c r="G573" s="39"/>
      <c r="H573" s="40"/>
      <c r="I573" s="139">
        <v>0</v>
      </c>
    </row>
    <row r="574" spans="1:9" ht="15.75" hidden="1" thickBot="1" x14ac:dyDescent="0.3">
      <c r="A574" s="237"/>
      <c r="B574" s="30" t="s">
        <v>900</v>
      </c>
      <c r="C574" s="44" t="s">
        <v>702</v>
      </c>
      <c r="D574" s="31">
        <v>1.06E-2</v>
      </c>
      <c r="E574" s="28">
        <v>24.747499999999999</v>
      </c>
      <c r="F574" s="28">
        <f t="shared" si="20"/>
        <v>0.26</v>
      </c>
      <c r="G574" s="39"/>
      <c r="H574" s="40"/>
      <c r="I574" s="139">
        <v>0</v>
      </c>
    </row>
    <row r="575" spans="1:9" ht="26.25" hidden="1" thickBot="1" x14ac:dyDescent="0.3">
      <c r="A575" s="237"/>
      <c r="B575" s="30" t="s">
        <v>1582</v>
      </c>
      <c r="C575" s="44" t="s">
        <v>897</v>
      </c>
      <c r="D575" s="31">
        <v>1</v>
      </c>
      <c r="E575" s="25">
        <v>9.7105437500000011</v>
      </c>
      <c r="F575" s="28">
        <f t="shared" si="20"/>
        <v>9.7100000000000009</v>
      </c>
      <c r="G575" s="39"/>
      <c r="H575" s="40"/>
      <c r="I575" s="139">
        <v>0</v>
      </c>
    </row>
    <row r="576" spans="1:9" ht="15.75" hidden="1" thickBot="1" x14ac:dyDescent="0.3">
      <c r="A576" s="243"/>
      <c r="B576" s="97"/>
      <c r="C576" s="74"/>
      <c r="D576" s="89"/>
      <c r="E576" s="61" t="s">
        <v>521</v>
      </c>
      <c r="F576" s="61" t="str">
        <f t="shared" si="20"/>
        <v/>
      </c>
      <c r="G576" s="63"/>
      <c r="H576" s="25"/>
      <c r="I576" s="139">
        <v>0</v>
      </c>
    </row>
    <row r="577" spans="1:9" ht="26.25" hidden="1" customHeight="1" thickBot="1" x14ac:dyDescent="0.3">
      <c r="A577" s="242" t="s">
        <v>1822</v>
      </c>
      <c r="B577" s="35" t="s">
        <v>521</v>
      </c>
      <c r="C577" s="72" t="s">
        <v>1432</v>
      </c>
      <c r="D577" s="87"/>
      <c r="E577" s="36" t="s">
        <v>521</v>
      </c>
      <c r="F577" s="36" t="str">
        <f t="shared" si="20"/>
        <v/>
      </c>
      <c r="G577" s="23"/>
      <c r="H577" s="24"/>
      <c r="I577" s="139">
        <v>0</v>
      </c>
    </row>
    <row r="578" spans="1:9" ht="15.75" hidden="1" thickBot="1" x14ac:dyDescent="0.3">
      <c r="A578" s="237"/>
      <c r="B578" s="26" t="s">
        <v>521</v>
      </c>
      <c r="C578" s="73"/>
      <c r="D578" s="85"/>
      <c r="E578" s="91" t="s">
        <v>521</v>
      </c>
      <c r="F578" s="92" t="str">
        <f t="shared" si="20"/>
        <v/>
      </c>
      <c r="G578" s="29"/>
      <c r="H578" s="25"/>
      <c r="I578" s="139">
        <v>0</v>
      </c>
    </row>
    <row r="579" spans="1:9" ht="51.75" hidden="1" thickBot="1" x14ac:dyDescent="0.3">
      <c r="A579" s="237"/>
      <c r="B579" s="30" t="s">
        <v>1073</v>
      </c>
      <c r="C579" s="44" t="s">
        <v>938</v>
      </c>
      <c r="D579" s="31">
        <v>1.52E-2</v>
      </c>
      <c r="E579" s="28">
        <v>174.20150000000001</v>
      </c>
      <c r="F579" s="28">
        <f t="shared" si="20"/>
        <v>2.65</v>
      </c>
      <c r="G579" s="39">
        <f>SUM(F579:F580)</f>
        <v>2.94</v>
      </c>
      <c r="H579" s="40"/>
      <c r="I579" s="139">
        <v>0</v>
      </c>
    </row>
    <row r="580" spans="1:9" ht="51.75" hidden="1" thickBot="1" x14ac:dyDescent="0.3">
      <c r="A580" s="237"/>
      <c r="B580" s="30" t="s">
        <v>1074</v>
      </c>
      <c r="C580" s="44" t="s">
        <v>940</v>
      </c>
      <c r="D580" s="31">
        <v>6.4999999999999997E-3</v>
      </c>
      <c r="E580" s="28">
        <v>44.478999999999999</v>
      </c>
      <c r="F580" s="28">
        <f t="shared" si="20"/>
        <v>0.28999999999999998</v>
      </c>
      <c r="G580" s="39"/>
      <c r="H580" s="40"/>
      <c r="I580" s="139">
        <v>0</v>
      </c>
    </row>
    <row r="581" spans="1:9" ht="15.75" hidden="1" thickBot="1" x14ac:dyDescent="0.3">
      <c r="A581" s="243"/>
      <c r="B581" s="97"/>
      <c r="C581" s="74"/>
      <c r="D581" s="89"/>
      <c r="E581" s="61" t="s">
        <v>521</v>
      </c>
      <c r="F581" s="61" t="str">
        <f t="shared" si="20"/>
        <v/>
      </c>
      <c r="G581" s="63"/>
      <c r="H581" s="25"/>
      <c r="I581" s="139">
        <v>0</v>
      </c>
    </row>
    <row r="582" spans="1:9" ht="26.25" hidden="1" customHeight="1" thickBot="1" x14ac:dyDescent="0.3">
      <c r="A582" s="242" t="s">
        <v>1602</v>
      </c>
      <c r="B582" s="35" t="s">
        <v>521</v>
      </c>
      <c r="C582" s="72" t="s">
        <v>120</v>
      </c>
      <c r="D582" s="87"/>
      <c r="E582" s="36" t="s">
        <v>521</v>
      </c>
      <c r="F582" s="36" t="str">
        <f t="shared" si="20"/>
        <v/>
      </c>
      <c r="G582" s="23"/>
      <c r="H582" s="24"/>
      <c r="I582" s="139">
        <v>0</v>
      </c>
    </row>
    <row r="583" spans="1:9" ht="15.75" hidden="1" thickBot="1" x14ac:dyDescent="0.3">
      <c r="A583" s="237"/>
      <c r="B583" s="26" t="s">
        <v>521</v>
      </c>
      <c r="C583" s="73"/>
      <c r="D583" s="85"/>
      <c r="E583" s="91" t="s">
        <v>521</v>
      </c>
      <c r="F583" s="92" t="str">
        <f t="shared" si="20"/>
        <v/>
      </c>
      <c r="G583" s="29"/>
      <c r="H583" s="25"/>
      <c r="I583" s="139">
        <v>0</v>
      </c>
    </row>
    <row r="584" spans="1:9" ht="26.25" hidden="1" thickBot="1" x14ac:dyDescent="0.3">
      <c r="A584" s="237"/>
      <c r="B584" s="30" t="s">
        <v>751</v>
      </c>
      <c r="C584" s="44" t="s">
        <v>120</v>
      </c>
      <c r="D584" s="31">
        <v>1.19</v>
      </c>
      <c r="E584" s="28">
        <v>186.16200000000001</v>
      </c>
      <c r="F584" s="28">
        <f t="shared" si="20"/>
        <v>221.53</v>
      </c>
      <c r="G584" s="39">
        <f>SUM(F584:F593)</f>
        <v>658.27509693399998</v>
      </c>
      <c r="H584" s="40"/>
      <c r="I584" s="139">
        <v>0</v>
      </c>
    </row>
    <row r="585" spans="1:9" ht="15.75" hidden="1" thickBot="1" x14ac:dyDescent="0.3">
      <c r="A585" s="237"/>
      <c r="B585" s="30" t="s">
        <v>1436</v>
      </c>
      <c r="C585" s="44" t="s">
        <v>897</v>
      </c>
      <c r="D585" s="31">
        <v>158.94999999999999</v>
      </c>
      <c r="E585" s="25">
        <v>1.0449999999999999</v>
      </c>
      <c r="F585" s="28">
        <f t="shared" si="20"/>
        <v>166.1</v>
      </c>
      <c r="G585" s="39"/>
      <c r="H585" s="40"/>
      <c r="I585" s="139">
        <v>0</v>
      </c>
    </row>
    <row r="586" spans="1:9" ht="15.75" hidden="1" thickBot="1" x14ac:dyDescent="0.3">
      <c r="A586" s="237"/>
      <c r="B586" s="30" t="s">
        <v>747</v>
      </c>
      <c r="C586" s="44" t="s">
        <v>897</v>
      </c>
      <c r="D586" s="31">
        <v>178.82</v>
      </c>
      <c r="E586" s="25">
        <v>0.64600000000000002</v>
      </c>
      <c r="F586" s="28">
        <f t="shared" si="20"/>
        <v>115.52</v>
      </c>
      <c r="G586" s="39"/>
      <c r="H586" s="40"/>
      <c r="I586" s="139">
        <v>0</v>
      </c>
    </row>
    <row r="587" spans="1:9" ht="26.25" hidden="1" thickBot="1" x14ac:dyDescent="0.3">
      <c r="A587" s="237"/>
      <c r="B587" s="30" t="s">
        <v>1434</v>
      </c>
      <c r="C587" s="30" t="s">
        <v>702</v>
      </c>
      <c r="D587" s="31">
        <v>4.26</v>
      </c>
      <c r="E587" s="25">
        <v>18.534500000000001</v>
      </c>
      <c r="F587" s="28">
        <f>IF(ISNUMBER(E587),E587*$D587,"")</f>
        <v>78.956969999999998</v>
      </c>
      <c r="G587" s="39"/>
      <c r="H587" s="40"/>
      <c r="I587" s="139">
        <v>0</v>
      </c>
    </row>
    <row r="588" spans="1:9" ht="39" hidden="1" thickBot="1" x14ac:dyDescent="0.3">
      <c r="A588" s="237"/>
      <c r="B588" s="30" t="s">
        <v>117</v>
      </c>
      <c r="C588" s="41" t="s">
        <v>938</v>
      </c>
      <c r="D588" s="31">
        <v>0.99</v>
      </c>
      <c r="E588" s="25">
        <v>1.3964999999999999</v>
      </c>
      <c r="F588" s="28">
        <f>IF(ISNUMBER(E588),E588*$D588,"")</f>
        <v>1.3825349999999998</v>
      </c>
      <c r="G588" s="39"/>
      <c r="H588" s="40"/>
      <c r="I588" s="139">
        <v>0</v>
      </c>
    </row>
    <row r="589" spans="1:9" ht="39" hidden="1" thickBot="1" x14ac:dyDescent="0.3">
      <c r="A589" s="237"/>
      <c r="B589" s="30" t="s">
        <v>118</v>
      </c>
      <c r="C589" s="41" t="s">
        <v>940</v>
      </c>
      <c r="D589" s="31">
        <v>3.27</v>
      </c>
      <c r="E589" s="25">
        <v>0.3705</v>
      </c>
      <c r="F589" s="28">
        <f>IF(ISNUMBER(E589),E589*$D589,"")</f>
        <v>1.211535</v>
      </c>
      <c r="G589" s="39"/>
      <c r="H589" s="40"/>
      <c r="I589" s="139">
        <v>0</v>
      </c>
    </row>
    <row r="590" spans="1:9" ht="51.75" hidden="1" thickBot="1" x14ac:dyDescent="0.3">
      <c r="A590" s="237"/>
      <c r="B590" s="30" t="s">
        <v>1826</v>
      </c>
      <c r="C590" s="30" t="s">
        <v>120</v>
      </c>
      <c r="D590" s="31">
        <f>ROUND(1*(D584),4)</f>
        <v>1.19</v>
      </c>
      <c r="E590" s="25">
        <v>8.0614416000000002</v>
      </c>
      <c r="F590" s="28">
        <f>IF(ISNUMBER(E590),E590*$D590,"")</f>
        <v>9.593115504</v>
      </c>
      <c r="G590" s="39"/>
      <c r="H590" s="40"/>
      <c r="I590" s="139">
        <v>0</v>
      </c>
    </row>
    <row r="591" spans="1:9" ht="39" hidden="1" thickBot="1" x14ac:dyDescent="0.3">
      <c r="A591" s="237"/>
      <c r="B591" s="30" t="s">
        <v>1823</v>
      </c>
      <c r="C591" s="41" t="s">
        <v>122</v>
      </c>
      <c r="D591" s="31">
        <f>ROUND(D584*20,4)</f>
        <v>23.8</v>
      </c>
      <c r="E591" s="25">
        <v>2.6882748499999995</v>
      </c>
      <c r="F591" s="28">
        <f>IF(ISNUMBER(E591),E591*$D591,"")</f>
        <v>63.980941429999994</v>
      </c>
      <c r="G591" s="39"/>
      <c r="H591" s="40"/>
      <c r="I591" s="139">
        <v>0</v>
      </c>
    </row>
    <row r="592" spans="1:9" ht="15.75" hidden="1" thickBot="1" x14ac:dyDescent="0.3">
      <c r="A592" s="237"/>
      <c r="B592" s="45"/>
      <c r="C592" s="119"/>
      <c r="D592" s="31"/>
      <c r="E592" s="25" t="s">
        <v>521</v>
      </c>
      <c r="F592" s="28" t="str">
        <f>IF(ISNUMBER(E592),ROUND(E592*$D592,2),"")</f>
        <v/>
      </c>
      <c r="G592" s="39"/>
      <c r="H592" s="40"/>
      <c r="I592" s="139">
        <v>0</v>
      </c>
    </row>
    <row r="593" spans="1:9" ht="24.95" hidden="1" customHeight="1" thickBot="1" x14ac:dyDescent="0.3">
      <c r="A593" s="237"/>
      <c r="B593" s="42" t="s">
        <v>754</v>
      </c>
      <c r="C593" s="119"/>
      <c r="D593" s="31"/>
      <c r="E593" s="25" t="s">
        <v>521</v>
      </c>
      <c r="F593" s="28" t="str">
        <f>IF(ISNUMBER(E593),ROUND(E593*$D593,2),"")</f>
        <v/>
      </c>
      <c r="G593" s="39"/>
      <c r="H593" s="40"/>
      <c r="I593" s="139">
        <v>0</v>
      </c>
    </row>
    <row r="594" spans="1:9" ht="15.75" hidden="1" thickBot="1" x14ac:dyDescent="0.3">
      <c r="A594" s="243"/>
      <c r="B594" s="97"/>
      <c r="C594" s="74"/>
      <c r="D594" s="89"/>
      <c r="E594" s="61" t="s">
        <v>521</v>
      </c>
      <c r="F594" s="61" t="str">
        <f>IF(ISNUMBER(E594),ROUND(E594*$D594,2),"")</f>
        <v/>
      </c>
      <c r="G594" s="63"/>
      <c r="H594" s="25"/>
      <c r="I594" s="139">
        <v>0</v>
      </c>
    </row>
    <row r="595" spans="1:9" ht="15" hidden="1" customHeight="1" thickBot="1" x14ac:dyDescent="0.3">
      <c r="A595" s="242" t="s">
        <v>2801</v>
      </c>
      <c r="B595" s="35" t="s">
        <v>521</v>
      </c>
      <c r="C595" s="20" t="s">
        <v>897</v>
      </c>
      <c r="D595" s="87"/>
      <c r="E595" s="36" t="s">
        <v>521</v>
      </c>
      <c r="F595" s="36" t="str">
        <f t="shared" ref="F595:F607" si="21">IF(ISNUMBER(E595),E595*$D595,"")</f>
        <v/>
      </c>
      <c r="G595" s="23"/>
      <c r="H595" s="24"/>
      <c r="I595" s="139">
        <v>0</v>
      </c>
    </row>
    <row r="596" spans="1:9" ht="15.75" hidden="1" thickBot="1" x14ac:dyDescent="0.3">
      <c r="A596" s="237"/>
      <c r="B596" s="26" t="s">
        <v>521</v>
      </c>
      <c r="C596" s="26"/>
      <c r="D596" s="85"/>
      <c r="E596" s="37" t="s">
        <v>521</v>
      </c>
      <c r="F596" s="25" t="str">
        <f t="shared" si="21"/>
        <v/>
      </c>
      <c r="G596" s="29"/>
      <c r="H596" s="25"/>
      <c r="I596" s="139">
        <v>0</v>
      </c>
    </row>
    <row r="597" spans="1:9" ht="26.25" hidden="1" thickBot="1" x14ac:dyDescent="0.3">
      <c r="A597" s="237"/>
      <c r="B597" s="30" t="s">
        <v>1616</v>
      </c>
      <c r="C597" s="30" t="s">
        <v>897</v>
      </c>
      <c r="D597" s="31">
        <v>1.1100000000000001</v>
      </c>
      <c r="E597" s="28">
        <v>10.782499999999999</v>
      </c>
      <c r="F597" s="28">
        <f t="shared" si="21"/>
        <v>11.968575</v>
      </c>
      <c r="G597" s="39">
        <f>SUM(F597:F598)</f>
        <v>12.060140749999999</v>
      </c>
      <c r="H597" s="40"/>
      <c r="I597" s="139">
        <v>0</v>
      </c>
    </row>
    <row r="598" spans="1:9" ht="15.75" hidden="1" thickBot="1" x14ac:dyDescent="0.3">
      <c r="A598" s="237"/>
      <c r="B598" s="30" t="s">
        <v>900</v>
      </c>
      <c r="C598" s="30" t="s">
        <v>702</v>
      </c>
      <c r="D598" s="31">
        <v>3.7000000000000002E-3</v>
      </c>
      <c r="E598" s="28">
        <v>24.747499999999999</v>
      </c>
      <c r="F598" s="28">
        <f t="shared" si="21"/>
        <v>9.1565750000000001E-2</v>
      </c>
      <c r="G598" s="39"/>
      <c r="H598" s="40"/>
      <c r="I598" s="139">
        <v>0</v>
      </c>
    </row>
    <row r="599" spans="1:9" ht="15.75" hidden="1" thickBot="1" x14ac:dyDescent="0.3">
      <c r="A599" s="243"/>
      <c r="B599" s="30" t="s">
        <v>521</v>
      </c>
      <c r="C599" s="30"/>
      <c r="D599" s="86"/>
      <c r="E599" s="25" t="s">
        <v>521</v>
      </c>
      <c r="F599" s="25" t="str">
        <f t="shared" si="21"/>
        <v/>
      </c>
      <c r="G599" s="29"/>
      <c r="H599" s="25"/>
      <c r="I599" s="139">
        <v>0</v>
      </c>
    </row>
    <row r="600" spans="1:9" ht="15" customHeight="1" thickBot="1" x14ac:dyDescent="0.3">
      <c r="A600" s="242" t="s">
        <v>2795</v>
      </c>
      <c r="B600" s="35" t="s">
        <v>521</v>
      </c>
      <c r="C600" s="20" t="s">
        <v>897</v>
      </c>
      <c r="D600" s="87"/>
      <c r="E600" s="22" t="s">
        <v>521</v>
      </c>
      <c r="F600" s="22" t="str">
        <f t="shared" si="21"/>
        <v/>
      </c>
      <c r="G600" s="23"/>
      <c r="H600" s="24"/>
      <c r="I600" s="139">
        <v>4298.0723099999996</v>
      </c>
    </row>
    <row r="601" spans="1:9" x14ac:dyDescent="0.25">
      <c r="A601" s="237"/>
      <c r="B601" s="143" t="s">
        <v>521</v>
      </c>
      <c r="C601" s="143"/>
      <c r="D601" s="160"/>
      <c r="E601" s="25" t="s">
        <v>521</v>
      </c>
      <c r="F601" s="25" t="str">
        <f t="shared" si="21"/>
        <v/>
      </c>
      <c r="G601" s="29"/>
      <c r="H601" s="25"/>
      <c r="I601" s="139">
        <v>4298.0723099999996</v>
      </c>
    </row>
    <row r="602" spans="1:9" ht="38.25" x14ac:dyDescent="0.25">
      <c r="A602" s="237"/>
      <c r="B602" s="145" t="s">
        <v>898</v>
      </c>
      <c r="C602" s="145" t="s">
        <v>279</v>
      </c>
      <c r="D602" s="146">
        <v>2.1179999999999999</v>
      </c>
      <c r="E602" s="25">
        <v>0.20899999999999999</v>
      </c>
      <c r="F602" s="28">
        <f t="shared" si="21"/>
        <v>0.44266199999999994</v>
      </c>
      <c r="G602" s="39">
        <f>SUM(F602:F606)</f>
        <v>15.080371250000002</v>
      </c>
      <c r="H602" s="40"/>
      <c r="I602" s="139">
        <v>4298.0723099999996</v>
      </c>
    </row>
    <row r="603" spans="1:9" ht="25.5" x14ac:dyDescent="0.25">
      <c r="A603" s="237"/>
      <c r="B603" s="145" t="s">
        <v>1808</v>
      </c>
      <c r="C603" s="145" t="s">
        <v>897</v>
      </c>
      <c r="D603" s="146">
        <v>2.5000000000000001E-2</v>
      </c>
      <c r="E603" s="25">
        <v>22.61</v>
      </c>
      <c r="F603" s="28">
        <f t="shared" si="21"/>
        <v>0.56525000000000003</v>
      </c>
      <c r="G603" s="39"/>
      <c r="H603" s="40"/>
      <c r="I603" s="139">
        <v>4298.0723099999996</v>
      </c>
    </row>
    <row r="604" spans="1:9" x14ac:dyDescent="0.25">
      <c r="A604" s="237"/>
      <c r="B604" s="145" t="s">
        <v>899</v>
      </c>
      <c r="C604" s="145" t="s">
        <v>702</v>
      </c>
      <c r="D604" s="146">
        <v>1.3599999999999999E-2</v>
      </c>
      <c r="E604" s="28">
        <v>18.3825</v>
      </c>
      <c r="F604" s="28">
        <f t="shared" si="21"/>
        <v>0.250002</v>
      </c>
      <c r="G604" s="39"/>
      <c r="H604" s="40"/>
      <c r="I604" s="139">
        <v>4298.0723099999996</v>
      </c>
    </row>
    <row r="605" spans="1:9" ht="15.75" customHeight="1" x14ac:dyDescent="0.25">
      <c r="A605" s="237"/>
      <c r="B605" s="145" t="s">
        <v>900</v>
      </c>
      <c r="C605" s="145" t="s">
        <v>702</v>
      </c>
      <c r="D605" s="146">
        <v>8.3599999999999994E-2</v>
      </c>
      <c r="E605" s="25">
        <v>24.747499999999999</v>
      </c>
      <c r="F605" s="28">
        <f t="shared" si="21"/>
        <v>2.0688909999999998</v>
      </c>
      <c r="G605" s="39"/>
      <c r="H605" s="40"/>
      <c r="I605" s="139">
        <v>4298.0723099999996</v>
      </c>
    </row>
    <row r="606" spans="1:9" ht="25.5" x14ac:dyDescent="0.25">
      <c r="A606" s="237"/>
      <c r="B606" s="145" t="s">
        <v>1583</v>
      </c>
      <c r="C606" s="147" t="s">
        <v>897</v>
      </c>
      <c r="D606" s="146">
        <v>1</v>
      </c>
      <c r="E606" s="25">
        <v>11.753566250000002</v>
      </c>
      <c r="F606" s="28">
        <f t="shared" si="21"/>
        <v>11.753566250000002</v>
      </c>
      <c r="G606" s="39"/>
      <c r="H606" s="40"/>
      <c r="I606" s="139">
        <v>4298.0723099999996</v>
      </c>
    </row>
    <row r="607" spans="1:9" ht="15.75" thickBot="1" x14ac:dyDescent="0.3">
      <c r="A607" s="243"/>
      <c r="B607" s="161"/>
      <c r="C607" s="148"/>
      <c r="D607" s="60"/>
      <c r="E607" s="61" t="s">
        <v>521</v>
      </c>
      <c r="F607" s="62" t="str">
        <f t="shared" si="21"/>
        <v/>
      </c>
      <c r="G607" s="162"/>
      <c r="H607" s="40"/>
      <c r="I607" s="139">
        <v>4298.0723099999996</v>
      </c>
    </row>
    <row r="608" spans="1:9" ht="26.25" customHeight="1" thickBot="1" x14ac:dyDescent="0.3">
      <c r="A608" s="242" t="s">
        <v>1828</v>
      </c>
      <c r="B608" s="35" t="s">
        <v>521</v>
      </c>
      <c r="C608" s="72" t="s">
        <v>1284</v>
      </c>
      <c r="D608" s="87"/>
      <c r="E608" s="36" t="s">
        <v>521</v>
      </c>
      <c r="F608" s="36" t="str">
        <f t="shared" ref="F608:F629" si="22">IF(ISNUMBER(E608),ROUND(E608*$D608,2),"")</f>
        <v/>
      </c>
      <c r="G608" s="23"/>
      <c r="H608" s="24"/>
      <c r="I608" s="139">
        <v>0.33250000000000002</v>
      </c>
    </row>
    <row r="609" spans="1:9" x14ac:dyDescent="0.25">
      <c r="A609" s="237"/>
      <c r="B609" s="26" t="s">
        <v>521</v>
      </c>
      <c r="C609" s="73"/>
      <c r="D609" s="85"/>
      <c r="E609" s="91" t="s">
        <v>521</v>
      </c>
      <c r="F609" s="92" t="str">
        <f t="shared" si="22"/>
        <v/>
      </c>
      <c r="G609" s="29"/>
      <c r="H609" s="25"/>
      <c r="I609" s="139">
        <v>0.33250000000000002</v>
      </c>
    </row>
    <row r="610" spans="1:9" ht="51" x14ac:dyDescent="0.25">
      <c r="A610" s="237"/>
      <c r="B610" s="30" t="s">
        <v>1568</v>
      </c>
      <c r="C610" s="44" t="s">
        <v>938</v>
      </c>
      <c r="D610" s="31">
        <v>0.1071</v>
      </c>
      <c r="E610" s="28">
        <v>274.60699999999997</v>
      </c>
      <c r="F610" s="28">
        <f t="shared" si="22"/>
        <v>29.41</v>
      </c>
      <c r="G610" s="39">
        <f>SUM(F610:F612)</f>
        <v>37.31</v>
      </c>
      <c r="H610" s="40"/>
      <c r="I610" s="139">
        <v>0.33250000000000002</v>
      </c>
    </row>
    <row r="611" spans="1:9" ht="51" x14ac:dyDescent="0.25">
      <c r="A611" s="237"/>
      <c r="B611" s="30" t="s">
        <v>1574</v>
      </c>
      <c r="C611" s="44" t="s">
        <v>940</v>
      </c>
      <c r="D611" s="31">
        <v>4.5900000000000003E-2</v>
      </c>
      <c r="E611" s="28">
        <v>49.457000000000001</v>
      </c>
      <c r="F611" s="28">
        <f t="shared" si="22"/>
        <v>2.27</v>
      </c>
      <c r="G611" s="39"/>
      <c r="H611" s="40"/>
      <c r="I611" s="139">
        <v>0.33250000000000002</v>
      </c>
    </row>
    <row r="612" spans="1:9" x14ac:dyDescent="0.25">
      <c r="A612" s="237"/>
      <c r="B612" s="30" t="s">
        <v>703</v>
      </c>
      <c r="C612" s="44" t="s">
        <v>702</v>
      </c>
      <c r="D612" s="31">
        <v>0.30590000000000001</v>
      </c>
      <c r="E612" s="25">
        <v>18.420500000000001</v>
      </c>
      <c r="F612" s="28">
        <f t="shared" si="22"/>
        <v>5.63</v>
      </c>
      <c r="G612" s="39"/>
      <c r="H612" s="40"/>
      <c r="I612" s="139">
        <v>0.33250000000000002</v>
      </c>
    </row>
    <row r="613" spans="1:9" ht="15.75" thickBot="1" x14ac:dyDescent="0.3">
      <c r="A613" s="243"/>
      <c r="B613" s="97"/>
      <c r="C613" s="74"/>
      <c r="D613" s="89"/>
      <c r="E613" s="61" t="s">
        <v>521</v>
      </c>
      <c r="F613" s="61" t="str">
        <f t="shared" si="22"/>
        <v/>
      </c>
      <c r="G613" s="63"/>
      <c r="H613" s="25"/>
      <c r="I613" s="139">
        <v>0.33250000000000002</v>
      </c>
    </row>
    <row r="614" spans="1:9" ht="26.25" customHeight="1" thickBot="1" x14ac:dyDescent="0.3">
      <c r="A614" s="242" t="s">
        <v>1824</v>
      </c>
      <c r="B614" s="35" t="s">
        <v>521</v>
      </c>
      <c r="C614" s="72" t="s">
        <v>1433</v>
      </c>
      <c r="D614" s="87"/>
      <c r="E614" s="36" t="s">
        <v>521</v>
      </c>
      <c r="F614" s="36" t="str">
        <f t="shared" si="22"/>
        <v/>
      </c>
      <c r="G614" s="23"/>
      <c r="H614" s="24"/>
      <c r="I614" s="139">
        <v>9.9749999999999996</v>
      </c>
    </row>
    <row r="615" spans="1:9" x14ac:dyDescent="0.25">
      <c r="A615" s="237"/>
      <c r="B615" s="26" t="s">
        <v>521</v>
      </c>
      <c r="C615" s="73"/>
      <c r="D615" s="85"/>
      <c r="E615" s="91" t="s">
        <v>521</v>
      </c>
      <c r="F615" s="92" t="str">
        <f t="shared" si="22"/>
        <v/>
      </c>
      <c r="G615" s="29"/>
      <c r="H615" s="25"/>
      <c r="I615" s="139">
        <v>9.9749999999999996</v>
      </c>
    </row>
    <row r="616" spans="1:9" ht="51" x14ac:dyDescent="0.25">
      <c r="A616" s="237"/>
      <c r="B616" s="30" t="s">
        <v>1568</v>
      </c>
      <c r="C616" s="44" t="s">
        <v>938</v>
      </c>
      <c r="D616" s="31">
        <v>9.2999999999999992E-3</v>
      </c>
      <c r="E616" s="28">
        <v>274.60699999999997</v>
      </c>
      <c r="F616" s="28">
        <f t="shared" si="22"/>
        <v>2.5499999999999998</v>
      </c>
      <c r="G616" s="39">
        <f>SUM(F616:F617)</f>
        <v>2.75</v>
      </c>
      <c r="H616" s="40"/>
      <c r="I616" s="139">
        <v>9.9749999999999996</v>
      </c>
    </row>
    <row r="617" spans="1:9" ht="51" x14ac:dyDescent="0.25">
      <c r="A617" s="237"/>
      <c r="B617" s="30" t="s">
        <v>1574</v>
      </c>
      <c r="C617" s="44" t="s">
        <v>940</v>
      </c>
      <c r="D617" s="31">
        <v>4.0000000000000001E-3</v>
      </c>
      <c r="E617" s="28">
        <v>49.457000000000001</v>
      </c>
      <c r="F617" s="28">
        <f t="shared" si="22"/>
        <v>0.2</v>
      </c>
      <c r="G617" s="39"/>
      <c r="H617" s="40"/>
      <c r="I617" s="139">
        <v>9.9749999999999996</v>
      </c>
    </row>
    <row r="618" spans="1:9" ht="15.75" thickBot="1" x14ac:dyDescent="0.3">
      <c r="A618" s="243"/>
      <c r="B618" s="97"/>
      <c r="C618" s="74"/>
      <c r="D618" s="89"/>
      <c r="E618" s="61" t="s">
        <v>521</v>
      </c>
      <c r="F618" s="61" t="str">
        <f t="shared" si="22"/>
        <v/>
      </c>
      <c r="G618" s="63"/>
      <c r="H618" s="25"/>
      <c r="I618" s="139">
        <v>9.9749999999999996</v>
      </c>
    </row>
    <row r="619" spans="1:9" ht="26.25" customHeight="1" thickBot="1" x14ac:dyDescent="0.3">
      <c r="A619" s="242" t="s">
        <v>1825</v>
      </c>
      <c r="B619" s="35" t="s">
        <v>521</v>
      </c>
      <c r="C619" s="72" t="s">
        <v>1433</v>
      </c>
      <c r="D619" s="87"/>
      <c r="E619" s="36" t="s">
        <v>521</v>
      </c>
      <c r="F619" s="36" t="str">
        <f t="shared" si="22"/>
        <v/>
      </c>
      <c r="G619" s="23"/>
      <c r="H619" s="24"/>
      <c r="I619" s="139">
        <v>332.5</v>
      </c>
    </row>
    <row r="620" spans="1:9" x14ac:dyDescent="0.25">
      <c r="A620" s="237"/>
      <c r="B620" s="26" t="s">
        <v>521</v>
      </c>
      <c r="C620" s="73"/>
      <c r="D620" s="85"/>
      <c r="E620" s="91" t="s">
        <v>521</v>
      </c>
      <c r="F620" s="92" t="str">
        <f t="shared" si="22"/>
        <v/>
      </c>
      <c r="G620" s="29"/>
      <c r="H620" s="25"/>
      <c r="I620" s="139">
        <v>332.5</v>
      </c>
    </row>
    <row r="621" spans="1:9" ht="51" x14ac:dyDescent="0.25">
      <c r="A621" s="237"/>
      <c r="B621" s="30" t="s">
        <v>1568</v>
      </c>
      <c r="C621" s="44" t="s">
        <v>938</v>
      </c>
      <c r="D621" s="31">
        <v>3.7000000000000002E-3</v>
      </c>
      <c r="E621" s="28">
        <v>274.60699999999997</v>
      </c>
      <c r="F621" s="28">
        <f t="shared" si="22"/>
        <v>1.02</v>
      </c>
      <c r="G621" s="39">
        <f>SUM(F621:F622)</f>
        <v>1.1000000000000001</v>
      </c>
      <c r="H621" s="40"/>
      <c r="I621" s="139">
        <v>332.5</v>
      </c>
    </row>
    <row r="622" spans="1:9" ht="51" x14ac:dyDescent="0.25">
      <c r="A622" s="237"/>
      <c r="B622" s="30" t="s">
        <v>1574</v>
      </c>
      <c r="C622" s="44" t="s">
        <v>940</v>
      </c>
      <c r="D622" s="31">
        <v>1.6000000000000001E-3</v>
      </c>
      <c r="E622" s="28">
        <v>49.457000000000001</v>
      </c>
      <c r="F622" s="28">
        <f t="shared" si="22"/>
        <v>0.08</v>
      </c>
      <c r="G622" s="39"/>
      <c r="H622" s="40"/>
      <c r="I622" s="139">
        <v>332.5</v>
      </c>
    </row>
    <row r="623" spans="1:9" ht="15.75" thickBot="1" x14ac:dyDescent="0.3">
      <c r="A623" s="243"/>
      <c r="B623" s="97"/>
      <c r="C623" s="74"/>
      <c r="D623" s="89"/>
      <c r="E623" s="61" t="s">
        <v>521</v>
      </c>
      <c r="F623" s="61" t="str">
        <f t="shared" si="22"/>
        <v/>
      </c>
      <c r="G623" s="63"/>
      <c r="H623" s="25"/>
      <c r="I623" s="139">
        <v>332.5</v>
      </c>
    </row>
    <row r="624" spans="1:9" ht="26.25" hidden="1" customHeight="1" x14ac:dyDescent="0.25">
      <c r="A624" s="242" t="s">
        <v>1829</v>
      </c>
      <c r="B624" s="35" t="s">
        <v>521</v>
      </c>
      <c r="C624" s="72" t="s">
        <v>1284</v>
      </c>
      <c r="D624" s="87"/>
      <c r="E624" s="36" t="s">
        <v>521</v>
      </c>
      <c r="F624" s="36" t="str">
        <f t="shared" si="22"/>
        <v/>
      </c>
      <c r="G624" s="23"/>
      <c r="H624" s="24"/>
      <c r="I624" s="139">
        <v>0</v>
      </c>
    </row>
    <row r="625" spans="1:9" ht="15.75" hidden="1" thickBot="1" x14ac:dyDescent="0.3">
      <c r="A625" s="237"/>
      <c r="B625" s="26" t="s">
        <v>521</v>
      </c>
      <c r="C625" s="73"/>
      <c r="D625" s="85"/>
      <c r="E625" s="91" t="s">
        <v>521</v>
      </c>
      <c r="F625" s="92" t="str">
        <f t="shared" si="22"/>
        <v/>
      </c>
      <c r="G625" s="29"/>
      <c r="H625" s="25"/>
      <c r="I625" s="139">
        <v>0</v>
      </c>
    </row>
    <row r="626" spans="1:9" ht="51.75" hidden="1" thickBot="1" x14ac:dyDescent="0.3">
      <c r="A626" s="237"/>
      <c r="B626" s="30" t="s">
        <v>1568</v>
      </c>
      <c r="C626" s="44" t="s">
        <v>938</v>
      </c>
      <c r="D626" s="31">
        <v>8.1199999999999994E-2</v>
      </c>
      <c r="E626" s="28">
        <v>274.60699999999997</v>
      </c>
      <c r="F626" s="28">
        <f t="shared" si="22"/>
        <v>22.3</v>
      </c>
      <c r="G626" s="39">
        <f>SUM(F626:F628)</f>
        <v>28.3</v>
      </c>
      <c r="H626" s="40"/>
      <c r="I626" s="139">
        <v>0</v>
      </c>
    </row>
    <row r="627" spans="1:9" ht="51.75" hidden="1" thickBot="1" x14ac:dyDescent="0.3">
      <c r="A627" s="237"/>
      <c r="B627" s="30" t="s">
        <v>1574</v>
      </c>
      <c r="C627" s="44" t="s">
        <v>940</v>
      </c>
      <c r="D627" s="31">
        <v>3.4799999999999998E-2</v>
      </c>
      <c r="E627" s="28">
        <v>49.457000000000001</v>
      </c>
      <c r="F627" s="28">
        <f t="shared" si="22"/>
        <v>1.72</v>
      </c>
      <c r="G627" s="39"/>
      <c r="H627" s="40"/>
      <c r="I627" s="139">
        <v>0</v>
      </c>
    </row>
    <row r="628" spans="1:9" ht="15.75" hidden="1" thickBot="1" x14ac:dyDescent="0.3">
      <c r="A628" s="237"/>
      <c r="B628" s="30" t="s">
        <v>703</v>
      </c>
      <c r="C628" s="44" t="s">
        <v>702</v>
      </c>
      <c r="D628" s="31">
        <v>0.2321</v>
      </c>
      <c r="E628" s="25">
        <v>18.420500000000001</v>
      </c>
      <c r="F628" s="28">
        <f t="shared" si="22"/>
        <v>4.28</v>
      </c>
      <c r="G628" s="39"/>
      <c r="H628" s="40"/>
      <c r="I628" s="139">
        <v>0</v>
      </c>
    </row>
    <row r="629" spans="1:9" ht="15.75" hidden="1" thickBot="1" x14ac:dyDescent="0.3">
      <c r="A629" s="243"/>
      <c r="B629" s="97"/>
      <c r="C629" s="74"/>
      <c r="D629" s="89"/>
      <c r="E629" s="61" t="s">
        <v>521</v>
      </c>
      <c r="F629" s="61" t="str">
        <f t="shared" si="22"/>
        <v/>
      </c>
      <c r="G629" s="63"/>
      <c r="H629" s="25"/>
      <c r="I629" s="139">
        <v>0</v>
      </c>
    </row>
    <row r="630" spans="1:9" ht="15" customHeight="1" thickBot="1" x14ac:dyDescent="0.3">
      <c r="A630" s="242" t="s">
        <v>2253</v>
      </c>
      <c r="B630" s="35" t="s">
        <v>521</v>
      </c>
      <c r="C630" s="20" t="s">
        <v>120</v>
      </c>
      <c r="D630" s="87"/>
      <c r="E630" s="36" t="s">
        <v>521</v>
      </c>
      <c r="F630" s="36" t="str">
        <f t="shared" ref="F630:F643" si="23">IF(ISNUMBER(E630),E630*$D630,"")</f>
        <v/>
      </c>
      <c r="G630" s="23"/>
      <c r="H630" s="24"/>
      <c r="I630" s="139">
        <v>149.40134999999998</v>
      </c>
    </row>
    <row r="631" spans="1:9" x14ac:dyDescent="0.25">
      <c r="A631" s="237"/>
      <c r="B631" s="143" t="s">
        <v>521</v>
      </c>
      <c r="C631" s="143"/>
      <c r="D631" s="160"/>
      <c r="E631" s="37" t="s">
        <v>521</v>
      </c>
      <c r="F631" s="25" t="str">
        <f t="shared" si="23"/>
        <v/>
      </c>
      <c r="G631" s="29"/>
      <c r="H631" s="25"/>
      <c r="I631" s="139">
        <v>149.40134999999998</v>
      </c>
    </row>
    <row r="632" spans="1:9" ht="25.5" x14ac:dyDescent="0.25">
      <c r="A632" s="237"/>
      <c r="B632" s="145" t="s">
        <v>751</v>
      </c>
      <c r="C632" s="145" t="s">
        <v>120</v>
      </c>
      <c r="D632" s="146">
        <v>0.71189999999999998</v>
      </c>
      <c r="E632" s="28">
        <v>186.16200000000001</v>
      </c>
      <c r="F632" s="28">
        <f t="shared" si="23"/>
        <v>132.52872780000001</v>
      </c>
      <c r="G632" s="39">
        <f>SUM(F632:F640)</f>
        <v>618.31439314755994</v>
      </c>
      <c r="H632" s="40"/>
      <c r="I632" s="139">
        <v>149.40134999999998</v>
      </c>
    </row>
    <row r="633" spans="1:9" x14ac:dyDescent="0.25">
      <c r="A633" s="237"/>
      <c r="B633" s="145" t="s">
        <v>747</v>
      </c>
      <c r="C633" s="145" t="s">
        <v>897</v>
      </c>
      <c r="D633" s="146">
        <v>391.16629999999998</v>
      </c>
      <c r="E633" s="28">
        <v>0.64600000000000002</v>
      </c>
      <c r="F633" s="28">
        <f t="shared" si="23"/>
        <v>252.69342979999999</v>
      </c>
      <c r="G633" s="39"/>
      <c r="H633" s="40"/>
      <c r="I633" s="139">
        <v>149.40134999999998</v>
      </c>
    </row>
    <row r="634" spans="1:9" ht="25.5" x14ac:dyDescent="0.25">
      <c r="A634" s="237"/>
      <c r="B634" s="145" t="s">
        <v>759</v>
      </c>
      <c r="C634" s="145" t="s">
        <v>120</v>
      </c>
      <c r="D634" s="146">
        <v>0.5927</v>
      </c>
      <c r="E634" s="28">
        <v>151.202</v>
      </c>
      <c r="F634" s="28">
        <f t="shared" si="23"/>
        <v>89.617425400000002</v>
      </c>
      <c r="G634" s="39"/>
      <c r="H634" s="40"/>
      <c r="I634" s="139">
        <v>149.40134999999998</v>
      </c>
    </row>
    <row r="635" spans="1:9" x14ac:dyDescent="0.25">
      <c r="A635" s="237"/>
      <c r="B635" s="145" t="s">
        <v>703</v>
      </c>
      <c r="C635" s="145" t="s">
        <v>702</v>
      </c>
      <c r="D635" s="146">
        <v>1.9633</v>
      </c>
      <c r="E635" s="25">
        <v>18.420500000000001</v>
      </c>
      <c r="F635" s="28">
        <f t="shared" si="23"/>
        <v>36.164967650000001</v>
      </c>
      <c r="G635" s="39"/>
      <c r="H635" s="40"/>
      <c r="I635" s="139">
        <v>149.40134999999998</v>
      </c>
    </row>
    <row r="636" spans="1:9" ht="25.5" x14ac:dyDescent="0.25">
      <c r="A636" s="237"/>
      <c r="B636" s="145" t="s">
        <v>1434</v>
      </c>
      <c r="C636" s="145" t="s">
        <v>702</v>
      </c>
      <c r="D636" s="146">
        <v>1.24</v>
      </c>
      <c r="E636" s="25">
        <v>18.534500000000001</v>
      </c>
      <c r="F636" s="166">
        <f t="shared" si="23"/>
        <v>22.982780000000002</v>
      </c>
      <c r="G636" s="39"/>
      <c r="H636" s="40"/>
      <c r="I636" s="139">
        <v>149.40134999999998</v>
      </c>
    </row>
    <row r="637" spans="1:9" ht="38.25" x14ac:dyDescent="0.25">
      <c r="A637" s="237"/>
      <c r="B637" s="145" t="s">
        <v>1361</v>
      </c>
      <c r="C637" s="145" t="s">
        <v>938</v>
      </c>
      <c r="D637" s="146">
        <v>0.63819999999999999</v>
      </c>
      <c r="E637" s="25">
        <v>4.3224999999999998</v>
      </c>
      <c r="F637" s="166">
        <f t="shared" si="23"/>
        <v>2.7586195</v>
      </c>
      <c r="G637" s="39"/>
      <c r="H637" s="40"/>
      <c r="I637" s="139">
        <v>149.40134999999998</v>
      </c>
    </row>
    <row r="638" spans="1:9" ht="38.25" x14ac:dyDescent="0.25">
      <c r="A638" s="237"/>
      <c r="B638" s="145" t="s">
        <v>1435</v>
      </c>
      <c r="C638" s="147" t="s">
        <v>940</v>
      </c>
      <c r="D638" s="146">
        <v>0.6018</v>
      </c>
      <c r="E638" s="25">
        <v>1.5105</v>
      </c>
      <c r="F638" s="28">
        <f t="shared" si="23"/>
        <v>0.90901889999999996</v>
      </c>
      <c r="G638" s="39"/>
      <c r="H638" s="40"/>
      <c r="I638" s="139">
        <v>149.40134999999998</v>
      </c>
    </row>
    <row r="639" spans="1:9" ht="51" x14ac:dyDescent="0.25">
      <c r="A639" s="237"/>
      <c r="B639" s="145" t="s">
        <v>1826</v>
      </c>
      <c r="C639" s="145" t="s">
        <v>120</v>
      </c>
      <c r="D639" s="146">
        <f>ROUND(1*(D632+D634),4)</f>
        <v>1.3046</v>
      </c>
      <c r="E639" s="25">
        <v>8.0614416000000002</v>
      </c>
      <c r="F639" s="28">
        <f t="shared" si="23"/>
        <v>10.516956711360001</v>
      </c>
      <c r="G639" s="39"/>
      <c r="H639" s="40"/>
      <c r="I639" s="139">
        <v>149.40134999999998</v>
      </c>
    </row>
    <row r="640" spans="1:9" ht="38.25" x14ac:dyDescent="0.25">
      <c r="A640" s="237"/>
      <c r="B640" s="145" t="s">
        <v>1823</v>
      </c>
      <c r="C640" s="147" t="s">
        <v>122</v>
      </c>
      <c r="D640" s="146">
        <f>ROUND((D632+D634)*20,4)</f>
        <v>26.091999999999999</v>
      </c>
      <c r="E640" s="25">
        <v>2.6882748499999995</v>
      </c>
      <c r="F640" s="28">
        <f t="shared" si="23"/>
        <v>70.142467386199982</v>
      </c>
      <c r="G640" s="39"/>
      <c r="H640" s="40"/>
      <c r="I640" s="139">
        <v>149.40134999999998</v>
      </c>
    </row>
    <row r="641" spans="1:9" x14ac:dyDescent="0.25">
      <c r="A641" s="237"/>
      <c r="B641" s="167"/>
      <c r="C641" s="147"/>
      <c r="D641" s="146"/>
      <c r="E641" s="25" t="s">
        <v>521</v>
      </c>
      <c r="F641" s="28" t="str">
        <f t="shared" si="23"/>
        <v/>
      </c>
      <c r="G641" s="39"/>
      <c r="H641" s="40"/>
      <c r="I641" s="139">
        <v>149.40134999999998</v>
      </c>
    </row>
    <row r="642" spans="1:9" ht="25.5" x14ac:dyDescent="0.25">
      <c r="A642" s="237"/>
      <c r="B642" s="140" t="s">
        <v>123</v>
      </c>
      <c r="C642" s="147"/>
      <c r="D642" s="146"/>
      <c r="E642" s="25" t="s">
        <v>521</v>
      </c>
      <c r="F642" s="28" t="str">
        <f t="shared" si="23"/>
        <v/>
      </c>
      <c r="G642" s="39"/>
      <c r="H642" s="40"/>
      <c r="I642" s="139">
        <v>149.40134999999998</v>
      </c>
    </row>
    <row r="643" spans="1:9" ht="15.75" thickBot="1" x14ac:dyDescent="0.3">
      <c r="A643" s="243"/>
      <c r="B643" s="49" t="s">
        <v>521</v>
      </c>
      <c r="C643" s="49"/>
      <c r="D643" s="89"/>
      <c r="E643" s="61" t="s">
        <v>521</v>
      </c>
      <c r="F643" s="61" t="str">
        <f t="shared" si="23"/>
        <v/>
      </c>
      <c r="G643" s="63"/>
      <c r="H643" s="25"/>
      <c r="I643" s="139">
        <v>149.40134999999998</v>
      </c>
    </row>
    <row r="644" spans="1:9" s="168" customFormat="1" ht="26.25" customHeight="1" thickBot="1" x14ac:dyDescent="0.3">
      <c r="A644" s="242" t="s">
        <v>1828</v>
      </c>
      <c r="B644" s="35" t="s">
        <v>521</v>
      </c>
      <c r="C644" s="72" t="s">
        <v>1284</v>
      </c>
      <c r="D644" s="87"/>
      <c r="E644" s="36" t="s">
        <v>521</v>
      </c>
      <c r="F644" s="36" t="str">
        <f t="shared" ref="F644:F649" si="24">IF(ISNUMBER(E644),ROUND(E644*$D644,2),"")</f>
        <v/>
      </c>
      <c r="G644" s="23"/>
      <c r="H644" s="24"/>
      <c r="I644" s="139">
        <v>0.33250000000000002</v>
      </c>
    </row>
    <row r="645" spans="1:9" s="168" customFormat="1" x14ac:dyDescent="0.25">
      <c r="A645" s="237"/>
      <c r="B645" s="26" t="s">
        <v>521</v>
      </c>
      <c r="C645" s="73"/>
      <c r="D645" s="85"/>
      <c r="E645" s="91" t="s">
        <v>521</v>
      </c>
      <c r="F645" s="92" t="str">
        <f t="shared" si="24"/>
        <v/>
      </c>
      <c r="G645" s="29"/>
      <c r="H645" s="25"/>
      <c r="I645" s="139">
        <v>0.33250000000000002</v>
      </c>
    </row>
    <row r="646" spans="1:9" s="168" customFormat="1" ht="51" x14ac:dyDescent="0.25">
      <c r="A646" s="237"/>
      <c r="B646" s="30" t="s">
        <v>1568</v>
      </c>
      <c r="C646" s="44" t="s">
        <v>938</v>
      </c>
      <c r="D646" s="31">
        <v>0.1071</v>
      </c>
      <c r="E646" s="28">
        <v>274.60699999999997</v>
      </c>
      <c r="F646" s="28">
        <f t="shared" si="24"/>
        <v>29.41</v>
      </c>
      <c r="G646" s="39">
        <f>SUM(F646:F648)</f>
        <v>37.31</v>
      </c>
      <c r="H646" s="40"/>
      <c r="I646" s="139">
        <v>0.33250000000000002</v>
      </c>
    </row>
    <row r="647" spans="1:9" s="168" customFormat="1" ht="51" x14ac:dyDescent="0.25">
      <c r="A647" s="237"/>
      <c r="B647" s="30" t="s">
        <v>1574</v>
      </c>
      <c r="C647" s="44" t="s">
        <v>940</v>
      </c>
      <c r="D647" s="31">
        <v>4.5900000000000003E-2</v>
      </c>
      <c r="E647" s="28">
        <v>49.457000000000001</v>
      </c>
      <c r="F647" s="28">
        <f t="shared" si="24"/>
        <v>2.27</v>
      </c>
      <c r="G647" s="39"/>
      <c r="H647" s="40"/>
      <c r="I647" s="139">
        <v>0.33250000000000002</v>
      </c>
    </row>
    <row r="648" spans="1:9" s="168" customFormat="1" x14ac:dyDescent="0.25">
      <c r="A648" s="237"/>
      <c r="B648" s="30" t="s">
        <v>703</v>
      </c>
      <c r="C648" s="44" t="s">
        <v>702</v>
      </c>
      <c r="D648" s="31">
        <v>0.30590000000000001</v>
      </c>
      <c r="E648" s="25">
        <v>18.420500000000001</v>
      </c>
      <c r="F648" s="28">
        <f t="shared" si="24"/>
        <v>5.63</v>
      </c>
      <c r="G648" s="39"/>
      <c r="H648" s="40"/>
      <c r="I648" s="139">
        <v>0.33250000000000002</v>
      </c>
    </row>
    <row r="649" spans="1:9" s="168" customFormat="1" ht="15.75" thickBot="1" x14ac:dyDescent="0.3">
      <c r="A649" s="243"/>
      <c r="B649" s="97"/>
      <c r="C649" s="74"/>
      <c r="D649" s="89"/>
      <c r="E649" s="61" t="s">
        <v>521</v>
      </c>
      <c r="F649" s="61" t="str">
        <f t="shared" si="24"/>
        <v/>
      </c>
      <c r="G649" s="63"/>
      <c r="H649" s="25"/>
      <c r="I649" s="139">
        <v>0.33250000000000002</v>
      </c>
    </row>
    <row r="650" spans="1:9" s="168" customFormat="1" ht="15" customHeight="1" thickBot="1" x14ac:dyDescent="0.3">
      <c r="A650" s="242" t="s">
        <v>1824</v>
      </c>
      <c r="B650" s="35" t="s">
        <v>521</v>
      </c>
      <c r="C650" s="72" t="s">
        <v>1433</v>
      </c>
      <c r="D650" s="87"/>
      <c r="E650" s="36" t="s">
        <v>521</v>
      </c>
      <c r="F650" s="36" t="str">
        <f t="shared" ref="F650:F659" si="25">IF(ISNUMBER(E650),E650*$D650,"")</f>
        <v/>
      </c>
      <c r="G650" s="23"/>
      <c r="H650" s="24"/>
      <c r="I650" s="139">
        <v>9.9749999999999996</v>
      </c>
    </row>
    <row r="651" spans="1:9" s="168" customFormat="1" x14ac:dyDescent="0.25">
      <c r="A651" s="237"/>
      <c r="B651" s="26" t="s">
        <v>521</v>
      </c>
      <c r="C651" s="73"/>
      <c r="D651" s="85"/>
      <c r="E651" s="37" t="s">
        <v>521</v>
      </c>
      <c r="F651" s="25" t="str">
        <f t="shared" si="25"/>
        <v/>
      </c>
      <c r="G651" s="29"/>
      <c r="H651" s="25"/>
      <c r="I651" s="139">
        <v>9.9749999999999996</v>
      </c>
    </row>
    <row r="652" spans="1:9" s="168" customFormat="1" ht="51" x14ac:dyDescent="0.25">
      <c r="A652" s="237"/>
      <c r="B652" s="30" t="s">
        <v>1568</v>
      </c>
      <c r="C652" s="44" t="s">
        <v>938</v>
      </c>
      <c r="D652" s="31">
        <v>9.2999999999999992E-3</v>
      </c>
      <c r="E652" s="28">
        <v>274.60699999999997</v>
      </c>
      <c r="F652" s="28">
        <f t="shared" si="25"/>
        <v>2.5538450999999993</v>
      </c>
      <c r="G652" s="39">
        <f>SUM(F652:F653)</f>
        <v>2.7516730999999992</v>
      </c>
      <c r="H652" s="40"/>
      <c r="I652" s="139">
        <v>9.9749999999999996</v>
      </c>
    </row>
    <row r="653" spans="1:9" s="168" customFormat="1" ht="51" x14ac:dyDescent="0.25">
      <c r="A653" s="237"/>
      <c r="B653" s="30" t="s">
        <v>1574</v>
      </c>
      <c r="C653" s="44" t="s">
        <v>940</v>
      </c>
      <c r="D653" s="31">
        <v>4.0000000000000001E-3</v>
      </c>
      <c r="E653" s="28">
        <v>49.457000000000001</v>
      </c>
      <c r="F653" s="28">
        <f t="shared" si="25"/>
        <v>0.197828</v>
      </c>
      <c r="G653" s="39"/>
      <c r="H653" s="40"/>
      <c r="I653" s="139">
        <v>9.9749999999999996</v>
      </c>
    </row>
    <row r="654" spans="1:9" s="168" customFormat="1" ht="15.75" thickBot="1" x14ac:dyDescent="0.3">
      <c r="A654" s="243"/>
      <c r="B654" s="97"/>
      <c r="C654" s="74"/>
      <c r="D654" s="89"/>
      <c r="E654" s="25" t="s">
        <v>521</v>
      </c>
      <c r="F654" s="25" t="str">
        <f t="shared" si="25"/>
        <v/>
      </c>
      <c r="G654" s="29"/>
      <c r="H654" s="25"/>
      <c r="I654" s="139">
        <v>9.9749999999999996</v>
      </c>
    </row>
    <row r="655" spans="1:9" s="168" customFormat="1" ht="15" customHeight="1" thickBot="1" x14ac:dyDescent="0.3">
      <c r="A655" s="242" t="s">
        <v>1825</v>
      </c>
      <c r="B655" s="35" t="s">
        <v>521</v>
      </c>
      <c r="C655" s="72" t="s">
        <v>1433</v>
      </c>
      <c r="D655" s="87"/>
      <c r="E655" s="36" t="s">
        <v>521</v>
      </c>
      <c r="F655" s="36" t="str">
        <f t="shared" si="25"/>
        <v/>
      </c>
      <c r="G655" s="23"/>
      <c r="H655" s="24"/>
      <c r="I655" s="139">
        <v>332.5</v>
      </c>
    </row>
    <row r="656" spans="1:9" s="168" customFormat="1" x14ac:dyDescent="0.25">
      <c r="A656" s="237"/>
      <c r="B656" s="143" t="s">
        <v>521</v>
      </c>
      <c r="C656" s="172"/>
      <c r="D656" s="160"/>
      <c r="E656" s="37" t="s">
        <v>521</v>
      </c>
      <c r="F656" s="25" t="str">
        <f t="shared" si="25"/>
        <v/>
      </c>
      <c r="G656" s="29"/>
      <c r="H656" s="25"/>
      <c r="I656" s="139">
        <v>332.5</v>
      </c>
    </row>
    <row r="657" spans="1:9" s="168" customFormat="1" ht="51" x14ac:dyDescent="0.25">
      <c r="A657" s="237"/>
      <c r="B657" s="145" t="s">
        <v>1568</v>
      </c>
      <c r="C657" s="141" t="s">
        <v>938</v>
      </c>
      <c r="D657" s="146">
        <v>3.7000000000000002E-3</v>
      </c>
      <c r="E657" s="28">
        <v>274.60699999999997</v>
      </c>
      <c r="F657" s="28">
        <f t="shared" si="25"/>
        <v>1.0160458999999999</v>
      </c>
      <c r="G657" s="39">
        <f>SUM(F657:F658)</f>
        <v>1.0951770999999999</v>
      </c>
      <c r="H657" s="40"/>
      <c r="I657" s="139">
        <v>332.5</v>
      </c>
    </row>
    <row r="658" spans="1:9" s="168" customFormat="1" ht="51" x14ac:dyDescent="0.25">
      <c r="A658" s="237"/>
      <c r="B658" s="145" t="s">
        <v>1574</v>
      </c>
      <c r="C658" s="141" t="s">
        <v>940</v>
      </c>
      <c r="D658" s="146">
        <v>1.6000000000000001E-3</v>
      </c>
      <c r="E658" s="28">
        <v>49.457000000000001</v>
      </c>
      <c r="F658" s="28">
        <f t="shared" si="25"/>
        <v>7.9131199999999999E-2</v>
      </c>
      <c r="G658" s="39"/>
      <c r="H658" s="40"/>
      <c r="I658" s="139">
        <v>332.5</v>
      </c>
    </row>
    <row r="659" spans="1:9" s="168" customFormat="1" ht="15.75" thickBot="1" x14ac:dyDescent="0.3">
      <c r="A659" s="243"/>
      <c r="B659" s="97"/>
      <c r="C659" s="74"/>
      <c r="D659" s="89"/>
      <c r="E659" s="61" t="s">
        <v>521</v>
      </c>
      <c r="F659" s="61" t="str">
        <f t="shared" si="25"/>
        <v/>
      </c>
      <c r="G659" s="63"/>
      <c r="H659" s="25"/>
      <c r="I659" s="139">
        <v>332.5</v>
      </c>
    </row>
    <row r="660" spans="1:9" s="168" customFormat="1" ht="26.25" hidden="1" customHeight="1" x14ac:dyDescent="0.25">
      <c r="A660" s="242" t="s">
        <v>1829</v>
      </c>
      <c r="B660" s="169" t="s">
        <v>521</v>
      </c>
      <c r="C660" s="170" t="s">
        <v>1284</v>
      </c>
      <c r="D660" s="84"/>
      <c r="E660" s="171" t="s">
        <v>521</v>
      </c>
      <c r="F660" s="171" t="str">
        <f t="shared" ref="F660:F665" si="26">IF(ISNUMBER(E660),ROUND(E660*$D660,2),"")</f>
        <v/>
      </c>
      <c r="G660" s="66"/>
      <c r="H660" s="24"/>
      <c r="I660" s="139">
        <v>0</v>
      </c>
    </row>
    <row r="661" spans="1:9" s="168" customFormat="1" hidden="1" x14ac:dyDescent="0.25">
      <c r="A661" s="237"/>
      <c r="B661" s="26" t="s">
        <v>521</v>
      </c>
      <c r="C661" s="73"/>
      <c r="D661" s="85"/>
      <c r="E661" s="91" t="s">
        <v>521</v>
      </c>
      <c r="F661" s="92" t="str">
        <f t="shared" si="26"/>
        <v/>
      </c>
      <c r="G661" s="29"/>
      <c r="H661" s="25"/>
      <c r="I661" s="139">
        <v>0</v>
      </c>
    </row>
    <row r="662" spans="1:9" s="168" customFormat="1" ht="51" hidden="1" x14ac:dyDescent="0.25">
      <c r="A662" s="237"/>
      <c r="B662" s="30" t="s">
        <v>1568</v>
      </c>
      <c r="C662" s="44" t="s">
        <v>938</v>
      </c>
      <c r="D662" s="31">
        <v>8.1199999999999994E-2</v>
      </c>
      <c r="E662" s="28">
        <v>274.60699999999997</v>
      </c>
      <c r="F662" s="28">
        <f t="shared" si="26"/>
        <v>22.3</v>
      </c>
      <c r="G662" s="39">
        <f>SUM(F662:F664)</f>
        <v>28.3</v>
      </c>
      <c r="H662" s="40"/>
      <c r="I662" s="139">
        <v>0</v>
      </c>
    </row>
    <row r="663" spans="1:9" s="168" customFormat="1" ht="51" hidden="1" x14ac:dyDescent="0.25">
      <c r="A663" s="237"/>
      <c r="B663" s="30" t="s">
        <v>1574</v>
      </c>
      <c r="C663" s="44" t="s">
        <v>940</v>
      </c>
      <c r="D663" s="31">
        <v>3.4799999999999998E-2</v>
      </c>
      <c r="E663" s="28">
        <v>49.457000000000001</v>
      </c>
      <c r="F663" s="28">
        <f t="shared" si="26"/>
        <v>1.72</v>
      </c>
      <c r="G663" s="39"/>
      <c r="H663" s="40"/>
      <c r="I663" s="139">
        <v>0</v>
      </c>
    </row>
    <row r="664" spans="1:9" s="168" customFormat="1" hidden="1" x14ac:dyDescent="0.25">
      <c r="A664" s="237"/>
      <c r="B664" s="30" t="s">
        <v>703</v>
      </c>
      <c r="C664" s="44" t="s">
        <v>702</v>
      </c>
      <c r="D664" s="31">
        <v>0.2321</v>
      </c>
      <c r="E664" s="25">
        <v>18.420500000000001</v>
      </c>
      <c r="F664" s="28">
        <f t="shared" si="26"/>
        <v>4.28</v>
      </c>
      <c r="G664" s="39"/>
      <c r="H664" s="40"/>
      <c r="I664" s="139">
        <v>0</v>
      </c>
    </row>
    <row r="665" spans="1:9" s="168" customFormat="1" ht="15.75" hidden="1" thickBot="1" x14ac:dyDescent="0.3">
      <c r="A665" s="243"/>
      <c r="B665" s="97"/>
      <c r="C665" s="74"/>
      <c r="D665" s="89"/>
      <c r="E665" s="61" t="s">
        <v>521</v>
      </c>
      <c r="F665" s="61" t="str">
        <f t="shared" si="26"/>
        <v/>
      </c>
      <c r="G665" s="63"/>
      <c r="H665" s="25"/>
      <c r="I665" s="139">
        <v>0</v>
      </c>
    </row>
  </sheetData>
  <autoFilter ref="A5:I665">
    <filterColumn colId="8">
      <filters>
        <filter val="0,0553"/>
        <filter val="0,1536"/>
        <filter val="0,2040"/>
        <filter val="0,3325"/>
        <filter val="1,4525"/>
        <filter val="1.625,4000"/>
        <filter val="149,4014"/>
        <filter val="18,4529"/>
        <filter val="2,9880"/>
        <filter val="298,9125"/>
        <filter val="3,4000"/>
        <filter val="3,8457"/>
        <filter val="332,5000"/>
        <filter val="4.298,0723"/>
        <filter val="5.978,2500"/>
        <filter val="9,9750"/>
      </filters>
    </filterColumn>
  </autoFilter>
  <mergeCells count="79">
    <mergeCell ref="A577:A581"/>
    <mergeCell ref="A582:A594"/>
    <mergeCell ref="A538:A543"/>
    <mergeCell ref="A544:A550"/>
    <mergeCell ref="A551:A563"/>
    <mergeCell ref="A564:A569"/>
    <mergeCell ref="A570:A576"/>
    <mergeCell ref="A503:A513"/>
    <mergeCell ref="A514:A519"/>
    <mergeCell ref="A520:A525"/>
    <mergeCell ref="A526:A531"/>
    <mergeCell ref="A532:A537"/>
    <mergeCell ref="A48:A60"/>
    <mergeCell ref="A6:A15"/>
    <mergeCell ref="A16:A20"/>
    <mergeCell ref="A21:A26"/>
    <mergeCell ref="A27:A37"/>
    <mergeCell ref="A38:A47"/>
    <mergeCell ref="A61:A68"/>
    <mergeCell ref="A69:A78"/>
    <mergeCell ref="A79:A85"/>
    <mergeCell ref="A86:A95"/>
    <mergeCell ref="A96:A105"/>
    <mergeCell ref="A106:A111"/>
    <mergeCell ref="A112:A117"/>
    <mergeCell ref="A118:A123"/>
    <mergeCell ref="A124:A129"/>
    <mergeCell ref="A180:A185"/>
    <mergeCell ref="A168:A173"/>
    <mergeCell ref="A174:A179"/>
    <mergeCell ref="A130:A135"/>
    <mergeCell ref="A136:A141"/>
    <mergeCell ref="A416:A426"/>
    <mergeCell ref="A186:A190"/>
    <mergeCell ref="A191:A194"/>
    <mergeCell ref="A195:A202"/>
    <mergeCell ref="A142:A155"/>
    <mergeCell ref="A156:A167"/>
    <mergeCell ref="A382:A391"/>
    <mergeCell ref="A472:A490"/>
    <mergeCell ref="A491:A502"/>
    <mergeCell ref="A203:A207"/>
    <mergeCell ref="A208:A212"/>
    <mergeCell ref="A227:A240"/>
    <mergeCell ref="A241:A255"/>
    <mergeCell ref="A256:A265"/>
    <mergeCell ref="A274:A284"/>
    <mergeCell ref="A285:A292"/>
    <mergeCell ref="A293:A298"/>
    <mergeCell ref="A213:A226"/>
    <mergeCell ref="A266:A273"/>
    <mergeCell ref="A427:A438"/>
    <mergeCell ref="A439:A457"/>
    <mergeCell ref="A458:A471"/>
    <mergeCell ref="A655:A659"/>
    <mergeCell ref="A660:A665"/>
    <mergeCell ref="A595:A599"/>
    <mergeCell ref="A630:A643"/>
    <mergeCell ref="A600:A607"/>
    <mergeCell ref="A608:A613"/>
    <mergeCell ref="A614:A618"/>
    <mergeCell ref="A619:A623"/>
    <mergeCell ref="A624:A629"/>
    <mergeCell ref="A1:G1"/>
    <mergeCell ref="A2:G2"/>
    <mergeCell ref="A3:G3"/>
    <mergeCell ref="A644:A649"/>
    <mergeCell ref="A650:A654"/>
    <mergeCell ref="A299:A312"/>
    <mergeCell ref="A313:A326"/>
    <mergeCell ref="A327:A338"/>
    <mergeCell ref="A339:A345"/>
    <mergeCell ref="A346:A352"/>
    <mergeCell ref="A404:A415"/>
    <mergeCell ref="A392:A403"/>
    <mergeCell ref="A353:A360"/>
    <mergeCell ref="A361:A366"/>
    <mergeCell ref="A367:A372"/>
    <mergeCell ref="A373:A381"/>
  </mergeCells>
  <conditionalFormatting sqref="F4">
    <cfRule type="containsText" dxfId="15" priority="404" operator="containsText" text="Pesquisa">
      <formula>NOT(ISERROR(SEARCH("Pesquisa",F4)))</formula>
    </cfRule>
  </conditionalFormatting>
  <conditionalFormatting sqref="C15:D15">
    <cfRule type="containsText" dxfId="14" priority="438" operator="containsText" text="Pesquisa de Preços">
      <formula>NOT(ISERROR(SEARCH("Pesquisa de Preços",C15)))</formula>
    </cfRule>
  </conditionalFormatting>
  <conditionalFormatting sqref="C7:D7">
    <cfRule type="containsText" dxfId="13" priority="437" operator="containsText" text="Pesquisa de Preços">
      <formula>NOT(ISERROR(SEARCH("Pesquisa de Preços",C7)))</formula>
    </cfRule>
  </conditionalFormatting>
  <conditionalFormatting sqref="C6:D6">
    <cfRule type="containsText" dxfId="12" priority="436" operator="containsText" text="Pesquisa de Preços">
      <formula>NOT(ISERROR(SEARCH("Pesquisa de Preços",C6)))</formula>
    </cfRule>
  </conditionalFormatting>
  <conditionalFormatting sqref="C8:D10">
    <cfRule type="containsText" dxfId="11" priority="435" operator="containsText" text="Pesquisa de Preços">
      <formula>NOT(ISERROR(SEARCH("Pesquisa de Preços",C8)))</formula>
    </cfRule>
  </conditionalFormatting>
  <conditionalFormatting sqref="C29:D36">
    <cfRule type="containsText" dxfId="10" priority="434" operator="containsText" text="Pesquisa de Preços">
      <formula>NOT(ISERROR(SEARCH("Pesquisa de Preços",C29)))</formula>
    </cfRule>
  </conditionalFormatting>
  <conditionalFormatting sqref="D27">
    <cfRule type="containsText" dxfId="9" priority="431" operator="containsText" text="Pesquisa de Preços">
      <formula>NOT(ISERROR(SEARCH("Pesquisa de Preços",D27)))</formula>
    </cfRule>
  </conditionalFormatting>
  <conditionalFormatting sqref="C37:D37">
    <cfRule type="containsText" dxfId="8" priority="433" operator="containsText" text="Pesquisa de Preços">
      <formula>NOT(ISERROR(SEARCH("Pesquisa de Preços",C37)))</formula>
    </cfRule>
  </conditionalFormatting>
  <conditionalFormatting sqref="C28:D28">
    <cfRule type="containsText" dxfId="7" priority="432" operator="containsText" text="Pesquisa de Preços">
      <formula>NOT(ISERROR(SEARCH("Pesquisa de Preços",C28)))</formula>
    </cfRule>
  </conditionalFormatting>
  <conditionalFormatting sqref="C27">
    <cfRule type="containsText" dxfId="6" priority="430" operator="containsText" text="Pesquisa de Preços">
      <formula>NOT(ISERROR(SEARCH("Pesquisa de Preços",C27)))</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I139"/>
  <sheetViews>
    <sheetView zoomScale="80" zoomScaleNormal="80" workbookViewId="0">
      <pane ySplit="5" topLeftCell="A6" activePane="bottomLeft" state="frozen"/>
      <selection pane="bottomLeft" activeCell="I8" sqref="I8"/>
    </sheetView>
  </sheetViews>
  <sheetFormatPr defaultRowHeight="15" x14ac:dyDescent="0.25"/>
  <cols>
    <col min="1" max="1" width="46.85546875" style="168" customWidth="1"/>
    <col min="2" max="2" width="65.7109375" style="5" customWidth="1"/>
    <col min="3" max="3" width="15.7109375" style="4"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219" t="s">
        <v>2822</v>
      </c>
      <c r="B1" s="219"/>
      <c r="C1" s="219"/>
      <c r="D1" s="219"/>
      <c r="E1" s="219"/>
      <c r="F1" s="219"/>
      <c r="G1" s="219"/>
      <c r="H1" s="75"/>
      <c r="I1" s="77"/>
    </row>
    <row r="2" spans="1:9" ht="24.95" customHeight="1" x14ac:dyDescent="0.25">
      <c r="A2" s="218" t="s">
        <v>1443</v>
      </c>
      <c r="B2" s="218"/>
      <c r="C2" s="218"/>
      <c r="D2" s="218"/>
      <c r="E2" s="218"/>
      <c r="F2" s="218"/>
      <c r="G2" s="218"/>
      <c r="H2" s="8"/>
      <c r="I2" s="77"/>
    </row>
    <row r="3" spans="1:9" ht="20.100000000000001" customHeight="1" x14ac:dyDescent="0.25">
      <c r="A3" s="241" t="s">
        <v>2823</v>
      </c>
      <c r="B3" s="241"/>
      <c r="C3" s="241"/>
      <c r="D3" s="241"/>
      <c r="E3" s="241"/>
      <c r="F3" s="241"/>
      <c r="G3" s="241"/>
      <c r="H3" s="9"/>
      <c r="I3" s="77"/>
    </row>
    <row r="4" spans="1:9" ht="20.100000000000001" customHeight="1" thickBot="1" x14ac:dyDescent="0.3">
      <c r="A4" s="78"/>
      <c r="B4" s="79"/>
      <c r="C4" s="117"/>
      <c r="D4" s="79"/>
      <c r="E4" s="79"/>
      <c r="F4" s="79"/>
      <c r="G4" s="79"/>
      <c r="H4" s="80"/>
      <c r="I4" s="81"/>
    </row>
    <row r="5" spans="1:9" ht="65.099999999999994" customHeight="1" thickBot="1" x14ac:dyDescent="0.3">
      <c r="A5" s="95" t="s">
        <v>2</v>
      </c>
      <c r="B5" s="96" t="s">
        <v>3</v>
      </c>
      <c r="C5" s="118" t="s">
        <v>4</v>
      </c>
      <c r="D5" s="96" t="s">
        <v>5</v>
      </c>
      <c r="E5" s="96" t="s">
        <v>6</v>
      </c>
      <c r="F5" s="15" t="s">
        <v>7</v>
      </c>
      <c r="G5" s="17" t="s">
        <v>1411</v>
      </c>
      <c r="H5" s="18"/>
      <c r="I5" s="82" t="s">
        <v>9</v>
      </c>
    </row>
    <row r="6" spans="1:9" ht="15" customHeight="1" thickBot="1" x14ac:dyDescent="0.3">
      <c r="A6" s="242" t="s">
        <v>1823</v>
      </c>
      <c r="B6" s="35" t="s">
        <v>521</v>
      </c>
      <c r="C6" s="72" t="s">
        <v>122</v>
      </c>
      <c r="D6" s="87"/>
      <c r="E6" s="36" t="s">
        <v>521</v>
      </c>
      <c r="F6" s="36" t="str">
        <f t="shared" ref="F6:F19" si="0">IF(ISNUMBER(E6),ROUND(E6*$D6,2),"")</f>
        <v/>
      </c>
      <c r="G6" s="23"/>
      <c r="H6" s="24"/>
      <c r="I6" s="139">
        <v>4572.9750576666665</v>
      </c>
    </row>
    <row r="7" spans="1:9" x14ac:dyDescent="0.25">
      <c r="A7" s="237"/>
      <c r="B7" s="26" t="s">
        <v>521</v>
      </c>
      <c r="C7" s="73"/>
      <c r="D7" s="85"/>
      <c r="E7" s="37" t="s">
        <v>521</v>
      </c>
      <c r="F7" s="25" t="str">
        <f t="shared" si="0"/>
        <v/>
      </c>
      <c r="G7" s="29"/>
      <c r="H7" s="25"/>
      <c r="I7" s="139">
        <v>4572.9750576666665</v>
      </c>
    </row>
    <row r="8" spans="1:9" ht="51" x14ac:dyDescent="0.25">
      <c r="A8" s="237"/>
      <c r="B8" s="30" t="s">
        <v>1073</v>
      </c>
      <c r="C8" s="44" t="s">
        <v>938</v>
      </c>
      <c r="D8" s="31">
        <v>1.3899999999999999E-2</v>
      </c>
      <c r="E8" s="28">
        <v>174.20150000000001</v>
      </c>
      <c r="F8" s="28">
        <f t="shared" si="0"/>
        <v>2.42</v>
      </c>
      <c r="G8" s="39">
        <f>SUM(F8:F9)</f>
        <v>2.69</v>
      </c>
      <c r="H8" s="40"/>
      <c r="I8" s="139">
        <v>4572.9750576666665</v>
      </c>
    </row>
    <row r="9" spans="1:9" ht="51" x14ac:dyDescent="0.25">
      <c r="A9" s="237"/>
      <c r="B9" s="30" t="s">
        <v>1074</v>
      </c>
      <c r="C9" s="44" t="s">
        <v>940</v>
      </c>
      <c r="D9" s="31">
        <v>6.0000000000000001E-3</v>
      </c>
      <c r="E9" s="28">
        <v>44.478999999999999</v>
      </c>
      <c r="F9" s="28">
        <f t="shared" si="0"/>
        <v>0.27</v>
      </c>
      <c r="G9" s="39"/>
      <c r="H9" s="40"/>
      <c r="I9" s="139">
        <v>4572.9750576666665</v>
      </c>
    </row>
    <row r="10" spans="1:9" ht="15.75" thickBot="1" x14ac:dyDescent="0.3">
      <c r="A10" s="243"/>
      <c r="B10" s="49" t="s">
        <v>521</v>
      </c>
      <c r="C10" s="74"/>
      <c r="D10" s="89"/>
      <c r="E10" s="61" t="s">
        <v>521</v>
      </c>
      <c r="F10" s="61" t="str">
        <f t="shared" si="0"/>
        <v/>
      </c>
      <c r="G10" s="63"/>
      <c r="H10" s="25"/>
      <c r="I10" s="139">
        <v>4572.9750576666665</v>
      </c>
    </row>
    <row r="11" spans="1:9" ht="15" hidden="1" customHeight="1" thickBot="1" x14ac:dyDescent="0.3">
      <c r="A11" s="242" t="s">
        <v>2796</v>
      </c>
      <c r="B11" s="35" t="s">
        <v>521</v>
      </c>
      <c r="C11" s="72" t="s">
        <v>897</v>
      </c>
      <c r="D11" s="87"/>
      <c r="E11" s="22" t="s">
        <v>521</v>
      </c>
      <c r="F11" s="20" t="str">
        <f t="shared" si="0"/>
        <v/>
      </c>
      <c r="G11" s="23"/>
      <c r="H11" s="24"/>
      <c r="I11" s="139">
        <v>0</v>
      </c>
    </row>
    <row r="12" spans="1:9" ht="15.75" hidden="1" thickBot="1" x14ac:dyDescent="0.3">
      <c r="A12" s="237"/>
      <c r="B12" s="26" t="s">
        <v>521</v>
      </c>
      <c r="C12" s="73"/>
      <c r="D12" s="85"/>
      <c r="E12" s="25" t="s">
        <v>521</v>
      </c>
      <c r="F12" s="25" t="str">
        <f t="shared" si="0"/>
        <v/>
      </c>
      <c r="G12" s="29"/>
      <c r="H12" s="25"/>
      <c r="I12" s="139">
        <v>0</v>
      </c>
    </row>
    <row r="13" spans="1:9" ht="15.75" hidden="1" thickBot="1" x14ac:dyDescent="0.3">
      <c r="A13" s="237"/>
      <c r="B13" s="30" t="s">
        <v>1442</v>
      </c>
      <c r="C13" s="44" t="s">
        <v>897</v>
      </c>
      <c r="D13" s="31">
        <v>1.07</v>
      </c>
      <c r="E13" s="25">
        <v>9.5</v>
      </c>
      <c r="F13" s="28">
        <f t="shared" si="0"/>
        <v>10.17</v>
      </c>
      <c r="G13" s="39">
        <f>SUM(F13:F15)</f>
        <v>12.72</v>
      </c>
      <c r="H13" s="40"/>
      <c r="I13" s="139">
        <v>0</v>
      </c>
    </row>
    <row r="14" spans="1:9" ht="15.75" hidden="1" thickBot="1" x14ac:dyDescent="0.3">
      <c r="A14" s="237"/>
      <c r="B14" s="30" t="s">
        <v>899</v>
      </c>
      <c r="C14" s="44" t="s">
        <v>702</v>
      </c>
      <c r="D14" s="31">
        <v>1.3100000000000001E-2</v>
      </c>
      <c r="E14" s="28">
        <v>18.3825</v>
      </c>
      <c r="F14" s="28">
        <f t="shared" si="0"/>
        <v>0.24</v>
      </c>
      <c r="G14" s="39"/>
      <c r="H14" s="40"/>
      <c r="I14" s="139">
        <v>0</v>
      </c>
    </row>
    <row r="15" spans="1:9" ht="15.75" hidden="1" thickBot="1" x14ac:dyDescent="0.3">
      <c r="A15" s="237"/>
      <c r="B15" s="30" t="s">
        <v>900</v>
      </c>
      <c r="C15" s="44" t="s">
        <v>702</v>
      </c>
      <c r="D15" s="31">
        <v>9.3299999999999994E-2</v>
      </c>
      <c r="E15" s="25">
        <v>24.747499999999999</v>
      </c>
      <c r="F15" s="28">
        <f t="shared" si="0"/>
        <v>2.31</v>
      </c>
      <c r="G15" s="39"/>
      <c r="H15" s="40"/>
      <c r="I15" s="139">
        <v>0</v>
      </c>
    </row>
    <row r="16" spans="1:9" ht="15.75" hidden="1" thickBot="1" x14ac:dyDescent="0.3">
      <c r="A16" s="243"/>
      <c r="B16" s="49" t="s">
        <v>521</v>
      </c>
      <c r="C16" s="74"/>
      <c r="D16" s="89"/>
      <c r="E16" s="61" t="s">
        <v>521</v>
      </c>
      <c r="F16" s="62" t="str">
        <f t="shared" si="0"/>
        <v/>
      </c>
      <c r="G16" s="63"/>
      <c r="H16" s="25"/>
      <c r="I16" s="139">
        <v>0</v>
      </c>
    </row>
    <row r="17" spans="1:9" ht="15.75" customHeight="1" thickBot="1" x14ac:dyDescent="0.3">
      <c r="A17" s="242" t="s">
        <v>1826</v>
      </c>
      <c r="B17" s="35" t="s">
        <v>521</v>
      </c>
      <c r="C17" s="72" t="s">
        <v>120</v>
      </c>
      <c r="D17" s="87"/>
      <c r="E17" s="22" t="s">
        <v>521</v>
      </c>
      <c r="F17" s="20" t="str">
        <f t="shared" si="0"/>
        <v/>
      </c>
      <c r="G17" s="23"/>
      <c r="H17" s="24"/>
      <c r="I17" s="139">
        <v>228.64875288333329</v>
      </c>
    </row>
    <row r="18" spans="1:9" x14ac:dyDescent="0.25">
      <c r="A18" s="237"/>
      <c r="B18" s="26" t="s">
        <v>521</v>
      </c>
      <c r="C18" s="73"/>
      <c r="D18" s="85"/>
      <c r="E18" s="25" t="s">
        <v>521</v>
      </c>
      <c r="F18" s="25" t="str">
        <f t="shared" si="0"/>
        <v/>
      </c>
      <c r="G18" s="29"/>
      <c r="H18" s="25"/>
      <c r="I18" s="139">
        <v>228.64875288333329</v>
      </c>
    </row>
    <row r="19" spans="1:9" ht="51" x14ac:dyDescent="0.25">
      <c r="A19" s="237"/>
      <c r="B19" s="30" t="s">
        <v>1097</v>
      </c>
      <c r="C19" s="44" t="s">
        <v>938</v>
      </c>
      <c r="D19" s="31">
        <v>8.3000000000000001E-3</v>
      </c>
      <c r="E19" s="25">
        <v>195.7285</v>
      </c>
      <c r="F19" s="28">
        <f t="shared" si="0"/>
        <v>1.62</v>
      </c>
      <c r="G19" s="39">
        <f>SUM(F19:F22)</f>
        <v>8.0568950500000014</v>
      </c>
      <c r="H19" s="40"/>
      <c r="I19" s="139">
        <v>228.64875288333329</v>
      </c>
    </row>
    <row r="20" spans="1:9" ht="38.25" x14ac:dyDescent="0.25">
      <c r="A20" s="237"/>
      <c r="B20" s="30" t="s">
        <v>1575</v>
      </c>
      <c r="C20" s="41" t="s">
        <v>940</v>
      </c>
      <c r="D20" s="31">
        <v>1.5100000000000001E-2</v>
      </c>
      <c r="E20" s="25">
        <v>58.462999999999994</v>
      </c>
      <c r="F20" s="28">
        <f>IF(ISNUMBER(E20),E20*$D20,"")</f>
        <v>0.88279129999999995</v>
      </c>
      <c r="G20" s="39"/>
      <c r="H20" s="40"/>
      <c r="I20" s="139">
        <v>228.64875288333329</v>
      </c>
    </row>
    <row r="21" spans="1:9" ht="51" x14ac:dyDescent="0.25">
      <c r="A21" s="237"/>
      <c r="B21" s="30" t="s">
        <v>1073</v>
      </c>
      <c r="C21" s="41" t="s">
        <v>938</v>
      </c>
      <c r="D21" s="31">
        <v>2.6700000000000002E-2</v>
      </c>
      <c r="E21" s="25">
        <v>174.20150000000001</v>
      </c>
      <c r="F21" s="28">
        <f>IF(ISNUMBER(E21),E21*$D21,"")</f>
        <v>4.6511800500000007</v>
      </c>
      <c r="G21" s="39"/>
      <c r="H21" s="40"/>
      <c r="I21" s="139">
        <v>228.64875288333329</v>
      </c>
    </row>
    <row r="22" spans="1:9" ht="51" x14ac:dyDescent="0.25">
      <c r="A22" s="237"/>
      <c r="B22" s="30" t="s">
        <v>1074</v>
      </c>
      <c r="C22" s="41" t="s">
        <v>940</v>
      </c>
      <c r="D22" s="31">
        <v>2.0299999999999999E-2</v>
      </c>
      <c r="E22" s="25">
        <v>44.478999999999999</v>
      </c>
      <c r="F22" s="28">
        <f>IF(ISNUMBER(E22),E22*$D22,"")</f>
        <v>0.90292369999999988</v>
      </c>
      <c r="G22" s="39"/>
      <c r="H22" s="40"/>
      <c r="I22" s="139">
        <v>228.64875288333329</v>
      </c>
    </row>
    <row r="23" spans="1:9" ht="15.75" thickBot="1" x14ac:dyDescent="0.3">
      <c r="A23" s="243"/>
      <c r="B23" s="49" t="s">
        <v>521</v>
      </c>
      <c r="C23" s="74"/>
      <c r="D23" s="89"/>
      <c r="E23" s="61" t="s">
        <v>521</v>
      </c>
      <c r="F23" s="62" t="str">
        <f t="shared" ref="F23:F30" si="1">IF(ISNUMBER(E23),ROUND(E23*$D23,2),"")</f>
        <v/>
      </c>
      <c r="G23" s="63"/>
      <c r="H23" s="25"/>
      <c r="I23" s="139">
        <v>228.64875288333329</v>
      </c>
    </row>
    <row r="24" spans="1:9" ht="15" hidden="1" customHeight="1" thickBot="1" x14ac:dyDescent="0.3">
      <c r="A24" s="242" t="s">
        <v>1339</v>
      </c>
      <c r="B24" s="35" t="s">
        <v>521</v>
      </c>
      <c r="C24" s="72" t="s">
        <v>120</v>
      </c>
      <c r="D24" s="87"/>
      <c r="E24" s="36" t="s">
        <v>521</v>
      </c>
      <c r="F24" s="36" t="str">
        <f t="shared" si="1"/>
        <v/>
      </c>
      <c r="G24" s="23"/>
      <c r="H24" s="24"/>
      <c r="I24" s="139">
        <v>0</v>
      </c>
    </row>
    <row r="25" spans="1:9" ht="15.75" hidden="1" thickBot="1" x14ac:dyDescent="0.3">
      <c r="A25" s="237"/>
      <c r="B25" s="26" t="s">
        <v>521</v>
      </c>
      <c r="C25" s="73"/>
      <c r="D25" s="85"/>
      <c r="E25" s="91" t="s">
        <v>521</v>
      </c>
      <c r="F25" s="92" t="str">
        <f t="shared" si="1"/>
        <v/>
      </c>
      <c r="G25" s="29"/>
      <c r="H25" s="25"/>
      <c r="I25" s="139">
        <v>0</v>
      </c>
    </row>
    <row r="26" spans="1:9" ht="15.75" hidden="1" thickBot="1" x14ac:dyDescent="0.3">
      <c r="A26" s="237"/>
      <c r="B26" s="30" t="s">
        <v>113</v>
      </c>
      <c r="C26" s="44" t="s">
        <v>120</v>
      </c>
      <c r="D26" s="31">
        <v>1.36</v>
      </c>
      <c r="E26" s="28">
        <v>186.16200000000001</v>
      </c>
      <c r="F26" s="28">
        <f t="shared" si="1"/>
        <v>253.18</v>
      </c>
      <c r="G26" s="39">
        <f>SUM(F26:F32)</f>
        <v>727.173560576</v>
      </c>
      <c r="H26" s="40"/>
      <c r="I26" s="139">
        <v>0</v>
      </c>
    </row>
    <row r="27" spans="1:9" ht="15.75" hidden="1" thickBot="1" x14ac:dyDescent="0.3">
      <c r="A27" s="237"/>
      <c r="B27" s="30" t="s">
        <v>114</v>
      </c>
      <c r="C27" s="44" t="s">
        <v>897</v>
      </c>
      <c r="D27" s="31">
        <v>459.85</v>
      </c>
      <c r="E27" s="28">
        <v>0.64600000000000002</v>
      </c>
      <c r="F27" s="28">
        <f t="shared" si="1"/>
        <v>297.06</v>
      </c>
      <c r="G27" s="39"/>
      <c r="H27" s="40"/>
      <c r="I27" s="139">
        <v>0</v>
      </c>
    </row>
    <row r="28" spans="1:9" ht="26.25" hidden="1" thickBot="1" x14ac:dyDescent="0.3">
      <c r="A28" s="237"/>
      <c r="B28" s="30" t="s">
        <v>116</v>
      </c>
      <c r="C28" s="44" t="s">
        <v>702</v>
      </c>
      <c r="D28" s="31">
        <v>4.8499999999999996</v>
      </c>
      <c r="E28" s="25">
        <v>18.534500000000001</v>
      </c>
      <c r="F28" s="28">
        <f t="shared" si="1"/>
        <v>89.89</v>
      </c>
      <c r="G28" s="39"/>
      <c r="H28" s="40"/>
      <c r="I28" s="139">
        <v>0</v>
      </c>
    </row>
    <row r="29" spans="1:9" ht="39" hidden="1" thickBot="1" x14ac:dyDescent="0.3">
      <c r="A29" s="237"/>
      <c r="B29" s="30" t="s">
        <v>1418</v>
      </c>
      <c r="C29" s="44" t="s">
        <v>938</v>
      </c>
      <c r="D29" s="31">
        <v>1.1299999999999999</v>
      </c>
      <c r="E29" s="25">
        <v>1.3964999999999999</v>
      </c>
      <c r="F29" s="28">
        <f t="shared" si="1"/>
        <v>1.58</v>
      </c>
      <c r="G29" s="39"/>
      <c r="H29" s="40"/>
      <c r="I29" s="139">
        <v>0</v>
      </c>
    </row>
    <row r="30" spans="1:9" ht="39" hidden="1" thickBot="1" x14ac:dyDescent="0.3">
      <c r="A30" s="237"/>
      <c r="B30" s="30" t="s">
        <v>1419</v>
      </c>
      <c r="C30" s="44" t="s">
        <v>940</v>
      </c>
      <c r="D30" s="31">
        <v>3.72</v>
      </c>
      <c r="E30" s="25">
        <v>0.3705</v>
      </c>
      <c r="F30" s="28">
        <f t="shared" si="1"/>
        <v>1.38</v>
      </c>
      <c r="G30" s="39"/>
      <c r="H30" s="40"/>
      <c r="I30" s="139">
        <v>0</v>
      </c>
    </row>
    <row r="31" spans="1:9" ht="51.75" hidden="1" thickBot="1" x14ac:dyDescent="0.3">
      <c r="A31" s="237"/>
      <c r="B31" s="30" t="s">
        <v>1826</v>
      </c>
      <c r="C31" s="30" t="s">
        <v>120</v>
      </c>
      <c r="D31" s="31">
        <f>D26</f>
        <v>1.36</v>
      </c>
      <c r="E31" s="25">
        <v>8.0614416000000002</v>
      </c>
      <c r="F31" s="28">
        <f>IF(ISNUMBER(E31),E31*$D31,"")</f>
        <v>10.963560576000001</v>
      </c>
      <c r="G31" s="39"/>
      <c r="H31" s="40"/>
      <c r="I31" s="139">
        <v>0</v>
      </c>
    </row>
    <row r="32" spans="1:9" ht="39" hidden="1" thickBot="1" x14ac:dyDescent="0.3">
      <c r="A32" s="237"/>
      <c r="B32" s="30" t="s">
        <v>1823</v>
      </c>
      <c r="C32" s="44" t="s">
        <v>122</v>
      </c>
      <c r="D32" s="31">
        <f>20*D26</f>
        <v>27.200000000000003</v>
      </c>
      <c r="E32" s="28">
        <v>2.6882748499999995</v>
      </c>
      <c r="F32" s="28">
        <f t="shared" ref="F32:F52" si="2">IF(ISNUMBER(E32),ROUND(E32*$D32,2),"")</f>
        <v>73.12</v>
      </c>
      <c r="G32" s="39"/>
      <c r="H32" s="40"/>
      <c r="I32" s="139">
        <v>0</v>
      </c>
    </row>
    <row r="33" spans="1:9" ht="15.75" hidden="1" thickBot="1" x14ac:dyDescent="0.3">
      <c r="A33" s="237"/>
      <c r="B33" s="45"/>
      <c r="C33" s="119"/>
      <c r="D33" s="31"/>
      <c r="E33" s="25" t="s">
        <v>521</v>
      </c>
      <c r="F33" s="28" t="str">
        <f t="shared" si="2"/>
        <v/>
      </c>
      <c r="G33" s="39"/>
      <c r="H33" s="40"/>
      <c r="I33" s="139">
        <v>0</v>
      </c>
    </row>
    <row r="34" spans="1:9" ht="15.75" hidden="1" thickBot="1" x14ac:dyDescent="0.3">
      <c r="A34" s="237"/>
      <c r="B34" s="42" t="s">
        <v>754</v>
      </c>
      <c r="C34" s="119"/>
      <c r="D34" s="31"/>
      <c r="E34" s="25" t="s">
        <v>521</v>
      </c>
      <c r="F34" s="28" t="str">
        <f t="shared" si="2"/>
        <v/>
      </c>
      <c r="G34" s="39"/>
      <c r="H34" s="40"/>
      <c r="I34" s="139">
        <v>0</v>
      </c>
    </row>
    <row r="35" spans="1:9" ht="15.75" hidden="1" thickBot="1" x14ac:dyDescent="0.3">
      <c r="A35" s="243"/>
      <c r="B35" s="97" t="s">
        <v>2210</v>
      </c>
      <c r="C35" s="74"/>
      <c r="D35" s="89"/>
      <c r="E35" s="61" t="s">
        <v>521</v>
      </c>
      <c r="F35" s="61" t="str">
        <f t="shared" si="2"/>
        <v/>
      </c>
      <c r="G35" s="63"/>
      <c r="H35" s="25"/>
      <c r="I35" s="139">
        <v>0</v>
      </c>
    </row>
    <row r="36" spans="1:9" ht="27.75" hidden="1" customHeight="1" thickBot="1" x14ac:dyDescent="0.3">
      <c r="A36" s="242" t="s">
        <v>1913</v>
      </c>
      <c r="B36" s="35" t="s">
        <v>521</v>
      </c>
      <c r="C36" s="72" t="s">
        <v>988</v>
      </c>
      <c r="D36" s="87"/>
      <c r="E36" s="36" t="s">
        <v>521</v>
      </c>
      <c r="F36" s="36" t="str">
        <f t="shared" si="2"/>
        <v/>
      </c>
      <c r="G36" s="23"/>
      <c r="H36" s="24"/>
      <c r="I36" s="139">
        <v>0</v>
      </c>
    </row>
    <row r="37" spans="1:9" ht="27.75" hidden="1" customHeight="1" x14ac:dyDescent="0.25">
      <c r="A37" s="237"/>
      <c r="B37" s="26" t="s">
        <v>521</v>
      </c>
      <c r="C37" s="73"/>
      <c r="D37" s="85"/>
      <c r="E37" s="91" t="s">
        <v>521</v>
      </c>
      <c r="F37" s="92" t="str">
        <f t="shared" si="2"/>
        <v/>
      </c>
      <c r="G37" s="29"/>
      <c r="H37" s="25"/>
      <c r="I37" s="139">
        <v>0</v>
      </c>
    </row>
    <row r="38" spans="1:9" ht="27.75" hidden="1" customHeight="1" x14ac:dyDescent="0.25">
      <c r="A38" s="237"/>
      <c r="B38" s="30" t="s">
        <v>1930</v>
      </c>
      <c r="C38" s="44" t="s">
        <v>479</v>
      </c>
      <c r="D38" s="31">
        <v>4.4320000000000004</v>
      </c>
      <c r="E38" s="28">
        <v>2.8025000000000002</v>
      </c>
      <c r="F38" s="28">
        <f t="shared" si="2"/>
        <v>12.42</v>
      </c>
      <c r="G38" s="39">
        <f>SUM(F38:F44)</f>
        <v>239.64</v>
      </c>
      <c r="H38" s="40"/>
      <c r="I38" s="139">
        <v>0</v>
      </c>
    </row>
    <row r="39" spans="1:9" ht="27.75" hidden="1" customHeight="1" x14ac:dyDescent="0.25">
      <c r="A39" s="237"/>
      <c r="B39" s="30" t="s">
        <v>1362</v>
      </c>
      <c r="C39" s="44" t="s">
        <v>897</v>
      </c>
      <c r="D39" s="31">
        <v>8.5999999999999993E-2</v>
      </c>
      <c r="E39" s="28">
        <v>21.935499999999998</v>
      </c>
      <c r="F39" s="28">
        <f t="shared" si="2"/>
        <v>1.89</v>
      </c>
      <c r="G39" s="39"/>
      <c r="H39" s="40"/>
      <c r="I39" s="139">
        <v>0</v>
      </c>
    </row>
    <row r="40" spans="1:9" ht="27.75" hidden="1" customHeight="1" x14ac:dyDescent="0.25">
      <c r="A40" s="237"/>
      <c r="B40" s="30" t="s">
        <v>1955</v>
      </c>
      <c r="C40" s="44" t="s">
        <v>479</v>
      </c>
      <c r="D40" s="31">
        <v>6.53</v>
      </c>
      <c r="E40" s="25">
        <v>30.950999999999997</v>
      </c>
      <c r="F40" s="28">
        <f t="shared" si="2"/>
        <v>202.11</v>
      </c>
      <c r="G40" s="39"/>
      <c r="H40" s="40"/>
      <c r="I40" s="139">
        <v>0</v>
      </c>
    </row>
    <row r="41" spans="1:9" ht="27.75" hidden="1" customHeight="1" x14ac:dyDescent="0.25">
      <c r="A41" s="237"/>
      <c r="B41" s="30" t="s">
        <v>785</v>
      </c>
      <c r="C41" s="44" t="s">
        <v>702</v>
      </c>
      <c r="D41" s="31">
        <v>0.14299999999999999</v>
      </c>
      <c r="E41" s="25">
        <v>19.494</v>
      </c>
      <c r="F41" s="28">
        <f t="shared" si="2"/>
        <v>2.79</v>
      </c>
      <c r="G41" s="39"/>
      <c r="H41" s="40"/>
      <c r="I41" s="139">
        <v>0</v>
      </c>
    </row>
    <row r="42" spans="1:9" ht="27.75" hidden="1" customHeight="1" x14ac:dyDescent="0.25">
      <c r="A42" s="237"/>
      <c r="B42" s="30" t="s">
        <v>989</v>
      </c>
      <c r="C42" s="44" t="s">
        <v>702</v>
      </c>
      <c r="D42" s="31">
        <v>0.71499999999999997</v>
      </c>
      <c r="E42" s="25">
        <v>24.633499999999998</v>
      </c>
      <c r="F42" s="28">
        <f t="shared" si="2"/>
        <v>17.61</v>
      </c>
      <c r="G42" s="39"/>
      <c r="H42" s="40"/>
      <c r="I42" s="139">
        <v>0</v>
      </c>
    </row>
    <row r="43" spans="1:9" ht="27.75" hidden="1" customHeight="1" x14ac:dyDescent="0.25">
      <c r="A43" s="237"/>
      <c r="B43" s="30" t="s">
        <v>1152</v>
      </c>
      <c r="C43" s="44" t="s">
        <v>938</v>
      </c>
      <c r="D43" s="31">
        <v>0.05</v>
      </c>
      <c r="E43" s="25">
        <v>20.234999999999999</v>
      </c>
      <c r="F43" s="28">
        <f t="shared" si="2"/>
        <v>1.01</v>
      </c>
      <c r="G43" s="39"/>
      <c r="H43" s="40"/>
      <c r="I43" s="139">
        <v>0</v>
      </c>
    </row>
    <row r="44" spans="1:9" ht="27.75" hidden="1" customHeight="1" x14ac:dyDescent="0.25">
      <c r="A44" s="237"/>
      <c r="B44" s="30" t="s">
        <v>1153</v>
      </c>
      <c r="C44" s="44" t="s">
        <v>940</v>
      </c>
      <c r="D44" s="31">
        <v>9.2999999999999999E-2</v>
      </c>
      <c r="E44" s="28">
        <v>19.456</v>
      </c>
      <c r="F44" s="28">
        <f t="shared" si="2"/>
        <v>1.81</v>
      </c>
      <c r="G44" s="39"/>
      <c r="H44" s="40"/>
      <c r="I44" s="139">
        <v>0</v>
      </c>
    </row>
    <row r="45" spans="1:9" ht="27.75" hidden="1" customHeight="1" thickBot="1" x14ac:dyDescent="0.3">
      <c r="A45" s="243"/>
      <c r="B45" s="97"/>
      <c r="C45" s="74"/>
      <c r="D45" s="89"/>
      <c r="E45" s="61" t="s">
        <v>521</v>
      </c>
      <c r="F45" s="61" t="str">
        <f t="shared" si="2"/>
        <v/>
      </c>
      <c r="G45" s="63"/>
      <c r="H45" s="25"/>
      <c r="I45" s="139">
        <v>0</v>
      </c>
    </row>
    <row r="46" spans="1:9" ht="15" hidden="1" customHeight="1" thickBot="1" x14ac:dyDescent="0.3">
      <c r="A46" s="242" t="s">
        <v>1599</v>
      </c>
      <c r="B46" s="35" t="s">
        <v>521</v>
      </c>
      <c r="C46" s="72" t="s">
        <v>120</v>
      </c>
      <c r="D46" s="87"/>
      <c r="E46" s="36" t="s">
        <v>521</v>
      </c>
      <c r="F46" s="36" t="str">
        <f t="shared" si="2"/>
        <v/>
      </c>
      <c r="G46" s="23"/>
      <c r="H46" s="24"/>
      <c r="I46" s="139">
        <v>0</v>
      </c>
    </row>
    <row r="47" spans="1:9" ht="15.75" hidden="1" thickBot="1" x14ac:dyDescent="0.3">
      <c r="A47" s="237"/>
      <c r="B47" s="26" t="s">
        <v>521</v>
      </c>
      <c r="C47" s="73"/>
      <c r="D47" s="85"/>
      <c r="E47" s="91" t="s">
        <v>521</v>
      </c>
      <c r="F47" s="92" t="str">
        <f t="shared" si="2"/>
        <v/>
      </c>
      <c r="G47" s="29"/>
      <c r="H47" s="25"/>
      <c r="I47" s="139">
        <v>0</v>
      </c>
    </row>
    <row r="48" spans="1:9" ht="26.25" hidden="1" thickBot="1" x14ac:dyDescent="0.3">
      <c r="A48" s="237"/>
      <c r="B48" s="30" t="s">
        <v>1282</v>
      </c>
      <c r="C48" s="44" t="s">
        <v>120</v>
      </c>
      <c r="D48" s="31">
        <v>0.95</v>
      </c>
      <c r="E48" s="28">
        <v>188.59399999999999</v>
      </c>
      <c r="F48" s="28">
        <f t="shared" si="2"/>
        <v>179.16</v>
      </c>
      <c r="G48" s="39">
        <f>SUM(F48:F57)</f>
        <v>596.11836951999999</v>
      </c>
      <c r="H48" s="40"/>
      <c r="I48" s="139">
        <v>0</v>
      </c>
    </row>
    <row r="49" spans="1:9" ht="15.75" hidden="1" thickBot="1" x14ac:dyDescent="0.3">
      <c r="A49" s="237"/>
      <c r="B49" s="30" t="s">
        <v>747</v>
      </c>
      <c r="C49" s="44" t="s">
        <v>897</v>
      </c>
      <c r="D49" s="31">
        <v>426.49</v>
      </c>
      <c r="E49" s="28">
        <v>0.64600000000000002</v>
      </c>
      <c r="F49" s="28">
        <f t="shared" si="2"/>
        <v>275.51</v>
      </c>
      <c r="G49" s="39"/>
      <c r="H49" s="40"/>
      <c r="I49" s="139">
        <v>0</v>
      </c>
    </row>
    <row r="50" spans="1:9" ht="26.25" hidden="1" thickBot="1" x14ac:dyDescent="0.3">
      <c r="A50" s="237"/>
      <c r="B50" s="30" t="s">
        <v>1434</v>
      </c>
      <c r="C50" s="44" t="s">
        <v>702</v>
      </c>
      <c r="D50" s="31">
        <v>4.32</v>
      </c>
      <c r="E50" s="25">
        <v>18.534500000000001</v>
      </c>
      <c r="F50" s="28">
        <f t="shared" si="2"/>
        <v>80.069999999999993</v>
      </c>
      <c r="G50" s="39"/>
      <c r="H50" s="40"/>
      <c r="I50" s="139">
        <v>0</v>
      </c>
    </row>
    <row r="51" spans="1:9" ht="39" hidden="1" thickBot="1" x14ac:dyDescent="0.3">
      <c r="A51" s="237"/>
      <c r="B51" s="30" t="s">
        <v>117</v>
      </c>
      <c r="C51" s="44" t="s">
        <v>938</v>
      </c>
      <c r="D51" s="31">
        <v>1.01</v>
      </c>
      <c r="E51" s="25">
        <v>1.3964999999999999</v>
      </c>
      <c r="F51" s="28">
        <f t="shared" si="2"/>
        <v>1.41</v>
      </c>
      <c r="G51" s="39"/>
      <c r="H51" s="40"/>
      <c r="I51" s="139">
        <v>0</v>
      </c>
    </row>
    <row r="52" spans="1:9" ht="39" hidden="1" thickBot="1" x14ac:dyDescent="0.3">
      <c r="A52" s="237"/>
      <c r="B52" s="30" t="s">
        <v>118</v>
      </c>
      <c r="C52" s="44" t="s">
        <v>940</v>
      </c>
      <c r="D52" s="31">
        <v>3.31</v>
      </c>
      <c r="E52" s="25">
        <v>0.3705</v>
      </c>
      <c r="F52" s="28">
        <f t="shared" si="2"/>
        <v>1.23</v>
      </c>
      <c r="G52" s="39"/>
      <c r="H52" s="40"/>
      <c r="I52" s="139">
        <v>0</v>
      </c>
    </row>
    <row r="53" spans="1:9" ht="51.75" hidden="1" thickBot="1" x14ac:dyDescent="0.3">
      <c r="A53" s="237"/>
      <c r="B53" s="30" t="s">
        <v>1826</v>
      </c>
      <c r="C53" s="30" t="s">
        <v>120</v>
      </c>
      <c r="D53" s="31">
        <f>D48</f>
        <v>0.95</v>
      </c>
      <c r="E53" s="25">
        <v>8.0614416000000002</v>
      </c>
      <c r="F53" s="28">
        <f>IF(ISNUMBER(E53),E53*$D53,"")</f>
        <v>7.6583695199999999</v>
      </c>
      <c r="G53" s="39"/>
      <c r="H53" s="40"/>
      <c r="I53" s="139">
        <v>0</v>
      </c>
    </row>
    <row r="54" spans="1:9" ht="39" hidden="1" thickBot="1" x14ac:dyDescent="0.3">
      <c r="A54" s="237"/>
      <c r="B54" s="30" t="s">
        <v>1823</v>
      </c>
      <c r="C54" s="44" t="s">
        <v>122</v>
      </c>
      <c r="D54" s="31">
        <f>20*D48</f>
        <v>19</v>
      </c>
      <c r="E54" s="28">
        <v>2.6882748499999995</v>
      </c>
      <c r="F54" s="28">
        <f t="shared" ref="F54:F66" si="3">IF(ISNUMBER(E54),ROUND(E54*$D54,2),"")</f>
        <v>51.08</v>
      </c>
      <c r="G54" s="39"/>
      <c r="H54" s="40"/>
      <c r="I54" s="139">
        <v>0</v>
      </c>
    </row>
    <row r="55" spans="1:9" ht="15.75" hidden="1" thickBot="1" x14ac:dyDescent="0.3">
      <c r="A55" s="237"/>
      <c r="B55" s="45"/>
      <c r="C55" s="119"/>
      <c r="D55" s="31"/>
      <c r="E55" s="25" t="s">
        <v>521</v>
      </c>
      <c r="F55" s="28" t="str">
        <f t="shared" si="3"/>
        <v/>
      </c>
      <c r="G55" s="39"/>
      <c r="H55" s="40"/>
      <c r="I55" s="139">
        <v>0</v>
      </c>
    </row>
    <row r="56" spans="1:9" ht="15.75" hidden="1" thickBot="1" x14ac:dyDescent="0.3">
      <c r="A56" s="237"/>
      <c r="B56" s="42" t="s">
        <v>754</v>
      </c>
      <c r="C56" s="119"/>
      <c r="D56" s="31"/>
      <c r="E56" s="25" t="s">
        <v>521</v>
      </c>
      <c r="F56" s="28" t="str">
        <f t="shared" si="3"/>
        <v/>
      </c>
      <c r="G56" s="39"/>
      <c r="H56" s="40"/>
      <c r="I56" s="139">
        <v>0</v>
      </c>
    </row>
    <row r="57" spans="1:9" ht="15.75" hidden="1" thickBot="1" x14ac:dyDescent="0.3">
      <c r="A57" s="237"/>
      <c r="B57" s="140" t="s">
        <v>1919</v>
      </c>
      <c r="C57" s="141"/>
      <c r="D57" s="142"/>
      <c r="E57" s="25" t="s">
        <v>521</v>
      </c>
      <c r="F57" s="25" t="str">
        <f t="shared" si="3"/>
        <v/>
      </c>
      <c r="G57" s="39"/>
      <c r="H57" s="40"/>
      <c r="I57" s="139">
        <v>0</v>
      </c>
    </row>
    <row r="58" spans="1:9" ht="15.75" hidden="1" thickBot="1" x14ac:dyDescent="0.3">
      <c r="A58" s="243"/>
      <c r="B58" s="97"/>
      <c r="C58" s="74"/>
      <c r="D58" s="89"/>
      <c r="E58" s="61" t="s">
        <v>521</v>
      </c>
      <c r="F58" s="61" t="str">
        <f t="shared" si="3"/>
        <v/>
      </c>
      <c r="G58" s="63"/>
      <c r="H58" s="25"/>
      <c r="I58" s="139">
        <v>0</v>
      </c>
    </row>
    <row r="59" spans="1:9" ht="15" hidden="1" customHeight="1" thickBot="1" x14ac:dyDescent="0.3">
      <c r="A59" s="242" t="s">
        <v>153</v>
      </c>
      <c r="B59" s="35" t="s">
        <v>521</v>
      </c>
      <c r="C59" s="72" t="s">
        <v>120</v>
      </c>
      <c r="D59" s="87"/>
      <c r="E59" s="36" t="s">
        <v>521</v>
      </c>
      <c r="F59" s="36" t="str">
        <f t="shared" si="3"/>
        <v/>
      </c>
      <c r="G59" s="23"/>
      <c r="H59" s="24"/>
      <c r="I59" s="139">
        <v>0</v>
      </c>
    </row>
    <row r="60" spans="1:9" ht="15.75" hidden="1" thickBot="1" x14ac:dyDescent="0.3">
      <c r="A60" s="237"/>
      <c r="B60" s="26" t="s">
        <v>521</v>
      </c>
      <c r="C60" s="73"/>
      <c r="D60" s="85"/>
      <c r="E60" s="91" t="s">
        <v>521</v>
      </c>
      <c r="F60" s="92" t="str">
        <f t="shared" si="3"/>
        <v/>
      </c>
      <c r="G60" s="29"/>
      <c r="H60" s="25"/>
      <c r="I60" s="139">
        <v>0</v>
      </c>
    </row>
    <row r="61" spans="1:9" ht="26.25" hidden="1" thickBot="1" x14ac:dyDescent="0.3">
      <c r="A61" s="237"/>
      <c r="B61" s="30" t="s">
        <v>751</v>
      </c>
      <c r="C61" s="44" t="s">
        <v>120</v>
      </c>
      <c r="D61" s="31">
        <v>1.1599999999999999</v>
      </c>
      <c r="E61" s="28">
        <v>186.16200000000001</v>
      </c>
      <c r="F61" s="28">
        <f t="shared" si="3"/>
        <v>215.95</v>
      </c>
      <c r="G61" s="39">
        <f>SUM(F61:F71)</f>
        <v>682.29127225599996</v>
      </c>
      <c r="H61" s="40"/>
      <c r="I61" s="139">
        <v>0</v>
      </c>
    </row>
    <row r="62" spans="1:9" ht="15.75" hidden="1" thickBot="1" x14ac:dyDescent="0.3">
      <c r="A62" s="237"/>
      <c r="B62" s="30" t="s">
        <v>1436</v>
      </c>
      <c r="C62" s="44" t="s">
        <v>897</v>
      </c>
      <c r="D62" s="31">
        <v>174.1</v>
      </c>
      <c r="E62" s="28">
        <v>1.0449999999999999</v>
      </c>
      <c r="F62" s="28">
        <f t="shared" si="3"/>
        <v>181.93</v>
      </c>
      <c r="G62" s="39"/>
      <c r="H62" s="40"/>
      <c r="I62" s="139">
        <v>0</v>
      </c>
    </row>
    <row r="63" spans="1:9" ht="15.75" hidden="1" thickBot="1" x14ac:dyDescent="0.3">
      <c r="A63" s="237"/>
      <c r="B63" s="30" t="s">
        <v>747</v>
      </c>
      <c r="C63" s="44" t="s">
        <v>897</v>
      </c>
      <c r="D63" s="31">
        <v>195.86</v>
      </c>
      <c r="E63" s="25">
        <v>0.64600000000000002</v>
      </c>
      <c r="F63" s="28">
        <f t="shared" si="3"/>
        <v>126.53</v>
      </c>
      <c r="G63" s="39"/>
      <c r="H63" s="40"/>
      <c r="I63" s="139">
        <v>0</v>
      </c>
    </row>
    <row r="64" spans="1:9" ht="26.25" hidden="1" thickBot="1" x14ac:dyDescent="0.3">
      <c r="A64" s="237"/>
      <c r="B64" s="30" t="s">
        <v>1434</v>
      </c>
      <c r="C64" s="44" t="s">
        <v>702</v>
      </c>
      <c r="D64" s="31">
        <v>4.5</v>
      </c>
      <c r="E64" s="25">
        <v>18.534500000000001</v>
      </c>
      <c r="F64" s="28">
        <f t="shared" si="3"/>
        <v>83.41</v>
      </c>
      <c r="G64" s="39"/>
      <c r="H64" s="40"/>
      <c r="I64" s="139">
        <v>0</v>
      </c>
    </row>
    <row r="65" spans="1:9" ht="39" hidden="1" thickBot="1" x14ac:dyDescent="0.3">
      <c r="A65" s="237"/>
      <c r="B65" s="30" t="s">
        <v>117</v>
      </c>
      <c r="C65" s="44" t="s">
        <v>938</v>
      </c>
      <c r="D65" s="31">
        <v>1.05</v>
      </c>
      <c r="E65" s="25">
        <v>1.3964999999999999</v>
      </c>
      <c r="F65" s="28">
        <f t="shared" si="3"/>
        <v>1.47</v>
      </c>
      <c r="G65" s="39"/>
      <c r="H65" s="40"/>
      <c r="I65" s="139">
        <v>0</v>
      </c>
    </row>
    <row r="66" spans="1:9" ht="39" hidden="1" thickBot="1" x14ac:dyDescent="0.3">
      <c r="A66" s="237"/>
      <c r="B66" s="30" t="s">
        <v>1419</v>
      </c>
      <c r="C66" s="44" t="s">
        <v>940</v>
      </c>
      <c r="D66" s="31">
        <v>3.45</v>
      </c>
      <c r="E66" s="25">
        <v>0.3705</v>
      </c>
      <c r="F66" s="28">
        <f t="shared" si="3"/>
        <v>1.28</v>
      </c>
      <c r="G66" s="39"/>
      <c r="H66" s="40"/>
      <c r="I66" s="139">
        <v>0</v>
      </c>
    </row>
    <row r="67" spans="1:9" ht="51.75" hidden="1" thickBot="1" x14ac:dyDescent="0.3">
      <c r="A67" s="237"/>
      <c r="B67" s="30" t="s">
        <v>1826</v>
      </c>
      <c r="C67" s="30" t="s">
        <v>120</v>
      </c>
      <c r="D67" s="31">
        <f>D61</f>
        <v>1.1599999999999999</v>
      </c>
      <c r="E67" s="25">
        <v>8.0614416000000002</v>
      </c>
      <c r="F67" s="28">
        <f>IF(ISNUMBER(E67),E67*$D67,"")</f>
        <v>9.3512722559999997</v>
      </c>
      <c r="G67" s="39"/>
      <c r="H67" s="40"/>
      <c r="I67" s="139">
        <v>0</v>
      </c>
    </row>
    <row r="68" spans="1:9" ht="39" hidden="1" thickBot="1" x14ac:dyDescent="0.3">
      <c r="A68" s="237"/>
      <c r="B68" s="30" t="s">
        <v>1823</v>
      </c>
      <c r="C68" s="44" t="s">
        <v>122</v>
      </c>
      <c r="D68" s="31">
        <f>20*D61</f>
        <v>23.2</v>
      </c>
      <c r="E68" s="28">
        <v>2.6882748499999995</v>
      </c>
      <c r="F68" s="28">
        <f t="shared" ref="F68:F87" si="4">IF(ISNUMBER(E68),ROUND(E68*$D68,2),"")</f>
        <v>62.37</v>
      </c>
      <c r="G68" s="39"/>
      <c r="H68" s="40"/>
      <c r="I68" s="139">
        <v>0</v>
      </c>
    </row>
    <row r="69" spans="1:9" ht="15.75" hidden="1" thickBot="1" x14ac:dyDescent="0.3">
      <c r="A69" s="237"/>
      <c r="B69" s="45"/>
      <c r="C69" s="119"/>
      <c r="D69" s="31"/>
      <c r="E69" s="25" t="s">
        <v>521</v>
      </c>
      <c r="F69" s="28" t="str">
        <f t="shared" si="4"/>
        <v/>
      </c>
      <c r="G69" s="39"/>
      <c r="H69" s="40"/>
      <c r="I69" s="139">
        <v>0</v>
      </c>
    </row>
    <row r="70" spans="1:9" ht="15.75" hidden="1" thickBot="1" x14ac:dyDescent="0.3">
      <c r="A70" s="237"/>
      <c r="B70" s="42" t="s">
        <v>754</v>
      </c>
      <c r="C70" s="119"/>
      <c r="D70" s="31"/>
      <c r="E70" s="25" t="s">
        <v>521</v>
      </c>
      <c r="F70" s="28" t="str">
        <f t="shared" si="4"/>
        <v/>
      </c>
      <c r="G70" s="39"/>
      <c r="H70" s="40"/>
      <c r="I70" s="139">
        <v>0</v>
      </c>
    </row>
    <row r="71" spans="1:9" ht="15.75" hidden="1" thickBot="1" x14ac:dyDescent="0.3">
      <c r="A71" s="237"/>
      <c r="B71" s="140" t="s">
        <v>1919</v>
      </c>
      <c r="C71" s="141"/>
      <c r="D71" s="142"/>
      <c r="E71" s="25" t="s">
        <v>521</v>
      </c>
      <c r="F71" s="25" t="str">
        <f t="shared" si="4"/>
        <v/>
      </c>
      <c r="G71" s="39"/>
      <c r="H71" s="40"/>
      <c r="I71" s="139">
        <v>0</v>
      </c>
    </row>
    <row r="72" spans="1:9" ht="15.75" hidden="1" thickBot="1" x14ac:dyDescent="0.3">
      <c r="A72" s="243"/>
      <c r="B72" s="97"/>
      <c r="C72" s="74"/>
      <c r="D72" s="89"/>
      <c r="E72" s="61" t="s">
        <v>521</v>
      </c>
      <c r="F72" s="61" t="str">
        <f t="shared" si="4"/>
        <v/>
      </c>
      <c r="G72" s="63"/>
      <c r="H72" s="25"/>
      <c r="I72" s="139">
        <v>0</v>
      </c>
    </row>
    <row r="73" spans="1:9" ht="27.75" customHeight="1" thickBot="1" x14ac:dyDescent="0.3">
      <c r="A73" s="242" t="s">
        <v>2794</v>
      </c>
      <c r="B73" s="35" t="s">
        <v>521</v>
      </c>
      <c r="C73" s="72" t="s">
        <v>897</v>
      </c>
      <c r="D73" s="87"/>
      <c r="E73" s="36" t="s">
        <v>521</v>
      </c>
      <c r="F73" s="36" t="str">
        <f t="shared" si="4"/>
        <v/>
      </c>
      <c r="G73" s="23"/>
      <c r="H73" s="24"/>
      <c r="I73" s="139">
        <v>40.523007000000007</v>
      </c>
    </row>
    <row r="74" spans="1:9" ht="27.75" customHeight="1" x14ac:dyDescent="0.25">
      <c r="A74" s="237"/>
      <c r="B74" s="26" t="s">
        <v>521</v>
      </c>
      <c r="C74" s="73"/>
      <c r="D74" s="85"/>
      <c r="E74" s="91" t="s">
        <v>521</v>
      </c>
      <c r="F74" s="92" t="str">
        <f t="shared" si="4"/>
        <v/>
      </c>
      <c r="G74" s="29"/>
      <c r="H74" s="25"/>
      <c r="I74" s="139">
        <v>40.523007000000007</v>
      </c>
    </row>
    <row r="75" spans="1:9" ht="27.75" customHeight="1" x14ac:dyDescent="0.25">
      <c r="A75" s="237"/>
      <c r="B75" s="30" t="s">
        <v>898</v>
      </c>
      <c r="C75" s="30" t="s">
        <v>279</v>
      </c>
      <c r="D75" s="31">
        <v>2.8159999999999998</v>
      </c>
      <c r="E75" s="28">
        <v>0.20899999999999999</v>
      </c>
      <c r="F75" s="28">
        <f t="shared" si="4"/>
        <v>0.59</v>
      </c>
      <c r="G75" s="39">
        <f>SUM(F75:F79)</f>
        <v>16.8</v>
      </c>
      <c r="H75" s="40"/>
      <c r="I75" s="139">
        <v>40.523007000000007</v>
      </c>
    </row>
    <row r="76" spans="1:9" ht="27.75" customHeight="1" x14ac:dyDescent="0.25">
      <c r="A76" s="237"/>
      <c r="B76" s="30" t="s">
        <v>1808</v>
      </c>
      <c r="C76" s="30" t="s">
        <v>897</v>
      </c>
      <c r="D76" s="31">
        <v>2.5000000000000001E-2</v>
      </c>
      <c r="E76" s="28">
        <v>22.61</v>
      </c>
      <c r="F76" s="28">
        <f t="shared" si="4"/>
        <v>0.56999999999999995</v>
      </c>
      <c r="G76" s="39"/>
      <c r="H76" s="40"/>
      <c r="I76" s="139">
        <v>40.523007000000007</v>
      </c>
    </row>
    <row r="77" spans="1:9" ht="27.75" customHeight="1" x14ac:dyDescent="0.25">
      <c r="A77" s="237"/>
      <c r="B77" s="30" t="s">
        <v>899</v>
      </c>
      <c r="C77" s="30" t="s">
        <v>702</v>
      </c>
      <c r="D77" s="31">
        <v>1.72E-2</v>
      </c>
      <c r="E77" s="25">
        <v>18.3825</v>
      </c>
      <c r="F77" s="28">
        <f t="shared" si="4"/>
        <v>0.32</v>
      </c>
      <c r="G77" s="39"/>
      <c r="H77" s="40"/>
      <c r="I77" s="139">
        <v>40.523007000000007</v>
      </c>
    </row>
    <row r="78" spans="1:9" ht="27.75" customHeight="1" x14ac:dyDescent="0.25">
      <c r="A78" s="237"/>
      <c r="B78" s="30" t="s">
        <v>900</v>
      </c>
      <c r="C78" s="30" t="s">
        <v>702</v>
      </c>
      <c r="D78" s="31">
        <v>0.1055</v>
      </c>
      <c r="E78" s="25">
        <v>24.747499999999999</v>
      </c>
      <c r="F78" s="28">
        <f t="shared" si="4"/>
        <v>2.61</v>
      </c>
      <c r="G78" s="39"/>
      <c r="H78" s="40"/>
      <c r="I78" s="139">
        <v>40.523007000000007</v>
      </c>
    </row>
    <row r="79" spans="1:9" ht="27.75" customHeight="1" x14ac:dyDescent="0.25">
      <c r="A79" s="237"/>
      <c r="B79" s="30" t="s">
        <v>2796</v>
      </c>
      <c r="C79" s="41" t="s">
        <v>897</v>
      </c>
      <c r="D79" s="31">
        <v>1</v>
      </c>
      <c r="E79" s="25">
        <v>12.714752499999999</v>
      </c>
      <c r="F79" s="28">
        <f t="shared" si="4"/>
        <v>12.71</v>
      </c>
      <c r="G79" s="39"/>
      <c r="H79" s="40"/>
      <c r="I79" s="139">
        <v>40.523007000000007</v>
      </c>
    </row>
    <row r="80" spans="1:9" ht="27.75" customHeight="1" thickBot="1" x14ac:dyDescent="0.3">
      <c r="A80" s="243"/>
      <c r="B80" s="97"/>
      <c r="C80" s="74"/>
      <c r="D80" s="89"/>
      <c r="E80" s="61" t="s">
        <v>521</v>
      </c>
      <c r="F80" s="61" t="str">
        <f t="shared" si="4"/>
        <v/>
      </c>
      <c r="G80" s="63"/>
      <c r="H80" s="25"/>
      <c r="I80" s="139">
        <v>40.523007000000007</v>
      </c>
    </row>
    <row r="81" spans="1:9" ht="15" hidden="1" customHeight="1" thickBot="1" x14ac:dyDescent="0.3">
      <c r="A81" s="242" t="s">
        <v>2253</v>
      </c>
      <c r="B81" s="35" t="s">
        <v>521</v>
      </c>
      <c r="C81" s="72" t="s">
        <v>120</v>
      </c>
      <c r="D81" s="87"/>
      <c r="E81" s="36" t="s">
        <v>521</v>
      </c>
      <c r="F81" s="36" t="str">
        <f t="shared" si="4"/>
        <v/>
      </c>
      <c r="G81" s="23"/>
      <c r="H81" s="24"/>
      <c r="I81" s="139">
        <v>0</v>
      </c>
    </row>
    <row r="82" spans="1:9" ht="15.75" hidden="1" thickBot="1" x14ac:dyDescent="0.3">
      <c r="A82" s="237"/>
      <c r="B82" s="26" t="s">
        <v>521</v>
      </c>
      <c r="C82" s="73"/>
      <c r="D82" s="85"/>
      <c r="E82" s="91" t="s">
        <v>521</v>
      </c>
      <c r="F82" s="92" t="str">
        <f t="shared" si="4"/>
        <v/>
      </c>
      <c r="G82" s="29"/>
      <c r="H82" s="25"/>
      <c r="I82" s="139">
        <v>0</v>
      </c>
    </row>
    <row r="83" spans="1:9" ht="26.25" hidden="1" thickBot="1" x14ac:dyDescent="0.3">
      <c r="A83" s="237"/>
      <c r="B83" s="30" t="s">
        <v>751</v>
      </c>
      <c r="C83" s="44" t="s">
        <v>120</v>
      </c>
      <c r="D83" s="31">
        <v>0.71189999999999998</v>
      </c>
      <c r="E83" s="28">
        <v>186.16200000000001</v>
      </c>
      <c r="F83" s="28">
        <f t="shared" si="4"/>
        <v>132.53</v>
      </c>
      <c r="G83" s="39">
        <f>SUM(F83:F91)</f>
        <v>618.30459511135996</v>
      </c>
      <c r="H83" s="40"/>
      <c r="I83" s="139">
        <v>0</v>
      </c>
    </row>
    <row r="84" spans="1:9" ht="15.75" hidden="1" thickBot="1" x14ac:dyDescent="0.3">
      <c r="A84" s="237"/>
      <c r="B84" s="30" t="s">
        <v>747</v>
      </c>
      <c r="C84" s="44" t="s">
        <v>897</v>
      </c>
      <c r="D84" s="31">
        <v>391.16629999999998</v>
      </c>
      <c r="E84" s="28">
        <v>0.64600000000000002</v>
      </c>
      <c r="F84" s="28">
        <f t="shared" si="4"/>
        <v>252.69</v>
      </c>
      <c r="G84" s="39"/>
      <c r="H84" s="40"/>
      <c r="I84" s="139">
        <v>0</v>
      </c>
    </row>
    <row r="85" spans="1:9" ht="26.25" hidden="1" thickBot="1" x14ac:dyDescent="0.3">
      <c r="A85" s="237"/>
      <c r="B85" s="30" t="s">
        <v>759</v>
      </c>
      <c r="C85" s="44" t="s">
        <v>120</v>
      </c>
      <c r="D85" s="31">
        <v>0.5927</v>
      </c>
      <c r="E85" s="25">
        <v>151.202</v>
      </c>
      <c r="F85" s="28">
        <f t="shared" si="4"/>
        <v>89.62</v>
      </c>
      <c r="G85" s="39"/>
      <c r="H85" s="40"/>
      <c r="I85" s="139">
        <v>0</v>
      </c>
    </row>
    <row r="86" spans="1:9" ht="15.75" hidden="1" thickBot="1" x14ac:dyDescent="0.3">
      <c r="A86" s="237"/>
      <c r="B86" s="30" t="s">
        <v>703</v>
      </c>
      <c r="C86" s="44" t="s">
        <v>702</v>
      </c>
      <c r="D86" s="31">
        <v>1.9633</v>
      </c>
      <c r="E86" s="25">
        <v>18.420500000000001</v>
      </c>
      <c r="F86" s="28">
        <f t="shared" si="4"/>
        <v>36.159999999999997</v>
      </c>
      <c r="G86" s="39"/>
      <c r="H86" s="40"/>
      <c r="I86" s="139">
        <v>0</v>
      </c>
    </row>
    <row r="87" spans="1:9" ht="26.25" hidden="1" thickBot="1" x14ac:dyDescent="0.3">
      <c r="A87" s="237"/>
      <c r="B87" s="30" t="s">
        <v>1434</v>
      </c>
      <c r="C87" s="44" t="s">
        <v>702</v>
      </c>
      <c r="D87" s="31">
        <v>1.24</v>
      </c>
      <c r="E87" s="25">
        <v>18.534500000000001</v>
      </c>
      <c r="F87" s="28">
        <f t="shared" si="4"/>
        <v>22.98</v>
      </c>
      <c r="G87" s="39"/>
      <c r="H87" s="40"/>
      <c r="I87" s="139">
        <v>0</v>
      </c>
    </row>
    <row r="88" spans="1:9" ht="39" hidden="1" thickBot="1" x14ac:dyDescent="0.3">
      <c r="A88" s="237"/>
      <c r="B88" s="30" t="s">
        <v>1361</v>
      </c>
      <c r="C88" s="30" t="s">
        <v>938</v>
      </c>
      <c r="D88" s="31">
        <v>0.63819999999999999</v>
      </c>
      <c r="E88" s="25">
        <v>4.3224999999999998</v>
      </c>
      <c r="F88" s="28">
        <f>IF(ISNUMBER(E88),E88*$D88,"")</f>
        <v>2.7586195</v>
      </c>
      <c r="G88" s="39"/>
      <c r="H88" s="40"/>
      <c r="I88" s="139">
        <v>0</v>
      </c>
    </row>
    <row r="89" spans="1:9" ht="39" hidden="1" thickBot="1" x14ac:dyDescent="0.3">
      <c r="A89" s="237"/>
      <c r="B89" s="30" t="s">
        <v>1435</v>
      </c>
      <c r="C89" s="41" t="s">
        <v>940</v>
      </c>
      <c r="D89" s="31">
        <v>0.6018</v>
      </c>
      <c r="E89" s="25">
        <v>1.5105</v>
      </c>
      <c r="F89" s="28">
        <f>IF(ISNUMBER(E89),E89*$D89,"")</f>
        <v>0.90901889999999996</v>
      </c>
      <c r="G89" s="39"/>
      <c r="H89" s="40"/>
      <c r="I89" s="139">
        <v>0</v>
      </c>
    </row>
    <row r="90" spans="1:9" ht="51.75" hidden="1" thickBot="1" x14ac:dyDescent="0.3">
      <c r="A90" s="237"/>
      <c r="B90" s="30" t="s">
        <v>1826</v>
      </c>
      <c r="C90" s="30" t="s">
        <v>120</v>
      </c>
      <c r="D90" s="31">
        <f>D83+D85</f>
        <v>1.3046</v>
      </c>
      <c r="E90" s="25">
        <v>8.0614416000000002</v>
      </c>
      <c r="F90" s="28">
        <f>IF(ISNUMBER(E90),E90*$D90,"")</f>
        <v>10.516956711360001</v>
      </c>
      <c r="G90" s="39"/>
      <c r="H90" s="40"/>
      <c r="I90" s="139">
        <v>0</v>
      </c>
    </row>
    <row r="91" spans="1:9" ht="39" hidden="1" thickBot="1" x14ac:dyDescent="0.3">
      <c r="A91" s="237"/>
      <c r="B91" s="30" t="s">
        <v>1823</v>
      </c>
      <c r="C91" s="44" t="s">
        <v>122</v>
      </c>
      <c r="D91" s="31">
        <f>20*(D83+D85)</f>
        <v>26.091999999999999</v>
      </c>
      <c r="E91" s="28">
        <v>2.6882748499999995</v>
      </c>
      <c r="F91" s="28">
        <f t="shared" ref="F91:F101" si="5">IF(ISNUMBER(E91),ROUND(E91*$D91,2),"")</f>
        <v>70.14</v>
      </c>
      <c r="G91" s="39"/>
      <c r="H91" s="40"/>
      <c r="I91" s="139">
        <v>0</v>
      </c>
    </row>
    <row r="92" spans="1:9" ht="15.75" hidden="1" thickBot="1" x14ac:dyDescent="0.3">
      <c r="A92" s="237"/>
      <c r="B92" s="45"/>
      <c r="C92" s="119"/>
      <c r="D92" s="31"/>
      <c r="E92" s="25" t="s">
        <v>521</v>
      </c>
      <c r="F92" s="28" t="str">
        <f t="shared" si="5"/>
        <v/>
      </c>
      <c r="G92" s="39"/>
      <c r="H92" s="40"/>
      <c r="I92" s="139">
        <v>0</v>
      </c>
    </row>
    <row r="93" spans="1:9" ht="15.75" hidden="1" thickBot="1" x14ac:dyDescent="0.3">
      <c r="A93" s="237"/>
      <c r="B93" s="42" t="s">
        <v>754</v>
      </c>
      <c r="C93" s="119"/>
      <c r="D93" s="31"/>
      <c r="E93" s="25" t="s">
        <v>521</v>
      </c>
      <c r="F93" s="28" t="str">
        <f t="shared" si="5"/>
        <v/>
      </c>
      <c r="G93" s="39"/>
      <c r="H93" s="40"/>
      <c r="I93" s="139">
        <v>0</v>
      </c>
    </row>
    <row r="94" spans="1:9" ht="15.75" hidden="1" thickBot="1" x14ac:dyDescent="0.3">
      <c r="A94" s="243"/>
      <c r="B94" s="97"/>
      <c r="C94" s="74"/>
      <c r="D94" s="89"/>
      <c r="E94" s="61" t="s">
        <v>521</v>
      </c>
      <c r="F94" s="61" t="str">
        <f t="shared" si="5"/>
        <v/>
      </c>
      <c r="G94" s="63"/>
      <c r="H94" s="25"/>
      <c r="I94" s="139">
        <v>0</v>
      </c>
    </row>
    <row r="95" spans="1:9" ht="15" customHeight="1" thickBot="1" x14ac:dyDescent="0.3">
      <c r="A95" s="242" t="s">
        <v>2252</v>
      </c>
      <c r="B95" s="35" t="s">
        <v>521</v>
      </c>
      <c r="C95" s="72" t="s">
        <v>120</v>
      </c>
      <c r="D95" s="87"/>
      <c r="E95" s="36" t="s">
        <v>521</v>
      </c>
      <c r="F95" s="36" t="str">
        <f t="shared" si="5"/>
        <v/>
      </c>
      <c r="G95" s="23"/>
      <c r="H95" s="24"/>
      <c r="I95" s="139">
        <v>1.7430000000000001</v>
      </c>
    </row>
    <row r="96" spans="1:9" x14ac:dyDescent="0.25">
      <c r="A96" s="237"/>
      <c r="B96" s="26" t="s">
        <v>521</v>
      </c>
      <c r="C96" s="73"/>
      <c r="D96" s="85"/>
      <c r="E96" s="91" t="s">
        <v>521</v>
      </c>
      <c r="F96" s="92" t="str">
        <f t="shared" si="5"/>
        <v/>
      </c>
      <c r="G96" s="29"/>
      <c r="H96" s="25"/>
      <c r="I96" s="139">
        <v>1.7430000000000001</v>
      </c>
    </row>
    <row r="97" spans="1:9" ht="25.5" x14ac:dyDescent="0.25">
      <c r="A97" s="237"/>
      <c r="B97" s="30" t="s">
        <v>751</v>
      </c>
      <c r="C97" s="44" t="s">
        <v>120</v>
      </c>
      <c r="D97" s="31">
        <v>0.72750000000000004</v>
      </c>
      <c r="E97" s="28">
        <v>186.16200000000001</v>
      </c>
      <c r="F97" s="28">
        <f t="shared" si="5"/>
        <v>135.43</v>
      </c>
      <c r="G97" s="39">
        <f>SUM(F97:F105)</f>
        <v>606.70650853751999</v>
      </c>
      <c r="H97" s="40"/>
      <c r="I97" s="139">
        <v>1.7430000000000001</v>
      </c>
    </row>
    <row r="98" spans="1:9" x14ac:dyDescent="0.25">
      <c r="A98" s="237"/>
      <c r="B98" s="30" t="s">
        <v>747</v>
      </c>
      <c r="C98" s="44" t="s">
        <v>897</v>
      </c>
      <c r="D98" s="31">
        <v>364.94330000000002</v>
      </c>
      <c r="E98" s="28">
        <v>0.64600000000000002</v>
      </c>
      <c r="F98" s="28">
        <f t="shared" si="5"/>
        <v>235.75</v>
      </c>
      <c r="G98" s="39"/>
      <c r="H98" s="40"/>
      <c r="I98" s="139">
        <v>1.7430000000000001</v>
      </c>
    </row>
    <row r="99" spans="1:9" ht="25.5" x14ac:dyDescent="0.25">
      <c r="A99" s="237"/>
      <c r="B99" s="30" t="s">
        <v>759</v>
      </c>
      <c r="C99" s="44" t="s">
        <v>120</v>
      </c>
      <c r="D99" s="31">
        <v>0.59719999999999995</v>
      </c>
      <c r="E99" s="25">
        <v>151.202</v>
      </c>
      <c r="F99" s="28">
        <f t="shared" si="5"/>
        <v>90.3</v>
      </c>
      <c r="G99" s="39"/>
      <c r="H99" s="40"/>
      <c r="I99" s="139">
        <v>1.7430000000000001</v>
      </c>
    </row>
    <row r="100" spans="1:9" x14ac:dyDescent="0.25">
      <c r="A100" s="237"/>
      <c r="B100" s="30" t="s">
        <v>703</v>
      </c>
      <c r="C100" s="44" t="s">
        <v>702</v>
      </c>
      <c r="D100" s="31">
        <v>1.9792000000000001</v>
      </c>
      <c r="E100" s="25">
        <v>18.420500000000001</v>
      </c>
      <c r="F100" s="28">
        <f t="shared" si="5"/>
        <v>36.46</v>
      </c>
      <c r="G100" s="39"/>
      <c r="H100" s="40"/>
      <c r="I100" s="139">
        <v>1.7430000000000001</v>
      </c>
    </row>
    <row r="101" spans="1:9" ht="25.5" x14ac:dyDescent="0.25">
      <c r="A101" s="237"/>
      <c r="B101" s="30" t="s">
        <v>1434</v>
      </c>
      <c r="C101" s="44" t="s">
        <v>702</v>
      </c>
      <c r="D101" s="31">
        <v>1.2501</v>
      </c>
      <c r="E101" s="25">
        <v>18.534500000000001</v>
      </c>
      <c r="F101" s="28">
        <f t="shared" si="5"/>
        <v>23.17</v>
      </c>
      <c r="G101" s="39"/>
      <c r="H101" s="40"/>
      <c r="I101" s="139">
        <v>1.7430000000000001</v>
      </c>
    </row>
    <row r="102" spans="1:9" ht="38.25" x14ac:dyDescent="0.25">
      <c r="A102" s="237"/>
      <c r="B102" s="30" t="s">
        <v>1361</v>
      </c>
      <c r="C102" s="30" t="s">
        <v>938</v>
      </c>
      <c r="D102" s="31">
        <v>0.64339999999999997</v>
      </c>
      <c r="E102" s="25">
        <v>4.3224999999999998</v>
      </c>
      <c r="F102" s="28">
        <f>IF(ISNUMBER(E102),E102*$D102,"")</f>
        <v>2.7810964999999999</v>
      </c>
      <c r="G102" s="39"/>
      <c r="H102" s="40"/>
      <c r="I102" s="139">
        <v>1.7430000000000001</v>
      </c>
    </row>
    <row r="103" spans="1:9" ht="38.25" x14ac:dyDescent="0.25">
      <c r="A103" s="237"/>
      <c r="B103" s="30" t="s">
        <v>1435</v>
      </c>
      <c r="C103" s="41" t="s">
        <v>940</v>
      </c>
      <c r="D103" s="31">
        <v>0.60670000000000002</v>
      </c>
      <c r="E103" s="25">
        <v>1.5105</v>
      </c>
      <c r="F103" s="28">
        <f>IF(ISNUMBER(E103),E103*$D103,"")</f>
        <v>0.91642034999999999</v>
      </c>
      <c r="G103" s="39"/>
      <c r="H103" s="40"/>
      <c r="I103" s="139">
        <v>1.7430000000000001</v>
      </c>
    </row>
    <row r="104" spans="1:9" ht="51" x14ac:dyDescent="0.25">
      <c r="A104" s="237"/>
      <c r="B104" s="30" t="s">
        <v>1826</v>
      </c>
      <c r="C104" s="30" t="s">
        <v>120</v>
      </c>
      <c r="D104" s="31">
        <f>D97+D99</f>
        <v>1.3247</v>
      </c>
      <c r="E104" s="25">
        <v>8.0614416000000002</v>
      </c>
      <c r="F104" s="28">
        <f>IF(ISNUMBER(E104),E104*$D104,"")</f>
        <v>10.67899168752</v>
      </c>
      <c r="G104" s="39"/>
      <c r="H104" s="40"/>
      <c r="I104" s="139">
        <v>1.7430000000000001</v>
      </c>
    </row>
    <row r="105" spans="1:9" ht="38.25" x14ac:dyDescent="0.25">
      <c r="A105" s="237"/>
      <c r="B105" s="30" t="s">
        <v>1823</v>
      </c>
      <c r="C105" s="44" t="s">
        <v>122</v>
      </c>
      <c r="D105" s="31">
        <f>20*(D97+D99)</f>
        <v>26.494</v>
      </c>
      <c r="E105" s="28">
        <v>2.6882748499999995</v>
      </c>
      <c r="F105" s="28">
        <f t="shared" ref="F105:F115" si="6">IF(ISNUMBER(E105),ROUND(E105*$D105,2),"")</f>
        <v>71.22</v>
      </c>
      <c r="G105" s="39"/>
      <c r="H105" s="40"/>
      <c r="I105" s="139">
        <v>1.7430000000000001</v>
      </c>
    </row>
    <row r="106" spans="1:9" x14ac:dyDescent="0.25">
      <c r="A106" s="237"/>
      <c r="B106" s="45"/>
      <c r="C106" s="119"/>
      <c r="D106" s="31"/>
      <c r="E106" s="25" t="s">
        <v>521</v>
      </c>
      <c r="F106" s="28" t="str">
        <f t="shared" si="6"/>
        <v/>
      </c>
      <c r="G106" s="39"/>
      <c r="H106" s="40"/>
      <c r="I106" s="139">
        <v>1.7430000000000001</v>
      </c>
    </row>
    <row r="107" spans="1:9" x14ac:dyDescent="0.25">
      <c r="A107" s="237"/>
      <c r="B107" s="42" t="s">
        <v>754</v>
      </c>
      <c r="C107" s="119"/>
      <c r="D107" s="31"/>
      <c r="E107" s="25" t="s">
        <v>521</v>
      </c>
      <c r="F107" s="28" t="str">
        <f t="shared" si="6"/>
        <v/>
      </c>
      <c r="G107" s="39"/>
      <c r="H107" s="40"/>
      <c r="I107" s="139">
        <v>1.7430000000000001</v>
      </c>
    </row>
    <row r="108" spans="1:9" ht="15.75" thickBot="1" x14ac:dyDescent="0.3">
      <c r="A108" s="243"/>
      <c r="B108" s="97"/>
      <c r="C108" s="74"/>
      <c r="D108" s="89"/>
      <c r="E108" s="61" t="s">
        <v>521</v>
      </c>
      <c r="F108" s="61" t="str">
        <f t="shared" si="6"/>
        <v/>
      </c>
      <c r="G108" s="63"/>
      <c r="H108" s="25"/>
      <c r="I108" s="139">
        <v>1.7430000000000001</v>
      </c>
    </row>
    <row r="109" spans="1:9" ht="15" hidden="1" customHeight="1" thickBot="1" x14ac:dyDescent="0.3">
      <c r="A109" s="242" t="s">
        <v>2323</v>
      </c>
      <c r="B109" s="35" t="s">
        <v>521</v>
      </c>
      <c r="C109" s="72" t="s">
        <v>120</v>
      </c>
      <c r="D109" s="87"/>
      <c r="E109" s="36" t="s">
        <v>521</v>
      </c>
      <c r="F109" s="36" t="str">
        <f t="shared" si="6"/>
        <v/>
      </c>
      <c r="G109" s="23"/>
      <c r="H109" s="24"/>
      <c r="I109" s="139">
        <v>0</v>
      </c>
    </row>
    <row r="110" spans="1:9" ht="15.75" hidden="1" thickBot="1" x14ac:dyDescent="0.3">
      <c r="A110" s="237"/>
      <c r="B110" s="26" t="s">
        <v>521</v>
      </c>
      <c r="C110" s="73"/>
      <c r="D110" s="85"/>
      <c r="E110" s="91" t="s">
        <v>521</v>
      </c>
      <c r="F110" s="92" t="str">
        <f t="shared" si="6"/>
        <v/>
      </c>
      <c r="G110" s="29"/>
      <c r="H110" s="25"/>
      <c r="I110" s="139">
        <v>0</v>
      </c>
    </row>
    <row r="111" spans="1:9" ht="26.25" hidden="1" thickBot="1" x14ac:dyDescent="0.3">
      <c r="A111" s="237"/>
      <c r="B111" s="30" t="s">
        <v>1282</v>
      </c>
      <c r="C111" s="44" t="s">
        <v>120</v>
      </c>
      <c r="D111" s="31">
        <v>0.63019999999999998</v>
      </c>
      <c r="E111" s="28">
        <v>188.59399999999999</v>
      </c>
      <c r="F111" s="28">
        <f t="shared" si="6"/>
        <v>118.85</v>
      </c>
      <c r="G111" s="39">
        <f>SUM(F111:F120)</f>
        <v>662.57326374544004</v>
      </c>
      <c r="H111" s="40"/>
      <c r="I111" s="139">
        <v>0</v>
      </c>
    </row>
    <row r="112" spans="1:9" ht="15.75" hidden="1" thickBot="1" x14ac:dyDescent="0.3">
      <c r="A112" s="237"/>
      <c r="B112" s="30" t="s">
        <v>1436</v>
      </c>
      <c r="C112" s="44" t="s">
        <v>897</v>
      </c>
      <c r="D112" s="31">
        <v>15.125500000000001</v>
      </c>
      <c r="E112" s="28">
        <v>1.0449999999999999</v>
      </c>
      <c r="F112" s="28">
        <f t="shared" si="6"/>
        <v>15.81</v>
      </c>
      <c r="G112" s="39"/>
      <c r="H112" s="40"/>
      <c r="I112" s="139">
        <v>0</v>
      </c>
    </row>
    <row r="113" spans="1:9" ht="15.75" hidden="1" thickBot="1" x14ac:dyDescent="0.3">
      <c r="A113" s="237"/>
      <c r="B113" s="30" t="s">
        <v>747</v>
      </c>
      <c r="C113" s="44" t="s">
        <v>897</v>
      </c>
      <c r="D113" s="31">
        <v>420.15269999999998</v>
      </c>
      <c r="E113" s="25">
        <v>0.64600000000000002</v>
      </c>
      <c r="F113" s="28">
        <f t="shared" si="6"/>
        <v>271.42</v>
      </c>
      <c r="G113" s="39"/>
      <c r="H113" s="40"/>
      <c r="I113" s="139">
        <v>0</v>
      </c>
    </row>
    <row r="114" spans="1:9" ht="26.25" hidden="1" thickBot="1" x14ac:dyDescent="0.3">
      <c r="A114" s="237"/>
      <c r="B114" s="30" t="s">
        <v>756</v>
      </c>
      <c r="C114" s="44" t="s">
        <v>120</v>
      </c>
      <c r="D114" s="31">
        <v>0.58819999999999995</v>
      </c>
      <c r="E114" s="25">
        <v>174.5625</v>
      </c>
      <c r="F114" s="28">
        <f t="shared" si="6"/>
        <v>102.68</v>
      </c>
      <c r="G114" s="39"/>
      <c r="H114" s="40"/>
      <c r="I114" s="139">
        <v>0</v>
      </c>
    </row>
    <row r="115" spans="1:9" ht="15.75" hidden="1" thickBot="1" x14ac:dyDescent="0.3">
      <c r="A115" s="237"/>
      <c r="B115" s="30" t="s">
        <v>703</v>
      </c>
      <c r="C115" s="44" t="s">
        <v>702</v>
      </c>
      <c r="D115" s="31">
        <v>2.5491999999999999</v>
      </c>
      <c r="E115" s="25">
        <v>18.420500000000001</v>
      </c>
      <c r="F115" s="28">
        <f t="shared" si="6"/>
        <v>46.96</v>
      </c>
      <c r="G115" s="39"/>
      <c r="H115" s="40"/>
      <c r="I115" s="139">
        <v>0</v>
      </c>
    </row>
    <row r="116" spans="1:9" ht="26.25" hidden="1" thickBot="1" x14ac:dyDescent="0.3">
      <c r="A116" s="237"/>
      <c r="B116" s="30" t="s">
        <v>1434</v>
      </c>
      <c r="C116" s="30" t="s">
        <v>702</v>
      </c>
      <c r="D116" s="31">
        <v>1.6069</v>
      </c>
      <c r="E116" s="25">
        <v>18.534500000000001</v>
      </c>
      <c r="F116" s="28">
        <f>IF(ISNUMBER(E116),E116*$D116,"")</f>
        <v>29.783088050000003</v>
      </c>
      <c r="G116" s="39"/>
      <c r="H116" s="40"/>
      <c r="I116" s="139">
        <v>0</v>
      </c>
    </row>
    <row r="117" spans="1:9" ht="39" hidden="1" thickBot="1" x14ac:dyDescent="0.3">
      <c r="A117" s="237"/>
      <c r="B117" s="30" t="s">
        <v>117</v>
      </c>
      <c r="C117" s="41" t="s">
        <v>938</v>
      </c>
      <c r="D117" s="31">
        <v>1.1137999999999999</v>
      </c>
      <c r="E117" s="25">
        <v>1.3964999999999999</v>
      </c>
      <c r="F117" s="28">
        <f>IF(ISNUMBER(E117),E117*$D117,"")</f>
        <v>1.5554216999999997</v>
      </c>
      <c r="G117" s="39"/>
      <c r="H117" s="40"/>
      <c r="I117" s="139">
        <v>0</v>
      </c>
    </row>
    <row r="118" spans="1:9" ht="39" hidden="1" thickBot="1" x14ac:dyDescent="0.3">
      <c r="A118" s="237"/>
      <c r="B118" s="30" t="s">
        <v>118</v>
      </c>
      <c r="C118" s="30" t="s">
        <v>940</v>
      </c>
      <c r="D118" s="31">
        <v>0.49309999999999998</v>
      </c>
      <c r="E118" s="25">
        <v>0.3705</v>
      </c>
      <c r="F118" s="28">
        <f>IF(ISNUMBER(E118),E118*$D118,"")</f>
        <v>0.18269354999999998</v>
      </c>
      <c r="G118" s="39"/>
      <c r="H118" s="40"/>
      <c r="I118" s="139">
        <v>0</v>
      </c>
    </row>
    <row r="119" spans="1:9" ht="51.75" hidden="1" thickBot="1" x14ac:dyDescent="0.3">
      <c r="A119" s="237"/>
      <c r="B119" s="30" t="s">
        <v>1826</v>
      </c>
      <c r="C119" s="30" t="s">
        <v>120</v>
      </c>
      <c r="D119" s="31">
        <f>D111+D114</f>
        <v>1.2183999999999999</v>
      </c>
      <c r="E119" s="25">
        <v>8.0614416000000002</v>
      </c>
      <c r="F119" s="28">
        <f>IF(ISNUMBER(E119),E119*$D119,"")</f>
        <v>9.82206044544</v>
      </c>
      <c r="G119" s="39"/>
      <c r="H119" s="40"/>
      <c r="I119" s="139">
        <v>0</v>
      </c>
    </row>
    <row r="120" spans="1:9" ht="39" hidden="1" thickBot="1" x14ac:dyDescent="0.3">
      <c r="A120" s="237"/>
      <c r="B120" s="30" t="s">
        <v>1823</v>
      </c>
      <c r="C120" s="44" t="s">
        <v>122</v>
      </c>
      <c r="D120" s="31">
        <f>20*(D111+D114)</f>
        <v>24.367999999999999</v>
      </c>
      <c r="E120" s="28">
        <v>2.6882748499999995</v>
      </c>
      <c r="F120" s="28">
        <f t="shared" ref="F120:F139" si="7">IF(ISNUMBER(E120),ROUND(E120*$D120,2),"")</f>
        <v>65.510000000000005</v>
      </c>
      <c r="G120" s="39"/>
      <c r="H120" s="40"/>
      <c r="I120" s="139">
        <v>0</v>
      </c>
    </row>
    <row r="121" spans="1:9" ht="15.75" hidden="1" thickBot="1" x14ac:dyDescent="0.3">
      <c r="A121" s="237"/>
      <c r="B121" s="45"/>
      <c r="C121" s="119"/>
      <c r="D121" s="31"/>
      <c r="E121" s="25" t="s">
        <v>521</v>
      </c>
      <c r="F121" s="28" t="str">
        <f t="shared" si="7"/>
        <v/>
      </c>
      <c r="G121" s="39"/>
      <c r="H121" s="40"/>
      <c r="I121" s="139">
        <v>0</v>
      </c>
    </row>
    <row r="122" spans="1:9" ht="15.75" hidden="1" thickBot="1" x14ac:dyDescent="0.3">
      <c r="A122" s="237"/>
      <c r="B122" s="42" t="s">
        <v>754</v>
      </c>
      <c r="C122" s="119"/>
      <c r="D122" s="31"/>
      <c r="E122" s="25" t="s">
        <v>521</v>
      </c>
      <c r="F122" s="28" t="str">
        <f t="shared" si="7"/>
        <v/>
      </c>
      <c r="G122" s="39"/>
      <c r="H122" s="40"/>
      <c r="I122" s="139">
        <v>0</v>
      </c>
    </row>
    <row r="123" spans="1:9" ht="15.75" hidden="1" thickBot="1" x14ac:dyDescent="0.3">
      <c r="A123" s="243"/>
      <c r="B123" s="97"/>
      <c r="C123" s="74"/>
      <c r="D123" s="89"/>
      <c r="E123" s="61" t="s">
        <v>521</v>
      </c>
      <c r="F123" s="61" t="str">
        <f t="shared" si="7"/>
        <v/>
      </c>
      <c r="G123" s="63"/>
      <c r="H123" s="25"/>
      <c r="I123" s="139">
        <v>0</v>
      </c>
    </row>
    <row r="124" spans="1:9" ht="15" hidden="1" customHeight="1" thickBot="1" x14ac:dyDescent="0.3">
      <c r="A124" s="242" t="s">
        <v>2801</v>
      </c>
      <c r="B124" s="35" t="s">
        <v>521</v>
      </c>
      <c r="C124" s="72" t="s">
        <v>897</v>
      </c>
      <c r="D124" s="87"/>
      <c r="E124" s="22" t="s">
        <v>521</v>
      </c>
      <c r="F124" s="20" t="str">
        <f t="shared" si="7"/>
        <v/>
      </c>
      <c r="G124" s="23"/>
      <c r="H124" s="24"/>
      <c r="I124" s="139">
        <v>0</v>
      </c>
    </row>
    <row r="125" spans="1:9" ht="15.75" hidden="1" thickBot="1" x14ac:dyDescent="0.3">
      <c r="A125" s="237"/>
      <c r="B125" s="26" t="s">
        <v>521</v>
      </c>
      <c r="C125" s="73"/>
      <c r="D125" s="85"/>
      <c r="E125" s="25" t="s">
        <v>521</v>
      </c>
      <c r="F125" s="25" t="str">
        <f t="shared" si="7"/>
        <v/>
      </c>
      <c r="G125" s="29"/>
      <c r="H125" s="25"/>
      <c r="I125" s="139">
        <v>0</v>
      </c>
    </row>
    <row r="126" spans="1:9" ht="26.25" hidden="1" thickBot="1" x14ac:dyDescent="0.3">
      <c r="A126" s="237"/>
      <c r="B126" s="30" t="s">
        <v>1616</v>
      </c>
      <c r="C126" s="30" t="s">
        <v>897</v>
      </c>
      <c r="D126" s="31">
        <v>1.1100000000000001</v>
      </c>
      <c r="E126" s="25">
        <v>10.782499999999999</v>
      </c>
      <c r="F126" s="28">
        <f t="shared" si="7"/>
        <v>11.97</v>
      </c>
      <c r="G126" s="39">
        <f>SUM(F126:F127)</f>
        <v>12.06</v>
      </c>
      <c r="H126" s="40"/>
      <c r="I126" s="139">
        <v>0</v>
      </c>
    </row>
    <row r="127" spans="1:9" ht="15.75" hidden="1" thickBot="1" x14ac:dyDescent="0.3">
      <c r="A127" s="237"/>
      <c r="B127" s="30" t="s">
        <v>900</v>
      </c>
      <c r="C127" s="30" t="s">
        <v>702</v>
      </c>
      <c r="D127" s="31">
        <v>3.7000000000000002E-3</v>
      </c>
      <c r="E127" s="25">
        <v>24.747499999999999</v>
      </c>
      <c r="F127" s="28">
        <f t="shared" si="7"/>
        <v>0.09</v>
      </c>
      <c r="G127" s="39"/>
      <c r="H127" s="40"/>
      <c r="I127" s="139">
        <v>0</v>
      </c>
    </row>
    <row r="128" spans="1:9" ht="15.75" hidden="1" thickBot="1" x14ac:dyDescent="0.3">
      <c r="A128" s="243"/>
      <c r="B128" s="49" t="s">
        <v>521</v>
      </c>
      <c r="C128" s="74"/>
      <c r="D128" s="89"/>
      <c r="E128" s="61" t="s">
        <v>521</v>
      </c>
      <c r="F128" s="62" t="str">
        <f t="shared" si="7"/>
        <v/>
      </c>
      <c r="G128" s="63"/>
      <c r="H128" s="25"/>
      <c r="I128" s="139">
        <v>0</v>
      </c>
    </row>
    <row r="129" spans="1:9" ht="15" customHeight="1" thickBot="1" x14ac:dyDescent="0.3">
      <c r="A129" s="242" t="s">
        <v>2797</v>
      </c>
      <c r="B129" s="35" t="s">
        <v>521</v>
      </c>
      <c r="C129" s="72" t="s">
        <v>897</v>
      </c>
      <c r="D129" s="87"/>
      <c r="E129" s="22" t="s">
        <v>521</v>
      </c>
      <c r="F129" s="20" t="str">
        <f t="shared" si="7"/>
        <v/>
      </c>
      <c r="G129" s="23"/>
      <c r="H129" s="24"/>
      <c r="I129" s="139">
        <v>4298.0723099999996</v>
      </c>
    </row>
    <row r="130" spans="1:9" x14ac:dyDescent="0.25">
      <c r="A130" s="237"/>
      <c r="B130" s="26" t="s">
        <v>521</v>
      </c>
      <c r="C130" s="73"/>
      <c r="D130" s="85"/>
      <c r="E130" s="25" t="s">
        <v>521</v>
      </c>
      <c r="F130" s="25" t="str">
        <f t="shared" si="7"/>
        <v/>
      </c>
      <c r="G130" s="29"/>
      <c r="H130" s="25"/>
      <c r="I130" s="139">
        <v>4298.0723099999996</v>
      </c>
    </row>
    <row r="131" spans="1:9" x14ac:dyDescent="0.25">
      <c r="A131" s="237"/>
      <c r="B131" s="30" t="s">
        <v>1442</v>
      </c>
      <c r="C131" s="44" t="s">
        <v>897</v>
      </c>
      <c r="D131" s="31">
        <v>1.07</v>
      </c>
      <c r="E131" s="25">
        <v>9.5</v>
      </c>
      <c r="F131" s="28">
        <f t="shared" si="7"/>
        <v>10.17</v>
      </c>
      <c r="G131" s="39">
        <f>SUM(F131:F133)</f>
        <v>11.76</v>
      </c>
      <c r="H131" s="40"/>
      <c r="I131" s="139">
        <v>4298.0723099999996</v>
      </c>
    </row>
    <row r="132" spans="1:9" x14ac:dyDescent="0.25">
      <c r="A132" s="237"/>
      <c r="B132" s="30" t="s">
        <v>899</v>
      </c>
      <c r="C132" s="44" t="s">
        <v>702</v>
      </c>
      <c r="D132" s="31">
        <v>8.2000000000000007E-3</v>
      </c>
      <c r="E132" s="28">
        <v>18.3825</v>
      </c>
      <c r="F132" s="28">
        <f t="shared" si="7"/>
        <v>0.15</v>
      </c>
      <c r="G132" s="39"/>
      <c r="H132" s="40"/>
      <c r="I132" s="139">
        <v>4298.0723099999996</v>
      </c>
    </row>
    <row r="133" spans="1:9" x14ac:dyDescent="0.25">
      <c r="A133" s="237"/>
      <c r="B133" s="30" t="s">
        <v>900</v>
      </c>
      <c r="C133" s="44" t="s">
        <v>702</v>
      </c>
      <c r="D133" s="31">
        <v>5.8099999999999999E-2</v>
      </c>
      <c r="E133" s="25">
        <v>24.747499999999999</v>
      </c>
      <c r="F133" s="28">
        <f t="shared" si="7"/>
        <v>1.44</v>
      </c>
      <c r="G133" s="39"/>
      <c r="H133" s="40"/>
      <c r="I133" s="139">
        <v>4298.0723099999996</v>
      </c>
    </row>
    <row r="134" spans="1:9" ht="15.75" thickBot="1" x14ac:dyDescent="0.3">
      <c r="A134" s="243"/>
      <c r="B134" s="49" t="s">
        <v>521</v>
      </c>
      <c r="C134" s="74"/>
      <c r="D134" s="89"/>
      <c r="E134" s="61" t="s">
        <v>521</v>
      </c>
      <c r="F134" s="62" t="str">
        <f t="shared" si="7"/>
        <v/>
      </c>
      <c r="G134" s="63"/>
      <c r="H134" s="25"/>
      <c r="I134" s="139">
        <v>4298.0723099999996</v>
      </c>
    </row>
    <row r="135" spans="1:9" ht="15" hidden="1" customHeight="1" thickBot="1" x14ac:dyDescent="0.3">
      <c r="A135" s="242" t="s">
        <v>2800</v>
      </c>
      <c r="B135" s="35" t="s">
        <v>521</v>
      </c>
      <c r="C135" s="72" t="s">
        <v>897</v>
      </c>
      <c r="D135" s="87"/>
      <c r="E135" s="22" t="s">
        <v>521</v>
      </c>
      <c r="F135" s="20" t="str">
        <f t="shared" si="7"/>
        <v/>
      </c>
      <c r="G135" s="23"/>
      <c r="H135" s="24"/>
      <c r="I135" s="139">
        <v>0</v>
      </c>
    </row>
    <row r="136" spans="1:9" hidden="1" x14ac:dyDescent="0.25">
      <c r="A136" s="237"/>
      <c r="B136" s="26" t="s">
        <v>521</v>
      </c>
      <c r="C136" s="73"/>
      <c r="D136" s="85"/>
      <c r="E136" s="25" t="s">
        <v>521</v>
      </c>
      <c r="F136" s="25" t="str">
        <f t="shared" si="7"/>
        <v/>
      </c>
      <c r="G136" s="29"/>
      <c r="H136" s="25"/>
      <c r="I136" s="139">
        <v>0</v>
      </c>
    </row>
    <row r="137" spans="1:9" hidden="1" x14ac:dyDescent="0.25">
      <c r="A137" s="237"/>
      <c r="B137" s="30" t="s">
        <v>772</v>
      </c>
      <c r="C137" s="30" t="s">
        <v>897</v>
      </c>
      <c r="D137" s="31">
        <v>1.1100000000000001</v>
      </c>
      <c r="E137" s="25">
        <v>8.6925000000000008</v>
      </c>
      <c r="F137" s="28">
        <f t="shared" si="7"/>
        <v>9.65</v>
      </c>
      <c r="G137" s="39">
        <f>SUM(F137:F138)</f>
        <v>9.7100000000000009</v>
      </c>
      <c r="H137" s="40"/>
      <c r="I137" s="139">
        <v>0</v>
      </c>
    </row>
    <row r="138" spans="1:9" hidden="1" x14ac:dyDescent="0.25">
      <c r="A138" s="237"/>
      <c r="B138" s="30" t="s">
        <v>900</v>
      </c>
      <c r="C138" s="30" t="s">
        <v>702</v>
      </c>
      <c r="D138" s="31">
        <v>2.5000000000000001E-3</v>
      </c>
      <c r="E138" s="25">
        <v>24.747499999999999</v>
      </c>
      <c r="F138" s="28">
        <f t="shared" si="7"/>
        <v>0.06</v>
      </c>
      <c r="G138" s="39"/>
      <c r="H138" s="40"/>
      <c r="I138" s="139">
        <v>0</v>
      </c>
    </row>
    <row r="139" spans="1:9" ht="15.75" hidden="1" thickBot="1" x14ac:dyDescent="0.3">
      <c r="A139" s="243"/>
      <c r="B139" s="49" t="s">
        <v>521</v>
      </c>
      <c r="C139" s="74"/>
      <c r="D139" s="89"/>
      <c r="E139" s="61" t="s">
        <v>521</v>
      </c>
      <c r="F139" s="62" t="str">
        <f t="shared" si="7"/>
        <v/>
      </c>
      <c r="G139" s="63"/>
      <c r="H139" s="25"/>
      <c r="I139" s="139">
        <v>0</v>
      </c>
    </row>
  </sheetData>
  <autoFilter ref="A5:I139">
    <filterColumn colId="8">
      <filters>
        <filter val="1,7430"/>
        <filter val="228,6488"/>
        <filter val="4.298,0723"/>
        <filter val="4.572,9751"/>
        <filter val="40,5230"/>
      </filters>
    </filterColumn>
  </autoFilter>
  <mergeCells count="17">
    <mergeCell ref="A135:A139"/>
    <mergeCell ref="A129:A134"/>
    <mergeCell ref="A109:A123"/>
    <mergeCell ref="A124:A128"/>
    <mergeCell ref="A95:A108"/>
    <mergeCell ref="A1:G1"/>
    <mergeCell ref="A2:G2"/>
    <mergeCell ref="A3:G3"/>
    <mergeCell ref="A73:A80"/>
    <mergeCell ref="A81:A94"/>
    <mergeCell ref="A46:A58"/>
    <mergeCell ref="A59:A72"/>
    <mergeCell ref="A6:A10"/>
    <mergeCell ref="A11:A16"/>
    <mergeCell ref="A17:A23"/>
    <mergeCell ref="A24:A35"/>
    <mergeCell ref="A36:A45"/>
  </mergeCells>
  <conditionalFormatting sqref="F4">
    <cfRule type="containsText" dxfId="5" priority="18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pageSetUpPr fitToPage="1"/>
  </sheetPr>
  <dimension ref="A1:I54"/>
  <sheetViews>
    <sheetView tabSelected="1" zoomScale="80" zoomScaleNormal="80" workbookViewId="0">
      <pane ySplit="5" topLeftCell="A6" activePane="bottomLeft" state="frozen"/>
      <selection pane="bottomLeft" activeCell="A47" sqref="A47"/>
    </sheetView>
  </sheetViews>
  <sheetFormatPr defaultColWidth="9.140625" defaultRowHeight="15" x14ac:dyDescent="0.25"/>
  <cols>
    <col min="1" max="1" width="14.7109375" style="168" customWidth="1"/>
    <col min="2" max="2" width="80.7109375" style="5" customWidth="1"/>
    <col min="3" max="4" width="15.7109375" style="168" customWidth="1"/>
    <col min="5" max="6" width="20.7109375" style="168" customWidth="1"/>
    <col min="7" max="7" width="15.7109375" style="168" customWidth="1"/>
    <col min="8" max="9" width="20.7109375" style="168" customWidth="1"/>
    <col min="10" max="16384" width="9.140625" style="168"/>
  </cols>
  <sheetData>
    <row r="1" spans="1:9" ht="24.95" customHeight="1" x14ac:dyDescent="0.25">
      <c r="A1" s="98" t="s">
        <v>2822</v>
      </c>
      <c r="B1" s="112"/>
      <c r="C1" s="98"/>
      <c r="D1" s="98"/>
      <c r="E1" s="98"/>
      <c r="F1" s="98"/>
      <c r="G1" s="98"/>
      <c r="H1" s="98"/>
      <c r="I1" s="98"/>
    </row>
    <row r="2" spans="1:9" ht="24.95" customHeight="1" x14ac:dyDescent="0.25">
      <c r="A2" s="99" t="s">
        <v>1444</v>
      </c>
      <c r="B2" s="113"/>
      <c r="C2" s="99"/>
      <c r="D2" s="99"/>
      <c r="E2" s="99"/>
      <c r="F2" s="99"/>
      <c r="G2" s="99"/>
      <c r="H2" s="99"/>
      <c r="I2" s="99"/>
    </row>
    <row r="3" spans="1:9" ht="20.100000000000001" customHeight="1" x14ac:dyDescent="0.25">
      <c r="A3" s="100" t="s">
        <v>2823</v>
      </c>
      <c r="B3" s="100"/>
      <c r="C3" s="100"/>
      <c r="D3" s="100"/>
      <c r="E3" s="100"/>
      <c r="F3" s="100"/>
      <c r="G3" s="100"/>
      <c r="H3" s="100"/>
      <c r="I3" s="100"/>
    </row>
    <row r="4" spans="1:9" ht="18" customHeight="1" thickBot="1" x14ac:dyDescent="0.3">
      <c r="A4" s="101"/>
      <c r="B4" s="102"/>
      <c r="C4" s="103"/>
      <c r="D4" s="103"/>
      <c r="E4" s="104"/>
      <c r="F4" s="104"/>
      <c r="G4" s="104"/>
      <c r="H4" s="104"/>
      <c r="I4" s="104"/>
    </row>
    <row r="5" spans="1:9" s="180" customFormat="1" ht="45" customHeight="1" x14ac:dyDescent="0.25">
      <c r="A5" s="176" t="s">
        <v>1</v>
      </c>
      <c r="B5" s="177" t="s">
        <v>2</v>
      </c>
      <c r="C5" s="177" t="s">
        <v>4</v>
      </c>
      <c r="D5" s="178" t="s">
        <v>1445</v>
      </c>
      <c r="E5" s="179" t="s">
        <v>6</v>
      </c>
      <c r="F5" s="179" t="s">
        <v>1565</v>
      </c>
      <c r="G5" s="179" t="s">
        <v>1447</v>
      </c>
      <c r="H5" s="179" t="s">
        <v>1448</v>
      </c>
      <c r="I5" s="198" t="s">
        <v>1935</v>
      </c>
    </row>
    <row r="6" spans="1:9" s="180" customFormat="1" x14ac:dyDescent="0.25">
      <c r="A6" s="244" t="s">
        <v>2824</v>
      </c>
      <c r="B6" s="245"/>
      <c r="C6" s="245"/>
      <c r="D6" s="245"/>
      <c r="E6" s="245"/>
      <c r="F6" s="245"/>
      <c r="G6" s="245"/>
      <c r="H6" s="245"/>
      <c r="I6" s="246"/>
    </row>
    <row r="7" spans="1:9" s="180" customFormat="1" x14ac:dyDescent="0.25">
      <c r="A7" s="181" t="s">
        <v>15</v>
      </c>
      <c r="B7" s="182" t="s">
        <v>1451</v>
      </c>
      <c r="C7" s="183" t="s">
        <v>20</v>
      </c>
      <c r="D7" s="183">
        <v>1</v>
      </c>
      <c r="E7" s="121">
        <f ca="1">OFFSET(INDEX(Composições!A:H,MATCH(A7,Composições!A:A,0),8),2,0)</f>
        <v>1586.7279999999998</v>
      </c>
      <c r="F7" s="122">
        <f t="shared" ref="F7:F49" ca="1" si="0">IF(ISNUMBER(E7),D7*E7,"")</f>
        <v>1586.7279999999998</v>
      </c>
      <c r="G7" s="123">
        <f>BDI!$B$17</f>
        <v>0.191</v>
      </c>
      <c r="H7" s="124">
        <f t="shared" ref="H7:H49" ca="1" si="1">IF(ISNUMBER(E7),ROUND(E7*(1+G7),2),"")</f>
        <v>1889.79</v>
      </c>
      <c r="I7" s="199">
        <f t="shared" ref="I7:I49" ca="1" si="2">IF(ISNUMBER(E7),ROUND(H7*D7,2),"")</f>
        <v>1889.79</v>
      </c>
    </row>
    <row r="8" spans="1:9" s="180" customFormat="1" x14ac:dyDescent="0.25">
      <c r="A8" s="181" t="s">
        <v>17</v>
      </c>
      <c r="B8" s="182" t="s">
        <v>1452</v>
      </c>
      <c r="C8" s="183" t="s">
        <v>20</v>
      </c>
      <c r="D8" s="183">
        <v>1</v>
      </c>
      <c r="E8" s="121">
        <f ca="1">OFFSET(INDEX(Composições!A:H,MATCH(A8,Composições!A:A,0),8),2,0)</f>
        <v>2223.4299999999998</v>
      </c>
      <c r="F8" s="122">
        <f ca="1">IF(ISNUMBER(E8),D8*E8,"")</f>
        <v>2223.4299999999998</v>
      </c>
      <c r="G8" s="123">
        <f>BDI!$B$17</f>
        <v>0.191</v>
      </c>
      <c r="H8" s="124">
        <f ca="1">IF(ISNUMBER(E8),ROUND(E8*(1+G8),2),"")</f>
        <v>2648.11</v>
      </c>
      <c r="I8" s="199">
        <f ca="1">IF(ISNUMBER(E8),ROUND(H8*D8,2),"")</f>
        <v>2648.11</v>
      </c>
    </row>
    <row r="9" spans="1:9" s="180" customFormat="1" x14ac:dyDescent="0.25">
      <c r="A9" s="181" t="s">
        <v>2779</v>
      </c>
      <c r="B9" s="182" t="s">
        <v>2808</v>
      </c>
      <c r="C9" s="183" t="s">
        <v>20</v>
      </c>
      <c r="D9" s="183">
        <v>1</v>
      </c>
      <c r="E9" s="121">
        <f ca="1">OFFSET(INDEX(Composições!A:H,MATCH(A9,Composições!A:A,0),8),2,0)</f>
        <v>4739.3599999999997</v>
      </c>
      <c r="F9" s="122">
        <f ca="1">IF(ISNUMBER(E9),D9*E9,"")</f>
        <v>4739.3599999999997</v>
      </c>
      <c r="G9" s="123">
        <f>BDI!$B$17</f>
        <v>0.191</v>
      </c>
      <c r="H9" s="124">
        <f ca="1">IF(ISNUMBER(E9),ROUND(E9*(1+G9),2),"")</f>
        <v>5644.58</v>
      </c>
      <c r="I9" s="199">
        <f ca="1">IF(ISNUMBER(E9),ROUND(H9*D9,2),"")</f>
        <v>5644.58</v>
      </c>
    </row>
    <row r="10" spans="1:9" s="180" customFormat="1" x14ac:dyDescent="0.25">
      <c r="A10" s="244" t="s">
        <v>2825</v>
      </c>
      <c r="B10" s="245"/>
      <c r="C10" s="245"/>
      <c r="D10" s="245"/>
      <c r="E10" s="245"/>
      <c r="F10" s="245"/>
      <c r="G10" s="245"/>
      <c r="H10" s="245"/>
      <c r="I10" s="246"/>
    </row>
    <row r="11" spans="1:9" s="180" customFormat="1" x14ac:dyDescent="0.25">
      <c r="A11" s="181" t="s">
        <v>10</v>
      </c>
      <c r="B11" s="184" t="s">
        <v>2826</v>
      </c>
      <c r="C11" s="183" t="s">
        <v>1449</v>
      </c>
      <c r="D11" s="183">
        <v>180</v>
      </c>
      <c r="E11" s="121">
        <f ca="1">OFFSET(INDEX(Composições!A:H,MATCH(A11,Composições!A:A,0),8),2,0)</f>
        <v>87.314499999999995</v>
      </c>
      <c r="F11" s="122">
        <f ca="1">IF(ISNUMBER(E11),D11*E11,"")</f>
        <v>15716.609999999999</v>
      </c>
      <c r="G11" s="123">
        <f>BDI!$B$17</f>
        <v>0.191</v>
      </c>
      <c r="H11" s="124">
        <f ca="1">IF(ISNUMBER(E11),ROUND(E11*(1+G11),2),"")</f>
        <v>103.99</v>
      </c>
      <c r="I11" s="199">
        <f ca="1">IF(ISNUMBER(E11),ROUND(H11*D11,2),"")</f>
        <v>18718.2</v>
      </c>
    </row>
    <row r="12" spans="1:9" s="180" customFormat="1" x14ac:dyDescent="0.25">
      <c r="A12" s="181" t="s">
        <v>13</v>
      </c>
      <c r="B12" s="184" t="s">
        <v>1450</v>
      </c>
      <c r="C12" s="183" t="s">
        <v>1449</v>
      </c>
      <c r="D12" s="183">
        <v>720</v>
      </c>
      <c r="E12" s="121">
        <f ca="1">OFFSET(INDEX(Composições!A:H,MATCH(A12,Composições!A:A,0),8),2,0)</f>
        <v>41.495999999999995</v>
      </c>
      <c r="F12" s="122">
        <f ca="1">IF(ISNUMBER(E12),D12*E12,"")</f>
        <v>29877.119999999995</v>
      </c>
      <c r="G12" s="123">
        <f>BDI!$B$17</f>
        <v>0.191</v>
      </c>
      <c r="H12" s="124">
        <f ca="1">IF(ISNUMBER(E12),ROUND(E12*(1+G12),2),"")</f>
        <v>49.42</v>
      </c>
      <c r="I12" s="199">
        <f ca="1">IF(ISNUMBER(E12),ROUND(H12*D12,2),"")</f>
        <v>35582.400000000001</v>
      </c>
    </row>
    <row r="13" spans="1:9" s="180" customFormat="1" x14ac:dyDescent="0.25">
      <c r="A13" s="181" t="s">
        <v>1453</v>
      </c>
      <c r="B13" s="182" t="s">
        <v>1454</v>
      </c>
      <c r="C13" s="183" t="s">
        <v>20</v>
      </c>
      <c r="D13" s="183">
        <v>70</v>
      </c>
      <c r="E13" s="197">
        <v>335.85</v>
      </c>
      <c r="F13" s="122">
        <f t="shared" si="0"/>
        <v>23509.5</v>
      </c>
      <c r="G13" s="123">
        <f>BDI!$E$17</f>
        <v>0.11260000000000001</v>
      </c>
      <c r="H13" s="124">
        <f t="shared" si="1"/>
        <v>373.67</v>
      </c>
      <c r="I13" s="199">
        <f t="shared" si="2"/>
        <v>26156.9</v>
      </c>
    </row>
    <row r="14" spans="1:9" s="180" customFormat="1" x14ac:dyDescent="0.25">
      <c r="A14" s="181" t="s">
        <v>83</v>
      </c>
      <c r="B14" s="182" t="s">
        <v>1455</v>
      </c>
      <c r="C14" s="183" t="s">
        <v>2827</v>
      </c>
      <c r="D14" s="183">
        <v>270</v>
      </c>
      <c r="E14" s="121">
        <f ca="1">OFFSET(INDEX(Composições!A:H,MATCH(A14,Composições!A:A,0),8),2,0)</f>
        <v>18.420500000000001</v>
      </c>
      <c r="F14" s="122">
        <f t="shared" ca="1" si="0"/>
        <v>4973.5349999999999</v>
      </c>
      <c r="G14" s="123">
        <f>BDI!$B$17</f>
        <v>0.191</v>
      </c>
      <c r="H14" s="124">
        <f t="shared" ca="1" si="1"/>
        <v>21.94</v>
      </c>
      <c r="I14" s="199">
        <f t="shared" ca="1" si="2"/>
        <v>5923.8</v>
      </c>
    </row>
    <row r="15" spans="1:9" s="180" customFormat="1" x14ac:dyDescent="0.25">
      <c r="A15" s="181" t="s">
        <v>935</v>
      </c>
      <c r="B15" s="182" t="s">
        <v>1521</v>
      </c>
      <c r="C15" s="183" t="s">
        <v>2827</v>
      </c>
      <c r="D15" s="183">
        <v>2000</v>
      </c>
      <c r="E15" s="121">
        <f ca="1">OFFSET(INDEX(Composições!A:H,MATCH(A15,Composições!A:A,0),8),2,0)</f>
        <v>72.871498000000003</v>
      </c>
      <c r="F15" s="122">
        <f t="shared" ca="1" si="0"/>
        <v>145742.99600000001</v>
      </c>
      <c r="G15" s="123">
        <f>BDI!$B$17</f>
        <v>0.191</v>
      </c>
      <c r="H15" s="124">
        <f t="shared" ca="1" si="1"/>
        <v>86.79</v>
      </c>
      <c r="I15" s="199">
        <f t="shared" ca="1" si="2"/>
        <v>173580</v>
      </c>
    </row>
    <row r="16" spans="1:9" s="180" customFormat="1" x14ac:dyDescent="0.25">
      <c r="A16" s="181" t="s">
        <v>1172</v>
      </c>
      <c r="B16" s="182" t="s">
        <v>1537</v>
      </c>
      <c r="C16" s="183" t="s">
        <v>2827</v>
      </c>
      <c r="D16" s="183">
        <v>135.44999999999999</v>
      </c>
      <c r="E16" s="121">
        <f ca="1">OFFSET(INDEX(Composições!A:H,MATCH(A16,Composições!A:A,0),8),2,0)</f>
        <v>220.10206575000001</v>
      </c>
      <c r="F16" s="122">
        <f t="shared" ca="1" si="0"/>
        <v>29812.824805837499</v>
      </c>
      <c r="G16" s="123">
        <f>BDI!$B$17</f>
        <v>0.191</v>
      </c>
      <c r="H16" s="124">
        <f t="shared" ca="1" si="1"/>
        <v>262.14</v>
      </c>
      <c r="I16" s="199">
        <f t="shared" ca="1" si="2"/>
        <v>35506.86</v>
      </c>
    </row>
    <row r="17" spans="1:9" s="180" customFormat="1" x14ac:dyDescent="0.25">
      <c r="A17" s="181" t="s">
        <v>936</v>
      </c>
      <c r="B17" s="182" t="s">
        <v>1522</v>
      </c>
      <c r="C17" s="183" t="s">
        <v>2827</v>
      </c>
      <c r="D17" s="183">
        <v>1625.4</v>
      </c>
      <c r="E17" s="121">
        <f ca="1">OFFSET(INDEX(Composições!A:H,MATCH(A17,Composições!A:A,0),8),2,0)</f>
        <v>26.723405000000003</v>
      </c>
      <c r="F17" s="122">
        <f t="shared" ca="1" si="0"/>
        <v>43436.222487000006</v>
      </c>
      <c r="G17" s="123">
        <f>BDI!$B$17</f>
        <v>0.191</v>
      </c>
      <c r="H17" s="124">
        <f t="shared" ca="1" si="1"/>
        <v>31.83</v>
      </c>
      <c r="I17" s="199">
        <f t="shared" ca="1" si="2"/>
        <v>51736.480000000003</v>
      </c>
    </row>
    <row r="18" spans="1:9" s="180" customFormat="1" x14ac:dyDescent="0.25">
      <c r="A18" s="181" t="s">
        <v>1065</v>
      </c>
      <c r="B18" s="182" t="s">
        <v>2184</v>
      </c>
      <c r="C18" s="183" t="s">
        <v>2827</v>
      </c>
      <c r="D18" s="183">
        <v>16.329999999999998</v>
      </c>
      <c r="E18" s="121">
        <f ca="1">OFFSET(INDEX(Composições!A:H,MATCH(A18,Composições!A:A,0),8),2,0)</f>
        <v>768.04486683222262</v>
      </c>
      <c r="F18" s="122">
        <f t="shared" ca="1" si="0"/>
        <v>12542.172675370193</v>
      </c>
      <c r="G18" s="123">
        <f>BDI!$B$17</f>
        <v>0.191</v>
      </c>
      <c r="H18" s="124">
        <f t="shared" ca="1" si="1"/>
        <v>914.74</v>
      </c>
      <c r="I18" s="199">
        <f t="shared" ca="1" si="2"/>
        <v>14937.7</v>
      </c>
    </row>
    <row r="19" spans="1:9" s="180" customFormat="1" x14ac:dyDescent="0.25">
      <c r="A19" s="181" t="s">
        <v>1147</v>
      </c>
      <c r="B19" s="182" t="s">
        <v>1536</v>
      </c>
      <c r="C19" s="183" t="s">
        <v>2827</v>
      </c>
      <c r="D19" s="183">
        <v>135.44999999999999</v>
      </c>
      <c r="E19" s="121">
        <f ca="1">OFFSET(INDEX(Composições!A:H,MATCH(A19,Composições!A:A,0),8),2,0)</f>
        <v>1598.1880546225088</v>
      </c>
      <c r="F19" s="122">
        <f t="shared" ca="1" si="0"/>
        <v>216474.57199861881</v>
      </c>
      <c r="G19" s="123">
        <f>BDI!$B$17</f>
        <v>0.191</v>
      </c>
      <c r="H19" s="124">
        <f t="shared" ca="1" si="1"/>
        <v>1903.44</v>
      </c>
      <c r="I19" s="199">
        <f t="shared" ca="1" si="2"/>
        <v>257820.95</v>
      </c>
    </row>
    <row r="20" spans="1:9" s="180" customFormat="1" x14ac:dyDescent="0.25">
      <c r="A20" s="181" t="s">
        <v>1271</v>
      </c>
      <c r="B20" s="182" t="s">
        <v>1538</v>
      </c>
      <c r="C20" s="183" t="s">
        <v>2827</v>
      </c>
      <c r="D20" s="183">
        <v>90</v>
      </c>
      <c r="E20" s="121">
        <f ca="1">OFFSET(INDEX(Composições!A:H,MATCH(A20,Composições!A:A,0),8),2,0)</f>
        <v>976.03625073400008</v>
      </c>
      <c r="F20" s="122">
        <f t="shared" ca="1" si="0"/>
        <v>87843.262566060002</v>
      </c>
      <c r="G20" s="123">
        <f>BDI!$B$17</f>
        <v>0.191</v>
      </c>
      <c r="H20" s="124">
        <f t="shared" ca="1" si="1"/>
        <v>1162.46</v>
      </c>
      <c r="I20" s="199">
        <f t="shared" ca="1" si="2"/>
        <v>104621.4</v>
      </c>
    </row>
    <row r="21" spans="1:9" s="180" customFormat="1" x14ac:dyDescent="0.25">
      <c r="A21" s="181" t="s">
        <v>1997</v>
      </c>
      <c r="B21" s="182" t="s">
        <v>1987</v>
      </c>
      <c r="C21" s="183" t="s">
        <v>93</v>
      </c>
      <c r="D21" s="183">
        <v>4415</v>
      </c>
      <c r="E21" s="121">
        <f ca="1">OFFSET(INDEX(Composições!A:H,MATCH(A21,Composições!A:A,0),8),2,0)</f>
        <v>48.672803500000001</v>
      </c>
      <c r="F21" s="122">
        <f t="shared" ca="1" si="0"/>
        <v>214890.42745250001</v>
      </c>
      <c r="G21" s="123">
        <f>BDI!$B$17</f>
        <v>0.191</v>
      </c>
      <c r="H21" s="124">
        <f t="shared" ca="1" si="1"/>
        <v>57.97</v>
      </c>
      <c r="I21" s="199">
        <f t="shared" ca="1" si="2"/>
        <v>255937.55</v>
      </c>
    </row>
    <row r="22" spans="1:9" s="180" customFormat="1" x14ac:dyDescent="0.25">
      <c r="A22" s="181" t="s">
        <v>1998</v>
      </c>
      <c r="B22" s="182" t="s">
        <v>1988</v>
      </c>
      <c r="C22" s="183" t="s">
        <v>20</v>
      </c>
      <c r="D22" s="183">
        <v>194</v>
      </c>
      <c r="E22" s="121">
        <f ca="1">OFFSET(INDEX(Composições!A:H,MATCH(A22,Composições!A:A,0),8),2,0)</f>
        <v>327.47150249999999</v>
      </c>
      <c r="F22" s="122">
        <f t="shared" ca="1" si="0"/>
        <v>63529.471484999995</v>
      </c>
      <c r="G22" s="123">
        <f>BDI!$B$17</f>
        <v>0.191</v>
      </c>
      <c r="H22" s="124">
        <f t="shared" ca="1" si="1"/>
        <v>390.02</v>
      </c>
      <c r="I22" s="199">
        <f t="shared" ca="1" si="2"/>
        <v>75663.88</v>
      </c>
    </row>
    <row r="23" spans="1:9" s="180" customFormat="1" x14ac:dyDescent="0.25">
      <c r="A23" s="181" t="s">
        <v>1080</v>
      </c>
      <c r="B23" s="184" t="s">
        <v>1526</v>
      </c>
      <c r="C23" s="183" t="s">
        <v>1897</v>
      </c>
      <c r="D23" s="183">
        <v>680</v>
      </c>
      <c r="E23" s="121">
        <f ca="1">OFFSET(INDEX(Composições!A:H,MATCH(A23,Composições!A:A,0),8),2,0)</f>
        <v>51.391646194137998</v>
      </c>
      <c r="F23" s="122">
        <f t="shared" ca="1" si="0"/>
        <v>34946.319412013836</v>
      </c>
      <c r="G23" s="123">
        <f>BDI!$B$17</f>
        <v>0.191</v>
      </c>
      <c r="H23" s="124">
        <f t="shared" ca="1" si="1"/>
        <v>61.21</v>
      </c>
      <c r="I23" s="199">
        <f t="shared" ca="1" si="2"/>
        <v>41622.800000000003</v>
      </c>
    </row>
    <row r="24" spans="1:9" s="180" customFormat="1" x14ac:dyDescent="0.25">
      <c r="A24" s="181" t="s">
        <v>2765</v>
      </c>
      <c r="B24" s="182" t="s">
        <v>2828</v>
      </c>
      <c r="C24" s="183" t="s">
        <v>20</v>
      </c>
      <c r="D24" s="183">
        <v>101</v>
      </c>
      <c r="E24" s="121">
        <f ca="1">OFFSET(INDEX(Composições!A:H,MATCH(A24,Composições!A:A,0),8),2,0)</f>
        <v>2316.4880914999999</v>
      </c>
      <c r="F24" s="122">
        <f t="shared" ca="1" si="0"/>
        <v>233965.2972415</v>
      </c>
      <c r="G24" s="123">
        <f>BDI!$B$17</f>
        <v>0.191</v>
      </c>
      <c r="H24" s="124">
        <f t="shared" ca="1" si="1"/>
        <v>2758.94</v>
      </c>
      <c r="I24" s="199">
        <f t="shared" ca="1" si="2"/>
        <v>278652.94</v>
      </c>
    </row>
    <row r="25" spans="1:9" s="180" customFormat="1" x14ac:dyDescent="0.25">
      <c r="A25" s="181" t="s">
        <v>2766</v>
      </c>
      <c r="B25" s="182" t="s">
        <v>2829</v>
      </c>
      <c r="C25" s="183" t="s">
        <v>20</v>
      </c>
      <c r="D25" s="183">
        <v>24</v>
      </c>
      <c r="E25" s="121">
        <f ca="1">OFFSET(INDEX(Composições!A:H,MATCH(A25,Composições!A:A,0),8),2,0)</f>
        <v>1946.0974185</v>
      </c>
      <c r="F25" s="122">
        <f t="shared" ca="1" si="0"/>
        <v>46706.338044000004</v>
      </c>
      <c r="G25" s="123">
        <f>BDI!$B$17</f>
        <v>0.191</v>
      </c>
      <c r="H25" s="124">
        <f t="shared" ca="1" si="1"/>
        <v>2317.8000000000002</v>
      </c>
      <c r="I25" s="199">
        <f t="shared" ca="1" si="2"/>
        <v>55627.199999999997</v>
      </c>
    </row>
    <row r="26" spans="1:9" s="180" customFormat="1" x14ac:dyDescent="0.25">
      <c r="A26" s="181" t="s">
        <v>1979</v>
      </c>
      <c r="B26" s="182" t="s">
        <v>1985</v>
      </c>
      <c r="C26" s="183" t="s">
        <v>20</v>
      </c>
      <c r="D26" s="183">
        <v>7</v>
      </c>
      <c r="E26" s="121">
        <f ca="1">OFFSET(INDEX(Composições!A:H,MATCH(A26,Composições!A:A,0),8),2,0)</f>
        <v>3051.9434384726246</v>
      </c>
      <c r="F26" s="122">
        <f t="shared" ca="1" si="0"/>
        <v>21363.604069308371</v>
      </c>
      <c r="G26" s="123">
        <f>BDI!$B$17</f>
        <v>0.191</v>
      </c>
      <c r="H26" s="124">
        <f t="shared" ca="1" si="1"/>
        <v>3634.86</v>
      </c>
      <c r="I26" s="199">
        <f t="shared" ca="1" si="2"/>
        <v>25444.02</v>
      </c>
    </row>
    <row r="27" spans="1:9" s="180" customFormat="1" x14ac:dyDescent="0.25">
      <c r="A27" s="181" t="s">
        <v>2782</v>
      </c>
      <c r="B27" s="182" t="s">
        <v>1993</v>
      </c>
      <c r="C27" s="183" t="s">
        <v>20</v>
      </c>
      <c r="D27" s="183">
        <v>55</v>
      </c>
      <c r="E27" s="121">
        <f ca="1">OFFSET(INDEX(Composições!A:H,MATCH(A27,Composições!A:A,0),8),2,0)</f>
        <v>119.3116666</v>
      </c>
      <c r="F27" s="122">
        <f t="shared" ca="1" si="0"/>
        <v>6562.1416629999994</v>
      </c>
      <c r="G27" s="123">
        <f>BDI!$B$17</f>
        <v>0.191</v>
      </c>
      <c r="H27" s="124">
        <f t="shared" ca="1" si="1"/>
        <v>142.1</v>
      </c>
      <c r="I27" s="199">
        <f t="shared" ca="1" si="2"/>
        <v>7815.5</v>
      </c>
    </row>
    <row r="28" spans="1:9" s="180" customFormat="1" x14ac:dyDescent="0.25">
      <c r="A28" s="181" t="s">
        <v>2781</v>
      </c>
      <c r="B28" s="182" t="s">
        <v>1994</v>
      </c>
      <c r="C28" s="183" t="s">
        <v>20</v>
      </c>
      <c r="D28" s="183">
        <v>126</v>
      </c>
      <c r="E28" s="121">
        <f ca="1">OFFSET(INDEX(Composições!A:H,MATCH(A28,Composições!A:A,0),8),2,0)</f>
        <v>164.14574999999999</v>
      </c>
      <c r="F28" s="122">
        <f t="shared" ca="1" si="0"/>
        <v>20682.3645</v>
      </c>
      <c r="G28" s="123">
        <f>BDI!$B$17</f>
        <v>0.191</v>
      </c>
      <c r="H28" s="124">
        <f t="shared" ca="1" si="1"/>
        <v>195.5</v>
      </c>
      <c r="I28" s="199">
        <f t="shared" ca="1" si="2"/>
        <v>24633</v>
      </c>
    </row>
    <row r="29" spans="1:9" s="180" customFormat="1" x14ac:dyDescent="0.25">
      <c r="A29" s="181" t="s">
        <v>2767</v>
      </c>
      <c r="B29" s="182" t="s">
        <v>2803</v>
      </c>
      <c r="C29" s="183" t="s">
        <v>20</v>
      </c>
      <c r="D29" s="183">
        <v>4</v>
      </c>
      <c r="E29" s="121">
        <f ca="1">OFFSET(INDEX(Composições!A:H,MATCH(A29,Composições!A:A,0),8),2,0)</f>
        <v>136.81424999999996</v>
      </c>
      <c r="F29" s="122">
        <f t="shared" ca="1" si="0"/>
        <v>547.25699999999983</v>
      </c>
      <c r="G29" s="123">
        <f>BDI!$B$17</f>
        <v>0.191</v>
      </c>
      <c r="H29" s="124">
        <f t="shared" ca="1" si="1"/>
        <v>162.94999999999999</v>
      </c>
      <c r="I29" s="199">
        <f t="shared" ca="1" si="2"/>
        <v>651.79999999999995</v>
      </c>
    </row>
    <row r="30" spans="1:9" s="180" customFormat="1" x14ac:dyDescent="0.25">
      <c r="A30" s="181" t="s">
        <v>2768</v>
      </c>
      <c r="B30" s="182" t="s">
        <v>2804</v>
      </c>
      <c r="C30" s="183" t="s">
        <v>20</v>
      </c>
      <c r="D30" s="183">
        <v>124</v>
      </c>
      <c r="E30" s="121">
        <f ca="1">OFFSET(INDEX(Composições!A:H,MATCH(A30,Composições!A:A,0),8),2,0)</f>
        <v>222.77499999999998</v>
      </c>
      <c r="F30" s="122">
        <f t="shared" ca="1" si="0"/>
        <v>27624.1</v>
      </c>
      <c r="G30" s="123">
        <f>BDI!$B$17</f>
        <v>0.191</v>
      </c>
      <c r="H30" s="124">
        <f t="shared" ca="1" si="1"/>
        <v>265.33</v>
      </c>
      <c r="I30" s="199">
        <f t="shared" ca="1" si="2"/>
        <v>32900.92</v>
      </c>
    </row>
    <row r="31" spans="1:9" s="180" customFormat="1" x14ac:dyDescent="0.25">
      <c r="A31" s="181" t="s">
        <v>2769</v>
      </c>
      <c r="B31" s="182" t="s">
        <v>2805</v>
      </c>
      <c r="C31" s="183" t="s">
        <v>20</v>
      </c>
      <c r="D31" s="183">
        <v>35</v>
      </c>
      <c r="E31" s="121">
        <f ca="1">OFFSET(INDEX(Composições!A:H,MATCH(A31,Composições!A:A,0),8),2,0)</f>
        <v>35.643999999999998</v>
      </c>
      <c r="F31" s="122">
        <f t="shared" ca="1" si="0"/>
        <v>1247.54</v>
      </c>
      <c r="G31" s="123">
        <f>BDI!$B$17</f>
        <v>0.191</v>
      </c>
      <c r="H31" s="124">
        <f t="shared" ca="1" si="1"/>
        <v>42.45</v>
      </c>
      <c r="I31" s="199">
        <f t="shared" ca="1" si="2"/>
        <v>1485.75</v>
      </c>
    </row>
    <row r="32" spans="1:9" s="180" customFormat="1" x14ac:dyDescent="0.25">
      <c r="A32" s="181" t="s">
        <v>2774</v>
      </c>
      <c r="B32" s="182" t="s">
        <v>2830</v>
      </c>
      <c r="C32" s="183" t="s">
        <v>93</v>
      </c>
      <c r="D32" s="183">
        <v>7347</v>
      </c>
      <c r="E32" s="121">
        <f ca="1">OFFSET(INDEX(Composições!A:H,MATCH(A32,Composições!A:A,0),8),2,0)</f>
        <v>20.153984999999999</v>
      </c>
      <c r="F32" s="122">
        <f t="shared" ca="1" si="0"/>
        <v>148071.32779499999</v>
      </c>
      <c r="G32" s="123">
        <f>BDI!$B$17</f>
        <v>0.191</v>
      </c>
      <c r="H32" s="124">
        <f t="shared" ca="1" si="1"/>
        <v>24</v>
      </c>
      <c r="I32" s="199">
        <f t="shared" ca="1" si="2"/>
        <v>176328</v>
      </c>
    </row>
    <row r="33" spans="1:9" s="180" customFormat="1" x14ac:dyDescent="0.25">
      <c r="A33" s="181" t="s">
        <v>2770</v>
      </c>
      <c r="B33" s="182" t="s">
        <v>2806</v>
      </c>
      <c r="C33" s="183" t="s">
        <v>93</v>
      </c>
      <c r="D33" s="183">
        <v>1289</v>
      </c>
      <c r="E33" s="121">
        <f ca="1">OFFSET(INDEX(Composições!A:H,MATCH(A33,Composições!A:A,0),8),2,0)</f>
        <v>34.992601000000001</v>
      </c>
      <c r="F33" s="122">
        <f t="shared" ca="1" si="0"/>
        <v>45105.462689</v>
      </c>
      <c r="G33" s="123">
        <f>BDI!$B$17</f>
        <v>0.191</v>
      </c>
      <c r="H33" s="124">
        <f t="shared" ca="1" si="1"/>
        <v>41.68</v>
      </c>
      <c r="I33" s="199">
        <f t="shared" ca="1" si="2"/>
        <v>53725.52</v>
      </c>
    </row>
    <row r="34" spans="1:9" s="180" customFormat="1" x14ac:dyDescent="0.25">
      <c r="A34" s="181" t="s">
        <v>564</v>
      </c>
      <c r="B34" s="182" t="s">
        <v>2831</v>
      </c>
      <c r="C34" s="183" t="s">
        <v>93</v>
      </c>
      <c r="D34" s="183">
        <v>140</v>
      </c>
      <c r="E34" s="121">
        <f ca="1">OFFSET(INDEX(Composições!A:H,MATCH(A34,Composições!A:A,0),8),2,0)</f>
        <v>9.1250670000000014</v>
      </c>
      <c r="F34" s="122">
        <f t="shared" ca="1" si="0"/>
        <v>1277.5093800000002</v>
      </c>
      <c r="G34" s="123">
        <f>BDI!$B$17</f>
        <v>0.191</v>
      </c>
      <c r="H34" s="124">
        <f t="shared" ca="1" si="1"/>
        <v>10.87</v>
      </c>
      <c r="I34" s="199">
        <f t="shared" ca="1" si="2"/>
        <v>1521.8</v>
      </c>
    </row>
    <row r="35" spans="1:9" s="180" customFormat="1" x14ac:dyDescent="0.25">
      <c r="A35" s="181" t="s">
        <v>551</v>
      </c>
      <c r="B35" s="182" t="s">
        <v>2832</v>
      </c>
      <c r="C35" s="183" t="s">
        <v>93</v>
      </c>
      <c r="D35" s="183">
        <v>1300</v>
      </c>
      <c r="E35" s="121">
        <f ca="1">OFFSET(INDEX(Composições!A:H,MATCH(A35,Composições!A:A,0),8),2,0)</f>
        <v>16.803875499999993</v>
      </c>
      <c r="F35" s="122">
        <f t="shared" ca="1" si="0"/>
        <v>21845.038149999989</v>
      </c>
      <c r="G35" s="123">
        <f>BDI!$B$17</f>
        <v>0.191</v>
      </c>
      <c r="H35" s="124">
        <f t="shared" ca="1" si="1"/>
        <v>20.010000000000002</v>
      </c>
      <c r="I35" s="199">
        <f t="shared" ca="1" si="2"/>
        <v>26013</v>
      </c>
    </row>
    <row r="36" spans="1:9" s="180" customFormat="1" x14ac:dyDescent="0.25">
      <c r="A36" s="181" t="s">
        <v>554</v>
      </c>
      <c r="B36" s="182" t="s">
        <v>2833</v>
      </c>
      <c r="C36" s="183" t="s">
        <v>93</v>
      </c>
      <c r="D36" s="183">
        <v>30</v>
      </c>
      <c r="E36" s="121">
        <f ca="1">OFFSET(INDEX(Composições!A:H,MATCH(A36,Composições!A:A,0),8),2,0)</f>
        <v>24.943399499999998</v>
      </c>
      <c r="F36" s="122">
        <f t="shared" ca="1" si="0"/>
        <v>748.30198499999995</v>
      </c>
      <c r="G36" s="123">
        <f>BDI!$B$17</f>
        <v>0.191</v>
      </c>
      <c r="H36" s="124">
        <f t="shared" ca="1" si="1"/>
        <v>29.71</v>
      </c>
      <c r="I36" s="199">
        <f t="shared" ca="1" si="2"/>
        <v>891.3</v>
      </c>
    </row>
    <row r="37" spans="1:9" s="180" customFormat="1" x14ac:dyDescent="0.25">
      <c r="A37" s="181" t="s">
        <v>964</v>
      </c>
      <c r="B37" s="182" t="s">
        <v>2834</v>
      </c>
      <c r="C37" s="183" t="s">
        <v>93</v>
      </c>
      <c r="D37" s="183">
        <v>1000</v>
      </c>
      <c r="E37" s="121">
        <f ca="1">OFFSET(INDEX(Composições!A:H,MATCH(A37,Composições!A:A,0),8),2,0)</f>
        <v>55.571256999999989</v>
      </c>
      <c r="F37" s="122">
        <f t="shared" ca="1" si="0"/>
        <v>55571.256999999991</v>
      </c>
      <c r="G37" s="123">
        <f>BDI!$B$17</f>
        <v>0.191</v>
      </c>
      <c r="H37" s="124">
        <f t="shared" ca="1" si="1"/>
        <v>66.19</v>
      </c>
      <c r="I37" s="199">
        <f t="shared" ca="1" si="2"/>
        <v>66190</v>
      </c>
    </row>
    <row r="38" spans="1:9" s="180" customFormat="1" x14ac:dyDescent="0.25">
      <c r="A38" s="181" t="s">
        <v>2771</v>
      </c>
      <c r="B38" s="182" t="s">
        <v>2835</v>
      </c>
      <c r="C38" s="183" t="s">
        <v>20</v>
      </c>
      <c r="D38" s="183">
        <v>8</v>
      </c>
      <c r="E38" s="121">
        <f ca="1">OFFSET(INDEX(Composições!A:H,MATCH(A38,Composições!A:A,0),8),2,0)</f>
        <v>4393.3131913164989</v>
      </c>
      <c r="F38" s="122">
        <f t="shared" ca="1" si="0"/>
        <v>35146.505530531991</v>
      </c>
      <c r="G38" s="123">
        <f>BDI!$B$17</f>
        <v>0.191</v>
      </c>
      <c r="H38" s="124">
        <f t="shared" ca="1" si="1"/>
        <v>5232.4399999999996</v>
      </c>
      <c r="I38" s="199">
        <f t="shared" ca="1" si="2"/>
        <v>41859.519999999997</v>
      </c>
    </row>
    <row r="39" spans="1:9" s="180" customFormat="1" x14ac:dyDescent="0.25">
      <c r="A39" s="181" t="s">
        <v>2772</v>
      </c>
      <c r="B39" s="182" t="s">
        <v>2807</v>
      </c>
      <c r="C39" s="183" t="s">
        <v>20</v>
      </c>
      <c r="D39" s="183">
        <v>444</v>
      </c>
      <c r="E39" s="121">
        <f ca="1">OFFSET(INDEX(Composições!A:H,MATCH(A39,Composições!A:A,0),8),2,0)</f>
        <v>875.8099191</v>
      </c>
      <c r="F39" s="122">
        <f t="shared" ca="1" si="0"/>
        <v>388859.60408040002</v>
      </c>
      <c r="G39" s="123">
        <f>BDI!$B$17</f>
        <v>0.191</v>
      </c>
      <c r="H39" s="124">
        <f t="shared" ca="1" si="1"/>
        <v>1043.0899999999999</v>
      </c>
      <c r="I39" s="199">
        <f t="shared" ca="1" si="2"/>
        <v>463131.96</v>
      </c>
    </row>
    <row r="40" spans="1:9" s="180" customFormat="1" x14ac:dyDescent="0.25">
      <c r="A40" s="181" t="s">
        <v>2780</v>
      </c>
      <c r="B40" s="182" t="s">
        <v>1992</v>
      </c>
      <c r="C40" s="183" t="s">
        <v>93</v>
      </c>
      <c r="D40" s="183">
        <v>134</v>
      </c>
      <c r="E40" s="121">
        <f ca="1">OFFSET(INDEX(Composições!A:H,MATCH(A40,Composições!A:A,0),8),2,0)</f>
        <v>764.59341910000001</v>
      </c>
      <c r="F40" s="122">
        <f t="shared" ca="1" si="0"/>
        <v>102455.5181594</v>
      </c>
      <c r="G40" s="123">
        <f>BDI!$B$17</f>
        <v>0.191</v>
      </c>
      <c r="H40" s="124">
        <f t="shared" ca="1" si="1"/>
        <v>910.63</v>
      </c>
      <c r="I40" s="199">
        <f t="shared" ca="1" si="2"/>
        <v>122024.42</v>
      </c>
    </row>
    <row r="41" spans="1:9" s="180" customFormat="1" x14ac:dyDescent="0.25">
      <c r="A41" s="181" t="s">
        <v>2773</v>
      </c>
      <c r="B41" s="182" t="s">
        <v>2836</v>
      </c>
      <c r="C41" s="183" t="s">
        <v>93</v>
      </c>
      <c r="D41" s="183">
        <v>3400</v>
      </c>
      <c r="E41" s="121">
        <f ca="1">OFFSET(INDEX(Composições!A:H,MATCH(A41,Composições!A:A,0),8),2,0)</f>
        <v>7.6652459999999998</v>
      </c>
      <c r="F41" s="122">
        <f t="shared" ca="1" si="0"/>
        <v>26061.8364</v>
      </c>
      <c r="G41" s="123">
        <f>BDI!$B$17</f>
        <v>0.191</v>
      </c>
      <c r="H41" s="124">
        <f t="shared" ca="1" si="1"/>
        <v>9.1300000000000008</v>
      </c>
      <c r="I41" s="199">
        <f t="shared" ca="1" si="2"/>
        <v>31042</v>
      </c>
    </row>
    <row r="42" spans="1:9" s="180" customFormat="1" x14ac:dyDescent="0.25">
      <c r="A42" s="181" t="s">
        <v>1895</v>
      </c>
      <c r="B42" s="182" t="s">
        <v>2837</v>
      </c>
      <c r="C42" s="183" t="s">
        <v>93</v>
      </c>
      <c r="D42" s="183">
        <v>685</v>
      </c>
      <c r="E42" s="121">
        <f ca="1">OFFSET(INDEX(Composições!A:H,MATCH(A42,Composições!A:A,0),8),2,0)</f>
        <v>10.919347500000001</v>
      </c>
      <c r="F42" s="122">
        <f t="shared" ca="1" si="0"/>
        <v>7479.7530375000006</v>
      </c>
      <c r="G42" s="123">
        <f>BDI!$B$17</f>
        <v>0.191</v>
      </c>
      <c r="H42" s="124">
        <f t="shared" ca="1" si="1"/>
        <v>13</v>
      </c>
      <c r="I42" s="199">
        <f t="shared" ca="1" si="2"/>
        <v>8905</v>
      </c>
    </row>
    <row r="43" spans="1:9" s="180" customFormat="1" x14ac:dyDescent="0.25">
      <c r="A43" s="181" t="s">
        <v>1155</v>
      </c>
      <c r="B43" s="182" t="s">
        <v>2838</v>
      </c>
      <c r="C43" s="183" t="s">
        <v>93</v>
      </c>
      <c r="D43" s="183">
        <v>515</v>
      </c>
      <c r="E43" s="121">
        <f ca="1">OFFSET(INDEX(Composições!A:H,MATCH(A43,Composições!A:A,0),8),2,0)</f>
        <v>16.126810499999998</v>
      </c>
      <c r="F43" s="122">
        <f t="shared" ca="1" si="0"/>
        <v>8305.3074074999986</v>
      </c>
      <c r="G43" s="123">
        <f>BDI!$B$17</f>
        <v>0.191</v>
      </c>
      <c r="H43" s="124">
        <f t="shared" ca="1" si="1"/>
        <v>19.21</v>
      </c>
      <c r="I43" s="199">
        <f t="shared" ca="1" si="2"/>
        <v>9893.15</v>
      </c>
    </row>
    <row r="44" spans="1:9" s="180" customFormat="1" x14ac:dyDescent="0.25">
      <c r="A44" s="181" t="s">
        <v>2764</v>
      </c>
      <c r="B44" s="182" t="s">
        <v>2839</v>
      </c>
      <c r="C44" s="183" t="s">
        <v>93</v>
      </c>
      <c r="D44" s="183">
        <v>55</v>
      </c>
      <c r="E44" s="121">
        <f ca="1">OFFSET(INDEX(Composições!A:H,MATCH(A44,Composições!A:A,0),8),2,0)</f>
        <v>20.761765499999999</v>
      </c>
      <c r="F44" s="122">
        <f t="shared" ca="1" si="0"/>
        <v>1141.8971024999998</v>
      </c>
      <c r="G44" s="123">
        <f>BDI!$B$17</f>
        <v>0.191</v>
      </c>
      <c r="H44" s="124">
        <f t="shared" ca="1" si="1"/>
        <v>24.73</v>
      </c>
      <c r="I44" s="199">
        <f t="shared" ca="1" si="2"/>
        <v>1360.15</v>
      </c>
    </row>
    <row r="45" spans="1:9" s="180" customFormat="1" x14ac:dyDescent="0.25">
      <c r="A45" s="181" t="s">
        <v>2775</v>
      </c>
      <c r="B45" s="182" t="s">
        <v>1989</v>
      </c>
      <c r="C45" s="183" t="s">
        <v>93</v>
      </c>
      <c r="D45" s="183">
        <v>722</v>
      </c>
      <c r="E45" s="121">
        <f ca="1">OFFSET(INDEX(Composições!A:H,MATCH(A45,Composições!A:A,0),8),2,0)</f>
        <v>57.618925000000004</v>
      </c>
      <c r="F45" s="122">
        <f t="shared" ca="1" si="0"/>
        <v>41600.863850000002</v>
      </c>
      <c r="G45" s="123">
        <f>BDI!$B$17</f>
        <v>0.191</v>
      </c>
      <c r="H45" s="124">
        <f t="shared" ca="1" si="1"/>
        <v>68.62</v>
      </c>
      <c r="I45" s="199">
        <f t="shared" ca="1" si="2"/>
        <v>49543.64</v>
      </c>
    </row>
    <row r="46" spans="1:9" s="180" customFormat="1" x14ac:dyDescent="0.25">
      <c r="A46" s="181" t="s">
        <v>2776</v>
      </c>
      <c r="B46" s="182" t="s">
        <v>2840</v>
      </c>
      <c r="C46" s="183" t="s">
        <v>93</v>
      </c>
      <c r="D46" s="183">
        <v>142</v>
      </c>
      <c r="E46" s="121">
        <f ca="1">OFFSET(INDEX(Composições!A:H,MATCH(A46,Composições!A:A,0),8),2,0)</f>
        <v>103.171425</v>
      </c>
      <c r="F46" s="122">
        <f t="shared" ca="1" si="0"/>
        <v>14650.342349999999</v>
      </c>
      <c r="G46" s="123">
        <f>BDI!$B$17</f>
        <v>0.191</v>
      </c>
      <c r="H46" s="124">
        <f t="shared" ca="1" si="1"/>
        <v>122.88</v>
      </c>
      <c r="I46" s="199">
        <f t="shared" ca="1" si="2"/>
        <v>17448.96</v>
      </c>
    </row>
    <row r="47" spans="1:9" s="180" customFormat="1" x14ac:dyDescent="0.25">
      <c r="A47" s="181" t="s">
        <v>2777</v>
      </c>
      <c r="B47" s="182" t="s">
        <v>1990</v>
      </c>
      <c r="C47" s="183" t="s">
        <v>93</v>
      </c>
      <c r="D47" s="183">
        <v>21</v>
      </c>
      <c r="E47" s="121">
        <f ca="1">OFFSET(INDEX(Composições!A:H,MATCH(A47,Composições!A:A,0),8),2,0)</f>
        <v>122.24362500000001</v>
      </c>
      <c r="F47" s="122">
        <f t="shared" ca="1" si="0"/>
        <v>2567.116125</v>
      </c>
      <c r="G47" s="123">
        <f>BDI!$B$17</f>
        <v>0.191</v>
      </c>
      <c r="H47" s="124">
        <f t="shared" ca="1" si="1"/>
        <v>145.59</v>
      </c>
      <c r="I47" s="199">
        <f t="shared" ca="1" si="2"/>
        <v>3057.39</v>
      </c>
    </row>
    <row r="48" spans="1:9" s="180" customFormat="1" x14ac:dyDescent="0.25">
      <c r="A48" s="181" t="s">
        <v>2778</v>
      </c>
      <c r="B48" s="182" t="s">
        <v>1991</v>
      </c>
      <c r="C48" s="183" t="s">
        <v>93</v>
      </c>
      <c r="D48" s="183">
        <v>53</v>
      </c>
      <c r="E48" s="121">
        <f ca="1">OFFSET(INDEX(Composições!A:H,MATCH(A48,Composições!A:A,0),8),2,0)</f>
        <v>126.17044999999999</v>
      </c>
      <c r="F48" s="122">
        <f t="shared" ca="1" si="0"/>
        <v>6687.0338499999998</v>
      </c>
      <c r="G48" s="123">
        <f>BDI!$B$17</f>
        <v>0.191</v>
      </c>
      <c r="H48" s="124">
        <f t="shared" ca="1" si="1"/>
        <v>150.27000000000001</v>
      </c>
      <c r="I48" s="199">
        <f t="shared" ca="1" si="2"/>
        <v>7964.31</v>
      </c>
    </row>
    <row r="49" spans="1:9" s="180" customFormat="1" x14ac:dyDescent="0.25">
      <c r="A49" s="181" t="s">
        <v>1980</v>
      </c>
      <c r="B49" s="182" t="s">
        <v>1986</v>
      </c>
      <c r="C49" s="183" t="s">
        <v>20</v>
      </c>
      <c r="D49" s="183">
        <v>83</v>
      </c>
      <c r="E49" s="121">
        <f ca="1">OFFSET(INDEX(Composições!A:H,MATCH(A49,Composições!A:A,0),8),2,0)</f>
        <v>261.72080656476493</v>
      </c>
      <c r="F49" s="122">
        <f t="shared" ca="1" si="0"/>
        <v>21722.826944875487</v>
      </c>
      <c r="G49" s="123">
        <f>BDI!$B$17</f>
        <v>0.191</v>
      </c>
      <c r="H49" s="124">
        <f t="shared" ca="1" si="1"/>
        <v>311.70999999999998</v>
      </c>
      <c r="I49" s="199">
        <f t="shared" ca="1" si="2"/>
        <v>25871.93</v>
      </c>
    </row>
    <row r="50" spans="1:9" s="180" customFormat="1" ht="5.0999999999999996" customHeight="1" thickBot="1" x14ac:dyDescent="0.3">
      <c r="A50" s="185"/>
      <c r="B50" s="186"/>
      <c r="C50" s="187"/>
      <c r="D50" s="187"/>
      <c r="E50" s="188"/>
      <c r="F50" s="188"/>
      <c r="G50" s="189"/>
      <c r="H50" s="190"/>
      <c r="I50" s="200"/>
    </row>
    <row r="51" spans="1:9" s="180" customFormat="1" ht="15.75" thickBot="1" x14ac:dyDescent="0.3">
      <c r="A51" s="128"/>
      <c r="B51" s="191"/>
      <c r="C51" s="127"/>
      <c r="D51" s="192"/>
      <c r="E51" s="192"/>
      <c r="F51" s="125"/>
      <c r="G51" s="192"/>
      <c r="H51" s="192" t="s">
        <v>1446</v>
      </c>
      <c r="I51" s="201">
        <f ca="1">SUBTOTAL(109,F7:F50)</f>
        <v>2219840.6962369164</v>
      </c>
    </row>
    <row r="52" spans="1:9" s="180" customFormat="1" ht="15.75" thickBot="1" x14ac:dyDescent="0.3">
      <c r="A52" s="193"/>
      <c r="B52" s="194"/>
      <c r="C52" s="127"/>
      <c r="D52" s="195"/>
      <c r="E52" s="195"/>
      <c r="F52" s="126"/>
      <c r="G52" s="196"/>
      <c r="H52" s="196" t="s">
        <v>7</v>
      </c>
      <c r="I52" s="202">
        <f ca="1">SUBTOTAL(109,I7:I50)</f>
        <v>2641974.5800000005</v>
      </c>
    </row>
    <row r="53" spans="1:9" x14ac:dyDescent="0.25">
      <c r="A53" s="3"/>
      <c r="B53" s="106"/>
      <c r="C53" s="3"/>
      <c r="D53" s="107"/>
      <c r="E53" s="108"/>
      <c r="F53" s="109"/>
      <c r="G53" s="108"/>
      <c r="H53" s="108"/>
      <c r="I53" s="109"/>
    </row>
    <row r="54" spans="1:9" x14ac:dyDescent="0.25">
      <c r="A54" s="3"/>
      <c r="B54" s="106"/>
      <c r="C54" s="3"/>
      <c r="D54" s="110"/>
      <c r="E54" s="111"/>
      <c r="F54" s="111"/>
      <c r="G54" s="111"/>
      <c r="H54" s="111"/>
      <c r="I54" s="111"/>
    </row>
  </sheetData>
  <sheetProtection algorithmName="SHA-512" hashValue="Bgw5/4Lrmyay7nSQJtrYqQ5K+/qC0X8Ba+hJ+j9doBRldVpwie+SmsX++0E76taust3gaVazmzrt8Ve1jf7HpA==" saltValue="LzKGsNDYd1eYNUb8omehdg==" spinCount="100000" sheet="1" objects="1" scenarios="1"/>
  <autoFilter ref="A5:I51"/>
  <mergeCells count="2">
    <mergeCell ref="A6:I6"/>
    <mergeCell ref="A10:I10"/>
  </mergeCells>
  <conditionalFormatting sqref="C11">
    <cfRule type="containsBlanks" dxfId="4" priority="47">
      <formula>LEN(TRIM(C11))=0</formula>
    </cfRule>
    <cfRule type="containsBlanks" priority="48">
      <formula>LEN(TRIM(C11))=0</formula>
    </cfRule>
  </conditionalFormatting>
  <conditionalFormatting sqref="B13:B22 B7:B8 B24:B50">
    <cfRule type="duplicateValues" dxfId="3" priority="25"/>
  </conditionalFormatting>
  <conditionalFormatting sqref="B13:B22 B7:B8 B24:B426">
    <cfRule type="duplicateValues" dxfId="2" priority="50"/>
  </conditionalFormatting>
  <conditionalFormatting sqref="B9">
    <cfRule type="duplicateValues" dxfId="1" priority="7"/>
  </conditionalFormatting>
  <conditionalFormatting sqref="B11:B12 B23">
    <cfRule type="duplicateValues" dxfId="0" priority="6568"/>
  </conditionalFormatting>
  <printOptions horizontalCentered="1"/>
  <pageMargins left="0.19685039370078741" right="0.19685039370078741" top="1.1811023622047245" bottom="0.59055118110236227" header="0.19685039370078741" footer="0.19685039370078741"/>
  <pageSetup paperSize="9" scale="53" fitToHeight="0"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E41"/>
  <sheetViews>
    <sheetView zoomScale="80" zoomScaleNormal="80" workbookViewId="0">
      <selection activeCell="A2" sqref="A2"/>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20" t="s">
        <v>2822</v>
      </c>
      <c r="B1" s="112"/>
      <c r="C1" s="112"/>
      <c r="D1" s="112"/>
      <c r="E1" s="112"/>
    </row>
    <row r="2" spans="1:5" ht="24.95" customHeight="1" x14ac:dyDescent="0.25">
      <c r="A2" s="99" t="s">
        <v>1549</v>
      </c>
      <c r="B2" s="99"/>
      <c r="C2" s="99"/>
      <c r="D2" s="99"/>
      <c r="E2" s="99"/>
    </row>
    <row r="3" spans="1:5" ht="18" customHeight="1" thickBot="1" x14ac:dyDescent="0.3">
      <c r="A3" s="114"/>
      <c r="B3" s="114"/>
      <c r="C3" s="115"/>
      <c r="D3" s="114"/>
      <c r="E3" s="114"/>
    </row>
    <row r="4" spans="1:5" s="180" customFormat="1" ht="24.95" customHeight="1" thickBot="1" x14ac:dyDescent="0.3">
      <c r="A4" s="203" t="s">
        <v>1550</v>
      </c>
      <c r="B4" s="204"/>
      <c r="C4" s="210"/>
      <c r="D4" s="203" t="s">
        <v>1551</v>
      </c>
      <c r="E4" s="204"/>
    </row>
    <row r="5" spans="1:5" s="180" customFormat="1" ht="20.100000000000001" customHeight="1" x14ac:dyDescent="0.25">
      <c r="A5" s="247" t="s">
        <v>1552</v>
      </c>
      <c r="B5" s="205" t="s">
        <v>1553</v>
      </c>
      <c r="C5" s="206"/>
      <c r="D5" s="247" t="s">
        <v>1552</v>
      </c>
      <c r="E5" s="205" t="s">
        <v>1553</v>
      </c>
    </row>
    <row r="6" spans="1:5" s="180" customFormat="1" ht="20.100000000000001" customHeight="1" x14ac:dyDescent="0.25">
      <c r="A6" s="248"/>
      <c r="B6" s="207" t="s">
        <v>1554</v>
      </c>
      <c r="C6" s="206"/>
      <c r="D6" s="248"/>
      <c r="E6" s="207" t="s">
        <v>1554</v>
      </c>
    </row>
    <row r="7" spans="1:5" s="180" customFormat="1" ht="20.100000000000001" customHeight="1" x14ac:dyDescent="0.25">
      <c r="A7" s="249"/>
      <c r="B7" s="208" t="s">
        <v>1555</v>
      </c>
      <c r="C7" s="206"/>
      <c r="D7" s="249"/>
      <c r="E7" s="208" t="s">
        <v>1555</v>
      </c>
    </row>
    <row r="8" spans="1:5" s="180" customFormat="1" ht="20.100000000000001" customHeight="1" x14ac:dyDescent="0.25">
      <c r="A8" s="209" t="s">
        <v>1556</v>
      </c>
      <c r="B8" s="116">
        <v>3.5000000000000003E-2</v>
      </c>
      <c r="C8" s="211"/>
      <c r="D8" s="209" t="s">
        <v>1556</v>
      </c>
      <c r="E8" s="116">
        <v>1.7500000000000002E-2</v>
      </c>
    </row>
    <row r="9" spans="1:5" s="180" customFormat="1" ht="20.100000000000001" customHeight="1" x14ac:dyDescent="0.25">
      <c r="A9" s="209" t="s">
        <v>1557</v>
      </c>
      <c r="B9" s="116">
        <v>8.0000000000000002E-3</v>
      </c>
      <c r="C9" s="211"/>
      <c r="D9" s="209" t="s">
        <v>1557</v>
      </c>
      <c r="E9" s="116">
        <v>3.8999999999999998E-3</v>
      </c>
    </row>
    <row r="10" spans="1:5" s="180" customFormat="1" ht="20.100000000000001" customHeight="1" x14ac:dyDescent="0.25">
      <c r="A10" s="209" t="s">
        <v>1558</v>
      </c>
      <c r="B10" s="116">
        <v>1.2500000000000001E-2</v>
      </c>
      <c r="C10" s="211"/>
      <c r="D10" s="209" t="s">
        <v>1558</v>
      </c>
      <c r="E10" s="116">
        <v>5.5999999999999999E-3</v>
      </c>
    </row>
    <row r="11" spans="1:5" s="180" customFormat="1" ht="20.100000000000001" customHeight="1" x14ac:dyDescent="0.25">
      <c r="A11" s="209" t="s">
        <v>1559</v>
      </c>
      <c r="B11" s="116">
        <v>7.6E-3</v>
      </c>
      <c r="C11" s="211"/>
      <c r="D11" s="209" t="s">
        <v>1559</v>
      </c>
      <c r="E11" s="116">
        <v>8.5000000000000006E-3</v>
      </c>
    </row>
    <row r="12" spans="1:5" s="180" customFormat="1" ht="20.100000000000001" customHeight="1" x14ac:dyDescent="0.25">
      <c r="A12" s="209" t="s">
        <v>102</v>
      </c>
      <c r="B12" s="116">
        <v>6.7799999999999999E-2</v>
      </c>
      <c r="C12" s="211"/>
      <c r="D12" s="209" t="s">
        <v>102</v>
      </c>
      <c r="E12" s="116">
        <v>3.5000000000000003E-2</v>
      </c>
    </row>
    <row r="13" spans="1:5" s="180" customFormat="1" ht="20.100000000000001" customHeight="1" x14ac:dyDescent="0.25">
      <c r="A13" s="209" t="s">
        <v>1560</v>
      </c>
      <c r="B13" s="116">
        <v>6.4999999999999997E-3</v>
      </c>
      <c r="C13" s="211"/>
      <c r="D13" s="209" t="s">
        <v>1560</v>
      </c>
      <c r="E13" s="116">
        <v>6.4999999999999997E-3</v>
      </c>
    </row>
    <row r="14" spans="1:5" s="180" customFormat="1" ht="20.100000000000001" customHeight="1" x14ac:dyDescent="0.25">
      <c r="A14" s="209" t="s">
        <v>1561</v>
      </c>
      <c r="B14" s="116">
        <v>0.03</v>
      </c>
      <c r="C14" s="211"/>
      <c r="D14" s="209" t="s">
        <v>1561</v>
      </c>
      <c r="E14" s="116">
        <v>0.03</v>
      </c>
    </row>
    <row r="15" spans="1:5" s="180" customFormat="1" ht="20.100000000000001" customHeight="1" x14ac:dyDescent="0.25">
      <c r="A15" s="209" t="s">
        <v>1562</v>
      </c>
      <c r="B15" s="116">
        <v>0</v>
      </c>
      <c r="C15" s="211"/>
      <c r="D15" s="209" t="s">
        <v>1562</v>
      </c>
      <c r="E15" s="116">
        <v>0</v>
      </c>
    </row>
    <row r="16" spans="1:5" s="180" customFormat="1" ht="20.100000000000001" customHeight="1" x14ac:dyDescent="0.25">
      <c r="A16" s="209" t="s">
        <v>1563</v>
      </c>
      <c r="B16" s="116">
        <v>0.01</v>
      </c>
      <c r="C16" s="211"/>
      <c r="D16" s="209" t="s">
        <v>1563</v>
      </c>
      <c r="E16" s="116">
        <v>0</v>
      </c>
    </row>
    <row r="17" spans="1:5" s="180" customFormat="1" ht="24.95" customHeight="1" thickBot="1" x14ac:dyDescent="0.3">
      <c r="A17" s="212" t="s">
        <v>1550</v>
      </c>
      <c r="B17" s="213">
        <f>ROUND(((1+B8+B9+B10)*(1+B11)*(1+B12))/(1-(B13+B14+B15+B16))-1,4)</f>
        <v>0.191</v>
      </c>
      <c r="C17" s="211"/>
      <c r="D17" s="214" t="s">
        <v>1551</v>
      </c>
      <c r="E17" s="213">
        <f>ROUND(((1+E8+E9+E10)*(1+E11)*(1+E12))/(1-(E13+E14+E15+E16))-1,4)</f>
        <v>0.11260000000000001</v>
      </c>
    </row>
    <row r="18" spans="1:5" s="180" customFormat="1" x14ac:dyDescent="0.25">
      <c r="A18" s="215"/>
      <c r="B18" s="216"/>
      <c r="C18" s="211"/>
      <c r="D18" s="215"/>
      <c r="E18" s="216"/>
    </row>
    <row r="19" spans="1:5" s="180" customFormat="1" x14ac:dyDescent="0.25">
      <c r="A19" s="215"/>
      <c r="B19" s="216"/>
      <c r="C19" s="211"/>
      <c r="D19" s="215"/>
      <c r="E19" s="216"/>
    </row>
    <row r="20" spans="1:5" s="180" customFormat="1" x14ac:dyDescent="0.25">
      <c r="D20" s="217"/>
    </row>
    <row r="21" spans="1:5" s="180" customFormat="1" x14ac:dyDescent="0.25"/>
    <row r="22" spans="1:5" s="180" customFormat="1" x14ac:dyDescent="0.25"/>
    <row r="23" spans="1:5" s="180" customFormat="1" x14ac:dyDescent="0.25"/>
    <row r="24" spans="1:5" s="180" customFormat="1" x14ac:dyDescent="0.25"/>
    <row r="25" spans="1:5" s="180" customFormat="1" x14ac:dyDescent="0.25"/>
    <row r="26" spans="1:5" s="180" customFormat="1" x14ac:dyDescent="0.25"/>
    <row r="27" spans="1:5" s="180" customFormat="1" x14ac:dyDescent="0.25"/>
    <row r="28" spans="1:5" s="180" customFormat="1" x14ac:dyDescent="0.25"/>
    <row r="29" spans="1:5" s="180" customFormat="1" x14ac:dyDescent="0.25"/>
    <row r="30" spans="1:5" s="180" customFormat="1" x14ac:dyDescent="0.25"/>
    <row r="31" spans="1:5" s="180" customFormat="1" x14ac:dyDescent="0.25"/>
    <row r="32" spans="1:5" s="180" customFormat="1" x14ac:dyDescent="0.25"/>
    <row r="33" spans="1:5" s="180" customFormat="1" x14ac:dyDescent="0.25"/>
    <row r="34" spans="1:5" s="180" customFormat="1" x14ac:dyDescent="0.25"/>
    <row r="35" spans="1:5" s="180" customFormat="1" x14ac:dyDescent="0.25"/>
    <row r="36" spans="1:5" s="180" customFormat="1" x14ac:dyDescent="0.25"/>
    <row r="37" spans="1:5" s="180" customFormat="1" x14ac:dyDescent="0.25"/>
    <row r="38" spans="1:5" s="180" customFormat="1" x14ac:dyDescent="0.25"/>
    <row r="39" spans="1:5" s="180" customFormat="1" ht="15.75" x14ac:dyDescent="0.25">
      <c r="A39" s="250" t="s">
        <v>1564</v>
      </c>
      <c r="B39" s="250"/>
      <c r="C39" s="250"/>
      <c r="D39" s="250"/>
      <c r="E39" s="250"/>
    </row>
    <row r="40" spans="1:5" x14ac:dyDescent="0.25">
      <c r="A40" s="105"/>
      <c r="B40" s="105"/>
      <c r="C40" s="105"/>
      <c r="D40" s="105"/>
      <c r="E40" s="105"/>
    </row>
    <row r="41" spans="1:5" x14ac:dyDescent="0.25">
      <c r="A41" s="105"/>
      <c r="B41" s="105"/>
      <c r="C41" s="105"/>
      <c r="D41" s="105"/>
      <c r="E41" s="105"/>
    </row>
  </sheetData>
  <sheetProtection algorithmName="SHA-512" hashValue="A57yaFvv9NBGR/PdBBNv1pMhSWpA3BYF94cQ7MNhCTLTCFDfxF6l7A4DtT0VTVAzisITfYcXTU8+eTnfArHHXQ==" saltValue="fzXOHq3hxiJg6FAVsDKbfA=="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57"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Composições</vt:lpstr>
      <vt:lpstr>Comp.Aux1</vt:lpstr>
      <vt:lpstr>Comp.Aux2</vt:lpstr>
      <vt:lpstr>Orçamentária</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Alexandre Bolzan Gutierrez Martins</cp:lastModifiedBy>
  <cp:lastPrinted>2022-08-29T13:46:07Z</cp:lastPrinted>
  <dcterms:created xsi:type="dcterms:W3CDTF">2020-07-07T13:57:42Z</dcterms:created>
  <dcterms:modified xsi:type="dcterms:W3CDTF">2022-11-23T17:26:37Z</dcterms:modified>
</cp:coreProperties>
</file>